
<file path=[Content_Types].xml><?xml version="1.0" encoding="utf-8"?>
<Types xmlns="http://schemas.openxmlformats.org/package/2006/content-types">
  <Override PartName="/xl/worksheets/sheet15.xml" ContentType="application/vnd.openxmlformats-officedocument.spreadsheetml.worksheet+xml"/>
  <Override PartName="/xl/worksheets/sheet24.xml" ContentType="application/vnd.openxmlformats-officedocument.spreadsheetml.worksheet+xml"/>
  <Override PartName="/xl/worksheets/sheet9.xml" ContentType="application/vnd.openxmlformats-officedocument.spreadsheetml.worksheet+xml"/>
  <Override PartName="/xl/worksheets/sheet13.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comments8.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omments6.xml" ContentType="application/vnd.openxmlformats-officedocument.spreadsheetml.comments+xml"/>
  <Override PartName="/xl/comments7.xml" ContentType="application/vnd.openxmlformats-officedocument.spreadsheetml.comments+xml"/>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comments4.xml" ContentType="application/vnd.openxmlformats-officedocument.spreadsheetml.comments+xml"/>
  <Override PartName="/xl/comments5.xml" ContentType="application/vnd.openxmlformats-officedocument.spreadsheetml.comments+xml"/>
  <Override PartName="/xl/embeddings/oleObject1.bin" ContentType="application/vnd.openxmlformats-officedocument.oleObject"/>
  <Override PartName="/xl/embeddings/oleObject2.bin" ContentType="application/vnd.openxmlformats-officedocument.oleObject"/>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comments16.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alcChain.xml" ContentType="application/vnd.openxmlformats-officedocument.spreadsheetml.calcChain+xml"/>
  <Override PartName="/xl/worksheets/sheet19.xml" ContentType="application/vnd.openxmlformats-officedocument.spreadsheetml.worksheet+xml"/>
  <Override PartName="/xl/sharedStrings.xml" ContentType="application/vnd.openxmlformats-officedocument.spreadsheetml.sharedStrings+xml"/>
  <Override PartName="/xl/comments12.xml" ContentType="application/vnd.openxmlformats-officedocument.spreadsheetml.comments+xml"/>
  <Override PartName="/xl/comments13.xml" ContentType="application/vnd.openxmlformats-officedocument.spreadsheetml.comments+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comments10.xml" ContentType="application/vnd.openxmlformats-officedocument.spreadsheetml.comments+xml"/>
  <Override PartName="/xl/comments11.xml" ContentType="application/vnd.openxmlformats-officedocument.spreadsheetml.comments+xml"/>
  <Override PartName="/docProps/core.xml" ContentType="application/vnd.openxmlformats-package.core-properties+xml"/>
  <Override PartName="/xl/worksheets/sheet16.xml" ContentType="application/vnd.openxmlformats-officedocument.spreadsheetml.worksheet+xml"/>
  <Override PartName="/xl/worksheets/sheet25.xml" ContentType="application/vnd.openxmlformats-officedocument.spreadsheetml.worksheet+xml"/>
  <Default Extension="bin" ContentType="application/vnd.openxmlformats-officedocument.spreadsheetml.printerSettings"/>
  <Override PartName="/xl/worksheets/sheet14.xml" ContentType="application/vnd.openxmlformats-officedocument.spreadsheetml.worksheet+xml"/>
  <Override PartName="/xl/worksheets/sheet23.xml" ContentType="application/vnd.openxmlformats-officedocument.spreadsheetml.worksheet+xml"/>
  <Override PartName="/xl/comments9.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bookViews>
    <workbookView xWindow="-15" yWindow="6000" windowWidth="38340" windowHeight="6045" tabRatio="956" activeTab="1"/>
  </bookViews>
  <sheets>
    <sheet name="Resumen" sheetId="1" r:id="rId1"/>
    <sheet name="Global" sheetId="2" r:id="rId2"/>
    <sheet name="Res. Global" sheetId="60796" r:id="rId3"/>
    <sheet name="Resumen RAE Anchoveta" sheetId="1792" r:id="rId4"/>
    <sheet name="RAE Anchoveta" sheetId="2316" r:id="rId5"/>
    <sheet name="Anchoveta" sheetId="1024" r:id="rId6"/>
    <sheet name="Resumen RAE S.Común" sheetId="7380" r:id="rId7"/>
    <sheet name="RAE S.común" sheetId="32" r:id="rId8"/>
    <sheet name="S.común" sheetId="514" r:id="rId9"/>
    <sheet name="Resumen RAE Jurel" sheetId="11565" r:id="rId10"/>
    <sheet name="RAE Jurel" sheetId="2819" r:id="rId11"/>
    <sheet name="Jurel" sheetId="8194" r:id="rId12"/>
    <sheet name="S.española" sheetId="516" r:id="rId13"/>
    <sheet name="Resumen RAE S. Austral" sheetId="60814" r:id="rId14"/>
    <sheet name="Sardina austral X - XI" sheetId="60806" r:id="rId15"/>
    <sheet name="Resumen Cuotas Traspasos" sheetId="60801" r:id="rId16"/>
    <sheet name="Planillas diarias trapasos" sheetId="60805" r:id="rId17"/>
    <sheet name="trapasos VIII Y FAUN aco regs." sheetId="60804" r:id="rId18"/>
    <sheet name="Anchoveta como F Acomp VIII R" sheetId="60815" r:id="rId19"/>
    <sheet name="Res. Global Faunas acompañantes" sheetId="60817" r:id="rId20"/>
    <sheet name="Resumen Fauna Acompañante" sheetId="60818" r:id="rId21"/>
    <sheet name="Fauna Acompañante" sheetId="60819" r:id="rId22"/>
    <sheet name="Emb Tipo Bote SHRD" sheetId="60821" r:id="rId23"/>
    <sheet name="CECIONES Y OTROS" sheetId="60816" r:id="rId24"/>
    <sheet name="Hoja2" sheetId="60820" r:id="rId25"/>
    <sheet name="Hoja1" sheetId="60822" r:id="rId26"/>
    <sheet name="Hoja3" sheetId="60823" r:id="rId27"/>
  </sheets>
  <definedNames>
    <definedName name="_xlnm._FilterDatabase" localSheetId="1" hidden="1">Global!$A$5:$G$43</definedName>
    <definedName name="_xlnm._FilterDatabase" localSheetId="7" hidden="1">'RAE S.común'!$A$396:$AH$409</definedName>
    <definedName name="_xlnm._FilterDatabase" localSheetId="2" hidden="1">'Res. Global'!$A$5:$N$84</definedName>
    <definedName name="_xlnm._FilterDatabase" localSheetId="19" hidden="1">'Res. Global Faunas acompañantes'!$A$1:$Q$15</definedName>
    <definedName name="_xlnm.Print_Area" localSheetId="22">'Emb Tipo Bote SHRD'!$A$1:$J$217</definedName>
    <definedName name="_xlnm.Print_Area" localSheetId="1">Global!$A$2:$F$37</definedName>
    <definedName name="_xlnm.Print_Area" localSheetId="2">'Res. Global'!$A$5:$L$83</definedName>
    <definedName name="_xlnm.Print_Area" localSheetId="3">'Resumen RAE Anchoveta'!$A$2:$I$281</definedName>
  </definedNames>
  <calcPr calcId="125725"/>
</workbook>
</file>

<file path=xl/calcChain.xml><?xml version="1.0" encoding="utf-8"?>
<calcChain xmlns="http://schemas.openxmlformats.org/spreadsheetml/2006/main">
  <c r="N46" i="7380"/>
  <c r="N47"/>
  <c r="N48"/>
  <c r="N49"/>
  <c r="N50"/>
  <c r="N51"/>
  <c r="N52"/>
  <c r="N53"/>
  <c r="N54"/>
  <c r="N55"/>
  <c r="N56"/>
  <c r="N57"/>
  <c r="N58"/>
  <c r="N59"/>
  <c r="N60"/>
  <c r="N61"/>
  <c r="N62"/>
  <c r="N63"/>
  <c r="N64"/>
  <c r="N65"/>
  <c r="N66"/>
  <c r="N67"/>
  <c r="N68"/>
  <c r="N69"/>
  <c r="N70"/>
  <c r="N71"/>
  <c r="N72"/>
  <c r="N73"/>
  <c r="N74"/>
  <c r="N75"/>
  <c r="N76"/>
  <c r="N77"/>
  <c r="N78"/>
  <c r="N79"/>
  <c r="N80"/>
  <c r="N81"/>
  <c r="N82"/>
  <c r="N83"/>
  <c r="N84"/>
  <c r="N85"/>
  <c r="N86"/>
  <c r="N87"/>
  <c r="N88"/>
  <c r="N89"/>
  <c r="N91"/>
  <c r="N92"/>
  <c r="N93"/>
  <c r="N94"/>
  <c r="N95"/>
  <c r="N96"/>
  <c r="N97"/>
  <c r="N98"/>
  <c r="N99"/>
  <c r="N100"/>
  <c r="N101"/>
  <c r="N102"/>
  <c r="N103"/>
  <c r="N104"/>
  <c r="N105"/>
  <c r="N45"/>
  <c r="N44"/>
  <c r="GI6" i="60819"/>
  <c r="GG5"/>
  <c r="GF5"/>
  <c r="GC5"/>
  <c r="GW4"/>
  <c r="F122" i="60806"/>
  <c r="V59"/>
  <c r="R535" i="32"/>
  <c r="F526"/>
  <c r="I431"/>
  <c r="D414"/>
  <c r="K414"/>
  <c r="AC408"/>
  <c r="Q399"/>
  <c r="G398"/>
  <c r="D398"/>
  <c r="P399"/>
  <c r="O399"/>
  <c r="H399"/>
  <c r="X398"/>
  <c r="G392"/>
  <c r="E392"/>
  <c r="Q383"/>
  <c r="J382"/>
  <c r="H382"/>
  <c r="AE147" i="60806"/>
  <c r="M138"/>
  <c r="AC148"/>
  <c r="AF147"/>
  <c r="AC132"/>
  <c r="I107"/>
  <c r="E385" i="2819"/>
  <c r="AD552" i="32"/>
  <c r="F57" i="60815"/>
  <c r="F48"/>
  <c r="Q20"/>
  <c r="Q21"/>
  <c r="Q22"/>
  <c r="Q23"/>
  <c r="Q24"/>
  <c r="Q25"/>
  <c r="Q26"/>
  <c r="Q27"/>
  <c r="Q28"/>
  <c r="Q29"/>
  <c r="Q30"/>
  <c r="Q31"/>
  <c r="Q32"/>
  <c r="Q33"/>
  <c r="Q34"/>
  <c r="Q35"/>
  <c r="Q36"/>
  <c r="Q37"/>
  <c r="Q38"/>
  <c r="Q39"/>
  <c r="Q40"/>
  <c r="Q41"/>
  <c r="Q42"/>
  <c r="Q43"/>
  <c r="Q44"/>
  <c r="Q45"/>
  <c r="Q46"/>
  <c r="Q47"/>
  <c r="Q48"/>
  <c r="Q49"/>
  <c r="Q50"/>
  <c r="Q51"/>
  <c r="Q52"/>
  <c r="Q53"/>
  <c r="Q54"/>
  <c r="Q55"/>
  <c r="Q56"/>
  <c r="Q57"/>
  <c r="Q58"/>
  <c r="Q59"/>
  <c r="Q60"/>
  <c r="Q61"/>
  <c r="Q62"/>
  <c r="Q63"/>
  <c r="Q64"/>
  <c r="Q65"/>
  <c r="Q66"/>
  <c r="Q67"/>
  <c r="Q68"/>
  <c r="Q69"/>
  <c r="Q70"/>
  <c r="Q71"/>
  <c r="Q72"/>
  <c r="Q73"/>
  <c r="Q74"/>
  <c r="Q75"/>
  <c r="Q76"/>
  <c r="Q77"/>
  <c r="Q78"/>
  <c r="Q79"/>
  <c r="Q80"/>
  <c r="Q19"/>
  <c r="Q111" i="7380"/>
  <c r="Q112"/>
  <c r="Q113"/>
  <c r="Q114"/>
  <c r="Q115"/>
  <c r="Q116"/>
  <c r="Q117"/>
  <c r="Q118"/>
  <c r="Q119"/>
  <c r="Q120"/>
  <c r="Q121"/>
  <c r="Q122"/>
  <c r="Q123"/>
  <c r="Q124"/>
  <c r="Q125"/>
  <c r="Q126"/>
  <c r="Q127"/>
  <c r="Q128"/>
  <c r="Q129"/>
  <c r="Q130"/>
  <c r="Q131"/>
  <c r="Q132"/>
  <c r="Q133"/>
  <c r="Q134"/>
  <c r="Q135"/>
  <c r="Q136"/>
  <c r="Q137"/>
  <c r="Q138"/>
  <c r="Q139"/>
  <c r="Q140"/>
  <c r="Q141"/>
  <c r="Q142"/>
  <c r="Q143"/>
  <c r="Q144"/>
  <c r="Q145"/>
  <c r="Q146"/>
  <c r="Q147"/>
  <c r="Q148"/>
  <c r="Q149"/>
  <c r="Q150"/>
  <c r="Q151"/>
  <c r="Q152"/>
  <c r="Q153"/>
  <c r="Q154"/>
  <c r="Q155"/>
  <c r="Q156"/>
  <c r="Q157"/>
  <c r="Q158"/>
  <c r="Q159"/>
  <c r="Q160"/>
  <c r="Q161"/>
  <c r="Q162"/>
  <c r="Q163"/>
  <c r="Q164"/>
  <c r="Q165"/>
  <c r="Q166"/>
  <c r="Q167"/>
  <c r="Q168"/>
  <c r="Q169"/>
  <c r="Q170"/>
  <c r="Q171"/>
  <c r="Q172"/>
  <c r="Q110"/>
  <c r="T186" i="1792"/>
  <c r="T125"/>
  <c r="T126"/>
  <c r="T127"/>
  <c r="T128"/>
  <c r="T129"/>
  <c r="T130"/>
  <c r="T131"/>
  <c r="T132"/>
  <c r="T133"/>
  <c r="T134"/>
  <c r="T135"/>
  <c r="T136"/>
  <c r="T137"/>
  <c r="T138"/>
  <c r="T139"/>
  <c r="T140"/>
  <c r="T141"/>
  <c r="T142"/>
  <c r="T143"/>
  <c r="T144"/>
  <c r="T145"/>
  <c r="T146"/>
  <c r="T147"/>
  <c r="T148"/>
  <c r="T149"/>
  <c r="T150"/>
  <c r="T151"/>
  <c r="T152"/>
  <c r="T153"/>
  <c r="T154"/>
  <c r="T155"/>
  <c r="T156"/>
  <c r="T157"/>
  <c r="T158"/>
  <c r="T159"/>
  <c r="T160"/>
  <c r="T161"/>
  <c r="T162"/>
  <c r="T163"/>
  <c r="T164"/>
  <c r="T165"/>
  <c r="T166"/>
  <c r="T167"/>
  <c r="T168"/>
  <c r="T169"/>
  <c r="T170"/>
  <c r="T171"/>
  <c r="T172"/>
  <c r="T173"/>
  <c r="T174"/>
  <c r="T175"/>
  <c r="T176"/>
  <c r="T177"/>
  <c r="T178"/>
  <c r="T179"/>
  <c r="T180"/>
  <c r="T181"/>
  <c r="T182"/>
  <c r="T183"/>
  <c r="T184"/>
  <c r="T185"/>
  <c r="T124"/>
  <c r="T55" i="60796"/>
  <c r="X54"/>
  <c r="X53"/>
  <c r="X52"/>
  <c r="X51"/>
  <c r="X50"/>
  <c r="X48"/>
  <c r="X47"/>
  <c r="X46"/>
  <c r="X43"/>
  <c r="X41"/>
  <c r="X39"/>
  <c r="X55" s="1"/>
  <c r="X35"/>
  <c r="C106" i="7380" l="1"/>
  <c r="C120" i="1792"/>
  <c r="O173" i="60806"/>
  <c r="N173"/>
  <c r="M173"/>
  <c r="L173"/>
  <c r="K173"/>
  <c r="J173"/>
  <c r="I173"/>
  <c r="H173"/>
  <c r="G173"/>
  <c r="F173"/>
  <c r="E173"/>
  <c r="D173"/>
  <c r="C173"/>
  <c r="V142"/>
  <c r="AD148"/>
  <c r="Y148"/>
  <c r="U148"/>
  <c r="V148"/>
  <c r="R148"/>
  <c r="H148"/>
  <c r="M148"/>
  <c r="K148"/>
  <c r="G148"/>
  <c r="F148"/>
  <c r="AD132"/>
  <c r="T132"/>
  <c r="AH77"/>
  <c r="AH78"/>
  <c r="AH79"/>
  <c r="AH80"/>
  <c r="AH81"/>
  <c r="AH82"/>
  <c r="AH83"/>
  <c r="AH84"/>
  <c r="H74"/>
  <c r="AH74" s="1"/>
  <c r="I74"/>
  <c r="X74"/>
  <c r="H75"/>
  <c r="P75"/>
  <c r="AH75" s="1"/>
  <c r="R75"/>
  <c r="H76"/>
  <c r="AH76" s="1"/>
  <c r="J76"/>
  <c r="AC68"/>
  <c r="S538" i="2819"/>
  <c r="AC536" i="32"/>
  <c r="Z536"/>
  <c r="O536"/>
  <c r="AB602" i="2316"/>
  <c r="AA602"/>
  <c r="Y602"/>
  <c r="W602"/>
  <c r="U602"/>
  <c r="C90" i="7380" l="1"/>
  <c r="N90" s="1"/>
  <c r="C26" i="60814"/>
  <c r="AZ239" i="60816"/>
  <c r="AP559" l="1"/>
  <c r="G666" l="1"/>
  <c r="D101" i="11565"/>
  <c r="C83" i="60796" l="1"/>
  <c r="K132" i="60806"/>
  <c r="G52"/>
  <c r="I68"/>
  <c r="I666" i="60816" l="1"/>
  <c r="G647" l="1"/>
  <c r="E148" i="60806" l="1"/>
  <c r="D148"/>
  <c r="AD147"/>
  <c r="AE131"/>
  <c r="AD131"/>
  <c r="D68"/>
  <c r="AD67"/>
  <c r="AD51"/>
  <c r="D536" i="32"/>
  <c r="AE535"/>
  <c r="AD441" i="2316"/>
  <c r="P77" i="11565"/>
  <c r="P78"/>
  <c r="P79"/>
  <c r="P80"/>
  <c r="P81"/>
  <c r="P82"/>
  <c r="P83"/>
  <c r="P84"/>
  <c r="P85"/>
  <c r="P86"/>
  <c r="P76"/>
  <c r="P87" s="1"/>
  <c r="O87"/>
  <c r="N87"/>
  <c r="H170" i="60816"/>
  <c r="G170"/>
  <c r="F80" i="60815"/>
  <c r="F76"/>
  <c r="F75"/>
  <c r="F74"/>
  <c r="F71"/>
  <c r="F69"/>
  <c r="F68"/>
  <c r="F66"/>
  <c r="F64"/>
  <c r="F63"/>
  <c r="F61"/>
  <c r="F60"/>
  <c r="F55"/>
  <c r="F39"/>
  <c r="F37"/>
  <c r="F35"/>
  <c r="F33"/>
  <c r="F31"/>
  <c r="F29"/>
  <c r="F22"/>
  <c r="AA147" i="60806"/>
  <c r="X147"/>
  <c r="W147"/>
  <c r="M51" i="11565" l="1"/>
  <c r="M53" s="1"/>
  <c r="O51"/>
  <c r="V67" i="60806"/>
  <c r="T535" i="32"/>
  <c r="F9" i="60796" l="1"/>
  <c r="E8"/>
  <c r="H226" i="60821"/>
  <c r="O226" s="1"/>
  <c r="F26" i="60815"/>
  <c r="BR82" i="514"/>
  <c r="BQ82"/>
  <c r="BP82"/>
  <c r="BO82"/>
  <c r="BN82"/>
  <c r="BM82"/>
  <c r="BL82"/>
  <c r="BK82"/>
  <c r="BJ82"/>
  <c r="BI82"/>
  <c r="BH82"/>
  <c r="BG82"/>
  <c r="BF82"/>
  <c r="BE82"/>
  <c r="BD82"/>
  <c r="BC82"/>
  <c r="BB82"/>
  <c r="BA82"/>
  <c r="AZ82"/>
  <c r="AY82"/>
  <c r="AX82"/>
  <c r="AW82"/>
  <c r="AV82"/>
  <c r="AU82"/>
  <c r="AT82"/>
  <c r="AS82"/>
  <c r="AR82"/>
  <c r="AQ82"/>
  <c r="AP82"/>
  <c r="AO82"/>
  <c r="AN82"/>
  <c r="BS81"/>
  <c r="AM81" s="1"/>
  <c r="BS80"/>
  <c r="AM80"/>
  <c r="BS79"/>
  <c r="AM79" s="1"/>
  <c r="BS78"/>
  <c r="AM78" s="1"/>
  <c r="BS77"/>
  <c r="AM77" s="1"/>
  <c r="BS76"/>
  <c r="AM76" s="1"/>
  <c r="BS75"/>
  <c r="AM75" s="1"/>
  <c r="BS74"/>
  <c r="AM74" s="1"/>
  <c r="BS73"/>
  <c r="AM73" s="1"/>
  <c r="BS72"/>
  <c r="AM72" s="1"/>
  <c r="BS71"/>
  <c r="AM71" s="1"/>
  <c r="BS70"/>
  <c r="BS82" l="1"/>
  <c r="AM70"/>
  <c r="AM82" s="1"/>
  <c r="P535" i="32" l="1"/>
  <c r="AP560" i="60816" l="1"/>
  <c r="AQ560"/>
  <c r="AF146" i="60806"/>
  <c r="AD146"/>
  <c r="D146"/>
  <c r="C146"/>
  <c r="AR560" i="60816" l="1"/>
  <c r="H225" i="60821"/>
  <c r="O225" s="1"/>
  <c r="M173" i="7380"/>
  <c r="F70" i="60815"/>
  <c r="F67"/>
  <c r="F65"/>
  <c r="F53"/>
  <c r="F50"/>
  <c r="F49"/>
  <c r="F46"/>
  <c r="F45"/>
  <c r="F44"/>
  <c r="F41"/>
  <c r="F40"/>
  <c r="F34"/>
  <c r="F30"/>
  <c r="F27"/>
  <c r="F25"/>
  <c r="F24"/>
  <c r="F19"/>
  <c r="N187" i="1792"/>
  <c r="F5" i="60821" l="1"/>
  <c r="H224"/>
  <c r="O224" s="1"/>
  <c r="H9"/>
  <c r="O9" s="1"/>
  <c r="H10"/>
  <c r="O10" s="1"/>
  <c r="H11"/>
  <c r="O11" s="1"/>
  <c r="H12"/>
  <c r="O12" s="1"/>
  <c r="H13"/>
  <c r="O13" s="1"/>
  <c r="H14"/>
  <c r="O14" s="1"/>
  <c r="H15"/>
  <c r="O15" s="1"/>
  <c r="H16"/>
  <c r="O16" s="1"/>
  <c r="H17"/>
  <c r="O17" s="1"/>
  <c r="H18"/>
  <c r="O18" s="1"/>
  <c r="H19"/>
  <c r="O19" s="1"/>
  <c r="H20"/>
  <c r="O20" s="1"/>
  <c r="H21"/>
  <c r="O21" s="1"/>
  <c r="H22"/>
  <c r="O22" s="1"/>
  <c r="H23"/>
  <c r="O23" s="1"/>
  <c r="H24"/>
  <c r="O24" s="1"/>
  <c r="H25"/>
  <c r="O25" s="1"/>
  <c r="H26"/>
  <c r="O26" s="1"/>
  <c r="H27"/>
  <c r="O27" s="1"/>
  <c r="H28"/>
  <c r="O28" s="1"/>
  <c r="H29"/>
  <c r="O29" s="1"/>
  <c r="H30"/>
  <c r="O30" s="1"/>
  <c r="H31"/>
  <c r="O31" s="1"/>
  <c r="H32"/>
  <c r="O32" s="1"/>
  <c r="H33"/>
  <c r="O33" s="1"/>
  <c r="H34"/>
  <c r="O34" s="1"/>
  <c r="H35"/>
  <c r="O35" s="1"/>
  <c r="H36"/>
  <c r="O36" s="1"/>
  <c r="H37"/>
  <c r="O37" s="1"/>
  <c r="H38"/>
  <c r="O38" s="1"/>
  <c r="H39"/>
  <c r="O39" s="1"/>
  <c r="H40"/>
  <c r="O40" s="1"/>
  <c r="H41"/>
  <c r="O41" s="1"/>
  <c r="H42"/>
  <c r="O42" s="1"/>
  <c r="H43"/>
  <c r="O43" s="1"/>
  <c r="H44"/>
  <c r="O44" s="1"/>
  <c r="H45"/>
  <c r="O45" s="1"/>
  <c r="H46"/>
  <c r="O46" s="1"/>
  <c r="H47"/>
  <c r="O47" s="1"/>
  <c r="H48"/>
  <c r="O48" s="1"/>
  <c r="H49"/>
  <c r="O49" s="1"/>
  <c r="H50"/>
  <c r="O50" s="1"/>
  <c r="H51"/>
  <c r="O51" s="1"/>
  <c r="H52"/>
  <c r="O52" s="1"/>
  <c r="H53"/>
  <c r="O53" s="1"/>
  <c r="H54"/>
  <c r="O54" s="1"/>
  <c r="H55"/>
  <c r="O55" s="1"/>
  <c r="H56"/>
  <c r="O56" s="1"/>
  <c r="H57"/>
  <c r="O57" s="1"/>
  <c r="H58"/>
  <c r="O58" s="1"/>
  <c r="H59"/>
  <c r="O59" s="1"/>
  <c r="H60"/>
  <c r="O60" s="1"/>
  <c r="H61"/>
  <c r="O61" s="1"/>
  <c r="H62"/>
  <c r="O62" s="1"/>
  <c r="H63"/>
  <c r="O63" s="1"/>
  <c r="H64"/>
  <c r="O64" s="1"/>
  <c r="H65"/>
  <c r="O65" s="1"/>
  <c r="H66"/>
  <c r="O66" s="1"/>
  <c r="H67"/>
  <c r="O67" s="1"/>
  <c r="H68"/>
  <c r="O68" s="1"/>
  <c r="H69"/>
  <c r="O69" s="1"/>
  <c r="H70"/>
  <c r="O70" s="1"/>
  <c r="H71"/>
  <c r="O71" s="1"/>
  <c r="H72"/>
  <c r="O72" s="1"/>
  <c r="H73"/>
  <c r="O73" s="1"/>
  <c r="H74"/>
  <c r="O74" s="1"/>
  <c r="H75"/>
  <c r="O75" s="1"/>
  <c r="H76"/>
  <c r="O76" s="1"/>
  <c r="H77"/>
  <c r="O77" s="1"/>
  <c r="H78"/>
  <c r="O78" s="1"/>
  <c r="H79"/>
  <c r="O79" s="1"/>
  <c r="H80"/>
  <c r="O80" s="1"/>
  <c r="H81"/>
  <c r="O81" s="1"/>
  <c r="H82"/>
  <c r="O82" s="1"/>
  <c r="H83"/>
  <c r="O83" s="1"/>
  <c r="H84"/>
  <c r="O84" s="1"/>
  <c r="H85"/>
  <c r="O85" s="1"/>
  <c r="H86"/>
  <c r="O86" s="1"/>
  <c r="H87"/>
  <c r="O87" s="1"/>
  <c r="H88"/>
  <c r="O88" s="1"/>
  <c r="H89"/>
  <c r="O89" s="1"/>
  <c r="H90"/>
  <c r="O90" s="1"/>
  <c r="H91"/>
  <c r="O91" s="1"/>
  <c r="H92"/>
  <c r="O92" s="1"/>
  <c r="H93"/>
  <c r="O93" s="1"/>
  <c r="H94"/>
  <c r="O94" s="1"/>
  <c r="H95"/>
  <c r="O95" s="1"/>
  <c r="H96"/>
  <c r="O96" s="1"/>
  <c r="H97"/>
  <c r="O97" s="1"/>
  <c r="H98"/>
  <c r="O98" s="1"/>
  <c r="H99"/>
  <c r="O99" s="1"/>
  <c r="H100"/>
  <c r="O100" s="1"/>
  <c r="H101"/>
  <c r="O101" s="1"/>
  <c r="H102"/>
  <c r="O102" s="1"/>
  <c r="H103"/>
  <c r="O103" s="1"/>
  <c r="H104"/>
  <c r="O104" s="1"/>
  <c r="H105"/>
  <c r="O105" s="1"/>
  <c r="H106"/>
  <c r="O106" s="1"/>
  <c r="H107"/>
  <c r="O107" s="1"/>
  <c r="H108"/>
  <c r="O108" s="1"/>
  <c r="H109"/>
  <c r="O109" s="1"/>
  <c r="H110"/>
  <c r="O110" s="1"/>
  <c r="H111"/>
  <c r="O111" s="1"/>
  <c r="H112"/>
  <c r="O112" s="1"/>
  <c r="H113"/>
  <c r="O113" s="1"/>
  <c r="H114"/>
  <c r="O114" s="1"/>
  <c r="H115"/>
  <c r="O115" s="1"/>
  <c r="H116"/>
  <c r="O116" s="1"/>
  <c r="H117"/>
  <c r="O117" s="1"/>
  <c r="H118"/>
  <c r="O118" s="1"/>
  <c r="H119"/>
  <c r="O119" s="1"/>
  <c r="H120"/>
  <c r="O120" s="1"/>
  <c r="H121"/>
  <c r="O121" s="1"/>
  <c r="H122"/>
  <c r="O122" s="1"/>
  <c r="H123"/>
  <c r="O123" s="1"/>
  <c r="H124"/>
  <c r="O124" s="1"/>
  <c r="H125"/>
  <c r="O125" s="1"/>
  <c r="H126"/>
  <c r="O126" s="1"/>
  <c r="H127"/>
  <c r="O127" s="1"/>
  <c r="H128"/>
  <c r="O128" s="1"/>
  <c r="H129"/>
  <c r="O129" s="1"/>
  <c r="H130"/>
  <c r="O130" s="1"/>
  <c r="H131"/>
  <c r="O131" s="1"/>
  <c r="H132"/>
  <c r="O132" s="1"/>
  <c r="H133"/>
  <c r="O133" s="1"/>
  <c r="H134"/>
  <c r="O134" s="1"/>
  <c r="H135"/>
  <c r="O135" s="1"/>
  <c r="H136"/>
  <c r="O136" s="1"/>
  <c r="H137"/>
  <c r="O137" s="1"/>
  <c r="H138"/>
  <c r="O138" s="1"/>
  <c r="H139"/>
  <c r="O139" s="1"/>
  <c r="H140"/>
  <c r="O140" s="1"/>
  <c r="H141"/>
  <c r="O141" s="1"/>
  <c r="H142"/>
  <c r="O142" s="1"/>
  <c r="H143"/>
  <c r="O143" s="1"/>
  <c r="H144"/>
  <c r="O144" s="1"/>
  <c r="H145"/>
  <c r="O145" s="1"/>
  <c r="H146"/>
  <c r="O146" s="1"/>
  <c r="H147"/>
  <c r="O147" s="1"/>
  <c r="H148"/>
  <c r="O148" s="1"/>
  <c r="H149"/>
  <c r="O149" s="1"/>
  <c r="H150"/>
  <c r="O150" s="1"/>
  <c r="H151"/>
  <c r="O151" s="1"/>
  <c r="H152"/>
  <c r="O152" s="1"/>
  <c r="H153"/>
  <c r="O153" s="1"/>
  <c r="H154"/>
  <c r="O154" s="1"/>
  <c r="H155"/>
  <c r="O155" s="1"/>
  <c r="H156"/>
  <c r="O156" s="1"/>
  <c r="H157"/>
  <c r="O157" s="1"/>
  <c r="H158"/>
  <c r="O158" s="1"/>
  <c r="H159"/>
  <c r="O159" s="1"/>
  <c r="H160"/>
  <c r="O160" s="1"/>
  <c r="H161"/>
  <c r="O161" s="1"/>
  <c r="H162"/>
  <c r="O162" s="1"/>
  <c r="H163"/>
  <c r="O163" s="1"/>
  <c r="H164"/>
  <c r="O164" s="1"/>
  <c r="H165"/>
  <c r="O165" s="1"/>
  <c r="H166"/>
  <c r="O166" s="1"/>
  <c r="H167"/>
  <c r="O167" s="1"/>
  <c r="H168"/>
  <c r="O168" s="1"/>
  <c r="H169"/>
  <c r="O169" s="1"/>
  <c r="H170"/>
  <c r="O170" s="1"/>
  <c r="H171"/>
  <c r="O171" s="1"/>
  <c r="H172"/>
  <c r="O172" s="1"/>
  <c r="H173"/>
  <c r="O173" s="1"/>
  <c r="H174"/>
  <c r="O174" s="1"/>
  <c r="H175"/>
  <c r="O175" s="1"/>
  <c r="H176"/>
  <c r="O176" s="1"/>
  <c r="H177"/>
  <c r="O177" s="1"/>
  <c r="H178"/>
  <c r="O178" s="1"/>
  <c r="H179"/>
  <c r="O179" s="1"/>
  <c r="H180"/>
  <c r="O180" s="1"/>
  <c r="H181"/>
  <c r="O181" s="1"/>
  <c r="H182"/>
  <c r="O182" s="1"/>
  <c r="H183"/>
  <c r="O183" s="1"/>
  <c r="H184"/>
  <c r="O184" s="1"/>
  <c r="H185"/>
  <c r="O185" s="1"/>
  <c r="H186"/>
  <c r="O186" s="1"/>
  <c r="H187"/>
  <c r="O187" s="1"/>
  <c r="H188"/>
  <c r="O188" s="1"/>
  <c r="H189"/>
  <c r="O189" s="1"/>
  <c r="H190"/>
  <c r="O190" s="1"/>
  <c r="H191"/>
  <c r="O191" s="1"/>
  <c r="H192"/>
  <c r="O192" s="1"/>
  <c r="H193"/>
  <c r="O193" s="1"/>
  <c r="H194"/>
  <c r="O194" s="1"/>
  <c r="H195"/>
  <c r="O195" s="1"/>
  <c r="H196"/>
  <c r="O196" s="1"/>
  <c r="H197"/>
  <c r="O197" s="1"/>
  <c r="H198"/>
  <c r="O198" s="1"/>
  <c r="H199"/>
  <c r="O199" s="1"/>
  <c r="H200"/>
  <c r="O200" s="1"/>
  <c r="H201"/>
  <c r="O201" s="1"/>
  <c r="H202"/>
  <c r="O202" s="1"/>
  <c r="H203"/>
  <c r="O203" s="1"/>
  <c r="H204"/>
  <c r="O204" s="1"/>
  <c r="H205"/>
  <c r="O205" s="1"/>
  <c r="H206"/>
  <c r="O206" s="1"/>
  <c r="H207"/>
  <c r="O207" s="1"/>
  <c r="H208"/>
  <c r="O208" s="1"/>
  <c r="H209"/>
  <c r="O209" s="1"/>
  <c r="H210"/>
  <c r="O210" s="1"/>
  <c r="H211"/>
  <c r="O211" s="1"/>
  <c r="H212"/>
  <c r="O212" s="1"/>
  <c r="H213"/>
  <c r="O213" s="1"/>
  <c r="H214"/>
  <c r="O214" s="1"/>
  <c r="H215"/>
  <c r="O215" s="1"/>
  <c r="H216"/>
  <c r="O216" s="1"/>
  <c r="H217"/>
  <c r="O217" s="1"/>
  <c r="H218"/>
  <c r="O218" s="1"/>
  <c r="H219"/>
  <c r="O219" s="1"/>
  <c r="H220"/>
  <c r="O220" s="1"/>
  <c r="H221"/>
  <c r="O221" s="1"/>
  <c r="H222"/>
  <c r="O222" s="1"/>
  <c r="H223"/>
  <c r="O223" s="1"/>
  <c r="K112" i="7380"/>
  <c r="K114"/>
  <c r="K123"/>
  <c r="K143"/>
  <c r="K149"/>
  <c r="K169"/>
  <c r="F47" i="60815"/>
  <c r="F20"/>
  <c r="L126" i="1792"/>
  <c r="M126" s="1"/>
  <c r="L128"/>
  <c r="M128" s="1"/>
  <c r="L133"/>
  <c r="M133" s="1"/>
  <c r="L137"/>
  <c r="M137" s="1"/>
  <c r="L156"/>
  <c r="M156" s="1"/>
  <c r="L157"/>
  <c r="M157" s="1"/>
  <c r="L163"/>
  <c r="M163" s="1"/>
  <c r="L183"/>
  <c r="M183" s="1"/>
  <c r="L184"/>
  <c r="M184" s="1"/>
  <c r="AH201" i="60816"/>
  <c r="O227" i="60821" l="1"/>
  <c r="I647" i="60816"/>
  <c r="AB166" l="1"/>
  <c r="AC166"/>
  <c r="AC163"/>
  <c r="AB163"/>
  <c r="AE150"/>
  <c r="AD150"/>
  <c r="AA150"/>
  <c r="AE149"/>
  <c r="AD149"/>
  <c r="AA149"/>
  <c r="AE148"/>
  <c r="AD148"/>
  <c r="AA148"/>
  <c r="AE147"/>
  <c r="AD147"/>
  <c r="AA147"/>
  <c r="AE146"/>
  <c r="AD146"/>
  <c r="AA146"/>
  <c r="AE162"/>
  <c r="AD162"/>
  <c r="AA162"/>
  <c r="AE161"/>
  <c r="AD161"/>
  <c r="AA161"/>
  <c r="C107" i="7380"/>
  <c r="F105"/>
  <c r="F96"/>
  <c r="F94"/>
  <c r="F90"/>
  <c r="C29" i="11565"/>
  <c r="AH145" i="60806"/>
  <c r="AH146"/>
  <c r="AH147"/>
  <c r="AH148"/>
  <c r="H138"/>
  <c r="AA138"/>
  <c r="F139"/>
  <c r="G139"/>
  <c r="Q140"/>
  <c r="K162" i="7380" l="1"/>
  <c r="K160"/>
  <c r="K156"/>
  <c r="K171"/>
  <c r="AH138" i="60806"/>
  <c r="H638" i="60816"/>
  <c r="K638" s="1"/>
  <c r="L638" s="1"/>
  <c r="H637"/>
  <c r="AG633"/>
  <c r="AF633"/>
  <c r="AE633"/>
  <c r="AC633"/>
  <c r="AB633"/>
  <c r="AA633"/>
  <c r="Z633"/>
  <c r="Y633"/>
  <c r="X633"/>
  <c r="W633"/>
  <c r="V633"/>
  <c r="U633"/>
  <c r="T633"/>
  <c r="S633"/>
  <c r="R633"/>
  <c r="Q633"/>
  <c r="P633"/>
  <c r="O633"/>
  <c r="N633"/>
  <c r="M633"/>
  <c r="L633"/>
  <c r="K633"/>
  <c r="J633"/>
  <c r="I633"/>
  <c r="H633"/>
  <c r="G633"/>
  <c r="F633"/>
  <c r="E633"/>
  <c r="D633"/>
  <c r="C633"/>
  <c r="AH632"/>
  <c r="B632" s="1"/>
  <c r="AH631"/>
  <c r="B631" s="1"/>
  <c r="AH630"/>
  <c r="B630" s="1"/>
  <c r="AH629"/>
  <c r="B629" s="1"/>
  <c r="AH628"/>
  <c r="B628" s="1"/>
  <c r="AH627"/>
  <c r="B627" s="1"/>
  <c r="AH626"/>
  <c r="B626" s="1"/>
  <c r="AH625"/>
  <c r="B625" s="1"/>
  <c r="AH624"/>
  <c r="B624" s="1"/>
  <c r="AH623"/>
  <c r="B623" s="1"/>
  <c r="AH622"/>
  <c r="B622" s="1"/>
  <c r="AG616"/>
  <c r="AF616"/>
  <c r="AE616"/>
  <c r="AC616"/>
  <c r="AB616"/>
  <c r="AA616"/>
  <c r="Z616"/>
  <c r="Y616"/>
  <c r="X616"/>
  <c r="W616"/>
  <c r="V616"/>
  <c r="U616"/>
  <c r="T616"/>
  <c r="AH621" s="1"/>
  <c r="B621" s="1"/>
  <c r="S616"/>
  <c r="R616"/>
  <c r="Q616"/>
  <c r="P616"/>
  <c r="O616"/>
  <c r="N616"/>
  <c r="M616"/>
  <c r="L616"/>
  <c r="K616"/>
  <c r="J616"/>
  <c r="I616"/>
  <c r="H616"/>
  <c r="G616"/>
  <c r="F616"/>
  <c r="E616"/>
  <c r="D616"/>
  <c r="C616"/>
  <c r="AH615"/>
  <c r="B615" s="1"/>
  <c r="AH614"/>
  <c r="B614" s="1"/>
  <c r="AH613"/>
  <c r="B613" s="1"/>
  <c r="AH612"/>
  <c r="B612" s="1"/>
  <c r="AH611"/>
  <c r="B611" s="1"/>
  <c r="AH610"/>
  <c r="B610" s="1"/>
  <c r="AH609"/>
  <c r="B609" s="1"/>
  <c r="AH608"/>
  <c r="B608" s="1"/>
  <c r="AH607"/>
  <c r="B607" s="1"/>
  <c r="AH606"/>
  <c r="B606" s="1"/>
  <c r="AH605"/>
  <c r="B605" s="1"/>
  <c r="AH604"/>
  <c r="B604" s="1"/>
  <c r="H598"/>
  <c r="K598" s="1"/>
  <c r="L598" s="1"/>
  <c r="H597"/>
  <c r="AG593"/>
  <c r="AF593"/>
  <c r="AE593"/>
  <c r="AC593"/>
  <c r="AB593"/>
  <c r="AA593"/>
  <c r="Z593"/>
  <c r="Y593"/>
  <c r="X593"/>
  <c r="W593"/>
  <c r="V593"/>
  <c r="U593"/>
  <c r="T593"/>
  <c r="S593"/>
  <c r="R593"/>
  <c r="Q593"/>
  <c r="P593"/>
  <c r="O593"/>
  <c r="N593"/>
  <c r="M593"/>
  <c r="L593"/>
  <c r="K593"/>
  <c r="J593"/>
  <c r="I593"/>
  <c r="H593"/>
  <c r="G593"/>
  <c r="F593"/>
  <c r="E593"/>
  <c r="D593"/>
  <c r="C593"/>
  <c r="AH592"/>
  <c r="B592" s="1"/>
  <c r="AH591"/>
  <c r="B591" s="1"/>
  <c r="AH590"/>
  <c r="B590" s="1"/>
  <c r="AH589"/>
  <c r="B589" s="1"/>
  <c r="AH588"/>
  <c r="B588" s="1"/>
  <c r="AH587"/>
  <c r="B587" s="1"/>
  <c r="AH586"/>
  <c r="B586" s="1"/>
  <c r="AH585"/>
  <c r="B585" s="1"/>
  <c r="AH584"/>
  <c r="B584" s="1"/>
  <c r="AH583"/>
  <c r="B583" s="1"/>
  <c r="AH582"/>
  <c r="B582" s="1"/>
  <c r="AG576"/>
  <c r="AF576"/>
  <c r="AE576"/>
  <c r="AC576"/>
  <c r="AB576"/>
  <c r="AA576"/>
  <c r="Z576"/>
  <c r="Y576"/>
  <c r="X576"/>
  <c r="W576"/>
  <c r="V576"/>
  <c r="U576"/>
  <c r="T576"/>
  <c r="AH581" s="1"/>
  <c r="B581" s="1"/>
  <c r="S576"/>
  <c r="R576"/>
  <c r="Q576"/>
  <c r="P576"/>
  <c r="O576"/>
  <c r="N576"/>
  <c r="M576"/>
  <c r="L576"/>
  <c r="K576"/>
  <c r="J576"/>
  <c r="I576"/>
  <c r="H576"/>
  <c r="G576"/>
  <c r="F576"/>
  <c r="E576"/>
  <c r="D576"/>
  <c r="C576"/>
  <c r="AH575"/>
  <c r="B575" s="1"/>
  <c r="AH574"/>
  <c r="B574" s="1"/>
  <c r="AH573"/>
  <c r="B573" s="1"/>
  <c r="AH572"/>
  <c r="B572" s="1"/>
  <c r="AH571"/>
  <c r="B571" s="1"/>
  <c r="AH570"/>
  <c r="B570" s="1"/>
  <c r="AH569"/>
  <c r="B569" s="1"/>
  <c r="AH568"/>
  <c r="B568" s="1"/>
  <c r="AH567"/>
  <c r="B567" s="1"/>
  <c r="AH566"/>
  <c r="B566" s="1"/>
  <c r="AH565"/>
  <c r="B565" s="1"/>
  <c r="AH564"/>
  <c r="B564" s="1"/>
  <c r="BS18" i="1024"/>
  <c r="AM18" s="1"/>
  <c r="BS17"/>
  <c r="AM17" s="1"/>
  <c r="BS16"/>
  <c r="AM16" s="1"/>
  <c r="BS15"/>
  <c r="AM15" s="1"/>
  <c r="BS14"/>
  <c r="AM14" s="1"/>
  <c r="BS13"/>
  <c r="AM13" s="1"/>
  <c r="BS12"/>
  <c r="AM12" s="1"/>
  <c r="BS11"/>
  <c r="AM11" s="1"/>
  <c r="BS10"/>
  <c r="AM10" s="1"/>
  <c r="BS9"/>
  <c r="AM9" s="1"/>
  <c r="BS8"/>
  <c r="AM8" s="1"/>
  <c r="BS7"/>
  <c r="AM7" s="1"/>
  <c r="B616" i="60816" l="1"/>
  <c r="J637" s="1"/>
  <c r="L637" s="1"/>
  <c r="B633"/>
  <c r="I637" s="1"/>
  <c r="K637" s="1"/>
  <c r="B576"/>
  <c r="J597" s="1"/>
  <c r="L597" s="1"/>
  <c r="AH616"/>
  <c r="AH633"/>
  <c r="B593"/>
  <c r="I597" s="1"/>
  <c r="K597" s="1"/>
  <c r="AH576"/>
  <c r="AH593"/>
  <c r="AM19" i="1024"/>
  <c r="BS19"/>
  <c r="AM21" l="1"/>
  <c r="H65" i="60806"/>
  <c r="X144"/>
  <c r="R307" i="60816" l="1"/>
  <c r="G307" l="1"/>
  <c r="P64" i="60806"/>
  <c r="M139" l="1"/>
  <c r="O139"/>
  <c r="J140"/>
  <c r="N64"/>
  <c r="F103" i="1792" l="1"/>
  <c r="L169" s="1"/>
  <c r="M169" s="1"/>
  <c r="AP367" i="60816"/>
  <c r="E96" i="60806" l="1"/>
  <c r="E48"/>
  <c r="K94" i="7380" l="1"/>
  <c r="C144" i="60806"/>
  <c r="AH144" s="1"/>
  <c r="C96"/>
  <c r="C48"/>
  <c r="F104" i="7380" l="1"/>
  <c r="F120" i="1792"/>
  <c r="L186" s="1"/>
  <c r="M186" s="1"/>
  <c r="F186" s="1"/>
  <c r="F119"/>
  <c r="L185" s="1"/>
  <c r="M185" s="1"/>
  <c r="F108"/>
  <c r="L174" s="1"/>
  <c r="M174" s="1"/>
  <c r="K170" i="7380" l="1"/>
  <c r="F101"/>
  <c r="F100"/>
  <c r="F99"/>
  <c r="F93"/>
  <c r="F91"/>
  <c r="F89"/>
  <c r="F88"/>
  <c r="F86"/>
  <c r="F85"/>
  <c r="F80"/>
  <c r="F78"/>
  <c r="F72"/>
  <c r="F69"/>
  <c r="F66"/>
  <c r="F64"/>
  <c r="F62"/>
  <c r="F60"/>
  <c r="F58"/>
  <c r="F54"/>
  <c r="F52"/>
  <c r="F51"/>
  <c r="F50"/>
  <c r="F49"/>
  <c r="F47"/>
  <c r="F105" i="1792"/>
  <c r="L171" s="1"/>
  <c r="M171" s="1"/>
  <c r="F94"/>
  <c r="L160" s="1"/>
  <c r="M160" s="1"/>
  <c r="K115" i="7380" l="1"/>
  <c r="K120"/>
  <c r="K130"/>
  <c r="K144"/>
  <c r="K154"/>
  <c r="K165"/>
  <c r="K113"/>
  <c r="K118"/>
  <c r="K128"/>
  <c r="K138"/>
  <c r="K152"/>
  <c r="K159"/>
  <c r="K117"/>
  <c r="K126"/>
  <c r="K135"/>
  <c r="K151"/>
  <c r="K157"/>
  <c r="K167"/>
  <c r="K116"/>
  <c r="K124"/>
  <c r="K132"/>
  <c r="K146"/>
  <c r="K155"/>
  <c r="K166"/>
  <c r="L557" i="60816"/>
  <c r="H557"/>
  <c r="H556"/>
  <c r="AG552"/>
  <c r="AF552"/>
  <c r="AE552"/>
  <c r="AC552"/>
  <c r="AB552"/>
  <c r="AA552"/>
  <c r="Z552"/>
  <c r="Y552"/>
  <c r="X552"/>
  <c r="W552"/>
  <c r="V552"/>
  <c r="U552"/>
  <c r="T552"/>
  <c r="S552"/>
  <c r="R552"/>
  <c r="Q552"/>
  <c r="P552"/>
  <c r="O552"/>
  <c r="N552"/>
  <c r="M552"/>
  <c r="L552"/>
  <c r="K552"/>
  <c r="J552"/>
  <c r="I552"/>
  <c r="H552"/>
  <c r="G552"/>
  <c r="F552"/>
  <c r="E552"/>
  <c r="D552"/>
  <c r="C552"/>
  <c r="AH551"/>
  <c r="B551" s="1"/>
  <c r="AH550"/>
  <c r="B550" s="1"/>
  <c r="AH549"/>
  <c r="B549" s="1"/>
  <c r="AH548"/>
  <c r="B548" s="1"/>
  <c r="AH547"/>
  <c r="B547" s="1"/>
  <c r="AH546"/>
  <c r="B546" s="1"/>
  <c r="AH545"/>
  <c r="B545" s="1"/>
  <c r="AH544"/>
  <c r="B544" s="1"/>
  <c r="AH543"/>
  <c r="B543" s="1"/>
  <c r="AH542"/>
  <c r="B542" s="1"/>
  <c r="AH541"/>
  <c r="B541" s="1"/>
  <c r="AH540"/>
  <c r="AH552" l="1"/>
  <c r="B540"/>
  <c r="B552" s="1"/>
  <c r="J556" s="1"/>
  <c r="L556" s="1"/>
  <c r="C99" i="60796"/>
  <c r="F102" i="7380"/>
  <c r="F98"/>
  <c r="F97"/>
  <c r="F73"/>
  <c r="F59"/>
  <c r="F45"/>
  <c r="F114" i="1792"/>
  <c r="L180" s="1"/>
  <c r="M180" s="1"/>
  <c r="AU544" i="60816"/>
  <c r="AQ544"/>
  <c r="AQ543"/>
  <c r="BP538"/>
  <c r="BO538"/>
  <c r="BN538"/>
  <c r="BL538"/>
  <c r="BK538"/>
  <c r="BJ538"/>
  <c r="BI538"/>
  <c r="BH538"/>
  <c r="BG538"/>
  <c r="BF538"/>
  <c r="BE538"/>
  <c r="BD538"/>
  <c r="BC538"/>
  <c r="BB538"/>
  <c r="BA538"/>
  <c r="AZ538"/>
  <c r="AY538"/>
  <c r="AX538"/>
  <c r="AW538"/>
  <c r="AV538"/>
  <c r="AU538"/>
  <c r="AT538"/>
  <c r="AS538"/>
  <c r="AR538"/>
  <c r="AQ538"/>
  <c r="AP538"/>
  <c r="AO538"/>
  <c r="AN538"/>
  <c r="AM538"/>
  <c r="AL538"/>
  <c r="BQ537"/>
  <c r="AK537" s="1"/>
  <c r="BQ536"/>
  <c r="AK536" s="1"/>
  <c r="BQ535"/>
  <c r="AK535" s="1"/>
  <c r="BQ534"/>
  <c r="AK534" s="1"/>
  <c r="BQ533"/>
  <c r="AK533" s="1"/>
  <c r="BQ532"/>
  <c r="AK532" s="1"/>
  <c r="BQ531"/>
  <c r="AK531" s="1"/>
  <c r="BQ530"/>
  <c r="AK530" s="1"/>
  <c r="BQ529"/>
  <c r="AK529" s="1"/>
  <c r="BQ528"/>
  <c r="AK528" s="1"/>
  <c r="BQ527"/>
  <c r="AK527" s="1"/>
  <c r="BQ526"/>
  <c r="AQ519"/>
  <c r="BP514"/>
  <c r="BO514"/>
  <c r="BN514"/>
  <c r="BL514"/>
  <c r="BK514"/>
  <c r="BJ514"/>
  <c r="BI514"/>
  <c r="BH514"/>
  <c r="BG514"/>
  <c r="BF514"/>
  <c r="BE514"/>
  <c r="BD514"/>
  <c r="BC514"/>
  <c r="BB514"/>
  <c r="BA514"/>
  <c r="AZ514"/>
  <c r="AY514"/>
  <c r="AX514"/>
  <c r="AW514"/>
  <c r="AV514"/>
  <c r="AU514"/>
  <c r="AT514"/>
  <c r="AS514"/>
  <c r="AR514"/>
  <c r="AQ514"/>
  <c r="AP514"/>
  <c r="AO514"/>
  <c r="AN514"/>
  <c r="AM514"/>
  <c r="AL514"/>
  <c r="BQ513"/>
  <c r="AK513" s="1"/>
  <c r="BQ512"/>
  <c r="AK512" s="1"/>
  <c r="BQ511"/>
  <c r="AK511" s="1"/>
  <c r="BQ510"/>
  <c r="AK510" s="1"/>
  <c r="BQ509"/>
  <c r="AK509" s="1"/>
  <c r="BQ508"/>
  <c r="AK508" s="1"/>
  <c r="BQ507"/>
  <c r="AK507" s="1"/>
  <c r="BQ506"/>
  <c r="AK506" s="1"/>
  <c r="BQ505"/>
  <c r="AK505" s="1"/>
  <c r="BQ504"/>
  <c r="AK504" s="1"/>
  <c r="BQ503"/>
  <c r="AK503" s="1"/>
  <c r="BQ502"/>
  <c r="AK502" s="1"/>
  <c r="AU496"/>
  <c r="AQ496"/>
  <c r="AQ495"/>
  <c r="BP490"/>
  <c r="BO490"/>
  <c r="BN490"/>
  <c r="BL490"/>
  <c r="BK490"/>
  <c r="BJ490"/>
  <c r="BI490"/>
  <c r="BH490"/>
  <c r="BG490"/>
  <c r="BF490"/>
  <c r="BE490"/>
  <c r="BD490"/>
  <c r="BC490"/>
  <c r="BB490"/>
  <c r="BA490"/>
  <c r="AZ490"/>
  <c r="AY490"/>
  <c r="AX490"/>
  <c r="AW490"/>
  <c r="AV490"/>
  <c r="AU490"/>
  <c r="AT490"/>
  <c r="AS490"/>
  <c r="AR490"/>
  <c r="AQ490"/>
  <c r="AP490"/>
  <c r="AO490"/>
  <c r="AN490"/>
  <c r="AM490"/>
  <c r="AL490"/>
  <c r="BQ489"/>
  <c r="AK489" s="1"/>
  <c r="BQ488"/>
  <c r="AK488" s="1"/>
  <c r="BQ487"/>
  <c r="AK487" s="1"/>
  <c r="BQ486"/>
  <c r="AK486" s="1"/>
  <c r="BQ485"/>
  <c r="AK485" s="1"/>
  <c r="BQ484"/>
  <c r="AK484" s="1"/>
  <c r="BQ483"/>
  <c r="AK483" s="1"/>
  <c r="BQ482"/>
  <c r="AK482" s="1"/>
  <c r="BQ481"/>
  <c r="AK481" s="1"/>
  <c r="BQ480"/>
  <c r="AK480" s="1"/>
  <c r="BQ479"/>
  <c r="AK479" s="1"/>
  <c r="BQ478"/>
  <c r="AQ471"/>
  <c r="BP466"/>
  <c r="BO466"/>
  <c r="BN466"/>
  <c r="BL466"/>
  <c r="BK466"/>
  <c r="BJ466"/>
  <c r="BI466"/>
  <c r="BH466"/>
  <c r="BG466"/>
  <c r="BF466"/>
  <c r="BE466"/>
  <c r="BD466"/>
  <c r="BC466"/>
  <c r="BB466"/>
  <c r="BA466"/>
  <c r="AZ466"/>
  <c r="AY466"/>
  <c r="AX466"/>
  <c r="AW466"/>
  <c r="AV466"/>
  <c r="AU466"/>
  <c r="AT466"/>
  <c r="AS466"/>
  <c r="AR466"/>
  <c r="AQ466"/>
  <c r="AP466"/>
  <c r="AO466"/>
  <c r="AN466"/>
  <c r="AM466"/>
  <c r="AL466"/>
  <c r="BQ465"/>
  <c r="AK465" s="1"/>
  <c r="BQ464"/>
  <c r="AK464" s="1"/>
  <c r="BQ463"/>
  <c r="AK463" s="1"/>
  <c r="BQ462"/>
  <c r="AK462" s="1"/>
  <c r="BQ461"/>
  <c r="AK461" s="1"/>
  <c r="BQ460"/>
  <c r="AK460" s="1"/>
  <c r="BQ459"/>
  <c r="AK459" s="1"/>
  <c r="BQ458"/>
  <c r="AK458" s="1"/>
  <c r="BQ457"/>
  <c r="AK457" s="1"/>
  <c r="BQ456"/>
  <c r="AK456" s="1"/>
  <c r="BQ455"/>
  <c r="AK455" s="1"/>
  <c r="BQ454"/>
  <c r="AK454" s="1"/>
  <c r="AH130" i="32"/>
  <c r="K111" i="7380" l="1"/>
  <c r="K164"/>
  <c r="K163"/>
  <c r="AK514" i="60816"/>
  <c r="AR519" s="1"/>
  <c r="AT519" s="1"/>
  <c r="K139" i="7380"/>
  <c r="K73"/>
  <c r="K125"/>
  <c r="K168"/>
  <c r="BQ538" i="60816"/>
  <c r="BQ514"/>
  <c r="AK526"/>
  <c r="AK538" s="1"/>
  <c r="BQ466"/>
  <c r="AK466"/>
  <c r="AS471" s="1"/>
  <c r="AU471" s="1"/>
  <c r="BQ490"/>
  <c r="AK478"/>
  <c r="AK490" s="1"/>
  <c r="AS495" s="1"/>
  <c r="AU495" s="1"/>
  <c r="AS543" l="1"/>
  <c r="AR543"/>
  <c r="AT543" s="1"/>
  <c r="F56" i="60815"/>
  <c r="F38"/>
  <c r="F106" i="7380"/>
  <c r="K172" s="1"/>
  <c r="F82"/>
  <c r="F81"/>
  <c r="F79"/>
  <c r="F75"/>
  <c r="F71"/>
  <c r="F68"/>
  <c r="F67"/>
  <c r="F63"/>
  <c r="F56"/>
  <c r="F115" i="1792"/>
  <c r="L181" s="1"/>
  <c r="M181" s="1"/>
  <c r="F113"/>
  <c r="L179" s="1"/>
  <c r="M179" s="1"/>
  <c r="F102"/>
  <c r="L168" s="1"/>
  <c r="M168" s="1"/>
  <c r="F99"/>
  <c r="L165" s="1"/>
  <c r="M165" s="1"/>
  <c r="F78"/>
  <c r="L144" s="1"/>
  <c r="M144" s="1"/>
  <c r="F68"/>
  <c r="L134" s="1"/>
  <c r="M134" s="1"/>
  <c r="F66"/>
  <c r="L132" s="1"/>
  <c r="M132" s="1"/>
  <c r="F65"/>
  <c r="L131" s="1"/>
  <c r="M131" s="1"/>
  <c r="F64"/>
  <c r="L130" s="1"/>
  <c r="M130" s="1"/>
  <c r="K129" i="7380" l="1"/>
  <c r="K141"/>
  <c r="K122"/>
  <c r="K137"/>
  <c r="K148"/>
  <c r="K134"/>
  <c r="K147"/>
  <c r="K133"/>
  <c r="K67"/>
  <c r="K145"/>
  <c r="AR404" i="60816"/>
  <c r="F95" i="7380"/>
  <c r="F92"/>
  <c r="F74"/>
  <c r="F70"/>
  <c r="N139" i="60806"/>
  <c r="P139"/>
  <c r="V139"/>
  <c r="X139"/>
  <c r="Y139"/>
  <c r="B138"/>
  <c r="B144"/>
  <c r="B145"/>
  <c r="B146"/>
  <c r="B147"/>
  <c r="B148"/>
  <c r="AA139"/>
  <c r="E140"/>
  <c r="F140"/>
  <c r="K140"/>
  <c r="N140"/>
  <c r="O140"/>
  <c r="V141"/>
  <c r="H142"/>
  <c r="L142"/>
  <c r="I142"/>
  <c r="J142"/>
  <c r="O142"/>
  <c r="P142"/>
  <c r="S142"/>
  <c r="F73" i="60815"/>
  <c r="F87" i="7380"/>
  <c r="F65"/>
  <c r="F89" i="1792"/>
  <c r="L155" s="1"/>
  <c r="M155" s="1"/>
  <c r="Q143" i="60806"/>
  <c r="M143"/>
  <c r="K161" i="7380" l="1"/>
  <c r="K158"/>
  <c r="K153"/>
  <c r="K140"/>
  <c r="K131"/>
  <c r="K136"/>
  <c r="AH140" i="60806"/>
  <c r="B140" s="1"/>
  <c r="AH142"/>
  <c r="B142" s="1"/>
  <c r="AH139"/>
  <c r="B139" s="1"/>
  <c r="AH141"/>
  <c r="B141" s="1"/>
  <c r="J166" i="60816"/>
  <c r="I166"/>
  <c r="Y166"/>
  <c r="Z166"/>
  <c r="AE160"/>
  <c r="AD160"/>
  <c r="AA160"/>
  <c r="AE159"/>
  <c r="AD159"/>
  <c r="AA159"/>
  <c r="AE158"/>
  <c r="AD158"/>
  <c r="AA158"/>
  <c r="AQ448" l="1"/>
  <c r="AT448" s="1"/>
  <c r="AU448" s="1"/>
  <c r="AQ447"/>
  <c r="BP441"/>
  <c r="BO441"/>
  <c r="BN441"/>
  <c r="BL441"/>
  <c r="BK441"/>
  <c r="BJ441"/>
  <c r="BI441"/>
  <c r="BH441"/>
  <c r="BG441"/>
  <c r="BF441"/>
  <c r="BE441"/>
  <c r="BD441"/>
  <c r="BC441"/>
  <c r="BB441"/>
  <c r="BA441"/>
  <c r="AZ441"/>
  <c r="AY441"/>
  <c r="AX441"/>
  <c r="AW441"/>
  <c r="AV441"/>
  <c r="AU441"/>
  <c r="AT441"/>
  <c r="AS441"/>
  <c r="AR441"/>
  <c r="AQ441"/>
  <c r="AP441"/>
  <c r="AO441"/>
  <c r="AN441"/>
  <c r="AM441"/>
  <c r="AL441"/>
  <c r="AK440"/>
  <c r="AK439"/>
  <c r="AK438"/>
  <c r="AK437"/>
  <c r="AK436"/>
  <c r="AK435"/>
  <c r="AK434"/>
  <c r="AK433"/>
  <c r="AK432"/>
  <c r="AK431"/>
  <c r="AK430"/>
  <c r="AK429"/>
  <c r="BP424"/>
  <c r="BO424"/>
  <c r="BN424"/>
  <c r="BL424"/>
  <c r="BK424"/>
  <c r="BJ424"/>
  <c r="BI424"/>
  <c r="BH424"/>
  <c r="BG424"/>
  <c r="BF424"/>
  <c r="BE424"/>
  <c r="BD424"/>
  <c r="BC424"/>
  <c r="BB424"/>
  <c r="BA424"/>
  <c r="AZ424"/>
  <c r="AY424"/>
  <c r="AX424"/>
  <c r="AW424"/>
  <c r="AV424"/>
  <c r="AU424"/>
  <c r="AT424"/>
  <c r="AS424"/>
  <c r="AR424"/>
  <c r="AQ424"/>
  <c r="AP424"/>
  <c r="AO424"/>
  <c r="AN424"/>
  <c r="AM424"/>
  <c r="AL424"/>
  <c r="AK423"/>
  <c r="AK422"/>
  <c r="AK421"/>
  <c r="AK420"/>
  <c r="AK419"/>
  <c r="AK418"/>
  <c r="AK417"/>
  <c r="AK416"/>
  <c r="AK415"/>
  <c r="AK414"/>
  <c r="AK413"/>
  <c r="AK412"/>
  <c r="AP406"/>
  <c r="AN406"/>
  <c r="AQ406"/>
  <c r="AS406" s="1"/>
  <c r="F80" i="1792"/>
  <c r="L146" s="1"/>
  <c r="M146" s="1"/>
  <c r="L143" i="60806"/>
  <c r="H143"/>
  <c r="P106"/>
  <c r="V106"/>
  <c r="G107"/>
  <c r="O108"/>
  <c r="F108"/>
  <c r="K43"/>
  <c r="H43"/>
  <c r="V42"/>
  <c r="U42"/>
  <c r="T42"/>
  <c r="Q42"/>
  <c r="M42"/>
  <c r="J42"/>
  <c r="D42"/>
  <c r="AH143" l="1"/>
  <c r="B143" s="1"/>
  <c r="AK441" i="60816"/>
  <c r="AR447" s="1"/>
  <c r="AT447" s="1"/>
  <c r="AK424"/>
  <c r="AS447" s="1"/>
  <c r="AU447" s="1"/>
  <c r="AR406"/>
  <c r="AH28" i="1024"/>
  <c r="AH27"/>
  <c r="FR6" i="60819"/>
  <c r="EL6" s="1"/>
  <c r="AE157" i="60816"/>
  <c r="AD157"/>
  <c r="AA157"/>
  <c r="AE156"/>
  <c r="AD156"/>
  <c r="AA156"/>
  <c r="AE155"/>
  <c r="AD155"/>
  <c r="AA155"/>
  <c r="AE154"/>
  <c r="AD154"/>
  <c r="AA154"/>
  <c r="AE145"/>
  <c r="AD145"/>
  <c r="AA145"/>
  <c r="AE144"/>
  <c r="AD144"/>
  <c r="AA144"/>
  <c r="AE143"/>
  <c r="AD143"/>
  <c r="AA143"/>
  <c r="AE142"/>
  <c r="AD142"/>
  <c r="AE141"/>
  <c r="AD141"/>
  <c r="AA141"/>
  <c r="AE140"/>
  <c r="AD140"/>
  <c r="AA140"/>
  <c r="AE139"/>
  <c r="AD139"/>
  <c r="AA139"/>
  <c r="AE138"/>
  <c r="AD138"/>
  <c r="AA138"/>
  <c r="AE137"/>
  <c r="AD137"/>
  <c r="AA137"/>
  <c r="J162"/>
  <c r="J168"/>
  <c r="I168"/>
  <c r="I167"/>
  <c r="F58" i="1792"/>
  <c r="L124" s="1"/>
  <c r="F59"/>
  <c r="L125" s="1"/>
  <c r="M125" s="1"/>
  <c r="F61"/>
  <c r="L127" s="1"/>
  <c r="M127" s="1"/>
  <c r="F63"/>
  <c r="L129" s="1"/>
  <c r="M129" s="1"/>
  <c r="F69"/>
  <c r="L135" s="1"/>
  <c r="M135" s="1"/>
  <c r="F70"/>
  <c r="L136" s="1"/>
  <c r="M136" s="1"/>
  <c r="F72"/>
  <c r="L138" s="1"/>
  <c r="M138" s="1"/>
  <c r="F73"/>
  <c r="L139" s="1"/>
  <c r="M139" s="1"/>
  <c r="F74"/>
  <c r="L140" s="1"/>
  <c r="M140" s="1"/>
  <c r="F75"/>
  <c r="L141" s="1"/>
  <c r="M141" s="1"/>
  <c r="F76"/>
  <c r="L142" s="1"/>
  <c r="M142" s="1"/>
  <c r="F77"/>
  <c r="L143" s="1"/>
  <c r="M143" s="1"/>
  <c r="F79"/>
  <c r="L145" s="1"/>
  <c r="M145" s="1"/>
  <c r="F81"/>
  <c r="L147" s="1"/>
  <c r="M147" s="1"/>
  <c r="F82"/>
  <c r="L148" s="1"/>
  <c r="M148" s="1"/>
  <c r="F83"/>
  <c r="L149" s="1"/>
  <c r="M149" s="1"/>
  <c r="F84"/>
  <c r="L150" s="1"/>
  <c r="M150" s="1"/>
  <c r="F85"/>
  <c r="L151" s="1"/>
  <c r="M151" s="1"/>
  <c r="F86"/>
  <c r="L152" s="1"/>
  <c r="M152" s="1"/>
  <c r="F87"/>
  <c r="L153" s="1"/>
  <c r="M153" s="1"/>
  <c r="F88"/>
  <c r="L154" s="1"/>
  <c r="M154" s="1"/>
  <c r="F92"/>
  <c r="L158" s="1"/>
  <c r="M158" s="1"/>
  <c r="F93"/>
  <c r="L159" s="1"/>
  <c r="M159" s="1"/>
  <c r="F95"/>
  <c r="L161" s="1"/>
  <c r="M161" s="1"/>
  <c r="F96"/>
  <c r="L162" s="1"/>
  <c r="M162" s="1"/>
  <c r="F98"/>
  <c r="L164" s="1"/>
  <c r="M164" s="1"/>
  <c r="F100"/>
  <c r="L166" s="1"/>
  <c r="M166" s="1"/>
  <c r="F101"/>
  <c r="L167" s="1"/>
  <c r="M167" s="1"/>
  <c r="F104"/>
  <c r="L170" s="1"/>
  <c r="M170" s="1"/>
  <c r="F106"/>
  <c r="L172" s="1"/>
  <c r="M172" s="1"/>
  <c r="F107"/>
  <c r="L173" s="1"/>
  <c r="M173" s="1"/>
  <c r="F109"/>
  <c r="L175" s="1"/>
  <c r="M175" s="1"/>
  <c r="F110"/>
  <c r="L176" s="1"/>
  <c r="M176" s="1"/>
  <c r="F111"/>
  <c r="L177" s="1"/>
  <c r="M177" s="1"/>
  <c r="F112"/>
  <c r="L178" s="1"/>
  <c r="M178" s="1"/>
  <c r="F116"/>
  <c r="L182" s="1"/>
  <c r="M182" s="1"/>
  <c r="H491" i="60816"/>
  <c r="J491"/>
  <c r="L491" s="1"/>
  <c r="H492"/>
  <c r="K492" s="1"/>
  <c r="L492" s="1"/>
  <c r="H534"/>
  <c r="K534" s="1"/>
  <c r="L534" s="1"/>
  <c r="H533"/>
  <c r="AG529"/>
  <c r="AF529"/>
  <c r="AE529"/>
  <c r="AC529"/>
  <c r="AB529"/>
  <c r="AA529"/>
  <c r="Z529"/>
  <c r="Y529"/>
  <c r="X529"/>
  <c r="W529"/>
  <c r="V529"/>
  <c r="U529"/>
  <c r="T529"/>
  <c r="S529"/>
  <c r="R529"/>
  <c r="Q529"/>
  <c r="P529"/>
  <c r="O529"/>
  <c r="N529"/>
  <c r="M529"/>
  <c r="L529"/>
  <c r="K529"/>
  <c r="J529"/>
  <c r="I529"/>
  <c r="H529"/>
  <c r="G529"/>
  <c r="F529"/>
  <c r="E529"/>
  <c r="D529"/>
  <c r="C529"/>
  <c r="AH528"/>
  <c r="B528" s="1"/>
  <c r="AH527"/>
  <c r="B527" s="1"/>
  <c r="AH526"/>
  <c r="B526" s="1"/>
  <c r="AH525"/>
  <c r="B525" s="1"/>
  <c r="AH524"/>
  <c r="B524" s="1"/>
  <c r="AH523"/>
  <c r="B523" s="1"/>
  <c r="AH522"/>
  <c r="B522" s="1"/>
  <c r="AH521"/>
  <c r="B521" s="1"/>
  <c r="AH520"/>
  <c r="B520" s="1"/>
  <c r="AH519"/>
  <c r="B519" s="1"/>
  <c r="AH518"/>
  <c r="B518" s="1"/>
  <c r="AH517"/>
  <c r="AG510"/>
  <c r="AF510"/>
  <c r="AE510"/>
  <c r="AC510"/>
  <c r="AB510"/>
  <c r="AA510"/>
  <c r="Z510"/>
  <c r="Y510"/>
  <c r="X510"/>
  <c r="W510"/>
  <c r="V510"/>
  <c r="U510"/>
  <c r="T510"/>
  <c r="S510"/>
  <c r="R510"/>
  <c r="Q510"/>
  <c r="P510"/>
  <c r="O510"/>
  <c r="N510"/>
  <c r="M510"/>
  <c r="L510"/>
  <c r="K510"/>
  <c r="J510"/>
  <c r="I510"/>
  <c r="H510"/>
  <c r="G510"/>
  <c r="F510"/>
  <c r="E510"/>
  <c r="D510"/>
  <c r="C510"/>
  <c r="AH509"/>
  <c r="B509" s="1"/>
  <c r="AH508"/>
  <c r="B508" s="1"/>
  <c r="AH507"/>
  <c r="B507" s="1"/>
  <c r="AH506"/>
  <c r="B506" s="1"/>
  <c r="AH505"/>
  <c r="B505" s="1"/>
  <c r="AH504"/>
  <c r="B504" s="1"/>
  <c r="AH503"/>
  <c r="B503" s="1"/>
  <c r="AH502"/>
  <c r="B502" s="1"/>
  <c r="AH501"/>
  <c r="B501" s="1"/>
  <c r="AH500"/>
  <c r="B500" s="1"/>
  <c r="AH499"/>
  <c r="B499" s="1"/>
  <c r="AH498"/>
  <c r="M124" i="1792" l="1"/>
  <c r="M187" s="1"/>
  <c r="L187"/>
  <c r="AH510" i="60816"/>
  <c r="AH529"/>
  <c r="B498"/>
  <c r="B510" s="1"/>
  <c r="I533" s="1"/>
  <c r="K533" s="1"/>
  <c r="B517"/>
  <c r="B529" s="1"/>
  <c r="J533" s="1"/>
  <c r="L533" s="1"/>
  <c r="AQ392"/>
  <c r="AU393"/>
  <c r="AQ393"/>
  <c r="BP387"/>
  <c r="BO387"/>
  <c r="BN387"/>
  <c r="BL387"/>
  <c r="BK387"/>
  <c r="BJ387"/>
  <c r="BI387"/>
  <c r="BH387"/>
  <c r="BG387"/>
  <c r="BF387"/>
  <c r="BE387"/>
  <c r="BD387"/>
  <c r="BC387"/>
  <c r="BB387"/>
  <c r="BA387"/>
  <c r="AZ387"/>
  <c r="AY387"/>
  <c r="AX387"/>
  <c r="AW387"/>
  <c r="AV387"/>
  <c r="AU387"/>
  <c r="AT387"/>
  <c r="AS387"/>
  <c r="AR387"/>
  <c r="AQ387"/>
  <c r="AP387"/>
  <c r="AO387"/>
  <c r="AN387"/>
  <c r="AM387"/>
  <c r="AL387"/>
  <c r="BQ386"/>
  <c r="AK386" s="1"/>
  <c r="BQ385"/>
  <c r="AK385" s="1"/>
  <c r="BQ384"/>
  <c r="AK384" s="1"/>
  <c r="BQ383"/>
  <c r="AK383" s="1"/>
  <c r="BQ382"/>
  <c r="AK382" s="1"/>
  <c r="BQ381"/>
  <c r="AK381" s="1"/>
  <c r="BQ380"/>
  <c r="AK380" s="1"/>
  <c r="BQ379"/>
  <c r="AK379" s="1"/>
  <c r="BQ378"/>
  <c r="AK378" s="1"/>
  <c r="BQ377"/>
  <c r="AK377" s="1"/>
  <c r="BQ376"/>
  <c r="AK376" s="1"/>
  <c r="BQ375"/>
  <c r="BQ387" l="1"/>
  <c r="AK375"/>
  <c r="AK387" s="1"/>
  <c r="AR392" s="1"/>
  <c r="AU392" s="1"/>
  <c r="C73" i="60796" l="1"/>
  <c r="AH7" i="1024" l="1"/>
  <c r="AH8"/>
  <c r="AH9"/>
  <c r="AH10"/>
  <c r="AH11"/>
  <c r="AH12"/>
  <c r="F55" i="7380" l="1"/>
  <c r="K121" l="1"/>
  <c r="S548" i="2316"/>
  <c r="P548"/>
  <c r="F44" i="7380" l="1"/>
  <c r="K110" l="1"/>
  <c r="AP368" i="60816"/>
  <c r="AR368" s="1"/>
  <c r="AQ368"/>
  <c r="AS368" s="1"/>
  <c r="AQ340" l="1"/>
  <c r="AU340" s="1"/>
  <c r="AQ339"/>
  <c r="BP334"/>
  <c r="BO334"/>
  <c r="BN334"/>
  <c r="BL334"/>
  <c r="BK334"/>
  <c r="BJ334"/>
  <c r="BI334"/>
  <c r="BH334"/>
  <c r="BG334"/>
  <c r="BF334"/>
  <c r="BE334"/>
  <c r="BD334"/>
  <c r="BC334"/>
  <c r="BB334"/>
  <c r="BA334"/>
  <c r="AZ334"/>
  <c r="AY334"/>
  <c r="AX334"/>
  <c r="AW334"/>
  <c r="AV334"/>
  <c r="AU334"/>
  <c r="AT334"/>
  <c r="AS334"/>
  <c r="AR334"/>
  <c r="AQ334"/>
  <c r="AP334"/>
  <c r="AO334"/>
  <c r="AN334"/>
  <c r="AM334"/>
  <c r="AL334"/>
  <c r="BQ333"/>
  <c r="AK333" s="1"/>
  <c r="BQ332"/>
  <c r="AK332" s="1"/>
  <c r="BQ331"/>
  <c r="AK331" s="1"/>
  <c r="BQ330"/>
  <c r="AK330" s="1"/>
  <c r="BQ329"/>
  <c r="AK329" s="1"/>
  <c r="BQ328"/>
  <c r="AK328" s="1"/>
  <c r="BQ327"/>
  <c r="AK327" s="1"/>
  <c r="BQ326"/>
  <c r="AK326" s="1"/>
  <c r="BQ325"/>
  <c r="AK325" s="1"/>
  <c r="BQ324"/>
  <c r="AK324" s="1"/>
  <c r="BQ323"/>
  <c r="AK323" s="1"/>
  <c r="BQ322"/>
  <c r="BQ334" l="1"/>
  <c r="AK322"/>
  <c r="AK334" s="1"/>
  <c r="AS339" s="1"/>
  <c r="AU339" s="1"/>
  <c r="AF276" l="1"/>
  <c r="AF277"/>
  <c r="AF278"/>
  <c r="AF279"/>
  <c r="AF280"/>
  <c r="AF281"/>
  <c r="AF282"/>
  <c r="AF283"/>
  <c r="AF284"/>
  <c r="AF285"/>
  <c r="AF286"/>
  <c r="AF287"/>
  <c r="AF288"/>
  <c r="AF289"/>
  <c r="AF290"/>
  <c r="AF291"/>
  <c r="AF292"/>
  <c r="AF293"/>
  <c r="AF294"/>
  <c r="AE277"/>
  <c r="AE278"/>
  <c r="AE279"/>
  <c r="AE280"/>
  <c r="AE281"/>
  <c r="AE282"/>
  <c r="AE283"/>
  <c r="AE284"/>
  <c r="AE285"/>
  <c r="AE286"/>
  <c r="AE287"/>
  <c r="AE288"/>
  <c r="AE289"/>
  <c r="AE290"/>
  <c r="AE291"/>
  <c r="AE292"/>
  <c r="AE293"/>
  <c r="AE294"/>
  <c r="AE276"/>
  <c r="AC295"/>
  <c r="AD295"/>
  <c r="AB295"/>
  <c r="AA295"/>
  <c r="AE295" l="1"/>
  <c r="AF295"/>
  <c r="AQ316"/>
  <c r="AT316" s="1"/>
  <c r="AU316" s="1"/>
  <c r="AT315"/>
  <c r="AQ315"/>
  <c r="BP310"/>
  <c r="BO310"/>
  <c r="BN310"/>
  <c r="BL310"/>
  <c r="BK310"/>
  <c r="BJ310"/>
  <c r="BI310"/>
  <c r="BH310"/>
  <c r="BG310"/>
  <c r="BF310"/>
  <c r="BE310"/>
  <c r="BD310"/>
  <c r="BC310"/>
  <c r="BB310"/>
  <c r="BA310"/>
  <c r="AZ310"/>
  <c r="AY310"/>
  <c r="AX310"/>
  <c r="AW310"/>
  <c r="AV310"/>
  <c r="AU310"/>
  <c r="AT310"/>
  <c r="AS310"/>
  <c r="AR310"/>
  <c r="AQ310"/>
  <c r="AP310"/>
  <c r="AO310"/>
  <c r="AN310"/>
  <c r="AM310"/>
  <c r="AL310"/>
  <c r="BQ309"/>
  <c r="AK309" s="1"/>
  <c r="BQ308"/>
  <c r="AK308" s="1"/>
  <c r="BQ307"/>
  <c r="AK307" s="1"/>
  <c r="BQ306"/>
  <c r="AK306" s="1"/>
  <c r="BQ305"/>
  <c r="AK305" s="1"/>
  <c r="BQ304"/>
  <c r="AK304" s="1"/>
  <c r="BQ303"/>
  <c r="AK303" s="1"/>
  <c r="BQ302"/>
  <c r="AK302" s="1"/>
  <c r="BQ301"/>
  <c r="AK301" s="1"/>
  <c r="BQ300"/>
  <c r="AK300" s="1"/>
  <c r="BQ299"/>
  <c r="AK299" s="1"/>
  <c r="BQ298"/>
  <c r="AQ291"/>
  <c r="AQ290"/>
  <c r="AQ289"/>
  <c r="BP284"/>
  <c r="BO284"/>
  <c r="BN284"/>
  <c r="BL284"/>
  <c r="BK284"/>
  <c r="BJ284"/>
  <c r="BI284"/>
  <c r="BH284"/>
  <c r="BG284"/>
  <c r="BF284"/>
  <c r="BE284"/>
  <c r="BD284"/>
  <c r="BC284"/>
  <c r="BB284"/>
  <c r="BA284"/>
  <c r="AZ284"/>
  <c r="AY284"/>
  <c r="AX284"/>
  <c r="AW284"/>
  <c r="AV284"/>
  <c r="AU284"/>
  <c r="AT284"/>
  <c r="AS284"/>
  <c r="AR284"/>
  <c r="AQ284"/>
  <c r="AP284"/>
  <c r="AO284"/>
  <c r="AN284"/>
  <c r="AM284"/>
  <c r="AL284"/>
  <c r="BQ283"/>
  <c r="AK283" s="1"/>
  <c r="BQ282"/>
  <c r="AK282" s="1"/>
  <c r="BQ281"/>
  <c r="AK281" s="1"/>
  <c r="BQ280"/>
  <c r="AK280" s="1"/>
  <c r="BQ279"/>
  <c r="AK279" s="1"/>
  <c r="BQ278"/>
  <c r="AK278" s="1"/>
  <c r="BQ277"/>
  <c r="AK277" s="1"/>
  <c r="BQ276"/>
  <c r="AK276" s="1"/>
  <c r="BQ275"/>
  <c r="AK275" s="1"/>
  <c r="BQ274"/>
  <c r="AK274" s="1"/>
  <c r="BQ273"/>
  <c r="AK273" s="1"/>
  <c r="BQ272"/>
  <c r="AK272" s="1"/>
  <c r="BP265"/>
  <c r="BO265"/>
  <c r="BN265"/>
  <c r="BL265"/>
  <c r="BK265"/>
  <c r="BJ265"/>
  <c r="BI265"/>
  <c r="BH265"/>
  <c r="BG265"/>
  <c r="BF265"/>
  <c r="BE265"/>
  <c r="BD265"/>
  <c r="BC265"/>
  <c r="BB265"/>
  <c r="BA265"/>
  <c r="AZ265"/>
  <c r="AY265"/>
  <c r="AX265"/>
  <c r="AW265"/>
  <c r="AV265"/>
  <c r="AU265"/>
  <c r="AT265"/>
  <c r="AS265"/>
  <c r="AR265"/>
  <c r="AQ265"/>
  <c r="AP265"/>
  <c r="AO265"/>
  <c r="AN265"/>
  <c r="AM265"/>
  <c r="AL265"/>
  <c r="BQ264"/>
  <c r="AK264" s="1"/>
  <c r="BQ263"/>
  <c r="AK263" s="1"/>
  <c r="BQ262"/>
  <c r="AK262" s="1"/>
  <c r="BQ261"/>
  <c r="AK261" s="1"/>
  <c r="BQ260"/>
  <c r="AK260" s="1"/>
  <c r="BQ259"/>
  <c r="AK259" s="1"/>
  <c r="BQ258"/>
  <c r="AK258" s="1"/>
  <c r="BQ257"/>
  <c r="AK257" s="1"/>
  <c r="BQ256"/>
  <c r="AK256" s="1"/>
  <c r="BQ255"/>
  <c r="AK255" s="1"/>
  <c r="BQ254"/>
  <c r="AK254" s="1"/>
  <c r="BQ253"/>
  <c r="BQ310" l="1"/>
  <c r="AK298"/>
  <c r="AK310" s="1"/>
  <c r="AS315" s="1"/>
  <c r="AU315" s="1"/>
  <c r="BQ284"/>
  <c r="AK284"/>
  <c r="AS290" s="1"/>
  <c r="BQ265"/>
  <c r="AK253"/>
  <c r="AK265" s="1"/>
  <c r="AS289" s="1"/>
  <c r="AS291" l="1"/>
  <c r="AU291" s="1"/>
  <c r="H428"/>
  <c r="L428" s="1"/>
  <c r="H427"/>
  <c r="AG422"/>
  <c r="AF422"/>
  <c r="AE422"/>
  <c r="AC422"/>
  <c r="AB422"/>
  <c r="AA422"/>
  <c r="Z422"/>
  <c r="Y422"/>
  <c r="X422"/>
  <c r="W422"/>
  <c r="V422"/>
  <c r="U422"/>
  <c r="T422"/>
  <c r="S422"/>
  <c r="R422"/>
  <c r="Q422"/>
  <c r="P422"/>
  <c r="O422"/>
  <c r="N422"/>
  <c r="M422"/>
  <c r="L422"/>
  <c r="K422"/>
  <c r="J422"/>
  <c r="I422"/>
  <c r="H422"/>
  <c r="G422"/>
  <c r="F422"/>
  <c r="E422"/>
  <c r="D422"/>
  <c r="C422"/>
  <c r="AH421"/>
  <c r="B421" s="1"/>
  <c r="AH420"/>
  <c r="B420" s="1"/>
  <c r="AH419"/>
  <c r="B419" s="1"/>
  <c r="AH418"/>
  <c r="B418" s="1"/>
  <c r="AH417"/>
  <c r="B417" s="1"/>
  <c r="AH416"/>
  <c r="B416" s="1"/>
  <c r="AH415"/>
  <c r="B415" s="1"/>
  <c r="AH414"/>
  <c r="B414" s="1"/>
  <c r="AH413"/>
  <c r="B413" s="1"/>
  <c r="AH412"/>
  <c r="B412" s="1"/>
  <c r="AH411"/>
  <c r="B411" s="1"/>
  <c r="AH410"/>
  <c r="H356"/>
  <c r="K356" s="1"/>
  <c r="L356" s="1"/>
  <c r="K355"/>
  <c r="H355"/>
  <c r="AG350"/>
  <c r="AF350"/>
  <c r="AE350"/>
  <c r="AC350"/>
  <c r="AB350"/>
  <c r="AA350"/>
  <c r="Z350"/>
  <c r="Y350"/>
  <c r="X350"/>
  <c r="W350"/>
  <c r="V350"/>
  <c r="U350"/>
  <c r="T350"/>
  <c r="S350"/>
  <c r="R350"/>
  <c r="Q350"/>
  <c r="P350"/>
  <c r="O350"/>
  <c r="N350"/>
  <c r="M350"/>
  <c r="L350"/>
  <c r="K350"/>
  <c r="J350"/>
  <c r="I350"/>
  <c r="H350"/>
  <c r="G350"/>
  <c r="F350"/>
  <c r="E350"/>
  <c r="D350"/>
  <c r="C350"/>
  <c r="AH349"/>
  <c r="B349" s="1"/>
  <c r="AH348"/>
  <c r="B348" s="1"/>
  <c r="AH347"/>
  <c r="B347" s="1"/>
  <c r="AH346"/>
  <c r="B346" s="1"/>
  <c r="AH345"/>
  <c r="B345" s="1"/>
  <c r="AH344"/>
  <c r="B344" s="1"/>
  <c r="AH343"/>
  <c r="B343" s="1"/>
  <c r="AH342"/>
  <c r="B342" s="1"/>
  <c r="AH341"/>
  <c r="B341" s="1"/>
  <c r="AH340"/>
  <c r="B340" s="1"/>
  <c r="AH339"/>
  <c r="B339" s="1"/>
  <c r="AH338"/>
  <c r="AQ245"/>
  <c r="AT245" s="1"/>
  <c r="AU245" s="1"/>
  <c r="AQ244"/>
  <c r="BP239"/>
  <c r="BO239"/>
  <c r="BN239"/>
  <c r="BL239"/>
  <c r="BK239"/>
  <c r="BJ239"/>
  <c r="BI239"/>
  <c r="BH239"/>
  <c r="BG239"/>
  <c r="BF239"/>
  <c r="BE239"/>
  <c r="BD239"/>
  <c r="BC239"/>
  <c r="BB239"/>
  <c r="BA239"/>
  <c r="AY239"/>
  <c r="AX239"/>
  <c r="AW239"/>
  <c r="AV239"/>
  <c r="AU239"/>
  <c r="AT239"/>
  <c r="AS239"/>
  <c r="AR239"/>
  <c r="AQ239"/>
  <c r="AP239"/>
  <c r="AO239"/>
  <c r="AN239"/>
  <c r="AM239"/>
  <c r="AL239"/>
  <c r="BQ238"/>
  <c r="AK238" s="1"/>
  <c r="BQ237"/>
  <c r="AK237" s="1"/>
  <c r="BQ236"/>
  <c r="AK236" s="1"/>
  <c r="BQ235"/>
  <c r="AK235" s="1"/>
  <c r="BQ234"/>
  <c r="AK234" s="1"/>
  <c r="BQ233"/>
  <c r="AK233" s="1"/>
  <c r="BQ232"/>
  <c r="AK232" s="1"/>
  <c r="BQ231"/>
  <c r="AK231" s="1"/>
  <c r="BQ230"/>
  <c r="AK230" s="1"/>
  <c r="BQ229"/>
  <c r="AK229" s="1"/>
  <c r="BQ228"/>
  <c r="AK228" s="1"/>
  <c r="BQ227"/>
  <c r="AK227" s="1"/>
  <c r="BP222"/>
  <c r="BO222"/>
  <c r="BN222"/>
  <c r="BL222"/>
  <c r="BK222"/>
  <c r="BJ222"/>
  <c r="BI222"/>
  <c r="BH222"/>
  <c r="BG222"/>
  <c r="BF222"/>
  <c r="BE222"/>
  <c r="BD222"/>
  <c r="BC222"/>
  <c r="BB222"/>
  <c r="BA222"/>
  <c r="AZ222"/>
  <c r="AY222"/>
  <c r="AX222"/>
  <c r="AW222"/>
  <c r="AV222"/>
  <c r="AU222"/>
  <c r="AT222"/>
  <c r="AS222"/>
  <c r="AR222"/>
  <c r="AQ222"/>
  <c r="AP222"/>
  <c r="AO222"/>
  <c r="AN222"/>
  <c r="AM222"/>
  <c r="AL222"/>
  <c r="BQ221"/>
  <c r="AK221" s="1"/>
  <c r="BQ220"/>
  <c r="AK220" s="1"/>
  <c r="BQ219"/>
  <c r="AK219" s="1"/>
  <c r="BQ218"/>
  <c r="AK218" s="1"/>
  <c r="BQ217"/>
  <c r="AK217" s="1"/>
  <c r="BQ216"/>
  <c r="AK216" s="1"/>
  <c r="BQ215"/>
  <c r="AK215" s="1"/>
  <c r="BQ214"/>
  <c r="AK214" s="1"/>
  <c r="BQ213"/>
  <c r="AK213" s="1"/>
  <c r="BQ212"/>
  <c r="AK212" s="1"/>
  <c r="BQ211"/>
  <c r="AK211" s="1"/>
  <c r="BQ210"/>
  <c r="AK210" s="1"/>
  <c r="AQ204"/>
  <c r="AT204" s="1"/>
  <c r="AU204" s="1"/>
  <c r="AQ203"/>
  <c r="BP198"/>
  <c r="BO198"/>
  <c r="BN198"/>
  <c r="BL198"/>
  <c r="BK198"/>
  <c r="BJ198"/>
  <c r="BI198"/>
  <c r="BH198"/>
  <c r="BG198"/>
  <c r="BF198"/>
  <c r="BE198"/>
  <c r="BD198"/>
  <c r="BC198"/>
  <c r="BB198"/>
  <c r="BA198"/>
  <c r="AZ198"/>
  <c r="AY198"/>
  <c r="AX198"/>
  <c r="AW198"/>
  <c r="AV198"/>
  <c r="AU198"/>
  <c r="AT198"/>
  <c r="AS198"/>
  <c r="AR198"/>
  <c r="AQ198"/>
  <c r="AP198"/>
  <c r="AO198"/>
  <c r="AN198"/>
  <c r="AM198"/>
  <c r="AL198"/>
  <c r="BQ197"/>
  <c r="AK197" s="1"/>
  <c r="BQ196"/>
  <c r="AK196" s="1"/>
  <c r="BQ195"/>
  <c r="AK195" s="1"/>
  <c r="BQ194"/>
  <c r="AK194" s="1"/>
  <c r="BQ193"/>
  <c r="AK193" s="1"/>
  <c r="BQ192"/>
  <c r="AK192" s="1"/>
  <c r="BQ191"/>
  <c r="AK191" s="1"/>
  <c r="BQ190"/>
  <c r="AK190" s="1"/>
  <c r="BQ189"/>
  <c r="AK189" s="1"/>
  <c r="BQ188"/>
  <c r="AK188" s="1"/>
  <c r="BQ187"/>
  <c r="AK187" s="1"/>
  <c r="BQ186"/>
  <c r="AK186" s="1"/>
  <c r="BP181"/>
  <c r="BO181"/>
  <c r="BN181"/>
  <c r="BL181"/>
  <c r="BK181"/>
  <c r="BJ181"/>
  <c r="BI181"/>
  <c r="BH181"/>
  <c r="BG181"/>
  <c r="BF181"/>
  <c r="BE181"/>
  <c r="BD181"/>
  <c r="BC181"/>
  <c r="BB181"/>
  <c r="BA181"/>
  <c r="AZ181"/>
  <c r="AY181"/>
  <c r="AX181"/>
  <c r="AW181"/>
  <c r="AV181"/>
  <c r="AU181"/>
  <c r="AT181"/>
  <c r="AS181"/>
  <c r="AR181"/>
  <c r="AQ181"/>
  <c r="AP181"/>
  <c r="AO181"/>
  <c r="AN181"/>
  <c r="AM181"/>
  <c r="AL181"/>
  <c r="BQ180"/>
  <c r="AK180" s="1"/>
  <c r="BQ179"/>
  <c r="AK179" s="1"/>
  <c r="BQ178"/>
  <c r="AK178" s="1"/>
  <c r="BQ177"/>
  <c r="AK177" s="1"/>
  <c r="BQ176"/>
  <c r="AK176" s="1"/>
  <c r="BQ175"/>
  <c r="AK175" s="1"/>
  <c r="BQ174"/>
  <c r="AK174" s="1"/>
  <c r="BQ173"/>
  <c r="AK173" s="1"/>
  <c r="BQ172"/>
  <c r="AK172" s="1"/>
  <c r="BQ171"/>
  <c r="AK171" s="1"/>
  <c r="BQ170"/>
  <c r="AK170" s="1"/>
  <c r="BQ169"/>
  <c r="AK169" s="1"/>
  <c r="AQ163"/>
  <c r="AT163" s="1"/>
  <c r="AU163" s="1"/>
  <c r="AQ162"/>
  <c r="BP157"/>
  <c r="BO157"/>
  <c r="BN157"/>
  <c r="BL157"/>
  <c r="BK157"/>
  <c r="BJ157"/>
  <c r="BI157"/>
  <c r="BH157"/>
  <c r="BG157"/>
  <c r="BF157"/>
  <c r="BE157"/>
  <c r="BD157"/>
  <c r="BC157"/>
  <c r="BB157"/>
  <c r="BA157"/>
  <c r="AZ157"/>
  <c r="AY157"/>
  <c r="AX157"/>
  <c r="AW157"/>
  <c r="AV157"/>
  <c r="AU157"/>
  <c r="AT157"/>
  <c r="AS157"/>
  <c r="AR157"/>
  <c r="AQ157"/>
  <c r="AP157"/>
  <c r="AO157"/>
  <c r="AN157"/>
  <c r="AM157"/>
  <c r="AL157"/>
  <c r="BQ156"/>
  <c r="AK156" s="1"/>
  <c r="BQ155"/>
  <c r="AK155" s="1"/>
  <c r="BQ154"/>
  <c r="AK154" s="1"/>
  <c r="BQ153"/>
  <c r="AK153" s="1"/>
  <c r="BQ152"/>
  <c r="AK152" s="1"/>
  <c r="BQ151"/>
  <c r="AK151" s="1"/>
  <c r="BQ150"/>
  <c r="AK150" s="1"/>
  <c r="BQ149"/>
  <c r="AK149" s="1"/>
  <c r="BQ148"/>
  <c r="AK148" s="1"/>
  <c r="BQ147"/>
  <c r="AK147" s="1"/>
  <c r="BQ146"/>
  <c r="AK146" s="1"/>
  <c r="BQ145"/>
  <c r="AK145" s="1"/>
  <c r="BP140"/>
  <c r="BO140"/>
  <c r="BN140"/>
  <c r="BL140"/>
  <c r="BK140"/>
  <c r="BJ140"/>
  <c r="BI140"/>
  <c r="BH140"/>
  <c r="BG140"/>
  <c r="BF140"/>
  <c r="BE140"/>
  <c r="BD140"/>
  <c r="BC140"/>
  <c r="BB140"/>
  <c r="BA140"/>
  <c r="AZ140"/>
  <c r="AY140"/>
  <c r="AX140"/>
  <c r="AW140"/>
  <c r="AV140"/>
  <c r="AU140"/>
  <c r="AT140"/>
  <c r="AS140"/>
  <c r="AR140"/>
  <c r="AQ140"/>
  <c r="AP140"/>
  <c r="AO140"/>
  <c r="AN140"/>
  <c r="AM140"/>
  <c r="AL140"/>
  <c r="BQ139"/>
  <c r="AK139" s="1"/>
  <c r="BQ138"/>
  <c r="AK138" s="1"/>
  <c r="BQ137"/>
  <c r="AK137" s="1"/>
  <c r="BQ136"/>
  <c r="AK136" s="1"/>
  <c r="BQ135"/>
  <c r="AK135" s="1"/>
  <c r="BQ134"/>
  <c r="AK134" s="1"/>
  <c r="BQ133"/>
  <c r="AK133" s="1"/>
  <c r="BQ132"/>
  <c r="AK132" s="1"/>
  <c r="BQ131"/>
  <c r="AK131" s="1"/>
  <c r="BQ130"/>
  <c r="AK130" s="1"/>
  <c r="BQ129"/>
  <c r="AK129" s="1"/>
  <c r="BQ128"/>
  <c r="AK128" s="1"/>
  <c r="AQ122"/>
  <c r="AT122" s="1"/>
  <c r="AU122" s="1"/>
  <c r="AQ121"/>
  <c r="BP116"/>
  <c r="BO116"/>
  <c r="BN116"/>
  <c r="BL116"/>
  <c r="BK116"/>
  <c r="BJ116"/>
  <c r="BI116"/>
  <c r="BH116"/>
  <c r="BG116"/>
  <c r="BF116"/>
  <c r="BE116"/>
  <c r="BD116"/>
  <c r="BC116"/>
  <c r="BB116"/>
  <c r="BA116"/>
  <c r="AZ116"/>
  <c r="AY116"/>
  <c r="AX116"/>
  <c r="AW116"/>
  <c r="AV116"/>
  <c r="AU116"/>
  <c r="AT116"/>
  <c r="AS116"/>
  <c r="AR116"/>
  <c r="AQ116"/>
  <c r="AP116"/>
  <c r="AO116"/>
  <c r="AN116"/>
  <c r="AM116"/>
  <c r="AL116"/>
  <c r="BQ115"/>
  <c r="AK115" s="1"/>
  <c r="BQ114"/>
  <c r="AK114" s="1"/>
  <c r="BQ113"/>
  <c r="AK113" s="1"/>
  <c r="BQ112"/>
  <c r="AK112" s="1"/>
  <c r="BQ111"/>
  <c r="AK111" s="1"/>
  <c r="BQ110"/>
  <c r="AK110" s="1"/>
  <c r="BQ109"/>
  <c r="AK109" s="1"/>
  <c r="BQ108"/>
  <c r="AK108" s="1"/>
  <c r="BQ107"/>
  <c r="AK107" s="1"/>
  <c r="BQ106"/>
  <c r="AK106" s="1"/>
  <c r="BQ105"/>
  <c r="AK105" s="1"/>
  <c r="BQ104"/>
  <c r="AK104" s="1"/>
  <c r="BP99"/>
  <c r="BO99"/>
  <c r="BN99"/>
  <c r="BL99"/>
  <c r="BK99"/>
  <c r="BJ99"/>
  <c r="BI99"/>
  <c r="BH99"/>
  <c r="BG99"/>
  <c r="BF99"/>
  <c r="BE99"/>
  <c r="BD99"/>
  <c r="BC99"/>
  <c r="BB99"/>
  <c r="BA99"/>
  <c r="AZ99"/>
  <c r="AY99"/>
  <c r="AX99"/>
  <c r="AW99"/>
  <c r="AV99"/>
  <c r="AU99"/>
  <c r="AT99"/>
  <c r="AS99"/>
  <c r="AR99"/>
  <c r="AQ99"/>
  <c r="AP99"/>
  <c r="AO99"/>
  <c r="AN99"/>
  <c r="AM99"/>
  <c r="AL99"/>
  <c r="BQ98"/>
  <c r="AK98" s="1"/>
  <c r="BQ97"/>
  <c r="AK97" s="1"/>
  <c r="BQ96"/>
  <c r="AK96" s="1"/>
  <c r="BQ95"/>
  <c r="AK95" s="1"/>
  <c r="BQ94"/>
  <c r="AK94" s="1"/>
  <c r="BQ93"/>
  <c r="AK93" s="1"/>
  <c r="BQ92"/>
  <c r="AK92" s="1"/>
  <c r="BQ91"/>
  <c r="AK91" s="1"/>
  <c r="BQ90"/>
  <c r="AK90" s="1"/>
  <c r="BQ89"/>
  <c r="AK89" s="1"/>
  <c r="BQ88"/>
  <c r="AK88" s="1"/>
  <c r="BQ87"/>
  <c r="AK87" s="1"/>
  <c r="AQ81"/>
  <c r="AT81" s="1"/>
  <c r="AU81" s="1"/>
  <c r="AQ80"/>
  <c r="BP75"/>
  <c r="BO75"/>
  <c r="BN75"/>
  <c r="BL75"/>
  <c r="BK75"/>
  <c r="BJ75"/>
  <c r="BI75"/>
  <c r="BH75"/>
  <c r="BG75"/>
  <c r="BF75"/>
  <c r="BE75"/>
  <c r="BD75"/>
  <c r="BC75"/>
  <c r="BB75"/>
  <c r="BA75"/>
  <c r="AZ75"/>
  <c r="AY75"/>
  <c r="AX75"/>
  <c r="AW75"/>
  <c r="AV75"/>
  <c r="AU75"/>
  <c r="AT75"/>
  <c r="AS75"/>
  <c r="AR75"/>
  <c r="AQ75"/>
  <c r="AP75"/>
  <c r="AO75"/>
  <c r="AN75"/>
  <c r="AM75"/>
  <c r="AL75"/>
  <c r="BQ74"/>
  <c r="AK74" s="1"/>
  <c r="BQ73"/>
  <c r="AK73" s="1"/>
  <c r="BQ72"/>
  <c r="AK72" s="1"/>
  <c r="BQ71"/>
  <c r="AK71" s="1"/>
  <c r="BQ70"/>
  <c r="AK70" s="1"/>
  <c r="BQ69"/>
  <c r="AK69" s="1"/>
  <c r="BQ68"/>
  <c r="AK68" s="1"/>
  <c r="BQ67"/>
  <c r="AK67" s="1"/>
  <c r="BQ66"/>
  <c r="AK66" s="1"/>
  <c r="BQ65"/>
  <c r="AK65" s="1"/>
  <c r="BQ64"/>
  <c r="AK64" s="1"/>
  <c r="BQ63"/>
  <c r="AK63" s="1"/>
  <c r="BP58"/>
  <c r="BO58"/>
  <c r="BN58"/>
  <c r="BL58"/>
  <c r="BK58"/>
  <c r="BJ58"/>
  <c r="BI58"/>
  <c r="BH58"/>
  <c r="BG58"/>
  <c r="BF58"/>
  <c r="BE58"/>
  <c r="BD58"/>
  <c r="BC58"/>
  <c r="BB58"/>
  <c r="BA58"/>
  <c r="AZ58"/>
  <c r="AY58"/>
  <c r="AX58"/>
  <c r="AW58"/>
  <c r="AV58"/>
  <c r="AU58"/>
  <c r="AT58"/>
  <c r="AS58"/>
  <c r="AR58"/>
  <c r="AQ58"/>
  <c r="AP58"/>
  <c r="AO58"/>
  <c r="AN58"/>
  <c r="AM58"/>
  <c r="AL58"/>
  <c r="BQ57"/>
  <c r="AK57" s="1"/>
  <c r="BQ56"/>
  <c r="AK56" s="1"/>
  <c r="BQ55"/>
  <c r="AK55" s="1"/>
  <c r="BQ54"/>
  <c r="AK54" s="1"/>
  <c r="BQ53"/>
  <c r="AK53" s="1"/>
  <c r="BQ52"/>
  <c r="AK52" s="1"/>
  <c r="BQ51"/>
  <c r="AK51" s="1"/>
  <c r="BQ50"/>
  <c r="AK50" s="1"/>
  <c r="BQ49"/>
  <c r="AK49" s="1"/>
  <c r="BQ48"/>
  <c r="AK48" s="1"/>
  <c r="BQ47"/>
  <c r="AK47" s="1"/>
  <c r="BQ46"/>
  <c r="AK46" s="1"/>
  <c r="AQ40"/>
  <c r="AT40" s="1"/>
  <c r="AU40" s="1"/>
  <c r="AQ39"/>
  <c r="BP34"/>
  <c r="BO34"/>
  <c r="BN34"/>
  <c r="BL34"/>
  <c r="BK34"/>
  <c r="BJ34"/>
  <c r="BI34"/>
  <c r="BH34"/>
  <c r="BG34"/>
  <c r="BF34"/>
  <c r="BE34"/>
  <c r="BD34"/>
  <c r="BC34"/>
  <c r="BB34"/>
  <c r="BA34"/>
  <c r="AZ34"/>
  <c r="AY34"/>
  <c r="AX34"/>
  <c r="AW34"/>
  <c r="AV34"/>
  <c r="AU34"/>
  <c r="AT34"/>
  <c r="AS34"/>
  <c r="AR34"/>
  <c r="AQ34"/>
  <c r="AP34"/>
  <c r="AO34"/>
  <c r="AN34"/>
  <c r="AM34"/>
  <c r="AL34"/>
  <c r="BQ33"/>
  <c r="AK33" s="1"/>
  <c r="BQ32"/>
  <c r="AK32" s="1"/>
  <c r="BQ31"/>
  <c r="AK31" s="1"/>
  <c r="BQ30"/>
  <c r="AK30" s="1"/>
  <c r="BQ29"/>
  <c r="AK29" s="1"/>
  <c r="BQ28"/>
  <c r="AK28" s="1"/>
  <c r="BQ27"/>
  <c r="AK27" s="1"/>
  <c r="BQ26"/>
  <c r="AK26" s="1"/>
  <c r="BQ25"/>
  <c r="AK25" s="1"/>
  <c r="BQ24"/>
  <c r="AK24" s="1"/>
  <c r="BQ23"/>
  <c r="AK23" s="1"/>
  <c r="BQ22"/>
  <c r="BP17"/>
  <c r="BO17"/>
  <c r="BN17"/>
  <c r="BL17"/>
  <c r="BK17"/>
  <c r="BJ17"/>
  <c r="BI17"/>
  <c r="BH17"/>
  <c r="BG17"/>
  <c r="BF17"/>
  <c r="BE17"/>
  <c r="BD17"/>
  <c r="BC17"/>
  <c r="BB17"/>
  <c r="BA17"/>
  <c r="AZ17"/>
  <c r="AY17"/>
  <c r="AX17"/>
  <c r="AW17"/>
  <c r="AV17"/>
  <c r="AU17"/>
  <c r="AT17"/>
  <c r="AS17"/>
  <c r="AR17"/>
  <c r="AQ17"/>
  <c r="AP17"/>
  <c r="AO17"/>
  <c r="AN17"/>
  <c r="AM17"/>
  <c r="AL17"/>
  <c r="BQ16"/>
  <c r="AK16" s="1"/>
  <c r="BQ15"/>
  <c r="AK15" s="1"/>
  <c r="BQ14"/>
  <c r="AK14" s="1"/>
  <c r="BQ13"/>
  <c r="AK13" s="1"/>
  <c r="BQ12"/>
  <c r="AK12" s="1"/>
  <c r="BQ11"/>
  <c r="AK11" s="1"/>
  <c r="BQ10"/>
  <c r="AK10" s="1"/>
  <c r="BQ9"/>
  <c r="AK9" s="1"/>
  <c r="BQ8"/>
  <c r="AK8" s="1"/>
  <c r="BQ7"/>
  <c r="AK7" s="1"/>
  <c r="BQ6"/>
  <c r="AK6" s="1"/>
  <c r="BQ5"/>
  <c r="AK5" s="1"/>
  <c r="AK17" l="1"/>
  <c r="AR39" s="1"/>
  <c r="AT39" s="1"/>
  <c r="AK99"/>
  <c r="AR121" s="1"/>
  <c r="AT121" s="1"/>
  <c r="BQ34"/>
  <c r="AK157"/>
  <c r="AS162" s="1"/>
  <c r="AU162" s="1"/>
  <c r="AH422"/>
  <c r="AH350"/>
  <c r="AK140"/>
  <c r="AR162" s="1"/>
  <c r="AT162" s="1"/>
  <c r="B410"/>
  <c r="B422" s="1"/>
  <c r="J427" s="1"/>
  <c r="L427" s="1"/>
  <c r="B338"/>
  <c r="B350" s="1"/>
  <c r="J355" s="1"/>
  <c r="L355" s="1"/>
  <c r="AK222"/>
  <c r="AR244" s="1"/>
  <c r="AT244" s="1"/>
  <c r="AK239"/>
  <c r="AS244" s="1"/>
  <c r="AU244" s="1"/>
  <c r="BQ222"/>
  <c r="BQ239"/>
  <c r="AK181"/>
  <c r="AR203" s="1"/>
  <c r="AT203" s="1"/>
  <c r="AK198"/>
  <c r="AS203" s="1"/>
  <c r="AU203" s="1"/>
  <c r="BQ181"/>
  <c r="BQ198"/>
  <c r="BQ140"/>
  <c r="BQ157"/>
  <c r="AK116"/>
  <c r="AS121" s="1"/>
  <c r="AU121" s="1"/>
  <c r="BQ99"/>
  <c r="BQ116"/>
  <c r="AK58"/>
  <c r="AR80" s="1"/>
  <c r="AT80" s="1"/>
  <c r="AK75"/>
  <c r="AS80" s="1"/>
  <c r="AU80" s="1"/>
  <c r="BQ58"/>
  <c r="BQ75"/>
  <c r="AK22"/>
  <c r="AK34" s="1"/>
  <c r="AS39" s="1"/>
  <c r="AU39" s="1"/>
  <c r="BQ17"/>
  <c r="E5" i="60821" l="1"/>
  <c r="AG487" i="60816" l="1"/>
  <c r="AF487"/>
  <c r="AE487"/>
  <c r="AC487"/>
  <c r="AB487"/>
  <c r="AA487"/>
  <c r="Z487"/>
  <c r="Y487"/>
  <c r="X487"/>
  <c r="W487"/>
  <c r="V487"/>
  <c r="U487"/>
  <c r="T487"/>
  <c r="S487"/>
  <c r="R487"/>
  <c r="Q487"/>
  <c r="P487"/>
  <c r="O487"/>
  <c r="N487"/>
  <c r="M487"/>
  <c r="L487"/>
  <c r="K487"/>
  <c r="J487"/>
  <c r="I487"/>
  <c r="H487"/>
  <c r="G487"/>
  <c r="F487"/>
  <c r="E487"/>
  <c r="D487"/>
  <c r="C487"/>
  <c r="AH486"/>
  <c r="B486" s="1"/>
  <c r="AH485"/>
  <c r="B485" s="1"/>
  <c r="AH484"/>
  <c r="B484" s="1"/>
  <c r="AH483"/>
  <c r="B483" s="1"/>
  <c r="AH482"/>
  <c r="B482" s="1"/>
  <c r="AH481"/>
  <c r="B481" s="1"/>
  <c r="AH480"/>
  <c r="B480" s="1"/>
  <c r="AH479"/>
  <c r="B479" s="1"/>
  <c r="AH478"/>
  <c r="B478" s="1"/>
  <c r="AH477"/>
  <c r="B477" s="1"/>
  <c r="AH476"/>
  <c r="B476" s="1"/>
  <c r="AH475"/>
  <c r="B475" s="1"/>
  <c r="F42" i="60815"/>
  <c r="B487" i="60816" l="1"/>
  <c r="I491" s="1"/>
  <c r="K491" s="1"/>
  <c r="AH487"/>
  <c r="F53" i="7380"/>
  <c r="B99" i="60796"/>
  <c r="D99" s="1"/>
  <c r="H469" i="60816"/>
  <c r="K469" s="1"/>
  <c r="L469" s="1"/>
  <c r="H468"/>
  <c r="AG464"/>
  <c r="AF464"/>
  <c r="AE464"/>
  <c r="AC464"/>
  <c r="AB464"/>
  <c r="AA464"/>
  <c r="Z464"/>
  <c r="Y464"/>
  <c r="X464"/>
  <c r="W464"/>
  <c r="V464"/>
  <c r="U464"/>
  <c r="T464"/>
  <c r="S464"/>
  <c r="R464"/>
  <c r="Q464"/>
  <c r="P464"/>
  <c r="O464"/>
  <c r="N464"/>
  <c r="M464"/>
  <c r="L464"/>
  <c r="K464"/>
  <c r="J464"/>
  <c r="I464"/>
  <c r="H464"/>
  <c r="G464"/>
  <c r="F464"/>
  <c r="E464"/>
  <c r="D464"/>
  <c r="C464"/>
  <c r="AH463"/>
  <c r="B463" s="1"/>
  <c r="AH462"/>
  <c r="B462" s="1"/>
  <c r="AH461"/>
  <c r="B461" s="1"/>
  <c r="AH460"/>
  <c r="B460" s="1"/>
  <c r="AH459"/>
  <c r="B459" s="1"/>
  <c r="AH458"/>
  <c r="B458" s="1"/>
  <c r="AH457"/>
  <c r="B457" s="1"/>
  <c r="AH456"/>
  <c r="B456" s="1"/>
  <c r="AH455"/>
  <c r="B455" s="1"/>
  <c r="AH454"/>
  <c r="B454" s="1"/>
  <c r="AH453"/>
  <c r="B453" s="1"/>
  <c r="AG447"/>
  <c r="AF447"/>
  <c r="AE447"/>
  <c r="AC447"/>
  <c r="AB447"/>
  <c r="AA447"/>
  <c r="Z447"/>
  <c r="Y447"/>
  <c r="X447"/>
  <c r="W447"/>
  <c r="V447"/>
  <c r="U447"/>
  <c r="T447"/>
  <c r="AH452" s="1"/>
  <c r="B452" s="1"/>
  <c r="S447"/>
  <c r="R447"/>
  <c r="Q447"/>
  <c r="P447"/>
  <c r="O447"/>
  <c r="N447"/>
  <c r="M447"/>
  <c r="L447"/>
  <c r="K447"/>
  <c r="J447"/>
  <c r="I447"/>
  <c r="H447"/>
  <c r="G447"/>
  <c r="F447"/>
  <c r="E447"/>
  <c r="D447"/>
  <c r="C447"/>
  <c r="AH446"/>
  <c r="B446" s="1"/>
  <c r="AH445"/>
  <c r="B445" s="1"/>
  <c r="AH444"/>
  <c r="B444" s="1"/>
  <c r="AH443"/>
  <c r="B443" s="1"/>
  <c r="AH442"/>
  <c r="B442" s="1"/>
  <c r="AH441"/>
  <c r="B441" s="1"/>
  <c r="AH440"/>
  <c r="B440" s="1"/>
  <c r="AH439"/>
  <c r="B439" s="1"/>
  <c r="AH438"/>
  <c r="B438" s="1"/>
  <c r="AH437"/>
  <c r="B437" s="1"/>
  <c r="AH436"/>
  <c r="B436" s="1"/>
  <c r="AH435"/>
  <c r="B435" s="1"/>
  <c r="T307"/>
  <c r="H404"/>
  <c r="K404" s="1"/>
  <c r="H403"/>
  <c r="AG398"/>
  <c r="AF398"/>
  <c r="AE398"/>
  <c r="AC398"/>
  <c r="AB398"/>
  <c r="AA398"/>
  <c r="Z398"/>
  <c r="Y398"/>
  <c r="X398"/>
  <c r="W398"/>
  <c r="V398"/>
  <c r="U398"/>
  <c r="T398"/>
  <c r="S398"/>
  <c r="R398"/>
  <c r="Q398"/>
  <c r="P398"/>
  <c r="O398"/>
  <c r="N398"/>
  <c r="M398"/>
  <c r="L398"/>
  <c r="K398"/>
  <c r="J398"/>
  <c r="I398"/>
  <c r="H398"/>
  <c r="G398"/>
  <c r="F398"/>
  <c r="E398"/>
  <c r="D398"/>
  <c r="C398"/>
  <c r="AH397"/>
  <c r="B397" s="1"/>
  <c r="AH396"/>
  <c r="B396" s="1"/>
  <c r="AH395"/>
  <c r="B395" s="1"/>
  <c r="AH394"/>
  <c r="B394" s="1"/>
  <c r="AH393"/>
  <c r="B393" s="1"/>
  <c r="AH392"/>
  <c r="B392" s="1"/>
  <c r="AH391"/>
  <c r="B391" s="1"/>
  <c r="AH390"/>
  <c r="B390" s="1"/>
  <c r="AH389"/>
  <c r="B389" s="1"/>
  <c r="AH388"/>
  <c r="B388" s="1"/>
  <c r="AH387"/>
  <c r="B387" s="1"/>
  <c r="AH386"/>
  <c r="B386" s="1"/>
  <c r="H84"/>
  <c r="K84" s="1"/>
  <c r="L84" s="1"/>
  <c r="H83"/>
  <c r="AG77"/>
  <c r="AF77"/>
  <c r="AE77"/>
  <c r="AC77"/>
  <c r="AB77"/>
  <c r="AA77"/>
  <c r="Z77"/>
  <c r="Y77"/>
  <c r="X77"/>
  <c r="W77"/>
  <c r="V77"/>
  <c r="U77"/>
  <c r="T77"/>
  <c r="S77"/>
  <c r="R77"/>
  <c r="Q77"/>
  <c r="P77"/>
  <c r="O77"/>
  <c r="N77"/>
  <c r="M77"/>
  <c r="L77"/>
  <c r="K77"/>
  <c r="J77"/>
  <c r="I77"/>
  <c r="H77"/>
  <c r="G77"/>
  <c r="F77"/>
  <c r="E77"/>
  <c r="D77"/>
  <c r="C77"/>
  <c r="AH76"/>
  <c r="B76" s="1"/>
  <c r="AH75"/>
  <c r="B75" s="1"/>
  <c r="AH74"/>
  <c r="B74" s="1"/>
  <c r="AH73"/>
  <c r="B73" s="1"/>
  <c r="AH72"/>
  <c r="B72" s="1"/>
  <c r="AH71"/>
  <c r="B71" s="1"/>
  <c r="AH70"/>
  <c r="B70" s="1"/>
  <c r="AH69"/>
  <c r="B69" s="1"/>
  <c r="AH68"/>
  <c r="B68" s="1"/>
  <c r="AH67"/>
  <c r="B67" s="1"/>
  <c r="AH66"/>
  <c r="B66" s="1"/>
  <c r="AH65"/>
  <c r="B65" s="1"/>
  <c r="AG60"/>
  <c r="AF60"/>
  <c r="AE60"/>
  <c r="AC60"/>
  <c r="AB60"/>
  <c r="AA60"/>
  <c r="Z60"/>
  <c r="Y60"/>
  <c r="X60"/>
  <c r="W60"/>
  <c r="V60"/>
  <c r="U60"/>
  <c r="T60"/>
  <c r="S60"/>
  <c r="R60"/>
  <c r="Q60"/>
  <c r="P60"/>
  <c r="O60"/>
  <c r="N60"/>
  <c r="M60"/>
  <c r="L60"/>
  <c r="K60"/>
  <c r="J60"/>
  <c r="I60"/>
  <c r="H60"/>
  <c r="G60"/>
  <c r="F60"/>
  <c r="E60"/>
  <c r="D60"/>
  <c r="C60"/>
  <c r="AH59"/>
  <c r="B59" s="1"/>
  <c r="AH58"/>
  <c r="B58" s="1"/>
  <c r="AH57"/>
  <c r="B57" s="1"/>
  <c r="AH56"/>
  <c r="B56" s="1"/>
  <c r="AH55"/>
  <c r="B55" s="1"/>
  <c r="AH54"/>
  <c r="B54" s="1"/>
  <c r="AH53"/>
  <c r="B53" s="1"/>
  <c r="AH52"/>
  <c r="B52" s="1"/>
  <c r="AH51"/>
  <c r="B51" s="1"/>
  <c r="AH50"/>
  <c r="B50" s="1"/>
  <c r="AH49"/>
  <c r="B49" s="1"/>
  <c r="AH48"/>
  <c r="B48" s="1"/>
  <c r="H381"/>
  <c r="K381" s="1"/>
  <c r="L381" s="1"/>
  <c r="H380"/>
  <c r="AG375"/>
  <c r="AF375"/>
  <c r="AE375"/>
  <c r="AC375"/>
  <c r="AB375"/>
  <c r="AA375"/>
  <c r="Z375"/>
  <c r="Y375"/>
  <c r="X375"/>
  <c r="W375"/>
  <c r="V375"/>
  <c r="U375"/>
  <c r="T375"/>
  <c r="S375"/>
  <c r="R375"/>
  <c r="Q375"/>
  <c r="P375"/>
  <c r="O375"/>
  <c r="N375"/>
  <c r="M375"/>
  <c r="L375"/>
  <c r="K375"/>
  <c r="J375"/>
  <c r="I375"/>
  <c r="H375"/>
  <c r="G375"/>
  <c r="F375"/>
  <c r="E375"/>
  <c r="D375"/>
  <c r="C375"/>
  <c r="AH374"/>
  <c r="B374" s="1"/>
  <c r="AH373"/>
  <c r="B373" s="1"/>
  <c r="AH372"/>
  <c r="B372" s="1"/>
  <c r="AH371"/>
  <c r="B371" s="1"/>
  <c r="AH370"/>
  <c r="B370" s="1"/>
  <c r="AH369"/>
  <c r="B369" s="1"/>
  <c r="AH368"/>
  <c r="B368" s="1"/>
  <c r="AH367"/>
  <c r="B367" s="1"/>
  <c r="AH366"/>
  <c r="B366" s="1"/>
  <c r="AH365"/>
  <c r="B365" s="1"/>
  <c r="AH364"/>
  <c r="B364" s="1"/>
  <c r="AH363"/>
  <c r="H332"/>
  <c r="K332" s="1"/>
  <c r="L332" s="1"/>
  <c r="K331"/>
  <c r="H331"/>
  <c r="AG326"/>
  <c r="AF326"/>
  <c r="AE326"/>
  <c r="AC326"/>
  <c r="AB326"/>
  <c r="AA326"/>
  <c r="Z326"/>
  <c r="Y326"/>
  <c r="X326"/>
  <c r="W326"/>
  <c r="V326"/>
  <c r="U326"/>
  <c r="T326"/>
  <c r="S326"/>
  <c r="R326"/>
  <c r="Q326"/>
  <c r="P326"/>
  <c r="O326"/>
  <c r="N326"/>
  <c r="M326"/>
  <c r="L326"/>
  <c r="K326"/>
  <c r="J326"/>
  <c r="I326"/>
  <c r="H326"/>
  <c r="G326"/>
  <c r="F326"/>
  <c r="E326"/>
  <c r="D326"/>
  <c r="C326"/>
  <c r="AH325"/>
  <c r="B325" s="1"/>
  <c r="AH324"/>
  <c r="B324" s="1"/>
  <c r="AH323"/>
  <c r="B323" s="1"/>
  <c r="AH322"/>
  <c r="B322" s="1"/>
  <c r="AH321"/>
  <c r="B321" s="1"/>
  <c r="AH320"/>
  <c r="B320" s="1"/>
  <c r="AH319"/>
  <c r="B319" s="1"/>
  <c r="AH318"/>
  <c r="B318" s="1"/>
  <c r="AH317"/>
  <c r="B317" s="1"/>
  <c r="AH316"/>
  <c r="B316" s="1"/>
  <c r="AH315"/>
  <c r="B315" s="1"/>
  <c r="AH314"/>
  <c r="B314" s="1"/>
  <c r="D87" i="11565"/>
  <c r="I307" i="60816"/>
  <c r="H266"/>
  <c r="K266" s="1"/>
  <c r="L266" s="1"/>
  <c r="K265"/>
  <c r="H265"/>
  <c r="AG260"/>
  <c r="AF260"/>
  <c r="AE260"/>
  <c r="AC260"/>
  <c r="AB260"/>
  <c r="AA260"/>
  <c r="Z260"/>
  <c r="Y260"/>
  <c r="X260"/>
  <c r="W260"/>
  <c r="V260"/>
  <c r="U260"/>
  <c r="T260"/>
  <c r="S260"/>
  <c r="R260"/>
  <c r="Q260"/>
  <c r="P260"/>
  <c r="O260"/>
  <c r="N260"/>
  <c r="M260"/>
  <c r="L260"/>
  <c r="K260"/>
  <c r="J260"/>
  <c r="I260"/>
  <c r="H260"/>
  <c r="G260"/>
  <c r="F260"/>
  <c r="E260"/>
  <c r="D260"/>
  <c r="C260"/>
  <c r="AH259"/>
  <c r="B259" s="1"/>
  <c r="AH258"/>
  <c r="B258" s="1"/>
  <c r="AH257"/>
  <c r="B257" s="1"/>
  <c r="AH256"/>
  <c r="B256" s="1"/>
  <c r="AH255"/>
  <c r="B255" s="1"/>
  <c r="AH254"/>
  <c r="B254" s="1"/>
  <c r="AH253"/>
  <c r="B253" s="1"/>
  <c r="AH252"/>
  <c r="B252" s="1"/>
  <c r="AH251"/>
  <c r="B251" s="1"/>
  <c r="AH250"/>
  <c r="B250" s="1"/>
  <c r="AH249"/>
  <c r="AH248"/>
  <c r="B248" s="1"/>
  <c r="H243"/>
  <c r="K243" s="1"/>
  <c r="L243" s="1"/>
  <c r="K242"/>
  <c r="H242"/>
  <c r="AG237"/>
  <c r="AF237"/>
  <c r="AE237"/>
  <c r="AC237"/>
  <c r="AB237"/>
  <c r="AA237"/>
  <c r="Z237"/>
  <c r="Y237"/>
  <c r="X237"/>
  <c r="W237"/>
  <c r="V237"/>
  <c r="U237"/>
  <c r="T237"/>
  <c r="S237"/>
  <c r="R237"/>
  <c r="Q237"/>
  <c r="P237"/>
  <c r="O237"/>
  <c r="N237"/>
  <c r="M237"/>
  <c r="L237"/>
  <c r="K237"/>
  <c r="J237"/>
  <c r="I237"/>
  <c r="H237"/>
  <c r="G237"/>
  <c r="F237"/>
  <c r="E237"/>
  <c r="D237"/>
  <c r="C237"/>
  <c r="AH236"/>
  <c r="B236" s="1"/>
  <c r="AH235"/>
  <c r="B235" s="1"/>
  <c r="AH234"/>
  <c r="B234" s="1"/>
  <c r="AH233"/>
  <c r="B233" s="1"/>
  <c r="AH232"/>
  <c r="B232" s="1"/>
  <c r="AH231"/>
  <c r="B231" s="1"/>
  <c r="AH230"/>
  <c r="B230" s="1"/>
  <c r="AH229"/>
  <c r="B229" s="1"/>
  <c r="AH228"/>
  <c r="B228" s="1"/>
  <c r="AH227"/>
  <c r="B227" s="1"/>
  <c r="AH226"/>
  <c r="B226" s="1"/>
  <c r="AH225"/>
  <c r="AH140" i="1024"/>
  <c r="AH141"/>
  <c r="K119" i="7380" l="1"/>
  <c r="B447" i="60816"/>
  <c r="J468" s="1"/>
  <c r="L468" s="1"/>
  <c r="B464"/>
  <c r="I468" s="1"/>
  <c r="K468" s="1"/>
  <c r="AH447"/>
  <c r="AH464"/>
  <c r="B326"/>
  <c r="J331" s="1"/>
  <c r="L331" s="1"/>
  <c r="AH375"/>
  <c r="B398"/>
  <c r="I403" s="1"/>
  <c r="AH398"/>
  <c r="B77"/>
  <c r="B60"/>
  <c r="J83" s="1"/>
  <c r="L83" s="1"/>
  <c r="AH60"/>
  <c r="AH77"/>
  <c r="B363"/>
  <c r="B375" s="1"/>
  <c r="AH326"/>
  <c r="AH237"/>
  <c r="AH260"/>
  <c r="B249"/>
  <c r="B260" s="1"/>
  <c r="J265" s="1"/>
  <c r="L265" s="1"/>
  <c r="B225"/>
  <c r="B237" s="1"/>
  <c r="J242" s="1"/>
  <c r="L242" s="1"/>
  <c r="L380" l="1"/>
  <c r="I380"/>
  <c r="K380" s="1"/>
  <c r="K403"/>
  <c r="I83"/>
  <c r="K83" s="1"/>
  <c r="L172" i="7380" l="1"/>
  <c r="F172" s="1"/>
  <c r="L171"/>
  <c r="J165" i="60816"/>
  <c r="I165"/>
  <c r="J164"/>
  <c r="I164"/>
  <c r="J163"/>
  <c r="I163"/>
  <c r="I162"/>
  <c r="J161"/>
  <c r="I161"/>
  <c r="J160"/>
  <c r="I160"/>
  <c r="D107" i="7380" l="1"/>
  <c r="D187" i="1792"/>
  <c r="C187"/>
  <c r="L26" i="60815" l="1"/>
  <c r="I153" i="60816"/>
  <c r="J153"/>
  <c r="I154"/>
  <c r="J154"/>
  <c r="I155"/>
  <c r="J155"/>
  <c r="I156"/>
  <c r="J156"/>
  <c r="I157"/>
  <c r="J157"/>
  <c r="I158"/>
  <c r="J158"/>
  <c r="I159"/>
  <c r="J159"/>
  <c r="I143"/>
  <c r="J143"/>
  <c r="I144"/>
  <c r="J144"/>
  <c r="I145"/>
  <c r="J145"/>
  <c r="I146"/>
  <c r="J146"/>
  <c r="I147"/>
  <c r="J147"/>
  <c r="I148"/>
  <c r="J148"/>
  <c r="I149"/>
  <c r="J149"/>
  <c r="I150"/>
  <c r="J150"/>
  <c r="I151"/>
  <c r="J151"/>
  <c r="I152"/>
  <c r="J152"/>
  <c r="J142"/>
  <c r="I142"/>
  <c r="I170" l="1"/>
  <c r="J170"/>
  <c r="F81" i="60815"/>
  <c r="M81"/>
  <c r="L20"/>
  <c r="L21"/>
  <c r="L22"/>
  <c r="L23"/>
  <c r="L24"/>
  <c r="L25"/>
  <c r="L27"/>
  <c r="L28"/>
  <c r="L29"/>
  <c r="L30"/>
  <c r="L31"/>
  <c r="L32"/>
  <c r="L33"/>
  <c r="L34"/>
  <c r="L35"/>
  <c r="L36"/>
  <c r="L37"/>
  <c r="L38"/>
  <c r="L39"/>
  <c r="L40"/>
  <c r="L41"/>
  <c r="L42"/>
  <c r="L43"/>
  <c r="L44"/>
  <c r="L45"/>
  <c r="L46"/>
  <c r="L47"/>
  <c r="L48"/>
  <c r="L49"/>
  <c r="L50"/>
  <c r="L51"/>
  <c r="L52"/>
  <c r="L53"/>
  <c r="L54"/>
  <c r="L55"/>
  <c r="L56"/>
  <c r="L57"/>
  <c r="L58"/>
  <c r="L59"/>
  <c r="L60"/>
  <c r="L61"/>
  <c r="L62"/>
  <c r="L63"/>
  <c r="L64"/>
  <c r="L65"/>
  <c r="L66"/>
  <c r="L67"/>
  <c r="L68"/>
  <c r="L69"/>
  <c r="L70"/>
  <c r="L71"/>
  <c r="L72"/>
  <c r="L73"/>
  <c r="L74"/>
  <c r="L75"/>
  <c r="L76"/>
  <c r="L77"/>
  <c r="L78"/>
  <c r="L79"/>
  <c r="L80"/>
  <c r="L19"/>
  <c r="C81"/>
  <c r="H219" i="60816"/>
  <c r="K219" s="1"/>
  <c r="L219" s="1"/>
  <c r="K218"/>
  <c r="H218"/>
  <c r="AG213"/>
  <c r="AF213"/>
  <c r="AE213"/>
  <c r="AC213"/>
  <c r="AB213"/>
  <c r="AA213"/>
  <c r="Z213"/>
  <c r="Y213"/>
  <c r="X213"/>
  <c r="W213"/>
  <c r="V213"/>
  <c r="U213"/>
  <c r="T213"/>
  <c r="S213"/>
  <c r="R213"/>
  <c r="Q213"/>
  <c r="P213"/>
  <c r="O213"/>
  <c r="N213"/>
  <c r="M213"/>
  <c r="L213"/>
  <c r="K213"/>
  <c r="J213"/>
  <c r="I213"/>
  <c r="H213"/>
  <c r="G213"/>
  <c r="F213"/>
  <c r="E213"/>
  <c r="D213"/>
  <c r="C213"/>
  <c r="AH212"/>
  <c r="B212" s="1"/>
  <c r="AH211"/>
  <c r="B211" s="1"/>
  <c r="AH210"/>
  <c r="B210" s="1"/>
  <c r="AH209"/>
  <c r="B209" s="1"/>
  <c r="AH208"/>
  <c r="B208" s="1"/>
  <c r="AH207"/>
  <c r="B207" s="1"/>
  <c r="AH206"/>
  <c r="B206" s="1"/>
  <c r="AH205"/>
  <c r="B205" s="1"/>
  <c r="AH204"/>
  <c r="B204" s="1"/>
  <c r="AH203"/>
  <c r="B203" s="1"/>
  <c r="AH202"/>
  <c r="B202" s="1"/>
  <c r="L107" i="7380"/>
  <c r="K106"/>
  <c r="D121" i="1792"/>
  <c r="N121"/>
  <c r="M120"/>
  <c r="D173" i="7380"/>
  <c r="C173"/>
  <c r="E106"/>
  <c r="C121" i="1792"/>
  <c r="E120"/>
  <c r="G120" s="1"/>
  <c r="F171" i="7380"/>
  <c r="O105" s="1"/>
  <c r="P105" s="1"/>
  <c r="AH213" i="60816" l="1"/>
  <c r="B201"/>
  <c r="B213" s="1"/>
  <c r="J218" s="1"/>
  <c r="L218" s="1"/>
  <c r="H120" i="1792"/>
  <c r="E186"/>
  <c r="G186" s="1"/>
  <c r="H186" s="1"/>
  <c r="G106" i="7380"/>
  <c r="H195" i="60816"/>
  <c r="K195" s="1"/>
  <c r="L195" s="1"/>
  <c r="H194"/>
  <c r="AG189"/>
  <c r="AF189"/>
  <c r="AE189"/>
  <c r="AC189"/>
  <c r="AB189"/>
  <c r="AA189"/>
  <c r="Z189"/>
  <c r="Y189"/>
  <c r="X189"/>
  <c r="W189"/>
  <c r="V189"/>
  <c r="U189"/>
  <c r="T189"/>
  <c r="S189"/>
  <c r="R189"/>
  <c r="Q189"/>
  <c r="P189"/>
  <c r="O189"/>
  <c r="N189"/>
  <c r="M189"/>
  <c r="L189"/>
  <c r="K189"/>
  <c r="J189"/>
  <c r="I189"/>
  <c r="H189"/>
  <c r="G189"/>
  <c r="F189"/>
  <c r="E189"/>
  <c r="D189"/>
  <c r="C189"/>
  <c r="AH188"/>
  <c r="B188" s="1"/>
  <c r="AH187"/>
  <c r="B187" s="1"/>
  <c r="AH186"/>
  <c r="B186" s="1"/>
  <c r="AH185"/>
  <c r="B185" s="1"/>
  <c r="AH184"/>
  <c r="B184" s="1"/>
  <c r="AH183"/>
  <c r="B183" s="1"/>
  <c r="AH182"/>
  <c r="B182" s="1"/>
  <c r="AH181"/>
  <c r="B181" s="1"/>
  <c r="AH180"/>
  <c r="B180" s="1"/>
  <c r="AH179"/>
  <c r="B179" s="1"/>
  <c r="AH178"/>
  <c r="B178" s="1"/>
  <c r="AH177"/>
  <c r="B177" s="1"/>
  <c r="E22" i="1792"/>
  <c r="H128" i="60816"/>
  <c r="K128" s="1"/>
  <c r="L128" s="1"/>
  <c r="H127"/>
  <c r="AG121"/>
  <c r="AF121"/>
  <c r="AE121"/>
  <c r="AC121"/>
  <c r="AB121"/>
  <c r="AA121"/>
  <c r="Z121"/>
  <c r="Y121"/>
  <c r="X121"/>
  <c r="W121"/>
  <c r="V121"/>
  <c r="U121"/>
  <c r="T121"/>
  <c r="S121"/>
  <c r="R121"/>
  <c r="Q121"/>
  <c r="P121"/>
  <c r="O121"/>
  <c r="N121"/>
  <c r="M121"/>
  <c r="L121"/>
  <c r="K121"/>
  <c r="J121"/>
  <c r="I121"/>
  <c r="H121"/>
  <c r="G121"/>
  <c r="F121"/>
  <c r="E121"/>
  <c r="D121"/>
  <c r="C121"/>
  <c r="AH120"/>
  <c r="B120" s="1"/>
  <c r="AH119"/>
  <c r="B119" s="1"/>
  <c r="AH118"/>
  <c r="B118" s="1"/>
  <c r="AH117"/>
  <c r="B117" s="1"/>
  <c r="AH116"/>
  <c r="B116" s="1"/>
  <c r="AH115"/>
  <c r="B115" s="1"/>
  <c r="AH114"/>
  <c r="B114" s="1"/>
  <c r="AH113"/>
  <c r="B113" s="1"/>
  <c r="AH112"/>
  <c r="B112" s="1"/>
  <c r="AH111"/>
  <c r="B111" s="1"/>
  <c r="AH110"/>
  <c r="B110" s="1"/>
  <c r="AH109"/>
  <c r="B109" s="1"/>
  <c r="AG104"/>
  <c r="AF104"/>
  <c r="AE104"/>
  <c r="AC104"/>
  <c r="AB104"/>
  <c r="AA104"/>
  <c r="Z104"/>
  <c r="Y104"/>
  <c r="X104"/>
  <c r="W104"/>
  <c r="V104"/>
  <c r="U104"/>
  <c r="T104"/>
  <c r="S104"/>
  <c r="R104"/>
  <c r="Q104"/>
  <c r="P104"/>
  <c r="O104"/>
  <c r="N104"/>
  <c r="M104"/>
  <c r="L104"/>
  <c r="K104"/>
  <c r="J104"/>
  <c r="I104"/>
  <c r="H104"/>
  <c r="G104"/>
  <c r="F104"/>
  <c r="E104"/>
  <c r="D104"/>
  <c r="C104"/>
  <c r="AH103"/>
  <c r="B103" s="1"/>
  <c r="AH102"/>
  <c r="B102" s="1"/>
  <c r="AH101"/>
  <c r="B101" s="1"/>
  <c r="AH100"/>
  <c r="B100" s="1"/>
  <c r="AH99"/>
  <c r="B99" s="1"/>
  <c r="AH98"/>
  <c r="B98" s="1"/>
  <c r="AH97"/>
  <c r="B97" s="1"/>
  <c r="AH96"/>
  <c r="B96" s="1"/>
  <c r="AH95"/>
  <c r="B95" s="1"/>
  <c r="AH94"/>
  <c r="B94" s="1"/>
  <c r="AH93"/>
  <c r="B93" s="1"/>
  <c r="AH92"/>
  <c r="B92" s="1"/>
  <c r="E172" i="7380" l="1"/>
  <c r="H106"/>
  <c r="B189" i="60816"/>
  <c r="J194" s="1"/>
  <c r="L194" s="1"/>
  <c r="K194"/>
  <c r="AH189"/>
  <c r="B104"/>
  <c r="J127" s="1"/>
  <c r="L127" s="1"/>
  <c r="B121"/>
  <c r="I127" s="1"/>
  <c r="K127" s="1"/>
  <c r="AH104"/>
  <c r="AH121"/>
  <c r="G172" i="7380" l="1"/>
  <c r="H172" s="1"/>
  <c r="J535" i="60805"/>
  <c r="J536"/>
  <c r="J537"/>
  <c r="J538"/>
  <c r="J539"/>
  <c r="J540"/>
  <c r="J541"/>
  <c r="J542"/>
  <c r="J543"/>
  <c r="J544"/>
  <c r="J534"/>
  <c r="I544"/>
  <c r="I543"/>
  <c r="I542"/>
  <c r="I541"/>
  <c r="I540"/>
  <c r="I539"/>
  <c r="I538"/>
  <c r="I537"/>
  <c r="I536"/>
  <c r="I535"/>
  <c r="I534"/>
  <c r="F84" i="7380"/>
  <c r="E60" i="1792"/>
  <c r="K150" i="7380" l="1"/>
  <c r="H41" i="60816"/>
  <c r="K41" s="1"/>
  <c r="L41" s="1"/>
  <c r="H40"/>
  <c r="AG34" l="1"/>
  <c r="AF34"/>
  <c r="AE34"/>
  <c r="AC34"/>
  <c r="AB34"/>
  <c r="AA34"/>
  <c r="Z34"/>
  <c r="Y34"/>
  <c r="X34"/>
  <c r="W34"/>
  <c r="V34"/>
  <c r="U34"/>
  <c r="T34"/>
  <c r="S34"/>
  <c r="R34"/>
  <c r="Q34"/>
  <c r="P34"/>
  <c r="O34"/>
  <c r="N34"/>
  <c r="M34"/>
  <c r="L34"/>
  <c r="K34"/>
  <c r="J34"/>
  <c r="I34"/>
  <c r="H34"/>
  <c r="G34"/>
  <c r="F34"/>
  <c r="E34"/>
  <c r="D34"/>
  <c r="C34"/>
  <c r="AH33"/>
  <c r="B33" s="1"/>
  <c r="AH32"/>
  <c r="B32" s="1"/>
  <c r="AH31"/>
  <c r="B31" s="1"/>
  <c r="AH30"/>
  <c r="B30" s="1"/>
  <c r="AH29"/>
  <c r="B29" s="1"/>
  <c r="AH28"/>
  <c r="B28" s="1"/>
  <c r="AH27"/>
  <c r="B27" s="1"/>
  <c r="AH26"/>
  <c r="B26" s="1"/>
  <c r="AH25"/>
  <c r="B25" s="1"/>
  <c r="AH24"/>
  <c r="B24" s="1"/>
  <c r="AH23"/>
  <c r="B23" s="1"/>
  <c r="AH22"/>
  <c r="B22" s="1"/>
  <c r="AG17"/>
  <c r="AF17"/>
  <c r="AE17"/>
  <c r="AC17"/>
  <c r="AB17"/>
  <c r="AA17"/>
  <c r="Z17"/>
  <c r="Y17"/>
  <c r="X17"/>
  <c r="W17"/>
  <c r="V17"/>
  <c r="U17"/>
  <c r="T17"/>
  <c r="S17"/>
  <c r="R17"/>
  <c r="Q17"/>
  <c r="P17"/>
  <c r="O17"/>
  <c r="N17"/>
  <c r="M17"/>
  <c r="L17"/>
  <c r="K17"/>
  <c r="J17"/>
  <c r="I17"/>
  <c r="H17"/>
  <c r="G17"/>
  <c r="F17"/>
  <c r="E17"/>
  <c r="D17"/>
  <c r="C17"/>
  <c r="AH16"/>
  <c r="B16" s="1"/>
  <c r="AH15"/>
  <c r="B15" s="1"/>
  <c r="AH14"/>
  <c r="B14" s="1"/>
  <c r="AH13"/>
  <c r="B13" s="1"/>
  <c r="AH12"/>
  <c r="B12" s="1"/>
  <c r="AH11"/>
  <c r="B11" s="1"/>
  <c r="AH10"/>
  <c r="B10" s="1"/>
  <c r="AH9"/>
  <c r="B9" s="1"/>
  <c r="AH8"/>
  <c r="B8" s="1"/>
  <c r="AH7"/>
  <c r="B7" s="1"/>
  <c r="AH6"/>
  <c r="B6" s="1"/>
  <c r="AH5"/>
  <c r="B5" s="1"/>
  <c r="F61" i="7380"/>
  <c r="F121" i="1792"/>
  <c r="K127" i="7380" l="1"/>
  <c r="B34" i="60816"/>
  <c r="I40" s="1"/>
  <c r="K40" s="1"/>
  <c r="AH34"/>
  <c r="B17"/>
  <c r="J40" s="1"/>
  <c r="L40" s="1"/>
  <c r="AH17"/>
  <c r="E71" i="60796"/>
  <c r="E24"/>
  <c r="E6" i="60821" l="1"/>
  <c r="G4"/>
  <c r="E58" i="1792"/>
  <c r="E59"/>
  <c r="E61"/>
  <c r="E62"/>
  <c r="E63"/>
  <c r="E64"/>
  <c r="E65"/>
  <c r="E66"/>
  <c r="E67"/>
  <c r="E68"/>
  <c r="E69"/>
  <c r="E70"/>
  <c r="E71"/>
  <c r="E72"/>
  <c r="E73"/>
  <c r="E74"/>
  <c r="E75"/>
  <c r="E76"/>
  <c r="E77"/>
  <c r="E78"/>
  <c r="E79"/>
  <c r="E80"/>
  <c r="E81"/>
  <c r="E82"/>
  <c r="E83"/>
  <c r="E84"/>
  <c r="E85"/>
  <c r="E86"/>
  <c r="E87"/>
  <c r="E88"/>
  <c r="E89"/>
  <c r="E90"/>
  <c r="E91"/>
  <c r="E92"/>
  <c r="E93"/>
  <c r="E94"/>
  <c r="E95"/>
  <c r="E96"/>
  <c r="E97"/>
  <c r="E98"/>
  <c r="E99"/>
  <c r="E100"/>
  <c r="E101"/>
  <c r="E102"/>
  <c r="E103"/>
  <c r="E104"/>
  <c r="E105"/>
  <c r="E106"/>
  <c r="E107"/>
  <c r="E108"/>
  <c r="E109"/>
  <c r="E110"/>
  <c r="E111"/>
  <c r="E112"/>
  <c r="E113"/>
  <c r="E114"/>
  <c r="E115"/>
  <c r="E116"/>
  <c r="E117"/>
  <c r="E118"/>
  <c r="E119"/>
  <c r="E45" i="7380"/>
  <c r="E46"/>
  <c r="E47"/>
  <c r="E48"/>
  <c r="E49"/>
  <c r="E50"/>
  <c r="E51"/>
  <c r="E52"/>
  <c r="E53"/>
  <c r="E54"/>
  <c r="E55"/>
  <c r="E56"/>
  <c r="E57"/>
  <c r="E58"/>
  <c r="E59"/>
  <c r="E60"/>
  <c r="E61"/>
  <c r="E62"/>
  <c r="E63"/>
  <c r="E64"/>
  <c r="E65"/>
  <c r="E66"/>
  <c r="E67"/>
  <c r="E68"/>
  <c r="E69"/>
  <c r="E70"/>
  <c r="E71"/>
  <c r="E72"/>
  <c r="E73"/>
  <c r="E74"/>
  <c r="E75"/>
  <c r="E76"/>
  <c r="E77"/>
  <c r="E78"/>
  <c r="E79"/>
  <c r="E80"/>
  <c r="E81"/>
  <c r="E82"/>
  <c r="E83"/>
  <c r="E84"/>
  <c r="E85"/>
  <c r="E86"/>
  <c r="E87"/>
  <c r="E88"/>
  <c r="E89"/>
  <c r="E90"/>
  <c r="E91"/>
  <c r="E92"/>
  <c r="E93"/>
  <c r="E94"/>
  <c r="E95"/>
  <c r="E96"/>
  <c r="E97"/>
  <c r="E98"/>
  <c r="E99"/>
  <c r="E100"/>
  <c r="E101"/>
  <c r="E102"/>
  <c r="E103"/>
  <c r="E104"/>
  <c r="E105"/>
  <c r="K92"/>
  <c r="K80"/>
  <c r="F76"/>
  <c r="K55"/>
  <c r="K45"/>
  <c r="K46"/>
  <c r="K47"/>
  <c r="K48"/>
  <c r="K49"/>
  <c r="K50"/>
  <c r="K51"/>
  <c r="K52"/>
  <c r="K53"/>
  <c r="K54"/>
  <c r="K56"/>
  <c r="K57"/>
  <c r="K58"/>
  <c r="K59"/>
  <c r="K60"/>
  <c r="K61"/>
  <c r="K62"/>
  <c r="K63"/>
  <c r="K64"/>
  <c r="K65"/>
  <c r="K66"/>
  <c r="K68"/>
  <c r="K69"/>
  <c r="K70"/>
  <c r="K71"/>
  <c r="K72"/>
  <c r="K74"/>
  <c r="K75"/>
  <c r="K76"/>
  <c r="K77"/>
  <c r="K78"/>
  <c r="K79"/>
  <c r="K81"/>
  <c r="K82"/>
  <c r="K83"/>
  <c r="K84"/>
  <c r="K85"/>
  <c r="K86"/>
  <c r="K87"/>
  <c r="K88"/>
  <c r="K89"/>
  <c r="K90"/>
  <c r="K91"/>
  <c r="K93"/>
  <c r="K95"/>
  <c r="K96"/>
  <c r="K97"/>
  <c r="K98"/>
  <c r="K99"/>
  <c r="K100"/>
  <c r="K101"/>
  <c r="K102"/>
  <c r="K103"/>
  <c r="K104"/>
  <c r="K105"/>
  <c r="K44"/>
  <c r="M59" i="1792"/>
  <c r="M60"/>
  <c r="M61"/>
  <c r="M62"/>
  <c r="M63"/>
  <c r="M64"/>
  <c r="M65"/>
  <c r="M66"/>
  <c r="M67"/>
  <c r="M68"/>
  <c r="M69"/>
  <c r="M70"/>
  <c r="M71"/>
  <c r="M72"/>
  <c r="M73"/>
  <c r="M74"/>
  <c r="M75"/>
  <c r="M76"/>
  <c r="M77"/>
  <c r="M78"/>
  <c r="M79"/>
  <c r="M80"/>
  <c r="M81"/>
  <c r="M82"/>
  <c r="M83"/>
  <c r="M84"/>
  <c r="M85"/>
  <c r="M86"/>
  <c r="M87"/>
  <c r="M88"/>
  <c r="M89"/>
  <c r="M90"/>
  <c r="M91"/>
  <c r="M92"/>
  <c r="M93"/>
  <c r="M94"/>
  <c r="M95"/>
  <c r="M96"/>
  <c r="M97"/>
  <c r="M98"/>
  <c r="M99"/>
  <c r="M100"/>
  <c r="M101"/>
  <c r="M102"/>
  <c r="M103"/>
  <c r="M104"/>
  <c r="M105"/>
  <c r="M106"/>
  <c r="M107"/>
  <c r="M108"/>
  <c r="M109"/>
  <c r="M110"/>
  <c r="M111"/>
  <c r="M112"/>
  <c r="M113"/>
  <c r="M114"/>
  <c r="M115"/>
  <c r="M116"/>
  <c r="M117"/>
  <c r="M118"/>
  <c r="M119"/>
  <c r="M58"/>
  <c r="F107" i="7380" l="1"/>
  <c r="K142"/>
  <c r="K173" s="1"/>
  <c r="E121" i="1792"/>
  <c r="G121" s="1"/>
  <c r="G5" i="60821"/>
  <c r="F6"/>
  <c r="G6" s="1"/>
  <c r="E4" i="60814"/>
  <c r="DD213" i="60819"/>
  <c r="BU198"/>
  <c r="C94" i="60818" s="1"/>
  <c r="BV198" i="60819"/>
  <c r="D94" i="60818" s="1"/>
  <c r="BW198" i="60819"/>
  <c r="E94" i="60818" s="1"/>
  <c r="BX198" i="60819"/>
  <c r="F94" i="60818" s="1"/>
  <c r="BY198" i="60819"/>
  <c r="G94" i="60818" s="1"/>
  <c r="BZ198" i="60819"/>
  <c r="H94" i="60818" s="1"/>
  <c r="CA198" i="60819"/>
  <c r="I94" i="60818" s="1"/>
  <c r="CB198" i="60819"/>
  <c r="J94" i="60818" s="1"/>
  <c r="CC198" i="60819"/>
  <c r="K94" i="60818" s="1"/>
  <c r="CD198" i="60819"/>
  <c r="L94" i="60818" s="1"/>
  <c r="CE198" i="60819"/>
  <c r="M94" i="60818" s="1"/>
  <c r="CF198" i="60819"/>
  <c r="N94" i="60818" s="1"/>
  <c r="CG198" i="60819"/>
  <c r="O94" i="60818" s="1"/>
  <c r="CH198" i="60819"/>
  <c r="P94" i="60818" s="1"/>
  <c r="CI198" i="60819"/>
  <c r="Q94" i="60818" s="1"/>
  <c r="CJ198" i="60819"/>
  <c r="R94" i="60818" s="1"/>
  <c r="CK198" i="60819"/>
  <c r="S94" i="60818" s="1"/>
  <c r="CL198" i="60819"/>
  <c r="T94" i="60818" s="1"/>
  <c r="CM198" i="60819"/>
  <c r="U94" i="60818" s="1"/>
  <c r="CN198" i="60819"/>
  <c r="V94" i="60818" s="1"/>
  <c r="CO198" i="60819"/>
  <c r="W94" i="60818" s="1"/>
  <c r="CP198" i="60819"/>
  <c r="X94" i="60818" s="1"/>
  <c r="CQ198" i="60819"/>
  <c r="Y94" i="60818" s="1"/>
  <c r="CR198" i="60819"/>
  <c r="Z94" i="60818" s="1"/>
  <c r="CS198" i="60819"/>
  <c r="AA94" i="60818" s="1"/>
  <c r="CT198" i="60819"/>
  <c r="AB94" i="60818" s="1"/>
  <c r="CU198" i="60819"/>
  <c r="AC94" i="60818" s="1"/>
  <c r="CV198" i="60819"/>
  <c r="AD94" i="60818" s="1"/>
  <c r="CW198" i="60819"/>
  <c r="AE94" i="60818" s="1"/>
  <c r="CX198" i="60819"/>
  <c r="AF94" i="60818" s="1"/>
  <c r="CY198" i="60819"/>
  <c r="AG94" i="60818" s="1"/>
  <c r="BU199" i="60819"/>
  <c r="C95" i="60818" s="1"/>
  <c r="BV199" i="60819"/>
  <c r="BW199"/>
  <c r="E95" i="60818" s="1"/>
  <c r="BX199" i="60819"/>
  <c r="F95" i="60818" s="1"/>
  <c r="BY199" i="60819"/>
  <c r="G95" i="60818" s="1"/>
  <c r="BZ199" i="60819"/>
  <c r="H95" i="60818" s="1"/>
  <c r="CA199" i="60819"/>
  <c r="I95" i="60818" s="1"/>
  <c r="CB199" i="60819"/>
  <c r="J95" i="60818" s="1"/>
  <c r="CC199" i="60819"/>
  <c r="K95" i="60818" s="1"/>
  <c r="CD199" i="60819"/>
  <c r="L95" i="60818" s="1"/>
  <c r="CE199" i="60819"/>
  <c r="M95" i="60818" s="1"/>
  <c r="CF199" i="60819"/>
  <c r="N95" i="60818" s="1"/>
  <c r="CG199" i="60819"/>
  <c r="O95" i="60818" s="1"/>
  <c r="CH199" i="60819"/>
  <c r="P95" i="60818" s="1"/>
  <c r="CI199" i="60819"/>
  <c r="Q95" i="60818" s="1"/>
  <c r="CJ199" i="60819"/>
  <c r="R95" i="60818" s="1"/>
  <c r="CK199" i="60819"/>
  <c r="S95" i="60818" s="1"/>
  <c r="CL199" i="60819"/>
  <c r="T95" i="60818" s="1"/>
  <c r="CM199" i="60819"/>
  <c r="U95" i="60818" s="1"/>
  <c r="CN199" i="60819"/>
  <c r="V95" i="60818" s="1"/>
  <c r="CO199" i="60819"/>
  <c r="W95" i="60818" s="1"/>
  <c r="CP199" i="60819"/>
  <c r="X95" i="60818" s="1"/>
  <c r="CQ199" i="60819"/>
  <c r="Y95" i="60818" s="1"/>
  <c r="CR199" i="60819"/>
  <c r="Z95" i="60818" s="1"/>
  <c r="CS199" i="60819"/>
  <c r="AA95" i="60818" s="1"/>
  <c r="CT199" i="60819"/>
  <c r="AB95" i="60818" s="1"/>
  <c r="CU199" i="60819"/>
  <c r="AC95" i="60818" s="1"/>
  <c r="CV199" i="60819"/>
  <c r="AD95" i="60818" s="1"/>
  <c r="CW199" i="60819"/>
  <c r="AE95" i="60818" s="1"/>
  <c r="CX199" i="60819"/>
  <c r="AF95" i="60818" s="1"/>
  <c r="CY199" i="60819"/>
  <c r="AG95" i="60818" s="1"/>
  <c r="BU200" i="60819"/>
  <c r="C96" i="60818" s="1"/>
  <c r="BV200" i="60819"/>
  <c r="D96" i="60818" s="1"/>
  <c r="BW200" i="60819"/>
  <c r="E96" i="60818" s="1"/>
  <c r="BX200" i="60819"/>
  <c r="F96" i="60818" s="1"/>
  <c r="BY200" i="60819"/>
  <c r="G96" i="60818" s="1"/>
  <c r="BZ200" i="60819"/>
  <c r="H96" i="60818" s="1"/>
  <c r="CA200" i="60819"/>
  <c r="I96" i="60818" s="1"/>
  <c r="CB200" i="60819"/>
  <c r="J96" i="60818" s="1"/>
  <c r="CC200" i="60819"/>
  <c r="K96" i="60818" s="1"/>
  <c r="CD200" i="60819"/>
  <c r="L96" i="60818" s="1"/>
  <c r="CE200" i="60819"/>
  <c r="M96" i="60818" s="1"/>
  <c r="CF200" i="60819"/>
  <c r="N96" i="60818" s="1"/>
  <c r="CG200" i="60819"/>
  <c r="O96" i="60818" s="1"/>
  <c r="CH200" i="60819"/>
  <c r="P96" i="60818" s="1"/>
  <c r="CI200" i="60819"/>
  <c r="Q96" i="60818" s="1"/>
  <c r="CJ200" i="60819"/>
  <c r="R96" i="60818" s="1"/>
  <c r="CK200" i="60819"/>
  <c r="S96" i="60818" s="1"/>
  <c r="CL200" i="60819"/>
  <c r="T96" i="60818" s="1"/>
  <c r="CM200" i="60819"/>
  <c r="U96" i="60818" s="1"/>
  <c r="CN200" i="60819"/>
  <c r="V96" i="60818" s="1"/>
  <c r="CO200" i="60819"/>
  <c r="W96" i="60818" s="1"/>
  <c r="CP200" i="60819"/>
  <c r="X96" i="60818" s="1"/>
  <c r="CQ200" i="60819"/>
  <c r="Y96" i="60818" s="1"/>
  <c r="CR200" i="60819"/>
  <c r="Z96" i="60818" s="1"/>
  <c r="CS200" i="60819"/>
  <c r="AA96" i="60818" s="1"/>
  <c r="CT200" i="60819"/>
  <c r="AB96" i="60818" s="1"/>
  <c r="CU200" i="60819"/>
  <c r="AC96" i="60818" s="1"/>
  <c r="CV200" i="60819"/>
  <c r="AD96" i="60818" s="1"/>
  <c r="CW200" i="60819"/>
  <c r="AE96" i="60818" s="1"/>
  <c r="CX200" i="60819"/>
  <c r="AF96" i="60818" s="1"/>
  <c r="CY200" i="60819"/>
  <c r="AG96" i="60818" s="1"/>
  <c r="BU201" i="60819"/>
  <c r="C97" i="60818" s="1"/>
  <c r="BV201" i="60819"/>
  <c r="D97" i="60818" s="1"/>
  <c r="BW201" i="60819"/>
  <c r="E97" i="60818" s="1"/>
  <c r="BX201" i="60819"/>
  <c r="F97" i="60818" s="1"/>
  <c r="BY201" i="60819"/>
  <c r="G97" i="60818" s="1"/>
  <c r="BZ201" i="60819"/>
  <c r="H97" i="60818" s="1"/>
  <c r="CA201" i="60819"/>
  <c r="I97" i="60818" s="1"/>
  <c r="CB201" i="60819"/>
  <c r="J97" i="60818" s="1"/>
  <c r="CC201" i="60819"/>
  <c r="K97" i="60818" s="1"/>
  <c r="CD201" i="60819"/>
  <c r="L97" i="60818" s="1"/>
  <c r="CE201" i="60819"/>
  <c r="M97" i="60818" s="1"/>
  <c r="CF201" i="60819"/>
  <c r="N97" i="60818" s="1"/>
  <c r="CG201" i="60819"/>
  <c r="O97" i="60818" s="1"/>
  <c r="CH201" i="60819"/>
  <c r="P97" i="60818" s="1"/>
  <c r="CI201" i="60819"/>
  <c r="Q97" i="60818" s="1"/>
  <c r="CJ201" i="60819"/>
  <c r="R97" i="60818" s="1"/>
  <c r="CK201" i="60819"/>
  <c r="S97" i="60818" s="1"/>
  <c r="CL201" i="60819"/>
  <c r="T97" i="60818" s="1"/>
  <c r="CM201" i="60819"/>
  <c r="U97" i="60818" s="1"/>
  <c r="CN201" i="60819"/>
  <c r="V97" i="60818" s="1"/>
  <c r="CO201" i="60819"/>
  <c r="W97" i="60818" s="1"/>
  <c r="CP201" i="60819"/>
  <c r="X97" i="60818" s="1"/>
  <c r="CQ201" i="60819"/>
  <c r="Y97" i="60818" s="1"/>
  <c r="CR201" i="60819"/>
  <c r="Z97" i="60818" s="1"/>
  <c r="CS201" i="60819"/>
  <c r="AA97" i="60818" s="1"/>
  <c r="CT201" i="60819"/>
  <c r="AB97" i="60818" s="1"/>
  <c r="CU201" i="60819"/>
  <c r="AC97" i="60818" s="1"/>
  <c r="CV201" i="60819"/>
  <c r="AD97" i="60818" s="1"/>
  <c r="CW201" i="60819"/>
  <c r="AE97" i="60818" s="1"/>
  <c r="CX201" i="60819"/>
  <c r="AF97" i="60818" s="1"/>
  <c r="CY201" i="60819"/>
  <c r="AG97" i="60818" s="1"/>
  <c r="BU202" i="60819"/>
  <c r="C98" i="60818" s="1"/>
  <c r="BV202" i="60819"/>
  <c r="D98" i="60818" s="1"/>
  <c r="BW202" i="60819"/>
  <c r="E98" i="60818" s="1"/>
  <c r="BX202" i="60819"/>
  <c r="F98" i="60818" s="1"/>
  <c r="BY202" i="60819"/>
  <c r="G98" i="60818" s="1"/>
  <c r="BZ202" i="60819"/>
  <c r="H98" i="60818" s="1"/>
  <c r="CA202" i="60819"/>
  <c r="I98" i="60818" s="1"/>
  <c r="CB202" i="60819"/>
  <c r="J98" i="60818" s="1"/>
  <c r="CC202" i="60819"/>
  <c r="K98" i="60818" s="1"/>
  <c r="CD202" i="60819"/>
  <c r="L98" i="60818" s="1"/>
  <c r="CE202" i="60819"/>
  <c r="M98" i="60818" s="1"/>
  <c r="CF202" i="60819"/>
  <c r="N98" i="60818" s="1"/>
  <c r="CG202" i="60819"/>
  <c r="O98" i="60818" s="1"/>
  <c r="CH202" i="60819"/>
  <c r="P98" i="60818" s="1"/>
  <c r="CI202" i="60819"/>
  <c r="Q98" i="60818" s="1"/>
  <c r="CJ202" i="60819"/>
  <c r="R98" i="60818" s="1"/>
  <c r="CK202" i="60819"/>
  <c r="S98" i="60818" s="1"/>
  <c r="CL202" i="60819"/>
  <c r="T98" i="60818" s="1"/>
  <c r="CM202" i="60819"/>
  <c r="U98" i="60818" s="1"/>
  <c r="CN202" i="60819"/>
  <c r="V98" i="60818" s="1"/>
  <c r="CO202" i="60819"/>
  <c r="W98" i="60818" s="1"/>
  <c r="CP202" i="60819"/>
  <c r="X98" i="60818" s="1"/>
  <c r="CQ202" i="60819"/>
  <c r="Y98" i="60818" s="1"/>
  <c r="CR202" i="60819"/>
  <c r="Z98" i="60818" s="1"/>
  <c r="CS202" i="60819"/>
  <c r="AA98" i="60818" s="1"/>
  <c r="CT202" i="60819"/>
  <c r="AB98" i="60818" s="1"/>
  <c r="CU202" i="60819"/>
  <c r="AC98" i="60818" s="1"/>
  <c r="CV202" i="60819"/>
  <c r="AD98" i="60818" s="1"/>
  <c r="CW202" i="60819"/>
  <c r="AE98" i="60818" s="1"/>
  <c r="CX202" i="60819"/>
  <c r="AF98" i="60818" s="1"/>
  <c r="CY202" i="60819"/>
  <c r="AG98" i="60818" s="1"/>
  <c r="BU203" i="60819"/>
  <c r="C99" i="60818" s="1"/>
  <c r="BV203" i="60819"/>
  <c r="BW203"/>
  <c r="E99" i="60818" s="1"/>
  <c r="BX203" i="60819"/>
  <c r="F99" i="60818" s="1"/>
  <c r="BY203" i="60819"/>
  <c r="G99" i="60818" s="1"/>
  <c r="BZ203" i="60819"/>
  <c r="H99" i="60818" s="1"/>
  <c r="CA203" i="60819"/>
  <c r="I99" i="60818" s="1"/>
  <c r="CB203" i="60819"/>
  <c r="J99" i="60818" s="1"/>
  <c r="CC203" i="60819"/>
  <c r="K99" i="60818" s="1"/>
  <c r="CD203" i="60819"/>
  <c r="L99" i="60818" s="1"/>
  <c r="CE203" i="60819"/>
  <c r="M99" i="60818" s="1"/>
  <c r="CF203" i="60819"/>
  <c r="N99" i="60818" s="1"/>
  <c r="CG203" i="60819"/>
  <c r="O99" i="60818" s="1"/>
  <c r="CH203" i="60819"/>
  <c r="P99" i="60818" s="1"/>
  <c r="CI203" i="60819"/>
  <c r="Q99" i="60818" s="1"/>
  <c r="CJ203" i="60819"/>
  <c r="R99" i="60818" s="1"/>
  <c r="CK203" i="60819"/>
  <c r="S99" i="60818" s="1"/>
  <c r="CL203" i="60819"/>
  <c r="T99" i="60818" s="1"/>
  <c r="CM203" i="60819"/>
  <c r="U99" i="60818" s="1"/>
  <c r="CN203" i="60819"/>
  <c r="V99" i="60818" s="1"/>
  <c r="CO203" i="60819"/>
  <c r="W99" i="60818" s="1"/>
  <c r="CP203" i="60819"/>
  <c r="X99" i="60818" s="1"/>
  <c r="CQ203" i="60819"/>
  <c r="Y99" i="60818" s="1"/>
  <c r="CR203" i="60819"/>
  <c r="Z99" i="60818" s="1"/>
  <c r="CS203" i="60819"/>
  <c r="AA99" i="60818" s="1"/>
  <c r="CT203" i="60819"/>
  <c r="AB99" i="60818" s="1"/>
  <c r="CU203" i="60819"/>
  <c r="AC99" i="60818" s="1"/>
  <c r="CV203" i="60819"/>
  <c r="AD99" i="60818" s="1"/>
  <c r="CW203" i="60819"/>
  <c r="AE99" i="60818" s="1"/>
  <c r="CX203" i="60819"/>
  <c r="AF99" i="60818" s="1"/>
  <c r="CY203" i="60819"/>
  <c r="AG99" i="60818" s="1"/>
  <c r="BU204" i="60819"/>
  <c r="C100" i="60818" s="1"/>
  <c r="BV204" i="60819"/>
  <c r="D100" i="60818" s="1"/>
  <c r="BW204" i="60819"/>
  <c r="E100" i="60818" s="1"/>
  <c r="BX204" i="60819"/>
  <c r="F100" i="60818" s="1"/>
  <c r="BY204" i="60819"/>
  <c r="G100" i="60818" s="1"/>
  <c r="BZ204" i="60819"/>
  <c r="H100" i="60818" s="1"/>
  <c r="CA204" i="60819"/>
  <c r="I100" i="60818" s="1"/>
  <c r="CB204" i="60819"/>
  <c r="J100" i="60818" s="1"/>
  <c r="CC204" i="60819"/>
  <c r="K100" i="60818" s="1"/>
  <c r="CD204" i="60819"/>
  <c r="L100" i="60818" s="1"/>
  <c r="CE204" i="60819"/>
  <c r="M100" i="60818" s="1"/>
  <c r="CF204" i="60819"/>
  <c r="N100" i="60818" s="1"/>
  <c r="CG204" i="60819"/>
  <c r="O100" i="60818" s="1"/>
  <c r="CH204" i="60819"/>
  <c r="P100" i="60818" s="1"/>
  <c r="CI204" i="60819"/>
  <c r="Q100" i="60818" s="1"/>
  <c r="CJ204" i="60819"/>
  <c r="R100" i="60818" s="1"/>
  <c r="CK204" i="60819"/>
  <c r="S100" i="60818" s="1"/>
  <c r="CL204" i="60819"/>
  <c r="T100" i="60818" s="1"/>
  <c r="CM204" i="60819"/>
  <c r="U100" i="60818" s="1"/>
  <c r="CN204" i="60819"/>
  <c r="V100" i="60818" s="1"/>
  <c r="CO204" i="60819"/>
  <c r="W100" i="60818" s="1"/>
  <c r="CP204" i="60819"/>
  <c r="X100" i="60818" s="1"/>
  <c r="CQ204" i="60819"/>
  <c r="Y100" i="60818" s="1"/>
  <c r="CR204" i="60819"/>
  <c r="Z100" i="60818" s="1"/>
  <c r="CS204" i="60819"/>
  <c r="AA100" i="60818" s="1"/>
  <c r="CT204" i="60819"/>
  <c r="AB100" i="60818" s="1"/>
  <c r="CU204" i="60819"/>
  <c r="AC100" i="60818" s="1"/>
  <c r="CV204" i="60819"/>
  <c r="AD100" i="60818" s="1"/>
  <c r="CW204" i="60819"/>
  <c r="AE100" i="60818" s="1"/>
  <c r="CX204" i="60819"/>
  <c r="AF100" i="60818" s="1"/>
  <c r="CY204" i="60819"/>
  <c r="AG100" i="60818" s="1"/>
  <c r="BU205" i="60819"/>
  <c r="C101" i="60818" s="1"/>
  <c r="BV205" i="60819"/>
  <c r="D101" i="60818" s="1"/>
  <c r="BW205" i="60819"/>
  <c r="E101" i="60818" s="1"/>
  <c r="BX205" i="60819"/>
  <c r="F101" i="60818" s="1"/>
  <c r="BY205" i="60819"/>
  <c r="G101" i="60818" s="1"/>
  <c r="BZ205" i="60819"/>
  <c r="H101" i="60818" s="1"/>
  <c r="CA205" i="60819"/>
  <c r="I101" i="60818" s="1"/>
  <c r="CB205" i="60819"/>
  <c r="J101" i="60818" s="1"/>
  <c r="CC205" i="60819"/>
  <c r="K101" i="60818" s="1"/>
  <c r="CD205" i="60819"/>
  <c r="L101" i="60818" s="1"/>
  <c r="CE205" i="60819"/>
  <c r="M101" i="60818" s="1"/>
  <c r="CF205" i="60819"/>
  <c r="N101" i="60818" s="1"/>
  <c r="CG205" i="60819"/>
  <c r="O101" i="60818" s="1"/>
  <c r="CH205" i="60819"/>
  <c r="P101" i="60818" s="1"/>
  <c r="CI205" i="60819"/>
  <c r="Q101" i="60818" s="1"/>
  <c r="CJ205" i="60819"/>
  <c r="R101" i="60818" s="1"/>
  <c r="CK205" i="60819"/>
  <c r="S101" i="60818" s="1"/>
  <c r="CL205" i="60819"/>
  <c r="T101" i="60818" s="1"/>
  <c r="CM205" i="60819"/>
  <c r="U101" i="60818" s="1"/>
  <c r="CN205" i="60819"/>
  <c r="V101" i="60818" s="1"/>
  <c r="CO205" i="60819"/>
  <c r="W101" i="60818" s="1"/>
  <c r="CP205" i="60819"/>
  <c r="X101" i="60818" s="1"/>
  <c r="CQ205" i="60819"/>
  <c r="Y101" i="60818" s="1"/>
  <c r="CR205" i="60819"/>
  <c r="Z101" i="60818" s="1"/>
  <c r="CS205" i="60819"/>
  <c r="AA101" i="60818" s="1"/>
  <c r="CT205" i="60819"/>
  <c r="AB101" i="60818" s="1"/>
  <c r="CU205" i="60819"/>
  <c r="AC101" i="60818" s="1"/>
  <c r="CV205" i="60819"/>
  <c r="AD101" i="60818" s="1"/>
  <c r="CW205" i="60819"/>
  <c r="AE101" i="60818" s="1"/>
  <c r="CX205" i="60819"/>
  <c r="AF101" i="60818" s="1"/>
  <c r="CY205" i="60819"/>
  <c r="AG101" i="60818" s="1"/>
  <c r="BU206" i="60819"/>
  <c r="C102" i="60818" s="1"/>
  <c r="BV206" i="60819"/>
  <c r="D102" i="60818" s="1"/>
  <c r="BW206" i="60819"/>
  <c r="E102" i="60818" s="1"/>
  <c r="BX206" i="60819"/>
  <c r="F102" i="60818" s="1"/>
  <c r="BY206" i="60819"/>
  <c r="G102" i="60818" s="1"/>
  <c r="BZ206" i="60819"/>
  <c r="H102" i="60818" s="1"/>
  <c r="CA206" i="60819"/>
  <c r="I102" i="60818" s="1"/>
  <c r="CB206" i="60819"/>
  <c r="J102" i="60818" s="1"/>
  <c r="CC206" i="60819"/>
  <c r="K102" i="60818" s="1"/>
  <c r="CD206" i="60819"/>
  <c r="L102" i="60818" s="1"/>
  <c r="CE206" i="60819"/>
  <c r="M102" i="60818" s="1"/>
  <c r="CF206" i="60819"/>
  <c r="N102" i="60818" s="1"/>
  <c r="CG206" i="60819"/>
  <c r="O102" i="60818" s="1"/>
  <c r="CH206" i="60819"/>
  <c r="P102" i="60818" s="1"/>
  <c r="CI206" i="60819"/>
  <c r="Q102" i="60818" s="1"/>
  <c r="CJ206" i="60819"/>
  <c r="R102" i="60818" s="1"/>
  <c r="CK206" i="60819"/>
  <c r="S102" i="60818" s="1"/>
  <c r="CL206" i="60819"/>
  <c r="T102" i="60818" s="1"/>
  <c r="CM206" i="60819"/>
  <c r="U102" i="60818" s="1"/>
  <c r="CN206" i="60819"/>
  <c r="V102" i="60818" s="1"/>
  <c r="CO206" i="60819"/>
  <c r="W102" i="60818" s="1"/>
  <c r="CP206" i="60819"/>
  <c r="X102" i="60818" s="1"/>
  <c r="CQ206" i="60819"/>
  <c r="Y102" i="60818" s="1"/>
  <c r="CR206" i="60819"/>
  <c r="Z102" i="60818" s="1"/>
  <c r="CS206" i="60819"/>
  <c r="AA102" i="60818" s="1"/>
  <c r="CT206" i="60819"/>
  <c r="AB102" i="60818" s="1"/>
  <c r="CU206" i="60819"/>
  <c r="AC102" i="60818" s="1"/>
  <c r="CV206" i="60819"/>
  <c r="AD102" i="60818" s="1"/>
  <c r="CW206" i="60819"/>
  <c r="AE102" i="60818" s="1"/>
  <c r="CX206" i="60819"/>
  <c r="AF102" i="60818" s="1"/>
  <c r="CY206" i="60819"/>
  <c r="AG102" i="60818" s="1"/>
  <c r="BU207" i="60819"/>
  <c r="C103" i="60818" s="1"/>
  <c r="BV207" i="60819"/>
  <c r="BW207"/>
  <c r="E103" i="60818" s="1"/>
  <c r="BX207" i="60819"/>
  <c r="F103" i="60818" s="1"/>
  <c r="BY207" i="60819"/>
  <c r="G103" i="60818" s="1"/>
  <c r="BZ207" i="60819"/>
  <c r="H103" i="60818" s="1"/>
  <c r="CA207" i="60819"/>
  <c r="I103" i="60818" s="1"/>
  <c r="CB207" i="60819"/>
  <c r="J103" i="60818" s="1"/>
  <c r="CC207" i="60819"/>
  <c r="K103" i="60818" s="1"/>
  <c r="CD207" i="60819"/>
  <c r="L103" i="60818" s="1"/>
  <c r="CE207" i="60819"/>
  <c r="M103" i="60818" s="1"/>
  <c r="CF207" i="60819"/>
  <c r="N103" i="60818" s="1"/>
  <c r="CG207" i="60819"/>
  <c r="O103" i="60818" s="1"/>
  <c r="CH207" i="60819"/>
  <c r="P103" i="60818" s="1"/>
  <c r="CI207" i="60819"/>
  <c r="Q103" i="60818" s="1"/>
  <c r="CJ207" i="60819"/>
  <c r="R103" i="60818" s="1"/>
  <c r="CK207" i="60819"/>
  <c r="S103" i="60818" s="1"/>
  <c r="CL207" i="60819"/>
  <c r="T103" i="60818" s="1"/>
  <c r="CM207" i="60819"/>
  <c r="U103" i="60818" s="1"/>
  <c r="CN207" i="60819"/>
  <c r="V103" i="60818" s="1"/>
  <c r="CO207" i="60819"/>
  <c r="W103" i="60818" s="1"/>
  <c r="CP207" i="60819"/>
  <c r="X103" i="60818" s="1"/>
  <c r="CQ207" i="60819"/>
  <c r="Y103" i="60818" s="1"/>
  <c r="CR207" i="60819"/>
  <c r="Z103" i="60818" s="1"/>
  <c r="CS207" i="60819"/>
  <c r="AA103" i="60818" s="1"/>
  <c r="CT207" i="60819"/>
  <c r="AB103" i="60818" s="1"/>
  <c r="CU207" i="60819"/>
  <c r="AC103" i="60818" s="1"/>
  <c r="CV207" i="60819"/>
  <c r="AD103" i="60818" s="1"/>
  <c r="CW207" i="60819"/>
  <c r="AE103" i="60818" s="1"/>
  <c r="CX207" i="60819"/>
  <c r="AF103" i="60818" s="1"/>
  <c r="CY207" i="60819"/>
  <c r="AG103" i="60818" s="1"/>
  <c r="BU208" i="60819"/>
  <c r="C104" i="60818" s="1"/>
  <c r="BV208" i="60819"/>
  <c r="D104" i="60818" s="1"/>
  <c r="BW208" i="60819"/>
  <c r="E104" i="60818" s="1"/>
  <c r="BX208" i="60819"/>
  <c r="F104" i="60818" s="1"/>
  <c r="BY208" i="60819"/>
  <c r="G104" i="60818" s="1"/>
  <c r="BZ208" i="60819"/>
  <c r="H104" i="60818" s="1"/>
  <c r="CA208" i="60819"/>
  <c r="I104" i="60818" s="1"/>
  <c r="CB208" i="60819"/>
  <c r="J104" i="60818" s="1"/>
  <c r="CC208" i="60819"/>
  <c r="K104" i="60818" s="1"/>
  <c r="CD208" i="60819"/>
  <c r="L104" i="60818" s="1"/>
  <c r="CE208" i="60819"/>
  <c r="M104" i="60818" s="1"/>
  <c r="CF208" i="60819"/>
  <c r="N104" i="60818" s="1"/>
  <c r="CG208" i="60819"/>
  <c r="O104" i="60818" s="1"/>
  <c r="CH208" i="60819"/>
  <c r="P104" i="60818" s="1"/>
  <c r="CI208" i="60819"/>
  <c r="Q104" i="60818" s="1"/>
  <c r="CJ208" i="60819"/>
  <c r="R104" i="60818" s="1"/>
  <c r="CK208" i="60819"/>
  <c r="S104" i="60818" s="1"/>
  <c r="CL208" i="60819"/>
  <c r="T104" i="60818" s="1"/>
  <c r="CM208" i="60819"/>
  <c r="U104" i="60818" s="1"/>
  <c r="CN208" i="60819"/>
  <c r="V104" i="60818" s="1"/>
  <c r="CO208" i="60819"/>
  <c r="W104" i="60818" s="1"/>
  <c r="CP208" i="60819"/>
  <c r="X104" i="60818" s="1"/>
  <c r="CQ208" i="60819"/>
  <c r="Y104" i="60818" s="1"/>
  <c r="CR208" i="60819"/>
  <c r="Z104" i="60818" s="1"/>
  <c r="CS208" i="60819"/>
  <c r="AA104" i="60818" s="1"/>
  <c r="CT208" i="60819"/>
  <c r="AB104" i="60818" s="1"/>
  <c r="CU208" i="60819"/>
  <c r="AC104" i="60818" s="1"/>
  <c r="CV208" i="60819"/>
  <c r="AD104" i="60818" s="1"/>
  <c r="CW208" i="60819"/>
  <c r="AE104" i="60818" s="1"/>
  <c r="CX208" i="60819"/>
  <c r="AF104" i="60818" s="1"/>
  <c r="CY208" i="60819"/>
  <c r="AG104" i="60818" s="1"/>
  <c r="BV197" i="60819"/>
  <c r="D93" i="60818" s="1"/>
  <c r="BW197" i="60819"/>
  <c r="E93" i="60818" s="1"/>
  <c r="BX197" i="60819"/>
  <c r="F93" i="60818" s="1"/>
  <c r="BY197" i="60819"/>
  <c r="G93" i="60818" s="1"/>
  <c r="BZ197" i="60819"/>
  <c r="H93" i="60818" s="1"/>
  <c r="CA197" i="60819"/>
  <c r="I93" i="60818" s="1"/>
  <c r="CB197" i="60819"/>
  <c r="J93" i="60818" s="1"/>
  <c r="CC197" i="60819"/>
  <c r="K93" i="60818" s="1"/>
  <c r="CD197" i="60819"/>
  <c r="L93" i="60818" s="1"/>
  <c r="CE197" i="60819"/>
  <c r="M93" i="60818" s="1"/>
  <c r="CF197" i="60819"/>
  <c r="N93" i="60818" s="1"/>
  <c r="CG197" i="60819"/>
  <c r="O93" i="60818" s="1"/>
  <c r="CH197" i="60819"/>
  <c r="P93" i="60818" s="1"/>
  <c r="CI197" i="60819"/>
  <c r="Q93" i="60818" s="1"/>
  <c r="CJ197" i="60819"/>
  <c r="R93" i="60818" s="1"/>
  <c r="CK197" i="60819"/>
  <c r="S93" i="60818" s="1"/>
  <c r="CL197" i="60819"/>
  <c r="T93" i="60818" s="1"/>
  <c r="CM197" i="60819"/>
  <c r="U93" i="60818" s="1"/>
  <c r="CN197" i="60819"/>
  <c r="V93" i="60818" s="1"/>
  <c r="CO197" i="60819"/>
  <c r="W93" i="60818" s="1"/>
  <c r="CP197" i="60819"/>
  <c r="X93" i="60818" s="1"/>
  <c r="CQ197" i="60819"/>
  <c r="Y93" i="60818" s="1"/>
  <c r="CR197" i="60819"/>
  <c r="Z93" i="60818" s="1"/>
  <c r="CS197" i="60819"/>
  <c r="AA93" i="60818" s="1"/>
  <c r="CT197" i="60819"/>
  <c r="AB93" i="60818" s="1"/>
  <c r="CU197" i="60819"/>
  <c r="AC93" i="60818" s="1"/>
  <c r="CV197" i="60819"/>
  <c r="AD93" i="60818" s="1"/>
  <c r="CW197" i="60819"/>
  <c r="AE93" i="60818" s="1"/>
  <c r="CX197" i="60819"/>
  <c r="AF93" i="60818" s="1"/>
  <c r="CY197" i="60819"/>
  <c r="AG93" i="60818" s="1"/>
  <c r="BU197" i="60819"/>
  <c r="C93" i="60818" s="1"/>
  <c r="AH5" i="60819"/>
  <c r="B5" s="1"/>
  <c r="BQ5"/>
  <c r="AK5" s="1"/>
  <c r="CZ5"/>
  <c r="BT5" s="1"/>
  <c r="EI5"/>
  <c r="DC5" s="1"/>
  <c r="FR5"/>
  <c r="EL5" s="1"/>
  <c r="AH6"/>
  <c r="B6" s="1"/>
  <c r="BQ6"/>
  <c r="AK6" s="1"/>
  <c r="CZ6"/>
  <c r="BT6" s="1"/>
  <c r="EI6"/>
  <c r="AH7"/>
  <c r="B7" s="1"/>
  <c r="BQ7"/>
  <c r="AK7" s="1"/>
  <c r="CZ7"/>
  <c r="BT7" s="1"/>
  <c r="EI7"/>
  <c r="DC7" s="1"/>
  <c r="FR7"/>
  <c r="EL7" s="1"/>
  <c r="AH8"/>
  <c r="B8" s="1"/>
  <c r="BQ8"/>
  <c r="AK8" s="1"/>
  <c r="CZ8"/>
  <c r="BT8" s="1"/>
  <c r="EI8"/>
  <c r="DC8" s="1"/>
  <c r="FR8"/>
  <c r="EL8" s="1"/>
  <c r="AH9"/>
  <c r="B9" s="1"/>
  <c r="BQ9"/>
  <c r="AK9" s="1"/>
  <c r="CZ9"/>
  <c r="BT9" s="1"/>
  <c r="EI9"/>
  <c r="DC9" s="1"/>
  <c r="FR9"/>
  <c r="EL9" s="1"/>
  <c r="AH10"/>
  <c r="B10" s="1"/>
  <c r="BQ10"/>
  <c r="AK10" s="1"/>
  <c r="CZ10"/>
  <c r="BT10" s="1"/>
  <c r="EI10"/>
  <c r="DC10" s="1"/>
  <c r="FR10"/>
  <c r="EL10" s="1"/>
  <c r="AH11"/>
  <c r="B11" s="1"/>
  <c r="BQ11"/>
  <c r="AK11" s="1"/>
  <c r="CZ11"/>
  <c r="BT11" s="1"/>
  <c r="EI11"/>
  <c r="DC11" s="1"/>
  <c r="FR11"/>
  <c r="EL11" s="1"/>
  <c r="AH12"/>
  <c r="B12" s="1"/>
  <c r="BQ12"/>
  <c r="AK12" s="1"/>
  <c r="CZ12"/>
  <c r="BT12" s="1"/>
  <c r="EI12"/>
  <c r="DC12" s="1"/>
  <c r="FR12"/>
  <c r="EL12" s="1"/>
  <c r="AH13"/>
  <c r="B13" s="1"/>
  <c r="BQ13"/>
  <c r="AK13" s="1"/>
  <c r="CZ13"/>
  <c r="BT13" s="1"/>
  <c r="EI13"/>
  <c r="DC13" s="1"/>
  <c r="FR13"/>
  <c r="EL13" s="1"/>
  <c r="AH14"/>
  <c r="B14" s="1"/>
  <c r="BQ14"/>
  <c r="AK14" s="1"/>
  <c r="CZ14"/>
  <c r="BT14" s="1"/>
  <c r="EI14"/>
  <c r="DC14" s="1"/>
  <c r="FR14"/>
  <c r="EL14" s="1"/>
  <c r="AH15"/>
  <c r="B15" s="1"/>
  <c r="BQ15"/>
  <c r="AK15" s="1"/>
  <c r="CZ15"/>
  <c r="BT15" s="1"/>
  <c r="EI15"/>
  <c r="DC15" s="1"/>
  <c r="FR15"/>
  <c r="EL15" s="1"/>
  <c r="AH16"/>
  <c r="B16" s="1"/>
  <c r="BQ16"/>
  <c r="AK16" s="1"/>
  <c r="CZ16"/>
  <c r="BT16" s="1"/>
  <c r="EI16"/>
  <c r="DC16" s="1"/>
  <c r="FR16"/>
  <c r="EL16" s="1"/>
  <c r="C17"/>
  <c r="D17"/>
  <c r="E17"/>
  <c r="F17"/>
  <c r="G17"/>
  <c r="H17"/>
  <c r="I17"/>
  <c r="J17"/>
  <c r="K17"/>
  <c r="L17"/>
  <c r="M17"/>
  <c r="N17"/>
  <c r="O17"/>
  <c r="P17"/>
  <c r="Q17"/>
  <c r="R17"/>
  <c r="S17"/>
  <c r="T17"/>
  <c r="U17"/>
  <c r="V17"/>
  <c r="W17"/>
  <c r="X17"/>
  <c r="Y17"/>
  <c r="Z17"/>
  <c r="AA17"/>
  <c r="AB17"/>
  <c r="AC17"/>
  <c r="AD17"/>
  <c r="AE17"/>
  <c r="AF17"/>
  <c r="AG17"/>
  <c r="AL17"/>
  <c r="AM17"/>
  <c r="AN17"/>
  <c r="AO17"/>
  <c r="AP17"/>
  <c r="AQ17"/>
  <c r="AR17"/>
  <c r="AS17"/>
  <c r="AT17"/>
  <c r="AU17"/>
  <c r="AV17"/>
  <c r="AW17"/>
  <c r="AX17"/>
  <c r="AY17"/>
  <c r="AZ17"/>
  <c r="BA17"/>
  <c r="BB17"/>
  <c r="BC17"/>
  <c r="BD17"/>
  <c r="BE17"/>
  <c r="BF17"/>
  <c r="BG17"/>
  <c r="BH17"/>
  <c r="BI17"/>
  <c r="BJ17"/>
  <c r="BK17"/>
  <c r="BL17"/>
  <c r="BM17"/>
  <c r="BN17"/>
  <c r="BO17"/>
  <c r="BP17"/>
  <c r="BU17"/>
  <c r="BV17"/>
  <c r="BW17"/>
  <c r="BX17"/>
  <c r="BY17"/>
  <c r="BZ17"/>
  <c r="CA17"/>
  <c r="CB17"/>
  <c r="CC17"/>
  <c r="CC209" s="1"/>
  <c r="CD17"/>
  <c r="CE17"/>
  <c r="CF17"/>
  <c r="CG17"/>
  <c r="CG209" s="1"/>
  <c r="CH17"/>
  <c r="CI17"/>
  <c r="CJ17"/>
  <c r="CK17"/>
  <c r="CL17"/>
  <c r="CM17"/>
  <c r="CN17"/>
  <c r="CO17"/>
  <c r="CP17"/>
  <c r="CQ17"/>
  <c r="CR17"/>
  <c r="CS17"/>
  <c r="CS209" s="1"/>
  <c r="CT17"/>
  <c r="CU17"/>
  <c r="CV17"/>
  <c r="CW17"/>
  <c r="CW209" s="1"/>
  <c r="CX17"/>
  <c r="CY17"/>
  <c r="CZ17"/>
  <c r="DD17"/>
  <c r="DE17"/>
  <c r="DF17"/>
  <c r="DG17"/>
  <c r="DH17"/>
  <c r="DI17"/>
  <c r="DJ17"/>
  <c r="DK17"/>
  <c r="DL17"/>
  <c r="DM17"/>
  <c r="DN17"/>
  <c r="DO17"/>
  <c r="DP17"/>
  <c r="DQ17"/>
  <c r="DR17"/>
  <c r="DS17"/>
  <c r="DT17"/>
  <c r="DU17"/>
  <c r="DV17"/>
  <c r="DW17"/>
  <c r="DX17"/>
  <c r="DY17"/>
  <c r="DZ17"/>
  <c r="EA17"/>
  <c r="EB17"/>
  <c r="EC17"/>
  <c r="ED17"/>
  <c r="EE17"/>
  <c r="EF17"/>
  <c r="EG17"/>
  <c r="EH17"/>
  <c r="EM17"/>
  <c r="EN17"/>
  <c r="EO17"/>
  <c r="EP17"/>
  <c r="EQ17"/>
  <c r="ER17"/>
  <c r="ES17"/>
  <c r="ET17"/>
  <c r="EU17"/>
  <c r="EV17"/>
  <c r="EW17"/>
  <c r="EX17"/>
  <c r="EY17"/>
  <c r="EZ17"/>
  <c r="FA17"/>
  <c r="FB17"/>
  <c r="FC17"/>
  <c r="FD17"/>
  <c r="FE17"/>
  <c r="FF17"/>
  <c r="FG17"/>
  <c r="FH17"/>
  <c r="FI17"/>
  <c r="FJ17"/>
  <c r="FK17"/>
  <c r="FL17"/>
  <c r="FM17"/>
  <c r="FN17"/>
  <c r="FO17"/>
  <c r="FP17"/>
  <c r="FQ17"/>
  <c r="AH21"/>
  <c r="B21" s="1"/>
  <c r="BQ21"/>
  <c r="AK21" s="1"/>
  <c r="CZ21"/>
  <c r="BT21" s="1"/>
  <c r="EI21"/>
  <c r="DC21" s="1"/>
  <c r="EM21"/>
  <c r="EN21"/>
  <c r="D170" i="60818" s="1"/>
  <c r="EO21" i="60819"/>
  <c r="E170" i="60818" s="1"/>
  <c r="EP21" i="60819"/>
  <c r="F170" i="60818" s="1"/>
  <c r="EQ21" i="60819"/>
  <c r="G170" i="60818" s="1"/>
  <c r="ER21" i="60819"/>
  <c r="H170" i="60818" s="1"/>
  <c r="ES21" i="60819"/>
  <c r="I170" i="60818" s="1"/>
  <c r="ET21" i="60819"/>
  <c r="J170" i="60818" s="1"/>
  <c r="EU21" i="60819"/>
  <c r="K170" i="60818" s="1"/>
  <c r="EV21" i="60819"/>
  <c r="L170" i="60818" s="1"/>
  <c r="EW21" i="60819"/>
  <c r="M170" i="60818" s="1"/>
  <c r="EX21" i="60819"/>
  <c r="N170" i="60818" s="1"/>
  <c r="EY21" i="60819"/>
  <c r="O170" i="60818" s="1"/>
  <c r="EZ21" i="60819"/>
  <c r="P170" i="60818" s="1"/>
  <c r="FA21" i="60819"/>
  <c r="Q170" i="60818" s="1"/>
  <c r="FB21" i="60819"/>
  <c r="R170" i="60818" s="1"/>
  <c r="FC21" i="60819"/>
  <c r="S170" i="60818" s="1"/>
  <c r="FD21" i="60819"/>
  <c r="T170" i="60818" s="1"/>
  <c r="FE21" i="60819"/>
  <c r="U170" i="60818" s="1"/>
  <c r="FF21" i="60819"/>
  <c r="V170" i="60818" s="1"/>
  <c r="FG21" i="60819"/>
  <c r="W170" i="60818" s="1"/>
  <c r="FH21" i="60819"/>
  <c r="X170" i="60818" s="1"/>
  <c r="FI21" i="60819"/>
  <c r="Y170" i="60818" s="1"/>
  <c r="FJ21" i="60819"/>
  <c r="Z170" i="60818" s="1"/>
  <c r="FK21" i="60819"/>
  <c r="AA170" i="60818" s="1"/>
  <c r="FL21" i="60819"/>
  <c r="AB170" i="60818" s="1"/>
  <c r="FM21" i="60819"/>
  <c r="AC170" i="60818" s="1"/>
  <c r="FN21" i="60819"/>
  <c r="AD170" i="60818" s="1"/>
  <c r="FO21" i="60819"/>
  <c r="AE170" i="60818" s="1"/>
  <c r="FP21" i="60819"/>
  <c r="AF170" i="60818" s="1"/>
  <c r="FQ21" i="60819"/>
  <c r="AG170" i="60818" s="1"/>
  <c r="AH22" i="60819"/>
  <c r="B22" s="1"/>
  <c r="BQ22"/>
  <c r="AK22" s="1"/>
  <c r="CZ22"/>
  <c r="BT22" s="1"/>
  <c r="EI22"/>
  <c r="DC22" s="1"/>
  <c r="EM22"/>
  <c r="EN22"/>
  <c r="D171" i="60818" s="1"/>
  <c r="EO22" i="60819"/>
  <c r="E171" i="60818" s="1"/>
  <c r="EP22" i="60819"/>
  <c r="F171" i="60818" s="1"/>
  <c r="EQ22" i="60819"/>
  <c r="G171" i="60818" s="1"/>
  <c r="ER22" i="60819"/>
  <c r="H171" i="60818" s="1"/>
  <c r="ES22" i="60819"/>
  <c r="I171" i="60818" s="1"/>
  <c r="ET22" i="60819"/>
  <c r="J171" i="60818" s="1"/>
  <c r="EU22" i="60819"/>
  <c r="K171" i="60818" s="1"/>
  <c r="EV22" i="60819"/>
  <c r="L171" i="60818" s="1"/>
  <c r="EW22" i="60819"/>
  <c r="M171" i="60818" s="1"/>
  <c r="EX22" i="60819"/>
  <c r="N171" i="60818" s="1"/>
  <c r="EY22" i="60819"/>
  <c r="O171" i="60818" s="1"/>
  <c r="EZ22" i="60819"/>
  <c r="P171" i="60818" s="1"/>
  <c r="FA22" i="60819"/>
  <c r="Q171" i="60818" s="1"/>
  <c r="FB22" i="60819"/>
  <c r="R171" i="60818" s="1"/>
  <c r="FC22" i="60819"/>
  <c r="S171" i="60818" s="1"/>
  <c r="FD22" i="60819"/>
  <c r="T171" i="60818" s="1"/>
  <c r="FE22" i="60819"/>
  <c r="U171" i="60818" s="1"/>
  <c r="FF22" i="60819"/>
  <c r="V171" i="60818" s="1"/>
  <c r="FG22" i="60819"/>
  <c r="W171" i="60818" s="1"/>
  <c r="FH22" i="60819"/>
  <c r="X171" i="60818" s="1"/>
  <c r="FI22" i="60819"/>
  <c r="Y171" i="60818" s="1"/>
  <c r="FJ22" i="60819"/>
  <c r="Z171" i="60818" s="1"/>
  <c r="FK22" i="60819"/>
  <c r="AA171" i="60818" s="1"/>
  <c r="FL22" i="60819"/>
  <c r="AB171" i="60818" s="1"/>
  <c r="FM22" i="60819"/>
  <c r="AC171" i="60818" s="1"/>
  <c r="FN22" i="60819"/>
  <c r="AD171" i="60818" s="1"/>
  <c r="FO22" i="60819"/>
  <c r="AE171" i="60818" s="1"/>
  <c r="FP22" i="60819"/>
  <c r="AF171" i="60818" s="1"/>
  <c r="FQ22" i="60819"/>
  <c r="AG171" i="60818" s="1"/>
  <c r="AH23" i="60819"/>
  <c r="B23" s="1"/>
  <c r="BQ23"/>
  <c r="AK23" s="1"/>
  <c r="CZ23"/>
  <c r="BT23" s="1"/>
  <c r="EI23"/>
  <c r="DC23" s="1"/>
  <c r="EM23"/>
  <c r="EN23"/>
  <c r="D172" i="60818" s="1"/>
  <c r="EO23" i="60819"/>
  <c r="E172" i="60818" s="1"/>
  <c r="EP23" i="60819"/>
  <c r="F172" i="60818" s="1"/>
  <c r="EQ23" i="60819"/>
  <c r="G172" i="60818" s="1"/>
  <c r="ER23" i="60819"/>
  <c r="H172" i="60818" s="1"/>
  <c r="ES23" i="60819"/>
  <c r="I172" i="60818" s="1"/>
  <c r="ET23" i="60819"/>
  <c r="J172" i="60818" s="1"/>
  <c r="EU23" i="60819"/>
  <c r="K172" i="60818" s="1"/>
  <c r="EV23" i="60819"/>
  <c r="L172" i="60818" s="1"/>
  <c r="EW23" i="60819"/>
  <c r="M172" i="60818" s="1"/>
  <c r="EX23" i="60819"/>
  <c r="N172" i="60818" s="1"/>
  <c r="EY23" i="60819"/>
  <c r="O172" i="60818" s="1"/>
  <c r="EZ23" i="60819"/>
  <c r="P172" i="60818" s="1"/>
  <c r="FA23" i="60819"/>
  <c r="Q172" i="60818" s="1"/>
  <c r="FB23" i="60819"/>
  <c r="R172" i="60818" s="1"/>
  <c r="FC23" i="60819"/>
  <c r="S172" i="60818" s="1"/>
  <c r="FD23" i="60819"/>
  <c r="T172" i="60818" s="1"/>
  <c r="FE23" i="60819"/>
  <c r="U172" i="60818" s="1"/>
  <c r="FF23" i="60819"/>
  <c r="V172" i="60818" s="1"/>
  <c r="FG23" i="60819"/>
  <c r="W172" i="60818" s="1"/>
  <c r="FH23" i="60819"/>
  <c r="X172" i="60818" s="1"/>
  <c r="FI23" i="60819"/>
  <c r="Y172" i="60818" s="1"/>
  <c r="FJ23" i="60819"/>
  <c r="Z172" i="60818" s="1"/>
  <c r="FK23" i="60819"/>
  <c r="AA172" i="60818" s="1"/>
  <c r="FL23" i="60819"/>
  <c r="AB172" i="60818" s="1"/>
  <c r="FM23" i="60819"/>
  <c r="AC172" i="60818" s="1"/>
  <c r="FN23" i="60819"/>
  <c r="AD172" i="60818" s="1"/>
  <c r="FO23" i="60819"/>
  <c r="AE172" i="60818" s="1"/>
  <c r="FP23" i="60819"/>
  <c r="AF172" i="60818" s="1"/>
  <c r="FQ23" i="60819"/>
  <c r="AG172" i="60818" s="1"/>
  <c r="AH24" i="60819"/>
  <c r="B24" s="1"/>
  <c r="BQ24"/>
  <c r="AK24" s="1"/>
  <c r="CZ24"/>
  <c r="BT24" s="1"/>
  <c r="EI24"/>
  <c r="DC24" s="1"/>
  <c r="EM24"/>
  <c r="C173" i="60818" s="1"/>
  <c r="EN24" i="60819"/>
  <c r="D173" i="60818" s="1"/>
  <c r="EO24" i="60819"/>
  <c r="E173" i="60818" s="1"/>
  <c r="EP24" i="60819"/>
  <c r="F173" i="60818" s="1"/>
  <c r="EQ24" i="60819"/>
  <c r="G173" i="60818" s="1"/>
  <c r="ER24" i="60819"/>
  <c r="H173" i="60818" s="1"/>
  <c r="ES24" i="60819"/>
  <c r="I173" i="60818" s="1"/>
  <c r="ET24" i="60819"/>
  <c r="J173" i="60818" s="1"/>
  <c r="EU24" i="60819"/>
  <c r="K173" i="60818" s="1"/>
  <c r="EV24" i="60819"/>
  <c r="L173" i="60818" s="1"/>
  <c r="EW24" i="60819"/>
  <c r="M173" i="60818" s="1"/>
  <c r="EX24" i="60819"/>
  <c r="N173" i="60818" s="1"/>
  <c r="EY24" i="60819"/>
  <c r="O173" i="60818" s="1"/>
  <c r="EZ24" i="60819"/>
  <c r="P173" i="60818" s="1"/>
  <c r="FA24" i="60819"/>
  <c r="Q173" i="60818" s="1"/>
  <c r="FB24" i="60819"/>
  <c r="R173" i="60818" s="1"/>
  <c r="FC24" i="60819"/>
  <c r="S173" i="60818" s="1"/>
  <c r="FD24" i="60819"/>
  <c r="T173" i="60818" s="1"/>
  <c r="FE24" i="60819"/>
  <c r="U173" i="60818" s="1"/>
  <c r="FF24" i="60819"/>
  <c r="V173" i="60818" s="1"/>
  <c r="FG24" i="60819"/>
  <c r="W173" i="60818" s="1"/>
  <c r="FH24" i="60819"/>
  <c r="X173" i="60818" s="1"/>
  <c r="FI24" i="60819"/>
  <c r="Y173" i="60818" s="1"/>
  <c r="FJ24" i="60819"/>
  <c r="Z173" i="60818" s="1"/>
  <c r="FK24" i="60819"/>
  <c r="AA173" i="60818" s="1"/>
  <c r="FL24" i="60819"/>
  <c r="AB173" i="60818" s="1"/>
  <c r="FM24" i="60819"/>
  <c r="AC173" i="60818" s="1"/>
  <c r="FN24" i="60819"/>
  <c r="AD173" i="60818" s="1"/>
  <c r="FO24" i="60819"/>
  <c r="AE173" i="60818" s="1"/>
  <c r="FP24" i="60819"/>
  <c r="AF173" i="60818" s="1"/>
  <c r="FQ24" i="60819"/>
  <c r="AG173" i="60818" s="1"/>
  <c r="AH25" i="60819"/>
  <c r="B25" s="1"/>
  <c r="BQ25"/>
  <c r="AK25" s="1"/>
  <c r="CZ25"/>
  <c r="BT25" s="1"/>
  <c r="EI25"/>
  <c r="DC25" s="1"/>
  <c r="EM25"/>
  <c r="EN25"/>
  <c r="D174" i="60818" s="1"/>
  <c r="EO25" i="60819"/>
  <c r="E174" i="60818" s="1"/>
  <c r="EP25" i="60819"/>
  <c r="EQ25"/>
  <c r="ER25"/>
  <c r="H174" i="60818" s="1"/>
  <c r="ES25" i="60819"/>
  <c r="I174" i="60818" s="1"/>
  <c r="ET25" i="60819"/>
  <c r="EU25"/>
  <c r="EV25"/>
  <c r="L174" i="60818" s="1"/>
  <c r="EW25" i="60819"/>
  <c r="EX25"/>
  <c r="EY25"/>
  <c r="EZ25"/>
  <c r="P174" i="60818" s="1"/>
  <c r="FA25" i="60819"/>
  <c r="FB25"/>
  <c r="FC25"/>
  <c r="FD25"/>
  <c r="T174" i="60818" s="1"/>
  <c r="FE25" i="60819"/>
  <c r="U174" i="60818" s="1"/>
  <c r="FF25" i="60819"/>
  <c r="FG25"/>
  <c r="FH25"/>
  <c r="X174" i="60818" s="1"/>
  <c r="FI25" i="60819"/>
  <c r="Y174" i="60818" s="1"/>
  <c r="FJ25" i="60819"/>
  <c r="FK25"/>
  <c r="FL25"/>
  <c r="AB174" i="60818" s="1"/>
  <c r="FM25" i="60819"/>
  <c r="FN25"/>
  <c r="FO25"/>
  <c r="FP25"/>
  <c r="AF174" i="60818" s="1"/>
  <c r="FQ25" i="60819"/>
  <c r="AH26"/>
  <c r="B26" s="1"/>
  <c r="BQ26"/>
  <c r="AK26" s="1"/>
  <c r="CZ26"/>
  <c r="BT26" s="1"/>
  <c r="EI26"/>
  <c r="DC26" s="1"/>
  <c r="EM26"/>
  <c r="EN26"/>
  <c r="EO26"/>
  <c r="E175" i="60818" s="1"/>
  <c r="EP26" i="60819"/>
  <c r="F175" i="60818" s="1"/>
  <c r="EQ26" i="60819"/>
  <c r="ER26"/>
  <c r="ES26"/>
  <c r="I175" i="60818" s="1"/>
  <c r="ET26" i="60819"/>
  <c r="J175" i="60818" s="1"/>
  <c r="EU26" i="60819"/>
  <c r="EV26"/>
  <c r="EW26"/>
  <c r="M175" i="60818" s="1"/>
  <c r="EX26" i="60819"/>
  <c r="EY26"/>
  <c r="EZ26"/>
  <c r="FA26"/>
  <c r="Q175" i="60818" s="1"/>
  <c r="FB26" i="60819"/>
  <c r="FC26"/>
  <c r="FD26"/>
  <c r="FE26"/>
  <c r="U175" i="60818" s="1"/>
  <c r="FF26" i="60819"/>
  <c r="V175" i="60818" s="1"/>
  <c r="FG26" i="60819"/>
  <c r="FH26"/>
  <c r="FI26"/>
  <c r="Y175" i="60818" s="1"/>
  <c r="FJ26" i="60819"/>
  <c r="Z175" i="60818" s="1"/>
  <c r="FK26" i="60819"/>
  <c r="FL26"/>
  <c r="FM26"/>
  <c r="AC175" i="60818" s="1"/>
  <c r="FN26" i="60819"/>
  <c r="FO26"/>
  <c r="FP26"/>
  <c r="FQ26"/>
  <c r="AG175" i="60818" s="1"/>
  <c r="AH27" i="60819"/>
  <c r="B27" s="1"/>
  <c r="BQ27"/>
  <c r="AK27" s="1"/>
  <c r="CZ27"/>
  <c r="BT27" s="1"/>
  <c r="EI27"/>
  <c r="DC27" s="1"/>
  <c r="EM27"/>
  <c r="EN27"/>
  <c r="EO27"/>
  <c r="EP27"/>
  <c r="F176" i="60818" s="1"/>
  <c r="EQ27" i="60819"/>
  <c r="G176" i="60818" s="1"/>
  <c r="ER27" i="60819"/>
  <c r="ES27"/>
  <c r="ET27"/>
  <c r="J176" i="60818" s="1"/>
  <c r="EU27" i="60819"/>
  <c r="K176" i="60818" s="1"/>
  <c r="EV27" i="60819"/>
  <c r="EW27"/>
  <c r="EX27"/>
  <c r="N176" i="60818" s="1"/>
  <c r="EY27" i="60819"/>
  <c r="EZ27"/>
  <c r="FA27"/>
  <c r="FB27"/>
  <c r="R176" i="60818" s="1"/>
  <c r="FC27" i="60819"/>
  <c r="FD27"/>
  <c r="FE27"/>
  <c r="FF27"/>
  <c r="V176" i="60818" s="1"/>
  <c r="FG27" i="60819"/>
  <c r="W176" i="60818" s="1"/>
  <c r="FH27" i="60819"/>
  <c r="FI27"/>
  <c r="FJ27"/>
  <c r="Z176" i="60818" s="1"/>
  <c r="FK27" i="60819"/>
  <c r="AA176" i="60818" s="1"/>
  <c r="FL27" i="60819"/>
  <c r="FM27"/>
  <c r="FN27"/>
  <c r="AD176" i="60818" s="1"/>
  <c r="FO27" i="60819"/>
  <c r="FP27"/>
  <c r="FQ27"/>
  <c r="AH28"/>
  <c r="B28" s="1"/>
  <c r="BQ28"/>
  <c r="AK28" s="1"/>
  <c r="CZ28"/>
  <c r="EI28"/>
  <c r="DC28" s="1"/>
  <c r="EM28"/>
  <c r="C177" i="60818" s="1"/>
  <c r="EN28" i="60819"/>
  <c r="EO28"/>
  <c r="E177" i="60818" s="1"/>
  <c r="EP28" i="60819"/>
  <c r="EQ28"/>
  <c r="G177" i="60818" s="1"/>
  <c r="ER28" i="60819"/>
  <c r="H177" i="60818" s="1"/>
  <c r="ES28" i="60819"/>
  <c r="ET28"/>
  <c r="EU28"/>
  <c r="K177" i="60818" s="1"/>
  <c r="EV28" i="60819"/>
  <c r="EW28"/>
  <c r="EX28"/>
  <c r="EY28"/>
  <c r="O177" i="60818" s="1"/>
  <c r="EZ28" i="60819"/>
  <c r="FA28"/>
  <c r="FB28"/>
  <c r="FC28"/>
  <c r="S177" i="60818" s="1"/>
  <c r="FD28" i="60819"/>
  <c r="T177" i="60818" s="1"/>
  <c r="FE28" i="60819"/>
  <c r="FF28"/>
  <c r="FG28"/>
  <c r="W177" i="60818" s="1"/>
  <c r="FH28" i="60819"/>
  <c r="X177" i="60818" s="1"/>
  <c r="FI28" i="60819"/>
  <c r="FJ28"/>
  <c r="FK28"/>
  <c r="AA177" i="60818" s="1"/>
  <c r="FL28" i="60819"/>
  <c r="FM28"/>
  <c r="FN28"/>
  <c r="FO28"/>
  <c r="AE177" i="60818" s="1"/>
  <c r="FP28" i="60819"/>
  <c r="FQ28"/>
  <c r="AH29"/>
  <c r="B29" s="1"/>
  <c r="BQ29"/>
  <c r="AK29" s="1"/>
  <c r="CZ29"/>
  <c r="BT29" s="1"/>
  <c r="EI29"/>
  <c r="DC29" s="1"/>
  <c r="EM29"/>
  <c r="EN29"/>
  <c r="D178" i="60818" s="1"/>
  <c r="EO29" i="60819"/>
  <c r="E178" i="60818" s="1"/>
  <c r="EP29" i="60819"/>
  <c r="EQ29"/>
  <c r="ER29"/>
  <c r="H178" i="60818" s="1"/>
  <c r="ES29" i="60819"/>
  <c r="I178" i="60818" s="1"/>
  <c r="ET29" i="60819"/>
  <c r="EU29"/>
  <c r="EV29"/>
  <c r="L178" i="60818" s="1"/>
  <c r="EW29" i="60819"/>
  <c r="EX29"/>
  <c r="EY29"/>
  <c r="EZ29"/>
  <c r="P178" i="60818" s="1"/>
  <c r="FA29" i="60819"/>
  <c r="FB29"/>
  <c r="FC29"/>
  <c r="FD29"/>
  <c r="T178" i="60818" s="1"/>
  <c r="FE29" i="60819"/>
  <c r="U178" i="60818" s="1"/>
  <c r="FF29" i="60819"/>
  <c r="FG29"/>
  <c r="FH29"/>
  <c r="X178" i="60818" s="1"/>
  <c r="FI29" i="60819"/>
  <c r="Y178" i="60818" s="1"/>
  <c r="FJ29" i="60819"/>
  <c r="FK29"/>
  <c r="FL29"/>
  <c r="AB178" i="60818" s="1"/>
  <c r="FM29" i="60819"/>
  <c r="FN29"/>
  <c r="FO29"/>
  <c r="FP29"/>
  <c r="AF178" i="60818" s="1"/>
  <c r="FQ29" i="60819"/>
  <c r="AH30"/>
  <c r="B30" s="1"/>
  <c r="BQ30"/>
  <c r="AK30" s="1"/>
  <c r="CZ30"/>
  <c r="BT30" s="1"/>
  <c r="EI30"/>
  <c r="DC30" s="1"/>
  <c r="EM30"/>
  <c r="EN30"/>
  <c r="EO30"/>
  <c r="E179" i="60818" s="1"/>
  <c r="EP30" i="60819"/>
  <c r="F179" i="60818" s="1"/>
  <c r="EQ30" i="60819"/>
  <c r="ER30"/>
  <c r="ES30"/>
  <c r="I179" i="60818" s="1"/>
  <c r="ET30" i="60819"/>
  <c r="J179" i="60818" s="1"/>
  <c r="EU30" i="60819"/>
  <c r="EV30"/>
  <c r="EW30"/>
  <c r="M179" i="60818" s="1"/>
  <c r="EX30" i="60819"/>
  <c r="EY30"/>
  <c r="EZ30"/>
  <c r="FA30"/>
  <c r="Q179" i="60818" s="1"/>
  <c r="FB30" i="60819"/>
  <c r="FC30"/>
  <c r="FD30"/>
  <c r="FE30"/>
  <c r="U179" i="60818" s="1"/>
  <c r="FF30" i="60819"/>
  <c r="V179" i="60818" s="1"/>
  <c r="FG30" i="60819"/>
  <c r="FH30"/>
  <c r="FI30"/>
  <c r="Y179" i="60818" s="1"/>
  <c r="FJ30" i="60819"/>
  <c r="Z179" i="60818" s="1"/>
  <c r="FK30" i="60819"/>
  <c r="FL30"/>
  <c r="FM30"/>
  <c r="AC179" i="60818" s="1"/>
  <c r="FN30" i="60819"/>
  <c r="FO30"/>
  <c r="FP30"/>
  <c r="FQ30"/>
  <c r="AG179" i="60818" s="1"/>
  <c r="AH31" i="60819"/>
  <c r="B31" s="1"/>
  <c r="BQ31"/>
  <c r="AK31" s="1"/>
  <c r="CZ31"/>
  <c r="BT31" s="1"/>
  <c r="EI31"/>
  <c r="DC31" s="1"/>
  <c r="EM31"/>
  <c r="EN31"/>
  <c r="EO31"/>
  <c r="EP31"/>
  <c r="F180" i="60818" s="1"/>
  <c r="EQ31" i="60819"/>
  <c r="G180" i="60818" s="1"/>
  <c r="ER31" i="60819"/>
  <c r="ES31"/>
  <c r="ET31"/>
  <c r="J180" i="60818" s="1"/>
  <c r="EU31" i="60819"/>
  <c r="K180" i="60818" s="1"/>
  <c r="EV31" i="60819"/>
  <c r="EW31"/>
  <c r="EX31"/>
  <c r="N180" i="60818" s="1"/>
  <c r="EY31" i="60819"/>
  <c r="EZ31"/>
  <c r="FA31"/>
  <c r="FB31"/>
  <c r="R180" i="60818" s="1"/>
  <c r="FC31" i="60819"/>
  <c r="FD31"/>
  <c r="FE31"/>
  <c r="FF31"/>
  <c r="V180" i="60818" s="1"/>
  <c r="FG31" i="60819"/>
  <c r="W180" i="60818" s="1"/>
  <c r="FH31" i="60819"/>
  <c r="FI31"/>
  <c r="FJ31"/>
  <c r="Z180" i="60818" s="1"/>
  <c r="FK31" i="60819"/>
  <c r="AA180" i="60818" s="1"/>
  <c r="FL31" i="60819"/>
  <c r="FM31"/>
  <c r="FN31"/>
  <c r="AD180" i="60818" s="1"/>
  <c r="FO31" i="60819"/>
  <c r="FP31"/>
  <c r="FQ31"/>
  <c r="AH32"/>
  <c r="B32" s="1"/>
  <c r="BQ32"/>
  <c r="AK32" s="1"/>
  <c r="CZ32"/>
  <c r="BT32" s="1"/>
  <c r="EI32"/>
  <c r="DC32" s="1"/>
  <c r="EM32"/>
  <c r="C181" i="60818" s="1"/>
  <c r="EN32" i="60819"/>
  <c r="EO32"/>
  <c r="EP32"/>
  <c r="EQ32"/>
  <c r="G181" i="60818" s="1"/>
  <c r="ER32" i="60819"/>
  <c r="H181" i="60818" s="1"/>
  <c r="ES32" i="60819"/>
  <c r="ET32"/>
  <c r="EU32"/>
  <c r="K181" i="60818" s="1"/>
  <c r="EV32" i="60819"/>
  <c r="L181" i="60818" s="1"/>
  <c r="EW32" i="60819"/>
  <c r="EX32"/>
  <c r="EY32"/>
  <c r="O181" i="60818" s="1"/>
  <c r="EZ32" i="60819"/>
  <c r="FA32"/>
  <c r="FB32"/>
  <c r="FC32"/>
  <c r="S181" i="60818" s="1"/>
  <c r="FD32" i="60819"/>
  <c r="FE32"/>
  <c r="FF32"/>
  <c r="FG32"/>
  <c r="W181" i="60818" s="1"/>
  <c r="FH32" i="60819"/>
  <c r="X181" i="60818" s="1"/>
  <c r="FI32" i="60819"/>
  <c r="FJ32"/>
  <c r="FK32"/>
  <c r="AA181" i="60818" s="1"/>
  <c r="FL32" i="60819"/>
  <c r="AB181" i="60818" s="1"/>
  <c r="FM32" i="60819"/>
  <c r="FN32"/>
  <c r="FO32"/>
  <c r="AE181" i="60818" s="1"/>
  <c r="FP32" i="60819"/>
  <c r="FQ32"/>
  <c r="C33"/>
  <c r="D33"/>
  <c r="E33"/>
  <c r="F33"/>
  <c r="G33"/>
  <c r="H33"/>
  <c r="I33"/>
  <c r="J33"/>
  <c r="K33"/>
  <c r="L33"/>
  <c r="M33"/>
  <c r="N33"/>
  <c r="O33"/>
  <c r="P33"/>
  <c r="Q33"/>
  <c r="R33"/>
  <c r="S33"/>
  <c r="T33"/>
  <c r="U33"/>
  <c r="V33"/>
  <c r="W33"/>
  <c r="X33"/>
  <c r="Y33"/>
  <c r="Z33"/>
  <c r="AA33"/>
  <c r="AB33"/>
  <c r="AC33"/>
  <c r="AD33"/>
  <c r="AE33"/>
  <c r="AF33"/>
  <c r="AG33"/>
  <c r="AL33"/>
  <c r="AM33"/>
  <c r="AN33"/>
  <c r="AO33"/>
  <c r="AP33"/>
  <c r="AQ33"/>
  <c r="AR33"/>
  <c r="AS33"/>
  <c r="AT33"/>
  <c r="AU33"/>
  <c r="AV33"/>
  <c r="AW33"/>
  <c r="AX33"/>
  <c r="AY33"/>
  <c r="AZ33"/>
  <c r="BA33"/>
  <c r="BB33"/>
  <c r="BC33"/>
  <c r="BD33"/>
  <c r="BE33"/>
  <c r="BF33"/>
  <c r="BG33"/>
  <c r="BH33"/>
  <c r="BI33"/>
  <c r="BJ33"/>
  <c r="BK33"/>
  <c r="BL33"/>
  <c r="BM33"/>
  <c r="BN33"/>
  <c r="BO33"/>
  <c r="BP33"/>
  <c r="BU33"/>
  <c r="BV33"/>
  <c r="BW33"/>
  <c r="BX33"/>
  <c r="BY33"/>
  <c r="BZ33"/>
  <c r="CA33"/>
  <c r="CB33"/>
  <c r="CC33"/>
  <c r="CD33"/>
  <c r="CE33"/>
  <c r="CF33"/>
  <c r="CG33"/>
  <c r="CH33"/>
  <c r="CI33"/>
  <c r="CJ33"/>
  <c r="CK33"/>
  <c r="CL33"/>
  <c r="CM33"/>
  <c r="CN33"/>
  <c r="CO33"/>
  <c r="CP33"/>
  <c r="CQ33"/>
  <c r="CR33"/>
  <c r="CS33"/>
  <c r="CT33"/>
  <c r="CU33"/>
  <c r="CV33"/>
  <c r="CW33"/>
  <c r="CX33"/>
  <c r="CY33"/>
  <c r="DD33"/>
  <c r="DE33"/>
  <c r="DF33"/>
  <c r="DG33"/>
  <c r="DH33"/>
  <c r="DI33"/>
  <c r="DJ33"/>
  <c r="DK33"/>
  <c r="DL33"/>
  <c r="DM33"/>
  <c r="DN33"/>
  <c r="DO33"/>
  <c r="DP33"/>
  <c r="DQ33"/>
  <c r="DR33"/>
  <c r="DS33"/>
  <c r="DT33"/>
  <c r="DU33"/>
  <c r="DV33"/>
  <c r="DW33"/>
  <c r="DX33"/>
  <c r="DY33"/>
  <c r="DZ33"/>
  <c r="EA33"/>
  <c r="EB33"/>
  <c r="EC33"/>
  <c r="ED33"/>
  <c r="EE33"/>
  <c r="EF33"/>
  <c r="EG33"/>
  <c r="EH33"/>
  <c r="AH37"/>
  <c r="B37" s="1"/>
  <c r="BQ37"/>
  <c r="CZ37"/>
  <c r="BT37" s="1"/>
  <c r="EI37"/>
  <c r="DC37" s="1"/>
  <c r="AH38"/>
  <c r="B38" s="1"/>
  <c r="BQ38"/>
  <c r="AK38" s="1"/>
  <c r="CZ38"/>
  <c r="BT38" s="1"/>
  <c r="EI38"/>
  <c r="DC38" s="1"/>
  <c r="AH39"/>
  <c r="B39" s="1"/>
  <c r="BQ39"/>
  <c r="AK39" s="1"/>
  <c r="CZ39"/>
  <c r="BT39" s="1"/>
  <c r="EI39"/>
  <c r="DC39" s="1"/>
  <c r="AH40"/>
  <c r="B40" s="1"/>
  <c r="BQ40"/>
  <c r="AK40" s="1"/>
  <c r="CZ40"/>
  <c r="BT40" s="1"/>
  <c r="EI40"/>
  <c r="DC40" s="1"/>
  <c r="AH41"/>
  <c r="B41" s="1"/>
  <c r="BQ41"/>
  <c r="AK41" s="1"/>
  <c r="CZ41"/>
  <c r="BT41" s="1"/>
  <c r="EI41"/>
  <c r="DC41" s="1"/>
  <c r="AH42"/>
  <c r="B42" s="1"/>
  <c r="BQ42"/>
  <c r="AK42" s="1"/>
  <c r="CZ42"/>
  <c r="BT42" s="1"/>
  <c r="EI42"/>
  <c r="DC42" s="1"/>
  <c r="AH43"/>
  <c r="B43" s="1"/>
  <c r="BQ43"/>
  <c r="AK43" s="1"/>
  <c r="CZ43"/>
  <c r="BT43" s="1"/>
  <c r="EI43"/>
  <c r="DC43" s="1"/>
  <c r="AH44"/>
  <c r="B44" s="1"/>
  <c r="BQ44"/>
  <c r="AK44" s="1"/>
  <c r="CZ44"/>
  <c r="BT44" s="1"/>
  <c r="EI44"/>
  <c r="DC44" s="1"/>
  <c r="AH45"/>
  <c r="B45" s="1"/>
  <c r="BQ45"/>
  <c r="AK45" s="1"/>
  <c r="CZ45"/>
  <c r="BT45" s="1"/>
  <c r="EI45"/>
  <c r="DC45" s="1"/>
  <c r="AH46"/>
  <c r="B46" s="1"/>
  <c r="BQ46"/>
  <c r="AK46" s="1"/>
  <c r="CZ46"/>
  <c r="BT46" s="1"/>
  <c r="EI46"/>
  <c r="DC46" s="1"/>
  <c r="AH47"/>
  <c r="B47" s="1"/>
  <c r="BQ47"/>
  <c r="AK47" s="1"/>
  <c r="CZ47"/>
  <c r="BT47" s="1"/>
  <c r="EI47"/>
  <c r="DC47" s="1"/>
  <c r="AH48"/>
  <c r="B48" s="1"/>
  <c r="BQ48"/>
  <c r="AK48" s="1"/>
  <c r="CZ48"/>
  <c r="BT48" s="1"/>
  <c r="EI48"/>
  <c r="DC48" s="1"/>
  <c r="C49"/>
  <c r="D49"/>
  <c r="E49"/>
  <c r="F49"/>
  <c r="G49"/>
  <c r="H49"/>
  <c r="I49"/>
  <c r="J49"/>
  <c r="K49"/>
  <c r="L49"/>
  <c r="M49"/>
  <c r="N49"/>
  <c r="O49"/>
  <c r="P49"/>
  <c r="Q49"/>
  <c r="R49"/>
  <c r="S49"/>
  <c r="T49"/>
  <c r="U49"/>
  <c r="V49"/>
  <c r="W49"/>
  <c r="X49"/>
  <c r="Y49"/>
  <c r="Z49"/>
  <c r="AA49"/>
  <c r="AB49"/>
  <c r="AC49"/>
  <c r="AD49"/>
  <c r="AE49"/>
  <c r="AF49"/>
  <c r="AG49"/>
  <c r="AL49"/>
  <c r="AM49"/>
  <c r="AN49"/>
  <c r="AO49"/>
  <c r="AP49"/>
  <c r="AQ49"/>
  <c r="AR49"/>
  <c r="AS49"/>
  <c r="AT49"/>
  <c r="AU49"/>
  <c r="AV49"/>
  <c r="AW49"/>
  <c r="AX49"/>
  <c r="AY49"/>
  <c r="AZ49"/>
  <c r="BA49"/>
  <c r="BB49"/>
  <c r="BC49"/>
  <c r="BD49"/>
  <c r="BE49"/>
  <c r="BF49"/>
  <c r="BG49"/>
  <c r="BH49"/>
  <c r="BI49"/>
  <c r="BJ49"/>
  <c r="BK49"/>
  <c r="BL49"/>
  <c r="BM49"/>
  <c r="BN49"/>
  <c r="BO49"/>
  <c r="BP49"/>
  <c r="BU49"/>
  <c r="BV49"/>
  <c r="BW49"/>
  <c r="BX49"/>
  <c r="BY49"/>
  <c r="BZ49"/>
  <c r="CA49"/>
  <c r="CB49"/>
  <c r="CC49"/>
  <c r="CD49"/>
  <c r="CE49"/>
  <c r="CF49"/>
  <c r="CG49"/>
  <c r="CH49"/>
  <c r="CI49"/>
  <c r="CJ49"/>
  <c r="CK49"/>
  <c r="CL49"/>
  <c r="CM49"/>
  <c r="CN49"/>
  <c r="CO49"/>
  <c r="CP49"/>
  <c r="CQ49"/>
  <c r="CR49"/>
  <c r="CS49"/>
  <c r="CT49"/>
  <c r="CU49"/>
  <c r="CV49"/>
  <c r="CW49"/>
  <c r="CX49"/>
  <c r="CY49"/>
  <c r="DD49"/>
  <c r="DE49"/>
  <c r="DF49"/>
  <c r="DG49"/>
  <c r="DH49"/>
  <c r="DI49"/>
  <c r="DJ49"/>
  <c r="DK49"/>
  <c r="DL49"/>
  <c r="DM49"/>
  <c r="DN49"/>
  <c r="DO49"/>
  <c r="DP49"/>
  <c r="DQ49"/>
  <c r="DR49"/>
  <c r="DS49"/>
  <c r="DT49"/>
  <c r="DU49"/>
  <c r="DV49"/>
  <c r="DW49"/>
  <c r="DX49"/>
  <c r="DY49"/>
  <c r="DZ49"/>
  <c r="EA49"/>
  <c r="EB49"/>
  <c r="EC49"/>
  <c r="ED49"/>
  <c r="EE49"/>
  <c r="EF49"/>
  <c r="EG49"/>
  <c r="EH49"/>
  <c r="AH53"/>
  <c r="B53" s="1"/>
  <c r="BQ53"/>
  <c r="CZ53"/>
  <c r="BT53" s="1"/>
  <c r="EI53"/>
  <c r="DC53" s="1"/>
  <c r="AH54"/>
  <c r="B54" s="1"/>
  <c r="BQ54"/>
  <c r="AK54" s="1"/>
  <c r="CZ54"/>
  <c r="BT54" s="1"/>
  <c r="EI54"/>
  <c r="DC54" s="1"/>
  <c r="AH55"/>
  <c r="B55" s="1"/>
  <c r="BQ55"/>
  <c r="AK55" s="1"/>
  <c r="CZ55"/>
  <c r="BT55" s="1"/>
  <c r="EI55"/>
  <c r="DC55" s="1"/>
  <c r="AH56"/>
  <c r="B56" s="1"/>
  <c r="BQ56"/>
  <c r="AK56" s="1"/>
  <c r="CZ56"/>
  <c r="BT56" s="1"/>
  <c r="EI56"/>
  <c r="DC56" s="1"/>
  <c r="AH57"/>
  <c r="B57" s="1"/>
  <c r="BQ57"/>
  <c r="AK57" s="1"/>
  <c r="CZ57"/>
  <c r="BT57" s="1"/>
  <c r="EI57"/>
  <c r="DC57" s="1"/>
  <c r="AH58"/>
  <c r="B58" s="1"/>
  <c r="BQ58"/>
  <c r="AK58" s="1"/>
  <c r="CZ58"/>
  <c r="BT58" s="1"/>
  <c r="EI58"/>
  <c r="DC58" s="1"/>
  <c r="AH59"/>
  <c r="B59" s="1"/>
  <c r="BQ59"/>
  <c r="AK59" s="1"/>
  <c r="CZ59"/>
  <c r="BT59" s="1"/>
  <c r="EI59"/>
  <c r="DC59" s="1"/>
  <c r="AH60"/>
  <c r="B60" s="1"/>
  <c r="BQ60"/>
  <c r="AK60" s="1"/>
  <c r="CZ60"/>
  <c r="BT60" s="1"/>
  <c r="EI60"/>
  <c r="DC60" s="1"/>
  <c r="AH61"/>
  <c r="B61" s="1"/>
  <c r="BQ61"/>
  <c r="AK61" s="1"/>
  <c r="CZ61"/>
  <c r="BT61" s="1"/>
  <c r="EI61"/>
  <c r="DC61" s="1"/>
  <c r="AH62"/>
  <c r="B62" s="1"/>
  <c r="BQ62"/>
  <c r="AK62" s="1"/>
  <c r="CZ62"/>
  <c r="BT62" s="1"/>
  <c r="EI62"/>
  <c r="DC62" s="1"/>
  <c r="AH63"/>
  <c r="B63" s="1"/>
  <c r="BQ63"/>
  <c r="AK63" s="1"/>
  <c r="CZ63"/>
  <c r="BT63" s="1"/>
  <c r="EI63"/>
  <c r="DC63" s="1"/>
  <c r="AH64"/>
  <c r="B64" s="1"/>
  <c r="BQ64"/>
  <c r="AK64" s="1"/>
  <c r="CZ64"/>
  <c r="BT64" s="1"/>
  <c r="EI64"/>
  <c r="DC64" s="1"/>
  <c r="C65"/>
  <c r="D65"/>
  <c r="E65"/>
  <c r="F65"/>
  <c r="G65"/>
  <c r="H65"/>
  <c r="I65"/>
  <c r="J65"/>
  <c r="K65"/>
  <c r="L65"/>
  <c r="M65"/>
  <c r="N65"/>
  <c r="O65"/>
  <c r="P65"/>
  <c r="Q65"/>
  <c r="R65"/>
  <c r="S65"/>
  <c r="T65"/>
  <c r="U65"/>
  <c r="V65"/>
  <c r="W65"/>
  <c r="X65"/>
  <c r="Y65"/>
  <c r="Z65"/>
  <c r="AA65"/>
  <c r="AB65"/>
  <c r="AC65"/>
  <c r="AD65"/>
  <c r="AE65"/>
  <c r="AF65"/>
  <c r="AG65"/>
  <c r="AL65"/>
  <c r="AM65"/>
  <c r="AN65"/>
  <c r="AO65"/>
  <c r="AP65"/>
  <c r="AQ65"/>
  <c r="AR65"/>
  <c r="AS65"/>
  <c r="AT65"/>
  <c r="AU65"/>
  <c r="AV65"/>
  <c r="AW65"/>
  <c r="AX65"/>
  <c r="AY65"/>
  <c r="AZ65"/>
  <c r="BA65"/>
  <c r="BB65"/>
  <c r="BC65"/>
  <c r="BD65"/>
  <c r="BE65"/>
  <c r="BF65"/>
  <c r="BG65"/>
  <c r="BH65"/>
  <c r="BI65"/>
  <c r="BJ65"/>
  <c r="BK65"/>
  <c r="BL65"/>
  <c r="BM65"/>
  <c r="BN65"/>
  <c r="BO65"/>
  <c r="BP65"/>
  <c r="BU65"/>
  <c r="BV65"/>
  <c r="BW65"/>
  <c r="BX65"/>
  <c r="BY65"/>
  <c r="BZ65"/>
  <c r="CA65"/>
  <c r="CB65"/>
  <c r="CC65"/>
  <c r="CD65"/>
  <c r="CE65"/>
  <c r="CF65"/>
  <c r="CG65"/>
  <c r="CH65"/>
  <c r="CI65"/>
  <c r="CJ65"/>
  <c r="CK65"/>
  <c r="CL65"/>
  <c r="CM65"/>
  <c r="CN65"/>
  <c r="CO65"/>
  <c r="CP65"/>
  <c r="CQ65"/>
  <c r="CR65"/>
  <c r="CS65"/>
  <c r="CT65"/>
  <c r="CU65"/>
  <c r="CV65"/>
  <c r="CW65"/>
  <c r="CX65"/>
  <c r="CY65"/>
  <c r="DD65"/>
  <c r="DE65"/>
  <c r="DF65"/>
  <c r="DG65"/>
  <c r="DH65"/>
  <c r="DI65"/>
  <c r="DJ65"/>
  <c r="DK65"/>
  <c r="DL65"/>
  <c r="DM65"/>
  <c r="DN65"/>
  <c r="DO65"/>
  <c r="DP65"/>
  <c r="DQ65"/>
  <c r="DR65"/>
  <c r="DS65"/>
  <c r="DT65"/>
  <c r="DU65"/>
  <c r="DV65"/>
  <c r="DW65"/>
  <c r="DX65"/>
  <c r="DY65"/>
  <c r="DZ65"/>
  <c r="EA65"/>
  <c r="EB65"/>
  <c r="EC65"/>
  <c r="ED65"/>
  <c r="EE65"/>
  <c r="EF65"/>
  <c r="EG65"/>
  <c r="EH65"/>
  <c r="AH69"/>
  <c r="B69" s="1"/>
  <c r="BQ69"/>
  <c r="CZ69"/>
  <c r="BT69" s="1"/>
  <c r="EI69"/>
  <c r="DC69" s="1"/>
  <c r="AH70"/>
  <c r="B70" s="1"/>
  <c r="BQ70"/>
  <c r="AK70" s="1"/>
  <c r="CZ70"/>
  <c r="BT70" s="1"/>
  <c r="EI70"/>
  <c r="DC70" s="1"/>
  <c r="AH71"/>
  <c r="B71" s="1"/>
  <c r="BQ71"/>
  <c r="AK71" s="1"/>
  <c r="CZ71"/>
  <c r="BT71" s="1"/>
  <c r="EI71"/>
  <c r="DC71" s="1"/>
  <c r="AH72"/>
  <c r="B72" s="1"/>
  <c r="BQ72"/>
  <c r="AK72" s="1"/>
  <c r="CZ72"/>
  <c r="BT72" s="1"/>
  <c r="EI72"/>
  <c r="DC72" s="1"/>
  <c r="AH73"/>
  <c r="B73" s="1"/>
  <c r="BQ73"/>
  <c r="AK73" s="1"/>
  <c r="CZ73"/>
  <c r="BT73" s="1"/>
  <c r="EI73"/>
  <c r="DC73" s="1"/>
  <c r="AH74"/>
  <c r="B74" s="1"/>
  <c r="BQ74"/>
  <c r="AK74" s="1"/>
  <c r="CZ74"/>
  <c r="BT74" s="1"/>
  <c r="EI74"/>
  <c r="DC74" s="1"/>
  <c r="AH75"/>
  <c r="B75" s="1"/>
  <c r="BQ75"/>
  <c r="AK75" s="1"/>
  <c r="CZ75"/>
  <c r="BT75" s="1"/>
  <c r="EI75"/>
  <c r="DC75" s="1"/>
  <c r="AH76"/>
  <c r="B76" s="1"/>
  <c r="BQ76"/>
  <c r="AK76" s="1"/>
  <c r="CZ76"/>
  <c r="BT76" s="1"/>
  <c r="EI76"/>
  <c r="DC76" s="1"/>
  <c r="AH77"/>
  <c r="B77" s="1"/>
  <c r="BQ77"/>
  <c r="AK77" s="1"/>
  <c r="CZ77"/>
  <c r="BT77" s="1"/>
  <c r="EI77"/>
  <c r="DC77" s="1"/>
  <c r="AH78"/>
  <c r="B78" s="1"/>
  <c r="BQ78"/>
  <c r="AK78" s="1"/>
  <c r="CZ78"/>
  <c r="BT78" s="1"/>
  <c r="EI78"/>
  <c r="DC78" s="1"/>
  <c r="AH79"/>
  <c r="B79" s="1"/>
  <c r="BQ79"/>
  <c r="AK79" s="1"/>
  <c r="CZ79"/>
  <c r="BT79" s="1"/>
  <c r="EI79"/>
  <c r="DC79" s="1"/>
  <c r="AH80"/>
  <c r="B80" s="1"/>
  <c r="BQ80"/>
  <c r="AK80" s="1"/>
  <c r="CZ80"/>
  <c r="BT80" s="1"/>
  <c r="EI80"/>
  <c r="DC80" s="1"/>
  <c r="C81"/>
  <c r="D81"/>
  <c r="E81"/>
  <c r="F81"/>
  <c r="G81"/>
  <c r="H81"/>
  <c r="I81"/>
  <c r="J81"/>
  <c r="K81"/>
  <c r="L81"/>
  <c r="M81"/>
  <c r="N81"/>
  <c r="O81"/>
  <c r="P81"/>
  <c r="Q81"/>
  <c r="R81"/>
  <c r="S81"/>
  <c r="T81"/>
  <c r="U81"/>
  <c r="V81"/>
  <c r="W81"/>
  <c r="X81"/>
  <c r="Y81"/>
  <c r="Z81"/>
  <c r="AA81"/>
  <c r="AB81"/>
  <c r="AC81"/>
  <c r="AD81"/>
  <c r="AE81"/>
  <c r="AF81"/>
  <c r="AG81"/>
  <c r="AL81"/>
  <c r="AM81"/>
  <c r="AN81"/>
  <c r="AO81"/>
  <c r="AP81"/>
  <c r="AQ81"/>
  <c r="AR81"/>
  <c r="AS81"/>
  <c r="AT81"/>
  <c r="AU81"/>
  <c r="AV81"/>
  <c r="AW81"/>
  <c r="AX81"/>
  <c r="AY81"/>
  <c r="AZ81"/>
  <c r="BA81"/>
  <c r="BB81"/>
  <c r="BC81"/>
  <c r="BD81"/>
  <c r="BE81"/>
  <c r="BF81"/>
  <c r="BG81"/>
  <c r="BH81"/>
  <c r="BI81"/>
  <c r="BJ81"/>
  <c r="BK81"/>
  <c r="BL81"/>
  <c r="BM81"/>
  <c r="BN81"/>
  <c r="BO81"/>
  <c r="BP81"/>
  <c r="BU81"/>
  <c r="BV81"/>
  <c r="BW81"/>
  <c r="BX81"/>
  <c r="BY81"/>
  <c r="BZ81"/>
  <c r="CA81"/>
  <c r="CB81"/>
  <c r="CC81"/>
  <c r="CD81"/>
  <c r="CE81"/>
  <c r="CF81"/>
  <c r="CG81"/>
  <c r="CH81"/>
  <c r="CI81"/>
  <c r="CJ81"/>
  <c r="CK81"/>
  <c r="CL81"/>
  <c r="CM81"/>
  <c r="CN81"/>
  <c r="CO81"/>
  <c r="CP81"/>
  <c r="CQ81"/>
  <c r="CR81"/>
  <c r="CS81"/>
  <c r="CT81"/>
  <c r="CU81"/>
  <c r="CV81"/>
  <c r="CW81"/>
  <c r="CX81"/>
  <c r="CY81"/>
  <c r="DD81"/>
  <c r="DE81"/>
  <c r="DF81"/>
  <c r="DG81"/>
  <c r="DH81"/>
  <c r="DI81"/>
  <c r="DJ81"/>
  <c r="DK81"/>
  <c r="DL81"/>
  <c r="DM81"/>
  <c r="DN81"/>
  <c r="DO81"/>
  <c r="DP81"/>
  <c r="DQ81"/>
  <c r="DR81"/>
  <c r="DS81"/>
  <c r="DT81"/>
  <c r="DU81"/>
  <c r="DV81"/>
  <c r="DW81"/>
  <c r="DX81"/>
  <c r="DY81"/>
  <c r="DZ81"/>
  <c r="EA81"/>
  <c r="EB81"/>
  <c r="EC81"/>
  <c r="ED81"/>
  <c r="EE81"/>
  <c r="EF81"/>
  <c r="EG81"/>
  <c r="EH81"/>
  <c r="AH85"/>
  <c r="B85" s="1"/>
  <c r="BQ85"/>
  <c r="CZ85"/>
  <c r="BT85" s="1"/>
  <c r="EI85"/>
  <c r="AH86"/>
  <c r="B86" s="1"/>
  <c r="BQ86"/>
  <c r="AK86" s="1"/>
  <c r="CZ86"/>
  <c r="BT86" s="1"/>
  <c r="EI86"/>
  <c r="DC86" s="1"/>
  <c r="AH87"/>
  <c r="B87" s="1"/>
  <c r="BQ87"/>
  <c r="AK87" s="1"/>
  <c r="CZ87"/>
  <c r="BT87" s="1"/>
  <c r="EI87"/>
  <c r="DC87" s="1"/>
  <c r="AH88"/>
  <c r="B88" s="1"/>
  <c r="BQ88"/>
  <c r="AK88" s="1"/>
  <c r="CZ88"/>
  <c r="BT88" s="1"/>
  <c r="EI88"/>
  <c r="DC88" s="1"/>
  <c r="AH89"/>
  <c r="B89" s="1"/>
  <c r="BQ89"/>
  <c r="AK89" s="1"/>
  <c r="CZ89"/>
  <c r="BT89" s="1"/>
  <c r="EI89"/>
  <c r="DC89" s="1"/>
  <c r="AH90"/>
  <c r="B90" s="1"/>
  <c r="BQ90"/>
  <c r="AK90" s="1"/>
  <c r="CZ90"/>
  <c r="BT90" s="1"/>
  <c r="EI90"/>
  <c r="DC90" s="1"/>
  <c r="AH91"/>
  <c r="B91" s="1"/>
  <c r="BQ91"/>
  <c r="AK91" s="1"/>
  <c r="CZ91"/>
  <c r="BT91" s="1"/>
  <c r="EI91"/>
  <c r="DC91" s="1"/>
  <c r="AH92"/>
  <c r="B92" s="1"/>
  <c r="BQ92"/>
  <c r="AK92" s="1"/>
  <c r="CZ92"/>
  <c r="BT92" s="1"/>
  <c r="EI92"/>
  <c r="DC92" s="1"/>
  <c r="AH93"/>
  <c r="B93" s="1"/>
  <c r="BQ93"/>
  <c r="AK93" s="1"/>
  <c r="CZ93"/>
  <c r="BT93" s="1"/>
  <c r="EI93"/>
  <c r="DC93" s="1"/>
  <c r="AH94"/>
  <c r="B94" s="1"/>
  <c r="BQ94"/>
  <c r="AK94" s="1"/>
  <c r="CZ94"/>
  <c r="BT94" s="1"/>
  <c r="EI94"/>
  <c r="DC94" s="1"/>
  <c r="AH95"/>
  <c r="B95" s="1"/>
  <c r="BQ95"/>
  <c r="AK95" s="1"/>
  <c r="CZ95"/>
  <c r="BT95" s="1"/>
  <c r="EI95"/>
  <c r="DC95" s="1"/>
  <c r="AH96"/>
  <c r="B96" s="1"/>
  <c r="BQ96"/>
  <c r="AK96" s="1"/>
  <c r="CZ96"/>
  <c r="BT96" s="1"/>
  <c r="EI96"/>
  <c r="DC96" s="1"/>
  <c r="C97"/>
  <c r="D97"/>
  <c r="E97"/>
  <c r="F97"/>
  <c r="G97"/>
  <c r="H97"/>
  <c r="I97"/>
  <c r="J97"/>
  <c r="K97"/>
  <c r="L97"/>
  <c r="M97"/>
  <c r="N97"/>
  <c r="O97"/>
  <c r="P97"/>
  <c r="Q97"/>
  <c r="R97"/>
  <c r="S97"/>
  <c r="T97"/>
  <c r="U97"/>
  <c r="V97"/>
  <c r="W97"/>
  <c r="X97"/>
  <c r="Y97"/>
  <c r="Z97"/>
  <c r="AA97"/>
  <c r="AB97"/>
  <c r="AC97"/>
  <c r="AD97"/>
  <c r="AE97"/>
  <c r="AF97"/>
  <c r="AG97"/>
  <c r="AL97"/>
  <c r="AM97"/>
  <c r="AN97"/>
  <c r="AO97"/>
  <c r="AP97"/>
  <c r="AQ97"/>
  <c r="AR97"/>
  <c r="AS97"/>
  <c r="AT97"/>
  <c r="AU97"/>
  <c r="AV97"/>
  <c r="AW97"/>
  <c r="AX97"/>
  <c r="AY97"/>
  <c r="AZ97"/>
  <c r="BA97"/>
  <c r="BB97"/>
  <c r="BC97"/>
  <c r="BD97"/>
  <c r="BE97"/>
  <c r="BF97"/>
  <c r="BG97"/>
  <c r="BH97"/>
  <c r="BI97"/>
  <c r="BJ97"/>
  <c r="BK97"/>
  <c r="BL97"/>
  <c r="BM97"/>
  <c r="BN97"/>
  <c r="BO97"/>
  <c r="BP97"/>
  <c r="BU97"/>
  <c r="BV97"/>
  <c r="BW97"/>
  <c r="BX97"/>
  <c r="BY97"/>
  <c r="BZ97"/>
  <c r="CA97"/>
  <c r="CB97"/>
  <c r="CC97"/>
  <c r="CD97"/>
  <c r="CE97"/>
  <c r="CF97"/>
  <c r="CG97"/>
  <c r="CH97"/>
  <c r="CI97"/>
  <c r="CJ97"/>
  <c r="CK97"/>
  <c r="CL97"/>
  <c r="CM97"/>
  <c r="CN97"/>
  <c r="CO97"/>
  <c r="CP97"/>
  <c r="CQ97"/>
  <c r="CR97"/>
  <c r="CS97"/>
  <c r="CT97"/>
  <c r="CU97"/>
  <c r="CV97"/>
  <c r="CW97"/>
  <c r="CX97"/>
  <c r="CY97"/>
  <c r="DD97"/>
  <c r="DE97"/>
  <c r="DF97"/>
  <c r="DG97"/>
  <c r="DH97"/>
  <c r="DI97"/>
  <c r="DJ97"/>
  <c r="DK97"/>
  <c r="DL97"/>
  <c r="DM97"/>
  <c r="DN97"/>
  <c r="DO97"/>
  <c r="DP97"/>
  <c r="DQ97"/>
  <c r="DR97"/>
  <c r="DS97"/>
  <c r="DT97"/>
  <c r="DU97"/>
  <c r="DV97"/>
  <c r="DW97"/>
  <c r="DX97"/>
  <c r="DY97"/>
  <c r="DZ97"/>
  <c r="EA97"/>
  <c r="EB97"/>
  <c r="EC97"/>
  <c r="ED97"/>
  <c r="EE97"/>
  <c r="EF97"/>
  <c r="EG97"/>
  <c r="EH97"/>
  <c r="AH101"/>
  <c r="B101" s="1"/>
  <c r="BQ101"/>
  <c r="CZ101"/>
  <c r="EI101"/>
  <c r="DC101" s="1"/>
  <c r="AH102"/>
  <c r="B102" s="1"/>
  <c r="BQ102"/>
  <c r="AK102" s="1"/>
  <c r="CZ102"/>
  <c r="BT102" s="1"/>
  <c r="EI102"/>
  <c r="DC102" s="1"/>
  <c r="AH103"/>
  <c r="B103" s="1"/>
  <c r="BQ103"/>
  <c r="AK103" s="1"/>
  <c r="CZ103"/>
  <c r="BT103" s="1"/>
  <c r="EI103"/>
  <c r="DC103" s="1"/>
  <c r="AH104"/>
  <c r="B104" s="1"/>
  <c r="BQ104"/>
  <c r="AK104" s="1"/>
  <c r="CZ104"/>
  <c r="BT104" s="1"/>
  <c r="EI104"/>
  <c r="DC104" s="1"/>
  <c r="AH105"/>
  <c r="B105" s="1"/>
  <c r="BQ105"/>
  <c r="AK105" s="1"/>
  <c r="CZ105"/>
  <c r="BT105" s="1"/>
  <c r="EI105"/>
  <c r="DC105" s="1"/>
  <c r="AH106"/>
  <c r="B106" s="1"/>
  <c r="BQ106"/>
  <c r="AK106" s="1"/>
  <c r="CZ106"/>
  <c r="BT106" s="1"/>
  <c r="EI106"/>
  <c r="DC106" s="1"/>
  <c r="AH107"/>
  <c r="B107" s="1"/>
  <c r="BQ107"/>
  <c r="AK107" s="1"/>
  <c r="CZ107"/>
  <c r="BT107" s="1"/>
  <c r="EI107"/>
  <c r="DC107" s="1"/>
  <c r="AH108"/>
  <c r="B108" s="1"/>
  <c r="BQ108"/>
  <c r="AK108" s="1"/>
  <c r="CZ108"/>
  <c r="BT108" s="1"/>
  <c r="EI108"/>
  <c r="DC108" s="1"/>
  <c r="AH109"/>
  <c r="B109" s="1"/>
  <c r="BQ109"/>
  <c r="AK109" s="1"/>
  <c r="CZ109"/>
  <c r="BT109" s="1"/>
  <c r="EI109"/>
  <c r="DC109" s="1"/>
  <c r="AH110"/>
  <c r="B110" s="1"/>
  <c r="BQ110"/>
  <c r="AK110" s="1"/>
  <c r="CZ110"/>
  <c r="BT110" s="1"/>
  <c r="EI110"/>
  <c r="DC110" s="1"/>
  <c r="AH111"/>
  <c r="B111" s="1"/>
  <c r="BQ111"/>
  <c r="AK111" s="1"/>
  <c r="CZ111"/>
  <c r="BT111" s="1"/>
  <c r="EI111"/>
  <c r="DC111" s="1"/>
  <c r="AH112"/>
  <c r="B112" s="1"/>
  <c r="BQ112"/>
  <c r="AK112" s="1"/>
  <c r="CZ112"/>
  <c r="BT112" s="1"/>
  <c r="EI112"/>
  <c r="DC112" s="1"/>
  <c r="C113"/>
  <c r="D113"/>
  <c r="E113"/>
  <c r="F113"/>
  <c r="G113"/>
  <c r="H113"/>
  <c r="I113"/>
  <c r="J113"/>
  <c r="K113"/>
  <c r="L113"/>
  <c r="M113"/>
  <c r="N113"/>
  <c r="O113"/>
  <c r="P113"/>
  <c r="Q113"/>
  <c r="R113"/>
  <c r="S113"/>
  <c r="T113"/>
  <c r="U113"/>
  <c r="V113"/>
  <c r="W113"/>
  <c r="X113"/>
  <c r="Y113"/>
  <c r="Z113"/>
  <c r="AA113"/>
  <c r="AB113"/>
  <c r="AC113"/>
  <c r="AD113"/>
  <c r="AE113"/>
  <c r="AF113"/>
  <c r="AG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U113"/>
  <c r="BV113"/>
  <c r="BW113"/>
  <c r="BX113"/>
  <c r="BY113"/>
  <c r="BY209" s="1"/>
  <c r="BZ113"/>
  <c r="CA113"/>
  <c r="CB113"/>
  <c r="CC113"/>
  <c r="CD113"/>
  <c r="CE113"/>
  <c r="CF113"/>
  <c r="CG113"/>
  <c r="CH113"/>
  <c r="CI113"/>
  <c r="CJ113"/>
  <c r="CK113"/>
  <c r="CK209" s="1"/>
  <c r="CL113"/>
  <c r="CM113"/>
  <c r="CN113"/>
  <c r="CO113"/>
  <c r="CO209" s="1"/>
  <c r="CP113"/>
  <c r="CQ113"/>
  <c r="CR113"/>
  <c r="CS113"/>
  <c r="CT113"/>
  <c r="CU113"/>
  <c r="CV113"/>
  <c r="CW113"/>
  <c r="CX113"/>
  <c r="CY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AH117"/>
  <c r="B117" s="1"/>
  <c r="BQ117"/>
  <c r="CZ117"/>
  <c r="BT117" s="1"/>
  <c r="EI117"/>
  <c r="DC117" s="1"/>
  <c r="AH118"/>
  <c r="B118" s="1"/>
  <c r="BQ118"/>
  <c r="AK118" s="1"/>
  <c r="CZ118"/>
  <c r="BT118" s="1"/>
  <c r="EI118"/>
  <c r="DC118" s="1"/>
  <c r="AH119"/>
  <c r="B119" s="1"/>
  <c r="BQ119"/>
  <c r="AK119" s="1"/>
  <c r="CZ119"/>
  <c r="BT119" s="1"/>
  <c r="EI119"/>
  <c r="DC119" s="1"/>
  <c r="AH120"/>
  <c r="B120" s="1"/>
  <c r="BQ120"/>
  <c r="AK120" s="1"/>
  <c r="CZ120"/>
  <c r="BT120" s="1"/>
  <c r="EI120"/>
  <c r="DC120" s="1"/>
  <c r="AH121"/>
  <c r="B121" s="1"/>
  <c r="BQ121"/>
  <c r="AK121" s="1"/>
  <c r="CZ121"/>
  <c r="BT121" s="1"/>
  <c r="EI121"/>
  <c r="DC121" s="1"/>
  <c r="AH122"/>
  <c r="B122" s="1"/>
  <c r="BQ122"/>
  <c r="AK122" s="1"/>
  <c r="CZ122"/>
  <c r="BT122" s="1"/>
  <c r="EI122"/>
  <c r="DC122" s="1"/>
  <c r="AH123"/>
  <c r="B123" s="1"/>
  <c r="BQ123"/>
  <c r="AK123" s="1"/>
  <c r="CZ123"/>
  <c r="BT123" s="1"/>
  <c r="EI123"/>
  <c r="DC123" s="1"/>
  <c r="AH124"/>
  <c r="B124" s="1"/>
  <c r="BQ124"/>
  <c r="AK124" s="1"/>
  <c r="CZ124"/>
  <c r="BT124" s="1"/>
  <c r="EI124"/>
  <c r="DC124" s="1"/>
  <c r="AH125"/>
  <c r="B125" s="1"/>
  <c r="BQ125"/>
  <c r="AK125" s="1"/>
  <c r="CZ125"/>
  <c r="BT125" s="1"/>
  <c r="EI125"/>
  <c r="DC125" s="1"/>
  <c r="AH126"/>
  <c r="B126" s="1"/>
  <c r="BQ126"/>
  <c r="AK126" s="1"/>
  <c r="CZ126"/>
  <c r="BT126" s="1"/>
  <c r="EI126"/>
  <c r="DC126" s="1"/>
  <c r="AH127"/>
  <c r="B127" s="1"/>
  <c r="BQ127"/>
  <c r="AK127" s="1"/>
  <c r="CZ127"/>
  <c r="BT127" s="1"/>
  <c r="EI127"/>
  <c r="DC127" s="1"/>
  <c r="AH128"/>
  <c r="B128" s="1"/>
  <c r="BQ128"/>
  <c r="AK128" s="1"/>
  <c r="CZ128"/>
  <c r="BT128" s="1"/>
  <c r="EI128"/>
  <c r="DC128" s="1"/>
  <c r="C129"/>
  <c r="D129"/>
  <c r="E129"/>
  <c r="F129"/>
  <c r="G129"/>
  <c r="H129"/>
  <c r="I129"/>
  <c r="J129"/>
  <c r="K129"/>
  <c r="L129"/>
  <c r="M129"/>
  <c r="N129"/>
  <c r="O129"/>
  <c r="P129"/>
  <c r="Q129"/>
  <c r="R129"/>
  <c r="S129"/>
  <c r="T129"/>
  <c r="U129"/>
  <c r="V129"/>
  <c r="W129"/>
  <c r="X129"/>
  <c r="Y129"/>
  <c r="Z129"/>
  <c r="AA129"/>
  <c r="AB129"/>
  <c r="AC129"/>
  <c r="AD129"/>
  <c r="AE129"/>
  <c r="AF129"/>
  <c r="AG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DC129"/>
  <c r="DD129"/>
  <c r="DE129"/>
  <c r="DF129"/>
  <c r="DG129"/>
  <c r="DG209" s="1"/>
  <c r="DH129"/>
  <c r="DI129"/>
  <c r="DJ129"/>
  <c r="DK129"/>
  <c r="DL129"/>
  <c r="DM129"/>
  <c r="DN129"/>
  <c r="DO129"/>
  <c r="DP129"/>
  <c r="DQ129"/>
  <c r="DR129"/>
  <c r="DS129"/>
  <c r="DT129"/>
  <c r="DU129"/>
  <c r="DV129"/>
  <c r="DW129"/>
  <c r="DW209" s="1"/>
  <c r="DX129"/>
  <c r="DY129"/>
  <c r="DZ129"/>
  <c r="EA129"/>
  <c r="EB129"/>
  <c r="EC129"/>
  <c r="ED129"/>
  <c r="EE129"/>
  <c r="EF129"/>
  <c r="EG129"/>
  <c r="EH129"/>
  <c r="EI129"/>
  <c r="AH133"/>
  <c r="B133" s="1"/>
  <c r="BQ133"/>
  <c r="CZ133"/>
  <c r="BT133" s="1"/>
  <c r="EI133"/>
  <c r="AH134"/>
  <c r="B134" s="1"/>
  <c r="BQ134"/>
  <c r="AK134" s="1"/>
  <c r="CZ134"/>
  <c r="BT134" s="1"/>
  <c r="EI134"/>
  <c r="DC134" s="1"/>
  <c r="AH135"/>
  <c r="B135" s="1"/>
  <c r="BQ135"/>
  <c r="AK135" s="1"/>
  <c r="CZ135"/>
  <c r="BT135" s="1"/>
  <c r="EI135"/>
  <c r="DC135" s="1"/>
  <c r="AH136"/>
  <c r="B136" s="1"/>
  <c r="BQ136"/>
  <c r="AK136" s="1"/>
  <c r="CZ136"/>
  <c r="BT136" s="1"/>
  <c r="EI136"/>
  <c r="DC136" s="1"/>
  <c r="AH137"/>
  <c r="B137" s="1"/>
  <c r="BQ137"/>
  <c r="AK137" s="1"/>
  <c r="CZ137"/>
  <c r="BT137" s="1"/>
  <c r="EI137"/>
  <c r="DC137" s="1"/>
  <c r="AH138"/>
  <c r="B138" s="1"/>
  <c r="BQ138"/>
  <c r="AK138" s="1"/>
  <c r="CZ138"/>
  <c r="BT138" s="1"/>
  <c r="EI138"/>
  <c r="DC138" s="1"/>
  <c r="AH139"/>
  <c r="B139" s="1"/>
  <c r="BQ139"/>
  <c r="AK139" s="1"/>
  <c r="CZ139"/>
  <c r="BT139" s="1"/>
  <c r="EI139"/>
  <c r="DC139" s="1"/>
  <c r="AH140"/>
  <c r="B140" s="1"/>
  <c r="BQ140"/>
  <c r="AK140" s="1"/>
  <c r="CZ140"/>
  <c r="BT140" s="1"/>
  <c r="EI140"/>
  <c r="DC140" s="1"/>
  <c r="AH141"/>
  <c r="B141" s="1"/>
  <c r="BQ141"/>
  <c r="AK141" s="1"/>
  <c r="CZ141"/>
  <c r="BT141" s="1"/>
  <c r="EI141"/>
  <c r="DC141" s="1"/>
  <c r="AH142"/>
  <c r="B142" s="1"/>
  <c r="BQ142"/>
  <c r="AK142" s="1"/>
  <c r="CZ142"/>
  <c r="BT142" s="1"/>
  <c r="EI142"/>
  <c r="DC142" s="1"/>
  <c r="AH143"/>
  <c r="B143" s="1"/>
  <c r="BQ143"/>
  <c r="AK143" s="1"/>
  <c r="CZ143"/>
  <c r="BT143" s="1"/>
  <c r="EI143"/>
  <c r="DC143" s="1"/>
  <c r="AH144"/>
  <c r="B144" s="1"/>
  <c r="BQ144"/>
  <c r="AK144" s="1"/>
  <c r="CZ144"/>
  <c r="BT144" s="1"/>
  <c r="EI144"/>
  <c r="DC144" s="1"/>
  <c r="C145"/>
  <c r="D145"/>
  <c r="E145"/>
  <c r="F145"/>
  <c r="G145"/>
  <c r="H145"/>
  <c r="I145"/>
  <c r="J145"/>
  <c r="K145"/>
  <c r="L145"/>
  <c r="M145"/>
  <c r="N145"/>
  <c r="O145"/>
  <c r="P145"/>
  <c r="Q145"/>
  <c r="R145"/>
  <c r="S145"/>
  <c r="T145"/>
  <c r="U145"/>
  <c r="V145"/>
  <c r="W145"/>
  <c r="X145"/>
  <c r="Y145"/>
  <c r="Z145"/>
  <c r="AA145"/>
  <c r="AB145"/>
  <c r="AC145"/>
  <c r="AD145"/>
  <c r="AE145"/>
  <c r="AF145"/>
  <c r="AG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U145"/>
  <c r="BV145"/>
  <c r="BW145"/>
  <c r="BX145"/>
  <c r="BY145"/>
  <c r="BZ145"/>
  <c r="CA145"/>
  <c r="CB145"/>
  <c r="CC145"/>
  <c r="CD145"/>
  <c r="CD209" s="1"/>
  <c r="CE145"/>
  <c r="CF145"/>
  <c r="CG145"/>
  <c r="CH145"/>
  <c r="CI145"/>
  <c r="CJ145"/>
  <c r="CK145"/>
  <c r="CL145"/>
  <c r="CM145"/>
  <c r="CN145"/>
  <c r="CO145"/>
  <c r="CP145"/>
  <c r="CQ145"/>
  <c r="CR145"/>
  <c r="CS145"/>
  <c r="CT145"/>
  <c r="CU145"/>
  <c r="CV145"/>
  <c r="CW145"/>
  <c r="CX145"/>
  <c r="CY145"/>
  <c r="CZ145"/>
  <c r="DD145"/>
  <c r="DE145"/>
  <c r="DF145"/>
  <c r="DG145"/>
  <c r="DH145"/>
  <c r="DI145"/>
  <c r="DJ145"/>
  <c r="DK145"/>
  <c r="DL145"/>
  <c r="DM145"/>
  <c r="DN145"/>
  <c r="DO145"/>
  <c r="DP145"/>
  <c r="DQ145"/>
  <c r="DR145"/>
  <c r="DS145"/>
  <c r="DT145"/>
  <c r="DU145"/>
  <c r="DV145"/>
  <c r="DW145"/>
  <c r="DX145"/>
  <c r="DY145"/>
  <c r="DZ145"/>
  <c r="EA145"/>
  <c r="EB145"/>
  <c r="EC145"/>
  <c r="ED145"/>
  <c r="EE145"/>
  <c r="EF145"/>
  <c r="EG145"/>
  <c r="EH145"/>
  <c r="AH149"/>
  <c r="B149" s="1"/>
  <c r="BQ149"/>
  <c r="AK149" s="1"/>
  <c r="CZ149"/>
  <c r="BT149" s="1"/>
  <c r="EI149"/>
  <c r="DC149" s="1"/>
  <c r="AH150"/>
  <c r="B150" s="1"/>
  <c r="BQ150"/>
  <c r="AK150" s="1"/>
  <c r="CZ150"/>
  <c r="BT150" s="1"/>
  <c r="EI150"/>
  <c r="DC150" s="1"/>
  <c r="AH151"/>
  <c r="B151" s="1"/>
  <c r="BQ151"/>
  <c r="AK151" s="1"/>
  <c r="CZ151"/>
  <c r="BT151" s="1"/>
  <c r="EI151"/>
  <c r="DC151" s="1"/>
  <c r="AH152"/>
  <c r="B152" s="1"/>
  <c r="BQ152"/>
  <c r="AK152" s="1"/>
  <c r="CZ152"/>
  <c r="BT152" s="1"/>
  <c r="EI152"/>
  <c r="DC152" s="1"/>
  <c r="AH153"/>
  <c r="B153" s="1"/>
  <c r="BQ153"/>
  <c r="AK153" s="1"/>
  <c r="CZ153"/>
  <c r="BT153" s="1"/>
  <c r="EI153"/>
  <c r="DC153" s="1"/>
  <c r="AH154"/>
  <c r="B154" s="1"/>
  <c r="BQ154"/>
  <c r="AK154" s="1"/>
  <c r="CZ154"/>
  <c r="BT154" s="1"/>
  <c r="EI154"/>
  <c r="DC154" s="1"/>
  <c r="AH155"/>
  <c r="B155" s="1"/>
  <c r="BQ155"/>
  <c r="AK155" s="1"/>
  <c r="CZ155"/>
  <c r="BT155" s="1"/>
  <c r="EI155"/>
  <c r="DC155" s="1"/>
  <c r="AH156"/>
  <c r="B156" s="1"/>
  <c r="BQ156"/>
  <c r="AK156" s="1"/>
  <c r="CZ156"/>
  <c r="BT156" s="1"/>
  <c r="EI156"/>
  <c r="DC156" s="1"/>
  <c r="AH157"/>
  <c r="B157" s="1"/>
  <c r="BQ157"/>
  <c r="AK157" s="1"/>
  <c r="CZ157"/>
  <c r="BT157" s="1"/>
  <c r="EI157"/>
  <c r="DC157" s="1"/>
  <c r="AH158"/>
  <c r="BQ158"/>
  <c r="AK158" s="1"/>
  <c r="CZ158"/>
  <c r="BT158" s="1"/>
  <c r="EI158"/>
  <c r="DC158" s="1"/>
  <c r="AH159"/>
  <c r="B159" s="1"/>
  <c r="BQ159"/>
  <c r="AK159" s="1"/>
  <c r="CZ159"/>
  <c r="BT159" s="1"/>
  <c r="EI159"/>
  <c r="DC159" s="1"/>
  <c r="AH160"/>
  <c r="B160" s="1"/>
  <c r="BQ160"/>
  <c r="AK160" s="1"/>
  <c r="CZ160"/>
  <c r="BT160" s="1"/>
  <c r="EI160"/>
  <c r="DC160" s="1"/>
  <c r="C161"/>
  <c r="D161"/>
  <c r="E161"/>
  <c r="F161"/>
  <c r="G161"/>
  <c r="H161"/>
  <c r="I161"/>
  <c r="J161"/>
  <c r="K161"/>
  <c r="L161"/>
  <c r="M161"/>
  <c r="N161"/>
  <c r="O161"/>
  <c r="P161"/>
  <c r="Q161"/>
  <c r="R161"/>
  <c r="S161"/>
  <c r="T161"/>
  <c r="U161"/>
  <c r="V161"/>
  <c r="W161"/>
  <c r="X161"/>
  <c r="Y161"/>
  <c r="Z161"/>
  <c r="AA161"/>
  <c r="AB161"/>
  <c r="AC161"/>
  <c r="AD161"/>
  <c r="AE161"/>
  <c r="AF161"/>
  <c r="AG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U161"/>
  <c r="BV161"/>
  <c r="BW161"/>
  <c r="BX161"/>
  <c r="BY161"/>
  <c r="BZ161"/>
  <c r="CA161"/>
  <c r="CB161"/>
  <c r="CC161"/>
  <c r="CD161"/>
  <c r="CE161"/>
  <c r="CF161"/>
  <c r="CG161"/>
  <c r="CH161"/>
  <c r="CI161"/>
  <c r="CJ161"/>
  <c r="CK161"/>
  <c r="CL161"/>
  <c r="CM161"/>
  <c r="CN161"/>
  <c r="CO161"/>
  <c r="CP161"/>
  <c r="CQ161"/>
  <c r="CR161"/>
  <c r="CS161"/>
  <c r="CT161"/>
  <c r="CU161"/>
  <c r="CV161"/>
  <c r="CW161"/>
  <c r="CX161"/>
  <c r="CY161"/>
  <c r="CZ161"/>
  <c r="DD161"/>
  <c r="DE161"/>
  <c r="DF161"/>
  <c r="DG161"/>
  <c r="DH161"/>
  <c r="DI161"/>
  <c r="DJ161"/>
  <c r="DK161"/>
  <c r="DL161"/>
  <c r="DM161"/>
  <c r="DN161"/>
  <c r="DO161"/>
  <c r="DP161"/>
  <c r="DQ161"/>
  <c r="DR161"/>
  <c r="DS161"/>
  <c r="DT161"/>
  <c r="DU161"/>
  <c r="DV161"/>
  <c r="DW161"/>
  <c r="DX161"/>
  <c r="DY161"/>
  <c r="DZ161"/>
  <c r="EA161"/>
  <c r="EB161"/>
  <c r="EC161"/>
  <c r="ED161"/>
  <c r="EE161"/>
  <c r="EF161"/>
  <c r="EG161"/>
  <c r="EH161"/>
  <c r="AH165"/>
  <c r="B165" s="1"/>
  <c r="BQ165"/>
  <c r="AK165" s="1"/>
  <c r="CZ165"/>
  <c r="BT165" s="1"/>
  <c r="EI165"/>
  <c r="DC165" s="1"/>
  <c r="AH166"/>
  <c r="B166" s="1"/>
  <c r="BQ166"/>
  <c r="AK166" s="1"/>
  <c r="CZ166"/>
  <c r="BT166" s="1"/>
  <c r="EI166"/>
  <c r="DC166" s="1"/>
  <c r="AH167"/>
  <c r="B167" s="1"/>
  <c r="BQ167"/>
  <c r="AK167" s="1"/>
  <c r="CZ167"/>
  <c r="BT167" s="1"/>
  <c r="EI167"/>
  <c r="DC167" s="1"/>
  <c r="AH168"/>
  <c r="B168" s="1"/>
  <c r="BQ168"/>
  <c r="AK168" s="1"/>
  <c r="CZ168"/>
  <c r="BT168" s="1"/>
  <c r="EI168"/>
  <c r="DC168" s="1"/>
  <c r="AH169"/>
  <c r="B169" s="1"/>
  <c r="BQ169"/>
  <c r="AK169" s="1"/>
  <c r="CZ169"/>
  <c r="BT169" s="1"/>
  <c r="EI169"/>
  <c r="DC169" s="1"/>
  <c r="AH170"/>
  <c r="B170" s="1"/>
  <c r="BQ170"/>
  <c r="AK170" s="1"/>
  <c r="CZ170"/>
  <c r="BT170" s="1"/>
  <c r="EI170"/>
  <c r="DC170" s="1"/>
  <c r="AH171"/>
  <c r="B171" s="1"/>
  <c r="BQ171"/>
  <c r="AK171" s="1"/>
  <c r="CZ171"/>
  <c r="BT171" s="1"/>
  <c r="EI171"/>
  <c r="DC171" s="1"/>
  <c r="AH172"/>
  <c r="B172" s="1"/>
  <c r="BQ172"/>
  <c r="AK172" s="1"/>
  <c r="CZ172"/>
  <c r="BT172" s="1"/>
  <c r="EI172"/>
  <c r="DC172" s="1"/>
  <c r="AH173"/>
  <c r="B173" s="1"/>
  <c r="BQ173"/>
  <c r="AK173" s="1"/>
  <c r="CZ173"/>
  <c r="BT173" s="1"/>
  <c r="EI173"/>
  <c r="DC173" s="1"/>
  <c r="AH174"/>
  <c r="B174" s="1"/>
  <c r="BQ174"/>
  <c r="AK174" s="1"/>
  <c r="CZ174"/>
  <c r="BT174" s="1"/>
  <c r="EI174"/>
  <c r="DC174" s="1"/>
  <c r="AH175"/>
  <c r="B175" s="1"/>
  <c r="BQ175"/>
  <c r="AK175" s="1"/>
  <c r="CZ175"/>
  <c r="BT175" s="1"/>
  <c r="EI175"/>
  <c r="DC175" s="1"/>
  <c r="AH176"/>
  <c r="B176" s="1"/>
  <c r="BQ176"/>
  <c r="AK176" s="1"/>
  <c r="CZ176"/>
  <c r="BT176" s="1"/>
  <c r="EI176"/>
  <c r="DC176" s="1"/>
  <c r="C177"/>
  <c r="D177"/>
  <c r="E177"/>
  <c r="F177"/>
  <c r="G177"/>
  <c r="H177"/>
  <c r="I177"/>
  <c r="J177"/>
  <c r="K177"/>
  <c r="L177"/>
  <c r="M177"/>
  <c r="N177"/>
  <c r="O177"/>
  <c r="P177"/>
  <c r="Q177"/>
  <c r="R177"/>
  <c r="S177"/>
  <c r="T177"/>
  <c r="U177"/>
  <c r="V177"/>
  <c r="W177"/>
  <c r="X177"/>
  <c r="Y177"/>
  <c r="Z177"/>
  <c r="AA177"/>
  <c r="AB177"/>
  <c r="AC177"/>
  <c r="AD177"/>
  <c r="AE177"/>
  <c r="AF177"/>
  <c r="AG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U177"/>
  <c r="BV177"/>
  <c r="BW177"/>
  <c r="BX177"/>
  <c r="BY177"/>
  <c r="BZ177"/>
  <c r="CA177"/>
  <c r="CB177"/>
  <c r="CC177"/>
  <c r="CD177"/>
  <c r="CE177"/>
  <c r="CF177"/>
  <c r="CG177"/>
  <c r="CH177"/>
  <c r="CI177"/>
  <c r="CI209" s="1"/>
  <c r="CJ177"/>
  <c r="CK177"/>
  <c r="CL177"/>
  <c r="CM177"/>
  <c r="CN177"/>
  <c r="CO177"/>
  <c r="CP177"/>
  <c r="CQ177"/>
  <c r="CR177"/>
  <c r="CS177"/>
  <c r="CT177"/>
  <c r="CU177"/>
  <c r="CV177"/>
  <c r="CW177"/>
  <c r="CX177"/>
  <c r="CY177"/>
  <c r="CZ177"/>
  <c r="DD177"/>
  <c r="DE177"/>
  <c r="DF177"/>
  <c r="DG177"/>
  <c r="DH177"/>
  <c r="DI177"/>
  <c r="DJ177"/>
  <c r="DK177"/>
  <c r="DL177"/>
  <c r="DM177"/>
  <c r="DN177"/>
  <c r="DO177"/>
  <c r="DP177"/>
  <c r="DQ177"/>
  <c r="DR177"/>
  <c r="DS177"/>
  <c r="DT177"/>
  <c r="DU177"/>
  <c r="DV177"/>
  <c r="DW177"/>
  <c r="DX177"/>
  <c r="DY177"/>
  <c r="DZ177"/>
  <c r="EA177"/>
  <c r="EB177"/>
  <c r="EC177"/>
  <c r="ED177"/>
  <c r="EE177"/>
  <c r="EF177"/>
  <c r="EG177"/>
  <c r="EH177"/>
  <c r="EI177"/>
  <c r="AH181"/>
  <c r="B181" s="1"/>
  <c r="BQ181"/>
  <c r="AK181" s="1"/>
  <c r="CZ181"/>
  <c r="EI181"/>
  <c r="DC181" s="1"/>
  <c r="AH182"/>
  <c r="B182" s="1"/>
  <c r="BQ182"/>
  <c r="AK182" s="1"/>
  <c r="CZ182"/>
  <c r="BT182" s="1"/>
  <c r="EI182"/>
  <c r="DC182" s="1"/>
  <c r="AH183"/>
  <c r="B183" s="1"/>
  <c r="BQ183"/>
  <c r="AK183" s="1"/>
  <c r="CZ183"/>
  <c r="BT183" s="1"/>
  <c r="EI183"/>
  <c r="DC183" s="1"/>
  <c r="AH184"/>
  <c r="B184" s="1"/>
  <c r="BQ184"/>
  <c r="AK184" s="1"/>
  <c r="CZ184"/>
  <c r="BT184" s="1"/>
  <c r="EI184"/>
  <c r="DC184" s="1"/>
  <c r="AH185"/>
  <c r="B185" s="1"/>
  <c r="BQ185"/>
  <c r="AK185" s="1"/>
  <c r="CZ185"/>
  <c r="BT185" s="1"/>
  <c r="EI185"/>
  <c r="DC185" s="1"/>
  <c r="AH186"/>
  <c r="B186" s="1"/>
  <c r="BQ186"/>
  <c r="AK186" s="1"/>
  <c r="CZ186"/>
  <c r="BT186" s="1"/>
  <c r="EI186"/>
  <c r="DC186" s="1"/>
  <c r="AH187"/>
  <c r="B187" s="1"/>
  <c r="BQ187"/>
  <c r="AK187" s="1"/>
  <c r="CZ187"/>
  <c r="BT187" s="1"/>
  <c r="EI187"/>
  <c r="DC187" s="1"/>
  <c r="AH188"/>
  <c r="B188" s="1"/>
  <c r="BQ188"/>
  <c r="AK188" s="1"/>
  <c r="CZ188"/>
  <c r="BT188" s="1"/>
  <c r="EI188"/>
  <c r="DC188" s="1"/>
  <c r="AH189"/>
  <c r="B189" s="1"/>
  <c r="BQ189"/>
  <c r="AK189" s="1"/>
  <c r="CZ189"/>
  <c r="BT189" s="1"/>
  <c r="EI189"/>
  <c r="DC189" s="1"/>
  <c r="AH190"/>
  <c r="B190" s="1"/>
  <c r="BQ190"/>
  <c r="AK190" s="1"/>
  <c r="CZ190"/>
  <c r="BT190" s="1"/>
  <c r="EI190"/>
  <c r="DC190" s="1"/>
  <c r="AH191"/>
  <c r="B191" s="1"/>
  <c r="BQ191"/>
  <c r="AK191" s="1"/>
  <c r="CZ191"/>
  <c r="BT191" s="1"/>
  <c r="EI191"/>
  <c r="DC191" s="1"/>
  <c r="AH192"/>
  <c r="B192" s="1"/>
  <c r="BQ192"/>
  <c r="AK192" s="1"/>
  <c r="CZ192"/>
  <c r="BT192" s="1"/>
  <c r="EI192"/>
  <c r="DC192" s="1"/>
  <c r="C193"/>
  <c r="D193"/>
  <c r="E193"/>
  <c r="F193"/>
  <c r="G193"/>
  <c r="H193"/>
  <c r="I193"/>
  <c r="J193"/>
  <c r="K193"/>
  <c r="L193"/>
  <c r="M193"/>
  <c r="N193"/>
  <c r="O193"/>
  <c r="P193"/>
  <c r="Q193"/>
  <c r="R193"/>
  <c r="S193"/>
  <c r="T193"/>
  <c r="U193"/>
  <c r="V193"/>
  <c r="W193"/>
  <c r="X193"/>
  <c r="Y193"/>
  <c r="Z193"/>
  <c r="AA193"/>
  <c r="AB193"/>
  <c r="AC193"/>
  <c r="AD193"/>
  <c r="AE193"/>
  <c r="AF193"/>
  <c r="AG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U193"/>
  <c r="BV193"/>
  <c r="BW193"/>
  <c r="BX193"/>
  <c r="BY193"/>
  <c r="BZ193"/>
  <c r="CA193"/>
  <c r="CB193"/>
  <c r="CC193"/>
  <c r="CD193"/>
  <c r="CE193"/>
  <c r="CF193"/>
  <c r="CG193"/>
  <c r="CH193"/>
  <c r="CI193"/>
  <c r="CJ193"/>
  <c r="CK193"/>
  <c r="CL193"/>
  <c r="CM193"/>
  <c r="CN193"/>
  <c r="CO193"/>
  <c r="CP193"/>
  <c r="CQ193"/>
  <c r="CR193"/>
  <c r="CS193"/>
  <c r="CT193"/>
  <c r="CU193"/>
  <c r="CV193"/>
  <c r="CW193"/>
  <c r="CX193"/>
  <c r="CY193"/>
  <c r="DD193"/>
  <c r="DE193"/>
  <c r="DF193"/>
  <c r="DG193"/>
  <c r="DH193"/>
  <c r="DI193"/>
  <c r="DJ193"/>
  <c r="DK193"/>
  <c r="DL193"/>
  <c r="DM193"/>
  <c r="DN193"/>
  <c r="DO193"/>
  <c r="DP193"/>
  <c r="DQ193"/>
  <c r="DR193"/>
  <c r="DS193"/>
  <c r="DT193"/>
  <c r="DU193"/>
  <c r="DV193"/>
  <c r="DW193"/>
  <c r="DX193"/>
  <c r="DY193"/>
  <c r="DZ193"/>
  <c r="EA193"/>
  <c r="EB193"/>
  <c r="EC193"/>
  <c r="ED193"/>
  <c r="EE193"/>
  <c r="EF193"/>
  <c r="EG193"/>
  <c r="EH193"/>
  <c r="C197"/>
  <c r="D197"/>
  <c r="D6" i="60818" s="1"/>
  <c r="E197" i="60819"/>
  <c r="E6" i="60818" s="1"/>
  <c r="F197" i="60819"/>
  <c r="F6" i="60818" s="1"/>
  <c r="G197" i="60819"/>
  <c r="H197"/>
  <c r="H6" i="60818" s="1"/>
  <c r="I197" i="60819"/>
  <c r="I6" i="60818" s="1"/>
  <c r="J197" i="60819"/>
  <c r="J6" i="60818" s="1"/>
  <c r="K197" i="60819"/>
  <c r="L197"/>
  <c r="L6" i="60818" s="1"/>
  <c r="M197" i="60819"/>
  <c r="M6" i="60818" s="1"/>
  <c r="N197" i="60819"/>
  <c r="N6" i="60818" s="1"/>
  <c r="O197" i="60819"/>
  <c r="O6" i="60818" s="1"/>
  <c r="P197" i="60819"/>
  <c r="P6" i="60818" s="1"/>
  <c r="Q197" i="60819"/>
  <c r="Q6" i="60818" s="1"/>
  <c r="R197" i="60819"/>
  <c r="R6" i="60818" s="1"/>
  <c r="S197" i="60819"/>
  <c r="T197"/>
  <c r="T6" i="60818" s="1"/>
  <c r="U197" i="60819"/>
  <c r="U6" i="60818" s="1"/>
  <c r="V197" i="60819"/>
  <c r="V6" i="60818" s="1"/>
  <c r="W197" i="60819"/>
  <c r="X197"/>
  <c r="X6" i="60818" s="1"/>
  <c r="Y197" i="60819"/>
  <c r="Y6" i="60818" s="1"/>
  <c r="Z197" i="60819"/>
  <c r="Z6" i="60818" s="1"/>
  <c r="AA197" i="60819"/>
  <c r="AB197"/>
  <c r="AB6" i="60818" s="1"/>
  <c r="AC197" i="60819"/>
  <c r="AC6" i="60818" s="1"/>
  <c r="AD197" i="60819"/>
  <c r="AD6" i="60818" s="1"/>
  <c r="AE197" i="60819"/>
  <c r="AE6" i="60818" s="1"/>
  <c r="AF197" i="60819"/>
  <c r="AF6" i="60818" s="1"/>
  <c r="AG197" i="60819"/>
  <c r="AG6" i="60818" s="1"/>
  <c r="AL197" i="60819"/>
  <c r="AM197"/>
  <c r="AN197"/>
  <c r="AN209" s="1"/>
  <c r="AO197"/>
  <c r="AP197"/>
  <c r="AQ197"/>
  <c r="AR197"/>
  <c r="AS197"/>
  <c r="AT197"/>
  <c r="AU197"/>
  <c r="AV197"/>
  <c r="AW197"/>
  <c r="AX197"/>
  <c r="AY197"/>
  <c r="AZ197"/>
  <c r="AZ209" s="1"/>
  <c r="BA197"/>
  <c r="BB197"/>
  <c r="BC197"/>
  <c r="BD197"/>
  <c r="BE197"/>
  <c r="BF197"/>
  <c r="BG197"/>
  <c r="BH197"/>
  <c r="BH209" s="1"/>
  <c r="BI197"/>
  <c r="BJ197"/>
  <c r="BK197"/>
  <c r="BL197"/>
  <c r="BM197"/>
  <c r="BN197"/>
  <c r="BO197"/>
  <c r="BP197"/>
  <c r="BP209" s="1"/>
  <c r="DD197"/>
  <c r="DE197"/>
  <c r="D112" i="60818" s="1"/>
  <c r="DF197" i="60819"/>
  <c r="DG197"/>
  <c r="DH197"/>
  <c r="DI197"/>
  <c r="H112" i="60818" s="1"/>
  <c r="DJ197" i="60819"/>
  <c r="DK197"/>
  <c r="DL197"/>
  <c r="DM197"/>
  <c r="L112" i="60818" s="1"/>
  <c r="DN197" i="60819"/>
  <c r="DO197"/>
  <c r="DP197"/>
  <c r="DQ197"/>
  <c r="P112" i="60818" s="1"/>
  <c r="DR197" i="60819"/>
  <c r="DS197"/>
  <c r="DT197"/>
  <c r="DU197"/>
  <c r="T112" i="60818" s="1"/>
  <c r="DV197" i="60819"/>
  <c r="DW197"/>
  <c r="DX197"/>
  <c r="DY197"/>
  <c r="X112" i="60818" s="1"/>
  <c r="DZ197" i="60819"/>
  <c r="EA197"/>
  <c r="EB197"/>
  <c r="EC197"/>
  <c r="AB112" i="60818" s="1"/>
  <c r="ED197" i="60819"/>
  <c r="EE197"/>
  <c r="EF197"/>
  <c r="EG197"/>
  <c r="AF112" i="60818" s="1"/>
  <c r="EH197" i="60819"/>
  <c r="C198"/>
  <c r="C7" i="60818" s="1"/>
  <c r="D198" i="60819"/>
  <c r="D7" i="60818" s="1"/>
  <c r="E198" i="60819"/>
  <c r="F198"/>
  <c r="F7" i="60818" s="1"/>
  <c r="G198" i="60819"/>
  <c r="G7" i="60818" s="1"/>
  <c r="H198" i="60819"/>
  <c r="H7" i="60818" s="1"/>
  <c r="I198" i="60819"/>
  <c r="I7" i="60818" s="1"/>
  <c r="J198" i="60819"/>
  <c r="J7" i="60818" s="1"/>
  <c r="K198" i="60819"/>
  <c r="K7" i="60818" s="1"/>
  <c r="L198" i="60819"/>
  <c r="L7" i="60818" s="1"/>
  <c r="M198" i="60819"/>
  <c r="M7" i="60818" s="1"/>
  <c r="N198" i="60819"/>
  <c r="N7" i="60818" s="1"/>
  <c r="O198" i="60819"/>
  <c r="O7" i="60818" s="1"/>
  <c r="P198" i="60819"/>
  <c r="P7" i="60818" s="1"/>
  <c r="Q198" i="60819"/>
  <c r="Q7" i="60818" s="1"/>
  <c r="R198" i="60819"/>
  <c r="R7" i="60818" s="1"/>
  <c r="S198" i="60819"/>
  <c r="S7" i="60818" s="1"/>
  <c r="T198" i="60819"/>
  <c r="T7" i="60818" s="1"/>
  <c r="U198" i="60819"/>
  <c r="U7" i="60818" s="1"/>
  <c r="V198" i="60819"/>
  <c r="V7" i="60818" s="1"/>
  <c r="W198" i="60819"/>
  <c r="W7" i="60818" s="1"/>
  <c r="X198" i="60819"/>
  <c r="X7" i="60818" s="1"/>
  <c r="Y198" i="60819"/>
  <c r="Y7" i="60818" s="1"/>
  <c r="Z198" i="60819"/>
  <c r="Z7" i="60818" s="1"/>
  <c r="AA198" i="60819"/>
  <c r="AA7" i="60818" s="1"/>
  <c r="AB198" i="60819"/>
  <c r="AB7" i="60818" s="1"/>
  <c r="AC198" i="60819"/>
  <c r="AC7" i="60818" s="1"/>
  <c r="AD198" i="60819"/>
  <c r="AD7" i="60818" s="1"/>
  <c r="AE198" i="60819"/>
  <c r="AE7" i="60818" s="1"/>
  <c r="AF198" i="60819"/>
  <c r="AF7" i="60818" s="1"/>
  <c r="AG198" i="60819"/>
  <c r="AG7" i="60818" s="1"/>
  <c r="AL198" i="60819"/>
  <c r="AM198"/>
  <c r="AN198"/>
  <c r="AO198"/>
  <c r="AP198"/>
  <c r="AQ198"/>
  <c r="AR198"/>
  <c r="AS198"/>
  <c r="AT198"/>
  <c r="AT209" s="1"/>
  <c r="AU198"/>
  <c r="AV198"/>
  <c r="AW198"/>
  <c r="AX198"/>
  <c r="AX209" s="1"/>
  <c r="AY198"/>
  <c r="AZ198"/>
  <c r="BA198"/>
  <c r="BB198"/>
  <c r="BC198"/>
  <c r="BD198"/>
  <c r="BE198"/>
  <c r="BF198"/>
  <c r="BG198"/>
  <c r="BH198"/>
  <c r="BI198"/>
  <c r="BI209" s="1"/>
  <c r="BJ198"/>
  <c r="BK198"/>
  <c r="BL198"/>
  <c r="BM198"/>
  <c r="BN198"/>
  <c r="BO198"/>
  <c r="BP198"/>
  <c r="CZ198"/>
  <c r="BT198" s="1"/>
  <c r="DD198"/>
  <c r="C113" i="60818" s="1"/>
  <c r="DE198" i="60819"/>
  <c r="DF198"/>
  <c r="DG198"/>
  <c r="F113" i="60818" s="1"/>
  <c r="DH198" i="60819"/>
  <c r="G113" i="60818" s="1"/>
  <c r="DI198" i="60819"/>
  <c r="DJ198"/>
  <c r="DK198"/>
  <c r="J113" i="60818" s="1"/>
  <c r="DL198" i="60819"/>
  <c r="K113" i="60818" s="1"/>
  <c r="DM198" i="60819"/>
  <c r="DN198"/>
  <c r="DO198"/>
  <c r="N113" i="60818" s="1"/>
  <c r="DP198" i="60819"/>
  <c r="O113" i="60818" s="1"/>
  <c r="DQ198" i="60819"/>
  <c r="DR198"/>
  <c r="DS198"/>
  <c r="R113" i="60818" s="1"/>
  <c r="DT198" i="60819"/>
  <c r="S113" i="60818" s="1"/>
  <c r="DU198" i="60819"/>
  <c r="DV198"/>
  <c r="DW198"/>
  <c r="V113" i="60818" s="1"/>
  <c r="DX198" i="60819"/>
  <c r="W113" i="60818" s="1"/>
  <c r="DY198" i="60819"/>
  <c r="DZ198"/>
  <c r="EA198"/>
  <c r="Z113" i="60818" s="1"/>
  <c r="EB198" i="60819"/>
  <c r="AA113" i="60818" s="1"/>
  <c r="EC198" i="60819"/>
  <c r="ED198"/>
  <c r="EE198"/>
  <c r="AD113" i="60818" s="1"/>
  <c r="EF198" i="60819"/>
  <c r="AE113" i="60818" s="1"/>
  <c r="EG198" i="60819"/>
  <c r="EH198"/>
  <c r="C199"/>
  <c r="C8" i="60818" s="1"/>
  <c r="D199" i="60819"/>
  <c r="D8" i="60818" s="1"/>
  <c r="E199" i="60819"/>
  <c r="E8" i="60818" s="1"/>
  <c r="F199" i="60819"/>
  <c r="F8" i="60818" s="1"/>
  <c r="G199" i="60819"/>
  <c r="G8" i="60818" s="1"/>
  <c r="H199" i="60819"/>
  <c r="H8" i="60818" s="1"/>
  <c r="I199" i="60819"/>
  <c r="I8" i="60818" s="1"/>
  <c r="J199" i="60819"/>
  <c r="J8" i="60818" s="1"/>
  <c r="K199" i="60819"/>
  <c r="K8" i="60818" s="1"/>
  <c r="L199" i="60819"/>
  <c r="L8" i="60818" s="1"/>
  <c r="M199" i="60819"/>
  <c r="M8" i="60818" s="1"/>
  <c r="N199" i="60819"/>
  <c r="N8" i="60818" s="1"/>
  <c r="O199" i="60819"/>
  <c r="O8" i="60818" s="1"/>
  <c r="P199" i="60819"/>
  <c r="P8" i="60818" s="1"/>
  <c r="Q199" i="60819"/>
  <c r="R199"/>
  <c r="R8" i="60818" s="1"/>
  <c r="S199" i="60819"/>
  <c r="S8" i="60818" s="1"/>
  <c r="T199" i="60819"/>
  <c r="T8" i="60818" s="1"/>
  <c r="U199" i="60819"/>
  <c r="U8" i="60818" s="1"/>
  <c r="V199" i="60819"/>
  <c r="V8" i="60818" s="1"/>
  <c r="W199" i="60819"/>
  <c r="W8" i="60818" s="1"/>
  <c r="X199" i="60819"/>
  <c r="X8" i="60818" s="1"/>
  <c r="Y199" i="60819"/>
  <c r="Y8" i="60818" s="1"/>
  <c r="Z199" i="60819"/>
  <c r="Z8" i="60818" s="1"/>
  <c r="AA199" i="60819"/>
  <c r="AA8" i="60818" s="1"/>
  <c r="AB199" i="60819"/>
  <c r="AB8" i="60818" s="1"/>
  <c r="AC199" i="60819"/>
  <c r="AC8" i="60818" s="1"/>
  <c r="AD199" i="60819"/>
  <c r="AD8" i="60818" s="1"/>
  <c r="AE199" i="60819"/>
  <c r="AE8" i="60818" s="1"/>
  <c r="AF199" i="60819"/>
  <c r="AF8" i="60818" s="1"/>
  <c r="AG199" i="60819"/>
  <c r="AG8" i="60818" s="1"/>
  <c r="AL199" i="60819"/>
  <c r="AM199"/>
  <c r="AN199"/>
  <c r="AO199"/>
  <c r="AP199"/>
  <c r="AQ199"/>
  <c r="AR199"/>
  <c r="AS199"/>
  <c r="AT199"/>
  <c r="AU199"/>
  <c r="AV199"/>
  <c r="AW199"/>
  <c r="AX199"/>
  <c r="AY199"/>
  <c r="AZ199"/>
  <c r="BA199"/>
  <c r="BB199"/>
  <c r="BC199"/>
  <c r="BD199"/>
  <c r="BE199"/>
  <c r="BF199"/>
  <c r="BG199"/>
  <c r="BH199"/>
  <c r="BI199"/>
  <c r="BJ199"/>
  <c r="BK199"/>
  <c r="BL199"/>
  <c r="BM199"/>
  <c r="BN199"/>
  <c r="BO199"/>
  <c r="BP199"/>
  <c r="DD199"/>
  <c r="DE199"/>
  <c r="D114" i="60818" s="1"/>
  <c r="DF199" i="60819"/>
  <c r="E114" i="60818" s="1"/>
  <c r="DG199" i="60819"/>
  <c r="DH199"/>
  <c r="DI199"/>
  <c r="H114" i="60818" s="1"/>
  <c r="DJ199" i="60819"/>
  <c r="I114" i="60818" s="1"/>
  <c r="DK199" i="60819"/>
  <c r="DL199"/>
  <c r="DM199"/>
  <c r="L114" i="60818" s="1"/>
  <c r="DN199" i="60819"/>
  <c r="M114" i="60818" s="1"/>
  <c r="DO199" i="60819"/>
  <c r="DP199"/>
  <c r="DQ199"/>
  <c r="P114" i="60818" s="1"/>
  <c r="DR199" i="60819"/>
  <c r="Q114" i="60818" s="1"/>
  <c r="DS199" i="60819"/>
  <c r="DT199"/>
  <c r="DU199"/>
  <c r="T114" i="60818" s="1"/>
  <c r="DV199" i="60819"/>
  <c r="U114" i="60818" s="1"/>
  <c r="DW199" i="60819"/>
  <c r="DX199"/>
  <c r="DY199"/>
  <c r="X114" i="60818" s="1"/>
  <c r="DZ199" i="60819"/>
  <c r="Y114" i="60818" s="1"/>
  <c r="EA199" i="60819"/>
  <c r="EB199"/>
  <c r="EC199"/>
  <c r="AB114" i="60818" s="1"/>
  <c r="ED199" i="60819"/>
  <c r="AC114" i="60818" s="1"/>
  <c r="EE199" i="60819"/>
  <c r="EF199"/>
  <c r="EG199"/>
  <c r="AF114" i="60818" s="1"/>
  <c r="EH199" i="60819"/>
  <c r="AG114" i="60818" s="1"/>
  <c r="C200" i="60819"/>
  <c r="C9" i="60818" s="1"/>
  <c r="D200" i="60819"/>
  <c r="E200"/>
  <c r="E9" i="60818" s="1"/>
  <c r="F200" i="60819"/>
  <c r="F9" i="60818" s="1"/>
  <c r="G200" i="60819"/>
  <c r="G9" i="60818" s="1"/>
  <c r="H200" i="60819"/>
  <c r="H9" i="60818" s="1"/>
  <c r="I200" i="60819"/>
  <c r="I9" i="60818" s="1"/>
  <c r="J200" i="60819"/>
  <c r="J9" i="60818" s="1"/>
  <c r="K200" i="60819"/>
  <c r="K9" i="60818" s="1"/>
  <c r="L200" i="60819"/>
  <c r="L9" i="60818" s="1"/>
  <c r="M200" i="60819"/>
  <c r="M9" i="60818" s="1"/>
  <c r="N200" i="60819"/>
  <c r="N9" i="60818" s="1"/>
  <c r="O200" i="60819"/>
  <c r="O9" i="60818" s="1"/>
  <c r="P200" i="60819"/>
  <c r="P9" i="60818" s="1"/>
  <c r="Q200" i="60819"/>
  <c r="Q9" i="60818" s="1"/>
  <c r="R200" i="60819"/>
  <c r="R9" i="60818" s="1"/>
  <c r="S200" i="60819"/>
  <c r="S9" i="60818" s="1"/>
  <c r="T200" i="60819"/>
  <c r="T9" i="60818" s="1"/>
  <c r="U200" i="60819"/>
  <c r="U9" i="60818" s="1"/>
  <c r="V200" i="60819"/>
  <c r="V9" i="60818" s="1"/>
  <c r="W200" i="60819"/>
  <c r="W9" i="60818" s="1"/>
  <c r="X200" i="60819"/>
  <c r="X9" i="60818" s="1"/>
  <c r="Y200" i="60819"/>
  <c r="Y9" i="60818" s="1"/>
  <c r="Z200" i="60819"/>
  <c r="Z9" i="60818" s="1"/>
  <c r="AA200" i="60819"/>
  <c r="AA9" i="60818" s="1"/>
  <c r="AB200" i="60819"/>
  <c r="AB9" i="60818" s="1"/>
  <c r="AC200" i="60819"/>
  <c r="AC9" i="60818" s="1"/>
  <c r="AD200" i="60819"/>
  <c r="AD9" i="60818" s="1"/>
  <c r="AE200" i="60819"/>
  <c r="AE9" i="60818" s="1"/>
  <c r="AF200" i="60819"/>
  <c r="AF9" i="60818" s="1"/>
  <c r="AG200" i="60819"/>
  <c r="AG9" i="60818" s="1"/>
  <c r="AL200" i="60819"/>
  <c r="AM200"/>
  <c r="AN200"/>
  <c r="AO200"/>
  <c r="AP200"/>
  <c r="AQ200"/>
  <c r="AR200"/>
  <c r="AS200"/>
  <c r="AT200"/>
  <c r="AU200"/>
  <c r="AV200"/>
  <c r="AW200"/>
  <c r="AX200"/>
  <c r="AY200"/>
  <c r="AZ200"/>
  <c r="BA200"/>
  <c r="BB200"/>
  <c r="BC200"/>
  <c r="BD200"/>
  <c r="BE200"/>
  <c r="BF200"/>
  <c r="BG200"/>
  <c r="BH200"/>
  <c r="BI200"/>
  <c r="BJ200"/>
  <c r="BK200"/>
  <c r="BL200"/>
  <c r="BM200"/>
  <c r="BN200"/>
  <c r="BO200"/>
  <c r="BP200"/>
  <c r="CZ200"/>
  <c r="BT200" s="1"/>
  <c r="DD200"/>
  <c r="DE200"/>
  <c r="DF200"/>
  <c r="DG200"/>
  <c r="F115" i="60818" s="1"/>
  <c r="DH200" i="60819"/>
  <c r="DI200"/>
  <c r="DJ200"/>
  <c r="DK200"/>
  <c r="J115" i="60818" s="1"/>
  <c r="DL200" i="60819"/>
  <c r="DM200"/>
  <c r="DN200"/>
  <c r="DO200"/>
  <c r="N115" i="60818" s="1"/>
  <c r="DP200" i="60819"/>
  <c r="DQ200"/>
  <c r="DR200"/>
  <c r="DS200"/>
  <c r="R115" i="60818" s="1"/>
  <c r="DT200" i="60819"/>
  <c r="DU200"/>
  <c r="DV200"/>
  <c r="DW200"/>
  <c r="V115" i="60818" s="1"/>
  <c r="DX200" i="60819"/>
  <c r="DY200"/>
  <c r="DZ200"/>
  <c r="EA200"/>
  <c r="Z115" i="60818" s="1"/>
  <c r="EB200" i="60819"/>
  <c r="EC200"/>
  <c r="ED200"/>
  <c r="EE200"/>
  <c r="AD115" i="60818" s="1"/>
  <c r="EF200" i="60819"/>
  <c r="EG200"/>
  <c r="EH200"/>
  <c r="C201"/>
  <c r="D201"/>
  <c r="D10" i="60818" s="1"/>
  <c r="E201" i="60819"/>
  <c r="E10" i="60818" s="1"/>
  <c r="F201" i="60819"/>
  <c r="F10" i="60818" s="1"/>
  <c r="G201" i="60819"/>
  <c r="G10" i="60818" s="1"/>
  <c r="H201" i="60819"/>
  <c r="H10" i="60818" s="1"/>
  <c r="I201" i="60819"/>
  <c r="I10" i="60818" s="1"/>
  <c r="J201" i="60819"/>
  <c r="J10" i="60818" s="1"/>
  <c r="K201" i="60819"/>
  <c r="K10" i="60818" s="1"/>
  <c r="L201" i="60819"/>
  <c r="L10" i="60818" s="1"/>
  <c r="M201" i="60819"/>
  <c r="M10" i="60818" s="1"/>
  <c r="N201" i="60819"/>
  <c r="N10" i="60818" s="1"/>
  <c r="O201" i="60819"/>
  <c r="O10" i="60818" s="1"/>
  <c r="P201" i="60819"/>
  <c r="P10" i="60818" s="1"/>
  <c r="Q201" i="60819"/>
  <c r="Q10" i="60818" s="1"/>
  <c r="R201" i="60819"/>
  <c r="R10" i="60818" s="1"/>
  <c r="S201" i="60819"/>
  <c r="S10" i="60818" s="1"/>
  <c r="T201" i="60819"/>
  <c r="T10" i="60818" s="1"/>
  <c r="U201" i="60819"/>
  <c r="U10" i="60818" s="1"/>
  <c r="V201" i="60819"/>
  <c r="V10" i="60818" s="1"/>
  <c r="W201" i="60819"/>
  <c r="W10" i="60818" s="1"/>
  <c r="X201" i="60819"/>
  <c r="X10" i="60818" s="1"/>
  <c r="Y201" i="60819"/>
  <c r="Y10" i="60818" s="1"/>
  <c r="Z201" i="60819"/>
  <c r="Z10" i="60818" s="1"/>
  <c r="AA201" i="60819"/>
  <c r="AA10" i="60818" s="1"/>
  <c r="AB201" i="60819"/>
  <c r="AB10" i="60818" s="1"/>
  <c r="AC201" i="60819"/>
  <c r="AC10" i="60818" s="1"/>
  <c r="AD201" i="60819"/>
  <c r="AD10" i="60818" s="1"/>
  <c r="AE201" i="60819"/>
  <c r="AE10" i="60818" s="1"/>
  <c r="AF201" i="60819"/>
  <c r="AF10" i="60818" s="1"/>
  <c r="AG201" i="60819"/>
  <c r="AG10" i="60818" s="1"/>
  <c r="AL201" i="60819"/>
  <c r="AM201"/>
  <c r="AN201"/>
  <c r="AO201"/>
  <c r="AP201"/>
  <c r="AQ201"/>
  <c r="AR201"/>
  <c r="AS201"/>
  <c r="AT201"/>
  <c r="AU201"/>
  <c r="AV201"/>
  <c r="AW201"/>
  <c r="AX201"/>
  <c r="AY201"/>
  <c r="AZ201"/>
  <c r="BA201"/>
  <c r="BB201"/>
  <c r="BC201"/>
  <c r="BD201"/>
  <c r="BE201"/>
  <c r="BF201"/>
  <c r="BG201"/>
  <c r="BH201"/>
  <c r="BI201"/>
  <c r="BJ201"/>
  <c r="BK201"/>
  <c r="BL201"/>
  <c r="BM201"/>
  <c r="BN201"/>
  <c r="BO201"/>
  <c r="BP201"/>
  <c r="DD201"/>
  <c r="DE201"/>
  <c r="DF201"/>
  <c r="DG201"/>
  <c r="DH201"/>
  <c r="DI201"/>
  <c r="DJ201"/>
  <c r="DK201"/>
  <c r="DL201"/>
  <c r="DM201"/>
  <c r="DN201"/>
  <c r="DO201"/>
  <c r="DP201"/>
  <c r="DQ201"/>
  <c r="DR201"/>
  <c r="DS201"/>
  <c r="DT201"/>
  <c r="DU201"/>
  <c r="DV201"/>
  <c r="DW201"/>
  <c r="DX201"/>
  <c r="DY201"/>
  <c r="DZ201"/>
  <c r="EA201"/>
  <c r="EB201"/>
  <c r="EC201"/>
  <c r="ED201"/>
  <c r="EE201"/>
  <c r="EF201"/>
  <c r="EG201"/>
  <c r="EH201"/>
  <c r="C202"/>
  <c r="C11" i="60818" s="1"/>
  <c r="D202" i="60819"/>
  <c r="D11" i="60818" s="1"/>
  <c r="E202" i="60819"/>
  <c r="E11" i="60818" s="1"/>
  <c r="F202" i="60819"/>
  <c r="F11" i="60818" s="1"/>
  <c r="G202" i="60819"/>
  <c r="G11" i="60818" s="1"/>
  <c r="H202" i="60819"/>
  <c r="H11" i="60818" s="1"/>
  <c r="I202" i="60819"/>
  <c r="I11" i="60818" s="1"/>
  <c r="J202" i="60819"/>
  <c r="J11" i="60818" s="1"/>
  <c r="K202" i="60819"/>
  <c r="K11" i="60818" s="1"/>
  <c r="L202" i="60819"/>
  <c r="L11" i="60818" s="1"/>
  <c r="M202" i="60819"/>
  <c r="M11" i="60818" s="1"/>
  <c r="N202" i="60819"/>
  <c r="N11" i="60818" s="1"/>
  <c r="O202" i="60819"/>
  <c r="O11" i="60818" s="1"/>
  <c r="P202" i="60819"/>
  <c r="P11" i="60818" s="1"/>
  <c r="Q202" i="60819"/>
  <c r="Q11" i="60818" s="1"/>
  <c r="R202" i="60819"/>
  <c r="R11" i="60818" s="1"/>
  <c r="S202" i="60819"/>
  <c r="S11" i="60818" s="1"/>
  <c r="T202" i="60819"/>
  <c r="T11" i="60818" s="1"/>
  <c r="U202" i="60819"/>
  <c r="U11" i="60818" s="1"/>
  <c r="V202" i="60819"/>
  <c r="V11" i="60818" s="1"/>
  <c r="W202" i="60819"/>
  <c r="W11" i="60818" s="1"/>
  <c r="X202" i="60819"/>
  <c r="X11" i="60818" s="1"/>
  <c r="Y202" i="60819"/>
  <c r="Y11" i="60818" s="1"/>
  <c r="Z202" i="60819"/>
  <c r="Z11" i="60818" s="1"/>
  <c r="AA202" i="60819"/>
  <c r="AA11" i="60818" s="1"/>
  <c r="AB202" i="60819"/>
  <c r="AB11" i="60818" s="1"/>
  <c r="AC202" i="60819"/>
  <c r="AC11" i="60818" s="1"/>
  <c r="AD202" i="60819"/>
  <c r="AD11" i="60818" s="1"/>
  <c r="AE202" i="60819"/>
  <c r="AE11" i="60818" s="1"/>
  <c r="AF202" i="60819"/>
  <c r="AF11" i="60818" s="1"/>
  <c r="AG202" i="60819"/>
  <c r="AG11" i="60818" s="1"/>
  <c r="AL202" i="60819"/>
  <c r="AM202"/>
  <c r="AN202"/>
  <c r="AO202"/>
  <c r="AP202"/>
  <c r="AQ202"/>
  <c r="AR202"/>
  <c r="AS202"/>
  <c r="AT202"/>
  <c r="AU202"/>
  <c r="AV202"/>
  <c r="AW202"/>
  <c r="AX202"/>
  <c r="AY202"/>
  <c r="AZ202"/>
  <c r="BA202"/>
  <c r="BB202"/>
  <c r="BC202"/>
  <c r="BD202"/>
  <c r="BE202"/>
  <c r="BF202"/>
  <c r="BG202"/>
  <c r="BH202"/>
  <c r="BI202"/>
  <c r="BJ202"/>
  <c r="BK202"/>
  <c r="BL202"/>
  <c r="BM202"/>
  <c r="BN202"/>
  <c r="BO202"/>
  <c r="BP202"/>
  <c r="CZ202"/>
  <c r="BT202" s="1"/>
  <c r="DD202"/>
  <c r="C117" i="60818" s="1"/>
  <c r="DE202" i="60819"/>
  <c r="DF202"/>
  <c r="DG202"/>
  <c r="F117" i="60818" s="1"/>
  <c r="DH202" i="60819"/>
  <c r="G117" i="60818" s="1"/>
  <c r="DI202" i="60819"/>
  <c r="DJ202"/>
  <c r="DK202"/>
  <c r="J117" i="60818" s="1"/>
  <c r="DL202" i="60819"/>
  <c r="K117" i="60818" s="1"/>
  <c r="DM202" i="60819"/>
  <c r="DN202"/>
  <c r="DO202"/>
  <c r="N117" i="60818" s="1"/>
  <c r="DP202" i="60819"/>
  <c r="O117" i="60818" s="1"/>
  <c r="DQ202" i="60819"/>
  <c r="DR202"/>
  <c r="DS202"/>
  <c r="R117" i="60818" s="1"/>
  <c r="DT202" i="60819"/>
  <c r="S117" i="60818" s="1"/>
  <c r="DU202" i="60819"/>
  <c r="DV202"/>
  <c r="DW202"/>
  <c r="V117" i="60818" s="1"/>
  <c r="DX202" i="60819"/>
  <c r="W117" i="60818" s="1"/>
  <c r="DY202" i="60819"/>
  <c r="DZ202"/>
  <c r="EA202"/>
  <c r="Z117" i="60818" s="1"/>
  <c r="EB202" i="60819"/>
  <c r="AA117" i="60818" s="1"/>
  <c r="EC202" i="60819"/>
  <c r="ED202"/>
  <c r="EE202"/>
  <c r="AD117" i="60818" s="1"/>
  <c r="EF202" i="60819"/>
  <c r="AE117" i="60818" s="1"/>
  <c r="EG202" i="60819"/>
  <c r="EH202"/>
  <c r="C203"/>
  <c r="C12" i="60818" s="1"/>
  <c r="D203" i="60819"/>
  <c r="D12" i="60818" s="1"/>
  <c r="E203" i="60819"/>
  <c r="E12" i="60818" s="1"/>
  <c r="F203" i="60819"/>
  <c r="F12" i="60818" s="1"/>
  <c r="G203" i="60819"/>
  <c r="G12" i="60818" s="1"/>
  <c r="H203" i="60819"/>
  <c r="H12" i="60818" s="1"/>
  <c r="I203" i="60819"/>
  <c r="I12" i="60818" s="1"/>
  <c r="J203" i="60819"/>
  <c r="J12" i="60818" s="1"/>
  <c r="K203" i="60819"/>
  <c r="K12" i="60818" s="1"/>
  <c r="L203" i="60819"/>
  <c r="L12" i="60818" s="1"/>
  <c r="M203" i="60819"/>
  <c r="M12" i="60818" s="1"/>
  <c r="N203" i="60819"/>
  <c r="N12" i="60818" s="1"/>
  <c r="O203" i="60819"/>
  <c r="O12" i="60818" s="1"/>
  <c r="P203" i="60819"/>
  <c r="P12" i="60818" s="1"/>
  <c r="Q203" i="60819"/>
  <c r="Q12" i="60818" s="1"/>
  <c r="R203" i="60819"/>
  <c r="R12" i="60818" s="1"/>
  <c r="S203" i="60819"/>
  <c r="S12" i="60818" s="1"/>
  <c r="T203" i="60819"/>
  <c r="T12" i="60818" s="1"/>
  <c r="U203" i="60819"/>
  <c r="U12" i="60818" s="1"/>
  <c r="V203" i="60819"/>
  <c r="V12" i="60818" s="1"/>
  <c r="W203" i="60819"/>
  <c r="W12" i="60818" s="1"/>
  <c r="X203" i="60819"/>
  <c r="X12" i="60818" s="1"/>
  <c r="Y203" i="60819"/>
  <c r="Y12" i="60818" s="1"/>
  <c r="Z203" i="60819"/>
  <c r="Z12" i="60818" s="1"/>
  <c r="AA203" i="60819"/>
  <c r="AA12" i="60818" s="1"/>
  <c r="AB203" i="60819"/>
  <c r="AB12" i="60818" s="1"/>
  <c r="AC203" i="60819"/>
  <c r="AC12" i="60818" s="1"/>
  <c r="AD203" i="60819"/>
  <c r="AD12" i="60818" s="1"/>
  <c r="AE203" i="60819"/>
  <c r="AE12" i="60818" s="1"/>
  <c r="AF203" i="60819"/>
  <c r="AF12" i="60818" s="1"/>
  <c r="AG203" i="60819"/>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DD203"/>
  <c r="DE203"/>
  <c r="D118" i="60818" s="1"/>
  <c r="DF203" i="60819"/>
  <c r="E118" i="60818" s="1"/>
  <c r="DG203" i="60819"/>
  <c r="DH203"/>
  <c r="DI203"/>
  <c r="H118" i="60818" s="1"/>
  <c r="DJ203" i="60819"/>
  <c r="I118" i="60818" s="1"/>
  <c r="DK203" i="60819"/>
  <c r="DL203"/>
  <c r="DM203"/>
  <c r="L118" i="60818" s="1"/>
  <c r="DN203" i="60819"/>
  <c r="M118" i="60818" s="1"/>
  <c r="DO203" i="60819"/>
  <c r="DP203"/>
  <c r="DQ203"/>
  <c r="P118" i="60818" s="1"/>
  <c r="DR203" i="60819"/>
  <c r="Q118" i="60818" s="1"/>
  <c r="DS203" i="60819"/>
  <c r="DT203"/>
  <c r="DU203"/>
  <c r="T118" i="60818" s="1"/>
  <c r="DV203" i="60819"/>
  <c r="U118" i="60818" s="1"/>
  <c r="DW203" i="60819"/>
  <c r="DX203"/>
  <c r="DY203"/>
  <c r="X118" i="60818" s="1"/>
  <c r="DZ203" i="60819"/>
  <c r="Y118" i="60818" s="1"/>
  <c r="EA203" i="60819"/>
  <c r="EB203"/>
  <c r="EC203"/>
  <c r="AB118" i="60818" s="1"/>
  <c r="ED203" i="60819"/>
  <c r="AC118" i="60818" s="1"/>
  <c r="EE203" i="60819"/>
  <c r="EF203"/>
  <c r="EG203"/>
  <c r="AF118" i="60818" s="1"/>
  <c r="EH203" i="60819"/>
  <c r="AG118" i="60818" s="1"/>
  <c r="C204" i="60819"/>
  <c r="C13" i="60818" s="1"/>
  <c r="D204" i="60819"/>
  <c r="E204"/>
  <c r="E13" i="60818" s="1"/>
  <c r="F204" i="60819"/>
  <c r="F13" i="60818" s="1"/>
  <c r="G204" i="60819"/>
  <c r="G13" i="60818" s="1"/>
  <c r="H204" i="60819"/>
  <c r="H13" i="60818" s="1"/>
  <c r="I204" i="60819"/>
  <c r="I13" i="60818" s="1"/>
  <c r="J204" i="60819"/>
  <c r="J13" i="60818" s="1"/>
  <c r="K204" i="60819"/>
  <c r="K13" i="60818" s="1"/>
  <c r="L204" i="60819"/>
  <c r="L13" i="60818" s="1"/>
  <c r="M204" i="60819"/>
  <c r="M13" i="60818" s="1"/>
  <c r="N204" i="60819"/>
  <c r="N13" i="60818" s="1"/>
  <c r="O204" i="60819"/>
  <c r="O13" i="60818" s="1"/>
  <c r="P204" i="60819"/>
  <c r="P13" i="60818" s="1"/>
  <c r="Q204" i="60819"/>
  <c r="Q13" i="60818" s="1"/>
  <c r="R204" i="60819"/>
  <c r="R13" i="60818" s="1"/>
  <c r="S204" i="60819"/>
  <c r="S13" i="60818" s="1"/>
  <c r="T204" i="60819"/>
  <c r="T13" i="60818" s="1"/>
  <c r="U204" i="60819"/>
  <c r="U13" i="60818" s="1"/>
  <c r="V204" i="60819"/>
  <c r="V13" i="60818" s="1"/>
  <c r="W204" i="60819"/>
  <c r="W13" i="60818" s="1"/>
  <c r="X204" i="60819"/>
  <c r="X13" i="60818" s="1"/>
  <c r="Y204" i="60819"/>
  <c r="Y13" i="60818" s="1"/>
  <c r="Z204" i="60819"/>
  <c r="Z13" i="60818" s="1"/>
  <c r="AA204" i="60819"/>
  <c r="AA13" i="60818" s="1"/>
  <c r="AB204" i="60819"/>
  <c r="AB13" i="60818" s="1"/>
  <c r="AC204" i="60819"/>
  <c r="AC13" i="60818" s="1"/>
  <c r="AD204" i="60819"/>
  <c r="AD13" i="60818" s="1"/>
  <c r="AE204" i="60819"/>
  <c r="AE13" i="60818" s="1"/>
  <c r="AF204" i="60819"/>
  <c r="AF13" i="60818" s="1"/>
  <c r="AG204" i="60819"/>
  <c r="AG13" i="60818" s="1"/>
  <c r="AL204" i="60819"/>
  <c r="AM204"/>
  <c r="AN204"/>
  <c r="AO204"/>
  <c r="AP204"/>
  <c r="AQ204"/>
  <c r="AR204"/>
  <c r="AS204"/>
  <c r="AT204"/>
  <c r="AU204"/>
  <c r="AV204"/>
  <c r="AW204"/>
  <c r="AX204"/>
  <c r="AY204"/>
  <c r="AZ204"/>
  <c r="BA204"/>
  <c r="BB204"/>
  <c r="BC204"/>
  <c r="BD204"/>
  <c r="BE204"/>
  <c r="BF204"/>
  <c r="BG204"/>
  <c r="BH204"/>
  <c r="BI204"/>
  <c r="BJ204"/>
  <c r="BK204"/>
  <c r="BL204"/>
  <c r="BM204"/>
  <c r="BN204"/>
  <c r="BO204"/>
  <c r="BP204"/>
  <c r="CZ204"/>
  <c r="BT204" s="1"/>
  <c r="DD204"/>
  <c r="DE204"/>
  <c r="DF204"/>
  <c r="DG204"/>
  <c r="F119" i="60818" s="1"/>
  <c r="DH204" i="60819"/>
  <c r="DI204"/>
  <c r="DJ204"/>
  <c r="DK204"/>
  <c r="J119" i="60818" s="1"/>
  <c r="DL204" i="60819"/>
  <c r="DM204"/>
  <c r="DN204"/>
  <c r="DO204"/>
  <c r="N119" i="60818" s="1"/>
  <c r="DP204" i="60819"/>
  <c r="DQ204"/>
  <c r="DR204"/>
  <c r="DS204"/>
  <c r="R119" i="60818" s="1"/>
  <c r="DT204" i="60819"/>
  <c r="DU204"/>
  <c r="DV204"/>
  <c r="DW204"/>
  <c r="V119" i="60818" s="1"/>
  <c r="DX204" i="60819"/>
  <c r="DY204"/>
  <c r="DZ204"/>
  <c r="EA204"/>
  <c r="Z119" i="60818" s="1"/>
  <c r="EB204" i="60819"/>
  <c r="EC204"/>
  <c r="ED204"/>
  <c r="EE204"/>
  <c r="AD119" i="60818" s="1"/>
  <c r="EF204" i="60819"/>
  <c r="EG204"/>
  <c r="EH204"/>
  <c r="C205"/>
  <c r="D205"/>
  <c r="D14" i="60818" s="1"/>
  <c r="E205" i="60819"/>
  <c r="E14" i="60818" s="1"/>
  <c r="F205" i="60819"/>
  <c r="F14" i="60818" s="1"/>
  <c r="G205" i="60819"/>
  <c r="G14" i="60818" s="1"/>
  <c r="H205" i="60819"/>
  <c r="H14" i="60818" s="1"/>
  <c r="I205" i="60819"/>
  <c r="I14" i="60818" s="1"/>
  <c r="J205" i="60819"/>
  <c r="J14" i="60818" s="1"/>
  <c r="K205" i="60819"/>
  <c r="K14" i="60818" s="1"/>
  <c r="L205" i="60819"/>
  <c r="L14" i="60818" s="1"/>
  <c r="M205" i="60819"/>
  <c r="M14" i="60818" s="1"/>
  <c r="N205" i="60819"/>
  <c r="N14" i="60818" s="1"/>
  <c r="O205" i="60819"/>
  <c r="O14" i="60818" s="1"/>
  <c r="P205" i="60819"/>
  <c r="P14" i="60818" s="1"/>
  <c r="Q205" i="60819"/>
  <c r="Q14" i="60818" s="1"/>
  <c r="R205" i="60819"/>
  <c r="R14" i="60818" s="1"/>
  <c r="S205" i="60819"/>
  <c r="S14" i="60818" s="1"/>
  <c r="T205" i="60819"/>
  <c r="T14" i="60818" s="1"/>
  <c r="U205" i="60819"/>
  <c r="U14" i="60818" s="1"/>
  <c r="V205" i="60819"/>
  <c r="V14" i="60818" s="1"/>
  <c r="W205" i="60819"/>
  <c r="W14" i="60818" s="1"/>
  <c r="X205" i="60819"/>
  <c r="X14" i="60818" s="1"/>
  <c r="Y205" i="60819"/>
  <c r="Y14" i="60818" s="1"/>
  <c r="Z205" i="60819"/>
  <c r="Z14" i="60818" s="1"/>
  <c r="AA205" i="60819"/>
  <c r="AA14" i="60818" s="1"/>
  <c r="AB205" i="60819"/>
  <c r="AB14" i="60818" s="1"/>
  <c r="AC205" i="60819"/>
  <c r="AC14" i="60818" s="1"/>
  <c r="AD205" i="60819"/>
  <c r="AD14" i="60818" s="1"/>
  <c r="AE205" i="60819"/>
  <c r="AE14" i="60818" s="1"/>
  <c r="AF205" i="60819"/>
  <c r="AF14" i="60818" s="1"/>
  <c r="AG205" i="60819"/>
  <c r="AG14" i="60818" s="1"/>
  <c r="AL205" i="60819"/>
  <c r="AM205"/>
  <c r="AN205"/>
  <c r="AO205"/>
  <c r="AP205"/>
  <c r="AQ205"/>
  <c r="AR205"/>
  <c r="AS205"/>
  <c r="AT205"/>
  <c r="AU205"/>
  <c r="AV205"/>
  <c r="AW205"/>
  <c r="AX205"/>
  <c r="AY205"/>
  <c r="AZ205"/>
  <c r="BA205"/>
  <c r="BB205"/>
  <c r="BC205"/>
  <c r="BD205"/>
  <c r="BE205"/>
  <c r="BF205"/>
  <c r="BG205"/>
  <c r="BH205"/>
  <c r="BI205"/>
  <c r="BJ205"/>
  <c r="BK205"/>
  <c r="BL205"/>
  <c r="BM205"/>
  <c r="BN205"/>
  <c r="BO205"/>
  <c r="BP205"/>
  <c r="DD205"/>
  <c r="DE205"/>
  <c r="D120" i="60818" s="1"/>
  <c r="DF205" i="60819"/>
  <c r="DG205"/>
  <c r="DH205"/>
  <c r="DI205"/>
  <c r="H120" i="60818" s="1"/>
  <c r="DJ205" i="60819"/>
  <c r="DK205"/>
  <c r="DL205"/>
  <c r="DM205"/>
  <c r="L120" i="60818" s="1"/>
  <c r="DN205" i="60819"/>
  <c r="DO205"/>
  <c r="DP205"/>
  <c r="DQ205"/>
  <c r="P120" i="60818" s="1"/>
  <c r="DR205" i="60819"/>
  <c r="DS205"/>
  <c r="DT205"/>
  <c r="DU205"/>
  <c r="T120" i="60818" s="1"/>
  <c r="DV205" i="60819"/>
  <c r="DW205"/>
  <c r="DX205"/>
  <c r="DY205"/>
  <c r="X120" i="60818" s="1"/>
  <c r="DZ205" i="60819"/>
  <c r="EA205"/>
  <c r="EB205"/>
  <c r="EC205"/>
  <c r="AB120" i="60818" s="1"/>
  <c r="ED205" i="60819"/>
  <c r="EE205"/>
  <c r="EF205"/>
  <c r="EG205"/>
  <c r="AF120" i="60818" s="1"/>
  <c r="EH205" i="60819"/>
  <c r="C206"/>
  <c r="C15" i="60818" s="1"/>
  <c r="D206" i="60819"/>
  <c r="D15" i="60818" s="1"/>
  <c r="E206" i="60819"/>
  <c r="E15" i="60818" s="1"/>
  <c r="F206" i="60819"/>
  <c r="F15" i="60818" s="1"/>
  <c r="G206" i="60819"/>
  <c r="G15" i="60818" s="1"/>
  <c r="H206" i="60819"/>
  <c r="H15" i="60818" s="1"/>
  <c r="I206" i="60819"/>
  <c r="I15" i="60818" s="1"/>
  <c r="J206" i="60819"/>
  <c r="J15" i="60818" s="1"/>
  <c r="K206" i="60819"/>
  <c r="K15" i="60818" s="1"/>
  <c r="L206" i="60819"/>
  <c r="L15" i="60818" s="1"/>
  <c r="M206" i="60819"/>
  <c r="M15" i="60818" s="1"/>
  <c r="N206" i="60819"/>
  <c r="N15" i="60818" s="1"/>
  <c r="O206" i="60819"/>
  <c r="O15" i="60818" s="1"/>
  <c r="P206" i="60819"/>
  <c r="P15" i="60818" s="1"/>
  <c r="Q206" i="60819"/>
  <c r="Q15" i="60818" s="1"/>
  <c r="R206" i="60819"/>
  <c r="R15" i="60818" s="1"/>
  <c r="S206" i="60819"/>
  <c r="S15" i="60818" s="1"/>
  <c r="T206" i="60819"/>
  <c r="T15" i="60818" s="1"/>
  <c r="U206" i="60819"/>
  <c r="U15" i="60818" s="1"/>
  <c r="V206" i="60819"/>
  <c r="V15" i="60818" s="1"/>
  <c r="W206" i="60819"/>
  <c r="W15" i="60818" s="1"/>
  <c r="X206" i="60819"/>
  <c r="X15" i="60818" s="1"/>
  <c r="Y206" i="60819"/>
  <c r="Y15" i="60818" s="1"/>
  <c r="Z206" i="60819"/>
  <c r="Z15" i="60818" s="1"/>
  <c r="AA206" i="60819"/>
  <c r="AA15" i="60818" s="1"/>
  <c r="AB206" i="60819"/>
  <c r="AB15" i="60818" s="1"/>
  <c r="AC206" i="60819"/>
  <c r="AC15" i="60818" s="1"/>
  <c r="AD206" i="60819"/>
  <c r="AD15" i="60818" s="1"/>
  <c r="AE206" i="60819"/>
  <c r="AE15" i="60818" s="1"/>
  <c r="AF206" i="60819"/>
  <c r="AF15" i="60818" s="1"/>
  <c r="AG206" i="60819"/>
  <c r="AG15" i="60818" s="1"/>
  <c r="AL206" i="60819"/>
  <c r="AM206"/>
  <c r="AN206"/>
  <c r="AO206"/>
  <c r="AP206"/>
  <c r="AQ206"/>
  <c r="AR206"/>
  <c r="AS206"/>
  <c r="AT206"/>
  <c r="AU206"/>
  <c r="AV206"/>
  <c r="AW206"/>
  <c r="AX206"/>
  <c r="AY206"/>
  <c r="AZ206"/>
  <c r="BA206"/>
  <c r="BB206"/>
  <c r="BC206"/>
  <c r="BD206"/>
  <c r="BE206"/>
  <c r="BF206"/>
  <c r="BG206"/>
  <c r="BH206"/>
  <c r="BI206"/>
  <c r="BJ206"/>
  <c r="BK206"/>
  <c r="BL206"/>
  <c r="BM206"/>
  <c r="BN206"/>
  <c r="BO206"/>
  <c r="BP206"/>
  <c r="CZ206"/>
  <c r="BT206" s="1"/>
  <c r="DD206"/>
  <c r="C121" i="60818" s="1"/>
  <c r="DE206" i="60819"/>
  <c r="DF206"/>
  <c r="DG206"/>
  <c r="F121" i="60818" s="1"/>
  <c r="DH206" i="60819"/>
  <c r="G121" i="60818" s="1"/>
  <c r="DI206" i="60819"/>
  <c r="DJ206"/>
  <c r="DK206"/>
  <c r="DL206"/>
  <c r="K121" i="60818" s="1"/>
  <c r="DM206" i="60819"/>
  <c r="DN206"/>
  <c r="DO206"/>
  <c r="N121" i="60818" s="1"/>
  <c r="DP206" i="60819"/>
  <c r="O121" i="60818" s="1"/>
  <c r="DQ206" i="60819"/>
  <c r="DR206"/>
  <c r="DS206"/>
  <c r="R121" i="60818" s="1"/>
  <c r="DT206" i="60819"/>
  <c r="S121" i="60818" s="1"/>
  <c r="DU206" i="60819"/>
  <c r="DV206"/>
  <c r="DW206"/>
  <c r="V121" i="60818" s="1"/>
  <c r="DX206" i="60819"/>
  <c r="W121" i="60818" s="1"/>
  <c r="DY206" i="60819"/>
  <c r="DZ206"/>
  <c r="EA206"/>
  <c r="EB206"/>
  <c r="AA121" i="60818" s="1"/>
  <c r="EC206" i="60819"/>
  <c r="ED206"/>
  <c r="EE206"/>
  <c r="AD121" i="60818" s="1"/>
  <c r="EF206" i="60819"/>
  <c r="AE121" i="60818" s="1"/>
  <c r="EG206" i="60819"/>
  <c r="EH206"/>
  <c r="C207"/>
  <c r="C16" i="60818" s="1"/>
  <c r="D207" i="60819"/>
  <c r="D16" i="60818" s="1"/>
  <c r="E207" i="60819"/>
  <c r="E16" i="60818" s="1"/>
  <c r="F207" i="60819"/>
  <c r="F16" i="60818" s="1"/>
  <c r="G207" i="60819"/>
  <c r="G16" i="60818" s="1"/>
  <c r="H207" i="60819"/>
  <c r="H16" i="60818" s="1"/>
  <c r="I207" i="60819"/>
  <c r="I16" i="60818" s="1"/>
  <c r="J207" i="60819"/>
  <c r="J16" i="60818" s="1"/>
  <c r="K207" i="60819"/>
  <c r="K16" i="60818" s="1"/>
  <c r="L207" i="60819"/>
  <c r="L16" i="60818" s="1"/>
  <c r="M207" i="60819"/>
  <c r="M16" i="60818" s="1"/>
  <c r="N207" i="60819"/>
  <c r="N16" i="60818" s="1"/>
  <c r="O207" i="60819"/>
  <c r="O16" i="60818" s="1"/>
  <c r="P207" i="60819"/>
  <c r="P16" i="60818" s="1"/>
  <c r="Q207" i="60819"/>
  <c r="Q16" i="60818" s="1"/>
  <c r="R207" i="60819"/>
  <c r="R16" i="60818" s="1"/>
  <c r="S207" i="60819"/>
  <c r="S16" i="60818" s="1"/>
  <c r="T207" i="60819"/>
  <c r="T16" i="60818" s="1"/>
  <c r="U207" i="60819"/>
  <c r="U16" i="60818" s="1"/>
  <c r="V207" i="60819"/>
  <c r="V16" i="60818" s="1"/>
  <c r="W207" i="60819"/>
  <c r="W16" i="60818" s="1"/>
  <c r="X207" i="60819"/>
  <c r="X16" i="60818" s="1"/>
  <c r="Y207" i="60819"/>
  <c r="Y16" i="60818" s="1"/>
  <c r="Z207" i="60819"/>
  <c r="Z16" i="60818" s="1"/>
  <c r="AA207" i="60819"/>
  <c r="AA16" i="60818" s="1"/>
  <c r="AB207" i="60819"/>
  <c r="AB16" i="60818" s="1"/>
  <c r="AC207" i="60819"/>
  <c r="AC16" i="60818" s="1"/>
  <c r="AD207" i="60819"/>
  <c r="AD16" i="60818" s="1"/>
  <c r="AE207" i="60819"/>
  <c r="AE16" i="60818" s="1"/>
  <c r="AF207" i="60819"/>
  <c r="AF16" i="60818" s="1"/>
  <c r="AG207" i="60819"/>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DD207"/>
  <c r="DE207"/>
  <c r="D122" i="60818" s="1"/>
  <c r="DF207" i="60819"/>
  <c r="E122" i="60818" s="1"/>
  <c r="DG207" i="60819"/>
  <c r="DH207"/>
  <c r="DI207"/>
  <c r="H122" i="60818" s="1"/>
  <c r="DJ207" i="60819"/>
  <c r="I122" i="60818" s="1"/>
  <c r="DK207" i="60819"/>
  <c r="DL207"/>
  <c r="DM207"/>
  <c r="L122" i="60818" s="1"/>
  <c r="DN207" i="60819"/>
  <c r="M122" i="60818" s="1"/>
  <c r="DO207" i="60819"/>
  <c r="DP207"/>
  <c r="DQ207"/>
  <c r="P122" i="60818" s="1"/>
  <c r="DR207" i="60819"/>
  <c r="Q122" i="60818" s="1"/>
  <c r="DS207" i="60819"/>
  <c r="DT207"/>
  <c r="DU207"/>
  <c r="T122" i="60818" s="1"/>
  <c r="DV207" i="60819"/>
  <c r="U122" i="60818" s="1"/>
  <c r="DW207" i="60819"/>
  <c r="DX207"/>
  <c r="DY207"/>
  <c r="X122" i="60818" s="1"/>
  <c r="DZ207" i="60819"/>
  <c r="Y122" i="60818" s="1"/>
  <c r="EA207" i="60819"/>
  <c r="EB207"/>
  <c r="EC207"/>
  <c r="AB122" i="60818" s="1"/>
  <c r="ED207" i="60819"/>
  <c r="AC122" i="60818" s="1"/>
  <c r="EE207" i="60819"/>
  <c r="EF207"/>
  <c r="EG207"/>
  <c r="AF122" i="60818" s="1"/>
  <c r="EH207" i="60819"/>
  <c r="AG122" i="60818" s="1"/>
  <c r="C208" i="60819"/>
  <c r="C17" i="60818" s="1"/>
  <c r="D208" i="60819"/>
  <c r="E208"/>
  <c r="F208"/>
  <c r="F17" i="60818" s="1"/>
  <c r="G208" i="60819"/>
  <c r="G17" i="60818" s="1"/>
  <c r="H208" i="60819"/>
  <c r="H17" i="60818" s="1"/>
  <c r="I208" i="60819"/>
  <c r="J208"/>
  <c r="J17" i="60818" s="1"/>
  <c r="K208" i="60819"/>
  <c r="K17" i="60818" s="1"/>
  <c r="L208" i="60819"/>
  <c r="L17" i="60818" s="1"/>
  <c r="M208" i="60819"/>
  <c r="N208"/>
  <c r="N17" i="60818" s="1"/>
  <c r="O208" i="60819"/>
  <c r="O17" i="60818" s="1"/>
  <c r="P208" i="60819"/>
  <c r="P17" i="60818" s="1"/>
  <c r="Q208" i="60819"/>
  <c r="R208"/>
  <c r="R17" i="60818" s="1"/>
  <c r="S208" i="60819"/>
  <c r="S17" i="60818" s="1"/>
  <c r="T208" i="60819"/>
  <c r="T17" i="60818" s="1"/>
  <c r="U208" i="60819"/>
  <c r="V208"/>
  <c r="V17" i="60818" s="1"/>
  <c r="W208" i="60819"/>
  <c r="W17" i="60818" s="1"/>
  <c r="X208" i="60819"/>
  <c r="X17" i="60818" s="1"/>
  <c r="Y208" i="60819"/>
  <c r="Z208"/>
  <c r="Z17" i="60818" s="1"/>
  <c r="AA208" i="60819"/>
  <c r="AA17" i="60818" s="1"/>
  <c r="AB208" i="60819"/>
  <c r="AB17" i="60818" s="1"/>
  <c r="AC208" i="60819"/>
  <c r="AD208"/>
  <c r="AD17" i="60818" s="1"/>
  <c r="AE208" i="60819"/>
  <c r="AE17" i="60818" s="1"/>
  <c r="AF208" i="60819"/>
  <c r="AF17" i="60818" s="1"/>
  <c r="AG208" i="60819"/>
  <c r="AL208"/>
  <c r="AM208"/>
  <c r="AN208"/>
  <c r="AO208"/>
  <c r="AP208"/>
  <c r="AQ208"/>
  <c r="AR208"/>
  <c r="AS208"/>
  <c r="AT208"/>
  <c r="AU208"/>
  <c r="AV208"/>
  <c r="AW208"/>
  <c r="AX208"/>
  <c r="AY208"/>
  <c r="AZ208"/>
  <c r="BA208"/>
  <c r="BB208"/>
  <c r="BC208"/>
  <c r="BD208"/>
  <c r="BE208"/>
  <c r="BF208"/>
  <c r="BF209" s="1"/>
  <c r="BG208"/>
  <c r="BH208"/>
  <c r="BI208"/>
  <c r="BJ208"/>
  <c r="BK208"/>
  <c r="BL208"/>
  <c r="BM208"/>
  <c r="BN208"/>
  <c r="BN209" s="1"/>
  <c r="BO208"/>
  <c r="BP208"/>
  <c r="CZ208"/>
  <c r="BT208" s="1"/>
  <c r="DD208"/>
  <c r="DE208"/>
  <c r="DF208"/>
  <c r="DG208"/>
  <c r="F123" i="60818" s="1"/>
  <c r="DH208" i="60819"/>
  <c r="DI208"/>
  <c r="DJ208"/>
  <c r="DK208"/>
  <c r="J123" i="60818" s="1"/>
  <c r="DL208" i="60819"/>
  <c r="DM208"/>
  <c r="DN208"/>
  <c r="DO208"/>
  <c r="N123" i="60818" s="1"/>
  <c r="DP208" i="60819"/>
  <c r="DQ208"/>
  <c r="DR208"/>
  <c r="DS208"/>
  <c r="R123" i="60818" s="1"/>
  <c r="DT208" i="60819"/>
  <c r="DU208"/>
  <c r="DV208"/>
  <c r="DW208"/>
  <c r="V123" i="60818" s="1"/>
  <c r="DX208" i="60819"/>
  <c r="DY208"/>
  <c r="DZ208"/>
  <c r="EA208"/>
  <c r="Z123" i="60818" s="1"/>
  <c r="EB208" i="60819"/>
  <c r="EC208"/>
  <c r="ED208"/>
  <c r="EE208"/>
  <c r="AD123" i="60818" s="1"/>
  <c r="EF208" i="60819"/>
  <c r="EG208"/>
  <c r="EH208"/>
  <c r="D209"/>
  <c r="F209"/>
  <c r="J209"/>
  <c r="P209"/>
  <c r="T209"/>
  <c r="V209"/>
  <c r="Z209"/>
  <c r="AF209"/>
  <c r="AP209"/>
  <c r="AR209"/>
  <c r="AV209"/>
  <c r="BA209"/>
  <c r="BB209"/>
  <c r="BJ209"/>
  <c r="BU209"/>
  <c r="CT209"/>
  <c r="CY209"/>
  <c r="DO209"/>
  <c r="EE209"/>
  <c r="AL213"/>
  <c r="AM213"/>
  <c r="D41" i="60818" s="1"/>
  <c r="AN213" i="60819"/>
  <c r="E41" i="60818" s="1"/>
  <c r="AO213" i="60819"/>
  <c r="F41" i="60818" s="1"/>
  <c r="AP213" i="60819"/>
  <c r="AQ213"/>
  <c r="H41" i="60818" s="1"/>
  <c r="AR213" i="60819"/>
  <c r="I41" i="60818" s="1"/>
  <c r="AS213" i="60819"/>
  <c r="J41" i="60818" s="1"/>
  <c r="AT213" i="60819"/>
  <c r="AU213"/>
  <c r="L41" i="60818" s="1"/>
  <c r="AV213" i="60819"/>
  <c r="M41" i="60818" s="1"/>
  <c r="AW213" i="60819"/>
  <c r="N41" i="60818" s="1"/>
  <c r="AX213" i="60819"/>
  <c r="AY213"/>
  <c r="P41" i="60818" s="1"/>
  <c r="AZ213" i="60819"/>
  <c r="Q41" i="60818" s="1"/>
  <c r="BA213" i="60819"/>
  <c r="R41" i="60818" s="1"/>
  <c r="BB213" i="60819"/>
  <c r="BC213"/>
  <c r="T41" i="60818" s="1"/>
  <c r="BD213" i="60819"/>
  <c r="U41" i="60818" s="1"/>
  <c r="BE213" i="60819"/>
  <c r="V41" i="60818" s="1"/>
  <c r="BF213" i="60819"/>
  <c r="BG213"/>
  <c r="X41" i="60818" s="1"/>
  <c r="BH213" i="60819"/>
  <c r="Y41" i="60818" s="1"/>
  <c r="BI213" i="60819"/>
  <c r="Z41" i="60818" s="1"/>
  <c r="BJ213" i="60819"/>
  <c r="BK213"/>
  <c r="AB41" i="60818" s="1"/>
  <c r="BL213" i="60819"/>
  <c r="AC41" i="60818" s="1"/>
  <c r="BM213" i="60819"/>
  <c r="AD41" i="60818" s="1"/>
  <c r="BN213" i="60819"/>
  <c r="BO213"/>
  <c r="AF41" i="60818" s="1"/>
  <c r="BP213" i="60819"/>
  <c r="AG41" i="60818" s="1"/>
  <c r="DE213" i="60819"/>
  <c r="DF213"/>
  <c r="E131" i="60818" s="1"/>
  <c r="DG213" i="60819"/>
  <c r="F131" i="60818" s="1"/>
  <c r="DH213" i="60819"/>
  <c r="DI213"/>
  <c r="DJ213"/>
  <c r="I131" i="60818" s="1"/>
  <c r="DK213" i="60819"/>
  <c r="J131" i="60818" s="1"/>
  <c r="DL213" i="60819"/>
  <c r="DM213"/>
  <c r="DN213"/>
  <c r="DO213"/>
  <c r="N131" i="60818" s="1"/>
  <c r="DP213" i="60819"/>
  <c r="DQ213"/>
  <c r="DR213"/>
  <c r="DS213"/>
  <c r="R131" i="60818" s="1"/>
  <c r="DT213" i="60819"/>
  <c r="DU213"/>
  <c r="DV213"/>
  <c r="U131" i="60818" s="1"/>
  <c r="DW213" i="60819"/>
  <c r="V131" i="60818" s="1"/>
  <c r="DX213" i="60819"/>
  <c r="DY213"/>
  <c r="DZ213"/>
  <c r="Y131" i="60818" s="1"/>
  <c r="EA213" i="60819"/>
  <c r="Z131" i="60818" s="1"/>
  <c r="EB213" i="60819"/>
  <c r="EC213"/>
  <c r="ED213"/>
  <c r="EE213"/>
  <c r="AD131" i="60818" s="1"/>
  <c r="EF213" i="60819"/>
  <c r="EG213"/>
  <c r="EH213"/>
  <c r="AL214"/>
  <c r="C42" i="60818" s="1"/>
  <c r="AM214" i="60819"/>
  <c r="D42" i="60818" s="1"/>
  <c r="AN214" i="60819"/>
  <c r="E42" i="60818" s="1"/>
  <c r="AO214" i="60819"/>
  <c r="F42" i="60818" s="1"/>
  <c r="AP214" i="60819"/>
  <c r="G42" i="60818" s="1"/>
  <c r="AQ214" i="60819"/>
  <c r="H42" i="60818" s="1"/>
  <c r="AR214" i="60819"/>
  <c r="I42" i="60818" s="1"/>
  <c r="AS214" i="60819"/>
  <c r="J42" i="60818" s="1"/>
  <c r="AT214" i="60819"/>
  <c r="K42" i="60818" s="1"/>
  <c r="AU214" i="60819"/>
  <c r="L42" i="60818" s="1"/>
  <c r="AV214" i="60819"/>
  <c r="M42" i="60818" s="1"/>
  <c r="AW214" i="60819"/>
  <c r="N42" i="60818" s="1"/>
  <c r="AX214" i="60819"/>
  <c r="O42" i="60818" s="1"/>
  <c r="AY214" i="60819"/>
  <c r="P42" i="60818" s="1"/>
  <c r="AZ214" i="60819"/>
  <c r="Q42" i="60818" s="1"/>
  <c r="BA214" i="60819"/>
  <c r="R42" i="60818" s="1"/>
  <c r="BB214" i="60819"/>
  <c r="S42" i="60818" s="1"/>
  <c r="BC214" i="60819"/>
  <c r="T42" i="60818" s="1"/>
  <c r="BD214" i="60819"/>
  <c r="U42" i="60818" s="1"/>
  <c r="BE214" i="60819"/>
  <c r="V42" i="60818" s="1"/>
  <c r="BF214" i="60819"/>
  <c r="W42" i="60818" s="1"/>
  <c r="BG214" i="60819"/>
  <c r="X42" i="60818" s="1"/>
  <c r="BH214" i="60819"/>
  <c r="Y42" i="60818" s="1"/>
  <c r="BI214" i="60819"/>
  <c r="Z42" i="60818" s="1"/>
  <c r="BJ214" i="60819"/>
  <c r="AA42" i="60818" s="1"/>
  <c r="BK214" i="60819"/>
  <c r="AB42" i="60818" s="1"/>
  <c r="BL214" i="60819"/>
  <c r="AC42" i="60818" s="1"/>
  <c r="BM214" i="60819"/>
  <c r="AD42" i="60818" s="1"/>
  <c r="BN214" i="60819"/>
  <c r="AE42" i="60818" s="1"/>
  <c r="BO214" i="60819"/>
  <c r="AF42" i="60818" s="1"/>
  <c r="BP214" i="60819"/>
  <c r="AG42" i="60818" s="1"/>
  <c r="DD214" i="60819"/>
  <c r="C132" i="60818" s="1"/>
  <c r="DE214" i="60819"/>
  <c r="D132" i="60818" s="1"/>
  <c r="DF214" i="60819"/>
  <c r="DG214"/>
  <c r="DH214"/>
  <c r="G132" i="60818" s="1"/>
  <c r="DI214" i="60819"/>
  <c r="H132" i="60818" s="1"/>
  <c r="DJ214" i="60819"/>
  <c r="DK214"/>
  <c r="DL214"/>
  <c r="K132" i="60818" s="1"/>
  <c r="DM214" i="60819"/>
  <c r="L132" i="60818" s="1"/>
  <c r="DN214" i="60819"/>
  <c r="DO214"/>
  <c r="DP214"/>
  <c r="O132" i="60818" s="1"/>
  <c r="DQ214" i="60819"/>
  <c r="P132" i="60818" s="1"/>
  <c r="DR214" i="60819"/>
  <c r="DS214"/>
  <c r="DT214"/>
  <c r="S132" i="60818" s="1"/>
  <c r="DU214" i="60819"/>
  <c r="T132" i="60818" s="1"/>
  <c r="DV214" i="60819"/>
  <c r="DW214"/>
  <c r="DX214"/>
  <c r="W132" i="60818" s="1"/>
  <c r="DY214" i="60819"/>
  <c r="X132" i="60818" s="1"/>
  <c r="DZ214" i="60819"/>
  <c r="EA214"/>
  <c r="EB214"/>
  <c r="AA132" i="60818" s="1"/>
  <c r="EC214" i="60819"/>
  <c r="AB132" i="60818" s="1"/>
  <c r="ED214" i="60819"/>
  <c r="EE214"/>
  <c r="EF214"/>
  <c r="AE132" i="60818" s="1"/>
  <c r="EG214" i="60819"/>
  <c r="AF132" i="60818" s="1"/>
  <c r="EH214" i="60819"/>
  <c r="AL215"/>
  <c r="C43" i="60818" s="1"/>
  <c r="AM215" i="60819"/>
  <c r="D43" i="60818" s="1"/>
  <c r="AN215" i="60819"/>
  <c r="E43" i="60818" s="1"/>
  <c r="AO215" i="60819"/>
  <c r="F43" i="60818" s="1"/>
  <c r="AP215" i="60819"/>
  <c r="G43" i="60818" s="1"/>
  <c r="AQ215" i="60819"/>
  <c r="H43" i="60818" s="1"/>
  <c r="AR215" i="60819"/>
  <c r="I43" i="60818" s="1"/>
  <c r="AS215" i="60819"/>
  <c r="J43" i="60818" s="1"/>
  <c r="AT215" i="60819"/>
  <c r="K43" i="60818" s="1"/>
  <c r="AU215" i="60819"/>
  <c r="L43" i="60818" s="1"/>
  <c r="AV215" i="60819"/>
  <c r="M43" i="60818" s="1"/>
  <c r="AW215" i="60819"/>
  <c r="N43" i="60818" s="1"/>
  <c r="AX215" i="60819"/>
  <c r="O43" i="60818" s="1"/>
  <c r="AY215" i="60819"/>
  <c r="P43" i="60818" s="1"/>
  <c r="AZ215" i="60819"/>
  <c r="Q43" i="60818" s="1"/>
  <c r="BA215" i="60819"/>
  <c r="R43" i="60818" s="1"/>
  <c r="BB215" i="60819"/>
  <c r="S43" i="60818" s="1"/>
  <c r="BC215" i="60819"/>
  <c r="T43" i="60818" s="1"/>
  <c r="BD215" i="60819"/>
  <c r="U43" i="60818" s="1"/>
  <c r="BE215" i="60819"/>
  <c r="V43" i="60818" s="1"/>
  <c r="BF215" i="60819"/>
  <c r="W43" i="60818" s="1"/>
  <c r="BG215" i="60819"/>
  <c r="X43" i="60818" s="1"/>
  <c r="BH215" i="60819"/>
  <c r="Y43" i="60818" s="1"/>
  <c r="BI215" i="60819"/>
  <c r="Z43" i="60818" s="1"/>
  <c r="BJ215" i="60819"/>
  <c r="AA43" i="60818" s="1"/>
  <c r="BK215" i="60819"/>
  <c r="AB43" i="60818" s="1"/>
  <c r="BL215" i="60819"/>
  <c r="AC43" i="60818" s="1"/>
  <c r="BM215" i="60819"/>
  <c r="AD43" i="60818" s="1"/>
  <c r="BN215" i="60819"/>
  <c r="AE43" i="60818" s="1"/>
  <c r="BO215" i="60819"/>
  <c r="AF43" i="60818" s="1"/>
  <c r="BP215" i="60819"/>
  <c r="AG43" i="60818" s="1"/>
  <c r="DD215" i="60819"/>
  <c r="DE215"/>
  <c r="DF215"/>
  <c r="E133" i="60818" s="1"/>
  <c r="DG215" i="60819"/>
  <c r="DH215"/>
  <c r="DI215"/>
  <c r="DJ215"/>
  <c r="I133" i="60818" s="1"/>
  <c r="DK215" i="60819"/>
  <c r="DL215"/>
  <c r="DM215"/>
  <c r="DN215"/>
  <c r="M133" i="60818" s="1"/>
  <c r="DO215" i="60819"/>
  <c r="DP215"/>
  <c r="DQ215"/>
  <c r="DR215"/>
  <c r="Q133" i="60818" s="1"/>
  <c r="DS215" i="60819"/>
  <c r="DT215"/>
  <c r="DU215"/>
  <c r="DV215"/>
  <c r="U133" i="60818" s="1"/>
  <c r="DW215" i="60819"/>
  <c r="DX215"/>
  <c r="DY215"/>
  <c r="DZ215"/>
  <c r="Y133" i="60818" s="1"/>
  <c r="EA215" i="60819"/>
  <c r="EB215"/>
  <c r="EC215"/>
  <c r="ED215"/>
  <c r="AC133" i="60818" s="1"/>
  <c r="EE215" i="60819"/>
  <c r="EF215"/>
  <c r="EG215"/>
  <c r="EH215"/>
  <c r="AG133" i="60818" s="1"/>
  <c r="AL216" i="60819"/>
  <c r="C44" i="60818" s="1"/>
  <c r="AM216" i="60819"/>
  <c r="D44" i="60818" s="1"/>
  <c r="AN216" i="60819"/>
  <c r="E44" i="60818" s="1"/>
  <c r="AO216" i="60819"/>
  <c r="F44" i="60818" s="1"/>
  <c r="AP216" i="60819"/>
  <c r="G44" i="60818" s="1"/>
  <c r="AQ216" i="60819"/>
  <c r="H44" i="60818" s="1"/>
  <c r="AR216" i="60819"/>
  <c r="I44" i="60818" s="1"/>
  <c r="AS216" i="60819"/>
  <c r="J44" i="60818" s="1"/>
  <c r="AT216" i="60819"/>
  <c r="K44" i="60818" s="1"/>
  <c r="AU216" i="60819"/>
  <c r="L44" i="60818" s="1"/>
  <c r="AV216" i="60819"/>
  <c r="M44" i="60818" s="1"/>
  <c r="AW216" i="60819"/>
  <c r="N44" i="60818" s="1"/>
  <c r="AX216" i="60819"/>
  <c r="O44" i="60818" s="1"/>
  <c r="AY216" i="60819"/>
  <c r="P44" i="60818" s="1"/>
  <c r="AZ216" i="60819"/>
  <c r="Q44" i="60818" s="1"/>
  <c r="BA216" i="60819"/>
  <c r="R44" i="60818" s="1"/>
  <c r="BB216" i="60819"/>
  <c r="S44" i="60818" s="1"/>
  <c r="BC216" i="60819"/>
  <c r="T44" i="60818" s="1"/>
  <c r="BD216" i="60819"/>
  <c r="U44" i="60818" s="1"/>
  <c r="BE216" i="60819"/>
  <c r="V44" i="60818" s="1"/>
  <c r="BF216" i="60819"/>
  <c r="W44" i="60818" s="1"/>
  <c r="BG216" i="60819"/>
  <c r="X44" i="60818" s="1"/>
  <c r="BH216" i="60819"/>
  <c r="Y44" i="60818" s="1"/>
  <c r="BI216" i="60819"/>
  <c r="Z44" i="60818" s="1"/>
  <c r="BJ216" i="60819"/>
  <c r="AA44" i="60818" s="1"/>
  <c r="BK216" i="60819"/>
  <c r="AB44" i="60818" s="1"/>
  <c r="BL216" i="60819"/>
  <c r="AC44" i="60818" s="1"/>
  <c r="BM216" i="60819"/>
  <c r="AD44" i="60818" s="1"/>
  <c r="BN216" i="60819"/>
  <c r="AE44" i="60818" s="1"/>
  <c r="BO216" i="60819"/>
  <c r="AF44" i="60818" s="1"/>
  <c r="BP216" i="60819"/>
  <c r="AG44" i="60818" s="1"/>
  <c r="DD216" i="60819"/>
  <c r="C134" i="60818" s="1"/>
  <c r="DE216" i="60819"/>
  <c r="DF216"/>
  <c r="DG216"/>
  <c r="DH216"/>
  <c r="G134" i="60818" s="1"/>
  <c r="DI216" i="60819"/>
  <c r="DJ216"/>
  <c r="DK216"/>
  <c r="DL216"/>
  <c r="K134" i="60818" s="1"/>
  <c r="DM216" i="60819"/>
  <c r="DN216"/>
  <c r="DO216"/>
  <c r="DP216"/>
  <c r="O134" i="60818" s="1"/>
  <c r="DQ216" i="60819"/>
  <c r="DR216"/>
  <c r="DS216"/>
  <c r="DT216"/>
  <c r="S134" i="60818" s="1"/>
  <c r="DU216" i="60819"/>
  <c r="DV216"/>
  <c r="DW216"/>
  <c r="DX216"/>
  <c r="W134" i="60818" s="1"/>
  <c r="DY216" i="60819"/>
  <c r="DZ216"/>
  <c r="EA216"/>
  <c r="EB216"/>
  <c r="AA134" i="60818" s="1"/>
  <c r="EC216" i="60819"/>
  <c r="ED216"/>
  <c r="EE216"/>
  <c r="EF216"/>
  <c r="AE134" i="60818" s="1"/>
  <c r="EG216" i="60819"/>
  <c r="EH216"/>
  <c r="AL217"/>
  <c r="C45" i="60818" s="1"/>
  <c r="AM217" i="60819"/>
  <c r="D45" i="60818" s="1"/>
  <c r="AN217" i="60819"/>
  <c r="E45" i="60818" s="1"/>
  <c r="AO217" i="60819"/>
  <c r="F45" i="60818" s="1"/>
  <c r="AP217" i="60819"/>
  <c r="G45" i="60818" s="1"/>
  <c r="AQ217" i="60819"/>
  <c r="H45" i="60818" s="1"/>
  <c r="AR217" i="60819"/>
  <c r="I45" i="60818" s="1"/>
  <c r="AS217" i="60819"/>
  <c r="J45" i="60818" s="1"/>
  <c r="AT217" i="60819"/>
  <c r="K45" i="60818" s="1"/>
  <c r="AU217" i="60819"/>
  <c r="L45" i="60818" s="1"/>
  <c r="AV217" i="60819"/>
  <c r="M45" i="60818" s="1"/>
  <c r="AW217" i="60819"/>
  <c r="N45" i="60818" s="1"/>
  <c r="AX217" i="60819"/>
  <c r="O45" i="60818" s="1"/>
  <c r="AY217" i="60819"/>
  <c r="P45" i="60818" s="1"/>
  <c r="AZ217" i="60819"/>
  <c r="Q45" i="60818" s="1"/>
  <c r="BA217" i="60819"/>
  <c r="R45" i="60818" s="1"/>
  <c r="BB217" i="60819"/>
  <c r="S45" i="60818" s="1"/>
  <c r="BC217" i="60819"/>
  <c r="T45" i="60818" s="1"/>
  <c r="BD217" i="60819"/>
  <c r="U45" i="60818" s="1"/>
  <c r="BE217" i="60819"/>
  <c r="V45" i="60818" s="1"/>
  <c r="BF217" i="60819"/>
  <c r="W45" i="60818" s="1"/>
  <c r="BG217" i="60819"/>
  <c r="X45" i="60818" s="1"/>
  <c r="BH217" i="60819"/>
  <c r="Y45" i="60818" s="1"/>
  <c r="BI217" i="60819"/>
  <c r="Z45" i="60818" s="1"/>
  <c r="BJ217" i="60819"/>
  <c r="AA45" i="60818" s="1"/>
  <c r="BK217" i="60819"/>
  <c r="AB45" i="60818" s="1"/>
  <c r="BL217" i="60819"/>
  <c r="AC45" i="60818" s="1"/>
  <c r="BM217" i="60819"/>
  <c r="AD45" i="60818" s="1"/>
  <c r="BN217" i="60819"/>
  <c r="AE45" i="60818" s="1"/>
  <c r="BO217" i="60819"/>
  <c r="AF45" i="60818" s="1"/>
  <c r="BP217" i="60819"/>
  <c r="AG45" i="60818" s="1"/>
  <c r="DD217" i="60819"/>
  <c r="DE217"/>
  <c r="DF217"/>
  <c r="DG217"/>
  <c r="F135" i="60818" s="1"/>
  <c r="DH217" i="60819"/>
  <c r="DI217"/>
  <c r="DJ217"/>
  <c r="I135" i="60818" s="1"/>
  <c r="DK217" i="60819"/>
  <c r="J135" i="60818" s="1"/>
  <c r="DL217" i="60819"/>
  <c r="DM217"/>
  <c r="DN217"/>
  <c r="M135" i="60818" s="1"/>
  <c r="DO217" i="60819"/>
  <c r="N135" i="60818" s="1"/>
  <c r="DP217" i="60819"/>
  <c r="DQ217"/>
  <c r="DR217"/>
  <c r="DS217"/>
  <c r="R135" i="60818" s="1"/>
  <c r="DT217" i="60819"/>
  <c r="DU217"/>
  <c r="DV217"/>
  <c r="DW217"/>
  <c r="V135" i="60818" s="1"/>
  <c r="DX217" i="60819"/>
  <c r="DY217"/>
  <c r="DZ217"/>
  <c r="Y135" i="60818" s="1"/>
  <c r="EA217" i="60819"/>
  <c r="Z135" i="60818" s="1"/>
  <c r="EB217" i="60819"/>
  <c r="EC217"/>
  <c r="ED217"/>
  <c r="AC135" i="60818" s="1"/>
  <c r="EE217" i="60819"/>
  <c r="AD135" i="60818" s="1"/>
  <c r="EF217" i="60819"/>
  <c r="EG217"/>
  <c r="EH217"/>
  <c r="AL218"/>
  <c r="C46" i="60818" s="1"/>
  <c r="AM218" i="60819"/>
  <c r="D46" i="60818" s="1"/>
  <c r="AN218" i="60819"/>
  <c r="E46" i="60818" s="1"/>
  <c r="AO218" i="60819"/>
  <c r="F46" i="60818" s="1"/>
  <c r="AP218" i="60819"/>
  <c r="G46" i="60818" s="1"/>
  <c r="AQ218" i="60819"/>
  <c r="H46" i="60818" s="1"/>
  <c r="AR218" i="60819"/>
  <c r="I46" i="60818" s="1"/>
  <c r="AS218" i="60819"/>
  <c r="J46" i="60818" s="1"/>
  <c r="AT218" i="60819"/>
  <c r="K46" i="60818" s="1"/>
  <c r="AU218" i="60819"/>
  <c r="L46" i="60818" s="1"/>
  <c r="AV218" i="60819"/>
  <c r="M46" i="60818" s="1"/>
  <c r="AW218" i="60819"/>
  <c r="N46" i="60818" s="1"/>
  <c r="AX218" i="60819"/>
  <c r="O46" i="60818" s="1"/>
  <c r="AY218" i="60819"/>
  <c r="P46" i="60818" s="1"/>
  <c r="AZ218" i="60819"/>
  <c r="Q46" i="60818" s="1"/>
  <c r="BA218" i="60819"/>
  <c r="R46" i="60818" s="1"/>
  <c r="BB218" i="60819"/>
  <c r="S46" i="60818" s="1"/>
  <c r="BC218" i="60819"/>
  <c r="T46" i="60818" s="1"/>
  <c r="BD218" i="60819"/>
  <c r="U46" i="60818" s="1"/>
  <c r="BE218" i="60819"/>
  <c r="V46" i="60818" s="1"/>
  <c r="BF218" i="60819"/>
  <c r="W46" i="60818" s="1"/>
  <c r="BG218" i="60819"/>
  <c r="X46" i="60818" s="1"/>
  <c r="BH218" i="60819"/>
  <c r="Y46" i="60818" s="1"/>
  <c r="BI218" i="60819"/>
  <c r="Z46" i="60818" s="1"/>
  <c r="BJ218" i="60819"/>
  <c r="AA46" i="60818" s="1"/>
  <c r="BK218" i="60819"/>
  <c r="AB46" i="60818" s="1"/>
  <c r="BL218" i="60819"/>
  <c r="AC46" i="60818" s="1"/>
  <c r="BM218" i="60819"/>
  <c r="AD46" i="60818" s="1"/>
  <c r="BN218" i="60819"/>
  <c r="AE46" i="60818" s="1"/>
  <c r="BO218" i="60819"/>
  <c r="AF46" i="60818" s="1"/>
  <c r="BP218" i="60819"/>
  <c r="DD218"/>
  <c r="C136" i="60818" s="1"/>
  <c r="DE218" i="60819"/>
  <c r="D136" i="60818" s="1"/>
  <c r="DF218" i="60819"/>
  <c r="DG218"/>
  <c r="DH218"/>
  <c r="G136" i="60818" s="1"/>
  <c r="DI218" i="60819"/>
  <c r="H136" i="60818" s="1"/>
  <c r="DJ218" i="60819"/>
  <c r="DK218"/>
  <c r="DL218"/>
  <c r="K136" i="60818" s="1"/>
  <c r="DM218" i="60819"/>
  <c r="L136" i="60818" s="1"/>
  <c r="DN218" i="60819"/>
  <c r="DO218"/>
  <c r="DP218"/>
  <c r="O136" i="60818" s="1"/>
  <c r="DQ218" i="60819"/>
  <c r="P136" i="60818" s="1"/>
  <c r="DR218" i="60819"/>
  <c r="DS218"/>
  <c r="DT218"/>
  <c r="S136" i="60818" s="1"/>
  <c r="DU218" i="60819"/>
  <c r="T136" i="60818" s="1"/>
  <c r="DV218" i="60819"/>
  <c r="DW218"/>
  <c r="DX218"/>
  <c r="W136" i="60818" s="1"/>
  <c r="DY218" i="60819"/>
  <c r="X136" i="60818" s="1"/>
  <c r="DZ218" i="60819"/>
  <c r="EA218"/>
  <c r="EB218"/>
  <c r="AA136" i="60818" s="1"/>
  <c r="EC218" i="60819"/>
  <c r="AB136" i="60818" s="1"/>
  <c r="ED218" i="60819"/>
  <c r="EE218"/>
  <c r="EF218"/>
  <c r="AE136" i="60818" s="1"/>
  <c r="EG218" i="60819"/>
  <c r="AF136" i="60818" s="1"/>
  <c r="EH218" i="60819"/>
  <c r="AL219"/>
  <c r="AM219"/>
  <c r="D47" i="60818" s="1"/>
  <c r="AN219" i="60819"/>
  <c r="E47" i="60818" s="1"/>
  <c r="AO219" i="60819"/>
  <c r="F47" i="60818" s="1"/>
  <c r="AP219" i="60819"/>
  <c r="G47" i="60818" s="1"/>
  <c r="AQ219" i="60819"/>
  <c r="H47" i="60818" s="1"/>
  <c r="AR219" i="60819"/>
  <c r="I47" i="60818" s="1"/>
  <c r="AS219" i="60819"/>
  <c r="J47" i="60818" s="1"/>
  <c r="AT219" i="60819"/>
  <c r="K47" i="60818" s="1"/>
  <c r="AU219" i="60819"/>
  <c r="L47" i="60818" s="1"/>
  <c r="AV219" i="60819"/>
  <c r="M47" i="60818" s="1"/>
  <c r="AW219" i="60819"/>
  <c r="N47" i="60818" s="1"/>
  <c r="AX219" i="60819"/>
  <c r="O47" i="60818" s="1"/>
  <c r="AY219" i="60819"/>
  <c r="P47" i="60818" s="1"/>
  <c r="AZ219" i="60819"/>
  <c r="Q47" i="60818" s="1"/>
  <c r="BA219" i="60819"/>
  <c r="R47" i="60818" s="1"/>
  <c r="BB219" i="60819"/>
  <c r="S47" i="60818" s="1"/>
  <c r="BC219" i="60819"/>
  <c r="T47" i="60818" s="1"/>
  <c r="BD219" i="60819"/>
  <c r="U47" i="60818" s="1"/>
  <c r="BE219" i="60819"/>
  <c r="V47" i="60818" s="1"/>
  <c r="BF219" i="60819"/>
  <c r="W47" i="60818" s="1"/>
  <c r="BG219" i="60819"/>
  <c r="X47" i="60818" s="1"/>
  <c r="BH219" i="60819"/>
  <c r="Y47" i="60818" s="1"/>
  <c r="BI219" i="60819"/>
  <c r="Z47" i="60818" s="1"/>
  <c r="BJ219" i="60819"/>
  <c r="AA47" i="60818" s="1"/>
  <c r="BK219" i="60819"/>
  <c r="AB47" i="60818" s="1"/>
  <c r="BL219" i="60819"/>
  <c r="AC47" i="60818" s="1"/>
  <c r="BM219" i="60819"/>
  <c r="AD47" i="60818" s="1"/>
  <c r="BN219" i="60819"/>
  <c r="AE47" i="60818" s="1"/>
  <c r="BO219" i="60819"/>
  <c r="AF47" i="60818" s="1"/>
  <c r="BP219" i="60819"/>
  <c r="AG47" i="60818" s="1"/>
  <c r="DD219" i="60819"/>
  <c r="DE219"/>
  <c r="DF219"/>
  <c r="E137" i="60818" s="1"/>
  <c r="DG219" i="60819"/>
  <c r="DH219"/>
  <c r="DI219"/>
  <c r="DJ219"/>
  <c r="I137" i="60818" s="1"/>
  <c r="DK219" i="60819"/>
  <c r="DL219"/>
  <c r="DM219"/>
  <c r="DN219"/>
  <c r="M137" i="60818" s="1"/>
  <c r="DO219" i="60819"/>
  <c r="DP219"/>
  <c r="DQ219"/>
  <c r="DR219"/>
  <c r="Q137" i="60818" s="1"/>
  <c r="DS219" i="60819"/>
  <c r="DT219"/>
  <c r="DU219"/>
  <c r="DV219"/>
  <c r="U137" i="60818" s="1"/>
  <c r="DW219" i="60819"/>
  <c r="DX219"/>
  <c r="DY219"/>
  <c r="DZ219"/>
  <c r="Y137" i="60818" s="1"/>
  <c r="EA219" i="60819"/>
  <c r="EB219"/>
  <c r="EC219"/>
  <c r="ED219"/>
  <c r="AC137" i="60818" s="1"/>
  <c r="EE219" i="60819"/>
  <c r="EF219"/>
  <c r="EG219"/>
  <c r="EH219"/>
  <c r="AG137" i="60818" s="1"/>
  <c r="AL220" i="60819"/>
  <c r="C48" i="60818" s="1"/>
  <c r="AM220" i="60819"/>
  <c r="D48" i="60818" s="1"/>
  <c r="AN220" i="60819"/>
  <c r="AO220"/>
  <c r="AP220"/>
  <c r="G48" i="60818" s="1"/>
  <c r="AQ220" i="60819"/>
  <c r="H48" i="60818" s="1"/>
  <c r="AR220" i="60819"/>
  <c r="AS220"/>
  <c r="AT220"/>
  <c r="K48" i="60818" s="1"/>
  <c r="AU220" i="60819"/>
  <c r="L48" i="60818" s="1"/>
  <c r="AV220" i="60819"/>
  <c r="AW220"/>
  <c r="AX220"/>
  <c r="O48" i="60818" s="1"/>
  <c r="AY220" i="60819"/>
  <c r="P48" i="60818" s="1"/>
  <c r="AZ220" i="60819"/>
  <c r="BA220"/>
  <c r="BB220"/>
  <c r="S48" i="60818" s="1"/>
  <c r="BC220" i="60819"/>
  <c r="T48" i="60818" s="1"/>
  <c r="BD220" i="60819"/>
  <c r="BE220"/>
  <c r="BF220"/>
  <c r="W48" i="60818" s="1"/>
  <c r="BG220" i="60819"/>
  <c r="X48" i="60818" s="1"/>
  <c r="BH220" i="60819"/>
  <c r="BI220"/>
  <c r="BJ220"/>
  <c r="AA48" i="60818" s="1"/>
  <c r="BK220" i="60819"/>
  <c r="AB48" i="60818" s="1"/>
  <c r="BL220" i="60819"/>
  <c r="BM220"/>
  <c r="BN220"/>
  <c r="AE48" i="60818" s="1"/>
  <c r="BO220" i="60819"/>
  <c r="AF48" i="60818" s="1"/>
  <c r="BP220" i="60819"/>
  <c r="DD220"/>
  <c r="DE220"/>
  <c r="DF220"/>
  <c r="DG220"/>
  <c r="DH220"/>
  <c r="DI220"/>
  <c r="DJ220"/>
  <c r="DK220"/>
  <c r="DL220"/>
  <c r="DM220"/>
  <c r="DN220"/>
  <c r="DO220"/>
  <c r="DP220"/>
  <c r="DQ220"/>
  <c r="DR220"/>
  <c r="DS220"/>
  <c r="DT220"/>
  <c r="DU220"/>
  <c r="DV220"/>
  <c r="DW220"/>
  <c r="DX220"/>
  <c r="DY220"/>
  <c r="DZ220"/>
  <c r="EA220"/>
  <c r="EB220"/>
  <c r="EC220"/>
  <c r="ED220"/>
  <c r="EE220"/>
  <c r="EF220"/>
  <c r="EG220"/>
  <c r="EH220"/>
  <c r="AL221"/>
  <c r="AM221"/>
  <c r="D49" i="60818" s="1"/>
  <c r="AN221" i="60819"/>
  <c r="E49" i="60818" s="1"/>
  <c r="AO221" i="60819"/>
  <c r="F49" i="60818" s="1"/>
  <c r="AP221" i="60819"/>
  <c r="G49" i="60818" s="1"/>
  <c r="AQ221" i="60819"/>
  <c r="H49" i="60818" s="1"/>
  <c r="AR221" i="60819"/>
  <c r="I49" i="60818" s="1"/>
  <c r="AS221" i="60819"/>
  <c r="J49" i="60818" s="1"/>
  <c r="AT221" i="60819"/>
  <c r="K49" i="60818" s="1"/>
  <c r="AU221" i="60819"/>
  <c r="L49" i="60818" s="1"/>
  <c r="AV221" i="60819"/>
  <c r="M49" i="60818" s="1"/>
  <c r="AW221" i="60819"/>
  <c r="N49" i="60818" s="1"/>
  <c r="AX221" i="60819"/>
  <c r="O49" i="60818" s="1"/>
  <c r="AY221" i="60819"/>
  <c r="P49" i="60818" s="1"/>
  <c r="AZ221" i="60819"/>
  <c r="Q49" i="60818" s="1"/>
  <c r="BA221" i="60819"/>
  <c r="R49" i="60818" s="1"/>
  <c r="BB221" i="60819"/>
  <c r="S49" i="60818" s="1"/>
  <c r="BC221" i="60819"/>
  <c r="T49" i="60818" s="1"/>
  <c r="BD221" i="60819"/>
  <c r="U49" i="60818" s="1"/>
  <c r="BE221" i="60819"/>
  <c r="V49" i="60818" s="1"/>
  <c r="BF221" i="60819"/>
  <c r="W49" i="60818" s="1"/>
  <c r="BG221" i="60819"/>
  <c r="X49" i="60818" s="1"/>
  <c r="BH221" i="60819"/>
  <c r="Y49" i="60818" s="1"/>
  <c r="BI221" i="60819"/>
  <c r="Z49" i="60818" s="1"/>
  <c r="BJ221" i="60819"/>
  <c r="AA49" i="60818" s="1"/>
  <c r="BK221" i="60819"/>
  <c r="AB49" i="60818" s="1"/>
  <c r="BL221" i="60819"/>
  <c r="AC49" i="60818" s="1"/>
  <c r="BM221" i="60819"/>
  <c r="AD49" i="60818" s="1"/>
  <c r="BN221" i="60819"/>
  <c r="AE49" i="60818" s="1"/>
  <c r="BO221" i="60819"/>
  <c r="AF49" i="60818" s="1"/>
  <c r="BP221" i="60819"/>
  <c r="AG49" i="60818" s="1"/>
  <c r="DD221" i="60819"/>
  <c r="DE221"/>
  <c r="DF221"/>
  <c r="DG221"/>
  <c r="F139" i="60818" s="1"/>
  <c r="DH221" i="60819"/>
  <c r="DI221"/>
  <c r="DJ221"/>
  <c r="DK221"/>
  <c r="J139" i="60818" s="1"/>
  <c r="DL221" i="60819"/>
  <c r="DM221"/>
  <c r="DN221"/>
  <c r="M139" i="60818" s="1"/>
  <c r="DO221" i="60819"/>
  <c r="N139" i="60818" s="1"/>
  <c r="DP221" i="60819"/>
  <c r="DQ221"/>
  <c r="DR221"/>
  <c r="Q139" i="60818" s="1"/>
  <c r="DS221" i="60819"/>
  <c r="R139" i="60818" s="1"/>
  <c r="DT221" i="60819"/>
  <c r="DU221"/>
  <c r="DV221"/>
  <c r="DW221"/>
  <c r="V139" i="60818" s="1"/>
  <c r="DX221" i="60819"/>
  <c r="DY221"/>
  <c r="DZ221"/>
  <c r="EA221"/>
  <c r="Z139" i="60818" s="1"/>
  <c r="EB221" i="60819"/>
  <c r="EC221"/>
  <c r="ED221"/>
  <c r="AC139" i="60818" s="1"/>
  <c r="EE221" i="60819"/>
  <c r="AD139" i="60818" s="1"/>
  <c r="EF221" i="60819"/>
  <c r="EG221"/>
  <c r="EH221"/>
  <c r="AG139" i="60818" s="1"/>
  <c r="AL222" i="60819"/>
  <c r="C50" i="60818" s="1"/>
  <c r="AM222" i="60819"/>
  <c r="D50" i="60818" s="1"/>
  <c r="AN222" i="60819"/>
  <c r="E50" i="60818" s="1"/>
  <c r="AO222" i="60819"/>
  <c r="F50" i="60818" s="1"/>
  <c r="AP222" i="60819"/>
  <c r="G50" i="60818" s="1"/>
  <c r="AQ222" i="60819"/>
  <c r="H50" i="60818" s="1"/>
  <c r="AR222" i="60819"/>
  <c r="I50" i="60818" s="1"/>
  <c r="AS222" i="60819"/>
  <c r="J50" i="60818" s="1"/>
  <c r="AT222" i="60819"/>
  <c r="K50" i="60818" s="1"/>
  <c r="AU222" i="60819"/>
  <c r="L50" i="60818" s="1"/>
  <c r="AV222" i="60819"/>
  <c r="M50" i="60818" s="1"/>
  <c r="AW222" i="60819"/>
  <c r="N50" i="60818" s="1"/>
  <c r="AX222" i="60819"/>
  <c r="O50" i="60818" s="1"/>
  <c r="AY222" i="60819"/>
  <c r="P50" i="60818" s="1"/>
  <c r="AZ222" i="60819"/>
  <c r="Q50" i="60818" s="1"/>
  <c r="BA222" i="60819"/>
  <c r="R50" i="60818" s="1"/>
  <c r="BB222" i="60819"/>
  <c r="S50" i="60818" s="1"/>
  <c r="BC222" i="60819"/>
  <c r="T50" i="60818" s="1"/>
  <c r="BD222" i="60819"/>
  <c r="U50" i="60818" s="1"/>
  <c r="BE222" i="60819"/>
  <c r="V50" i="60818" s="1"/>
  <c r="BF222" i="60819"/>
  <c r="W50" i="60818" s="1"/>
  <c r="BG222" i="60819"/>
  <c r="X50" i="60818" s="1"/>
  <c r="BH222" i="60819"/>
  <c r="Y50" i="60818" s="1"/>
  <c r="BI222" i="60819"/>
  <c r="Z50" i="60818" s="1"/>
  <c r="BJ222" i="60819"/>
  <c r="AA50" i="60818" s="1"/>
  <c r="BK222" i="60819"/>
  <c r="AB50" i="60818" s="1"/>
  <c r="BL222" i="60819"/>
  <c r="AC50" i="60818" s="1"/>
  <c r="BM222" i="60819"/>
  <c r="AD50" i="60818" s="1"/>
  <c r="BN222" i="60819"/>
  <c r="AE50" i="60818" s="1"/>
  <c r="BO222" i="60819"/>
  <c r="AF50" i="60818" s="1"/>
  <c r="BP222" i="60819"/>
  <c r="AG50" i="60818" s="1"/>
  <c r="DD222" i="60819"/>
  <c r="C140" i="60818" s="1"/>
  <c r="DE222" i="60819"/>
  <c r="D140" i="60818" s="1"/>
  <c r="DF222" i="60819"/>
  <c r="DG222"/>
  <c r="DH222"/>
  <c r="G140" i="60818" s="1"/>
  <c r="DI222" i="60819"/>
  <c r="H140" i="60818" s="1"/>
  <c r="DJ222" i="60819"/>
  <c r="DK222"/>
  <c r="DL222"/>
  <c r="K140" i="60818" s="1"/>
  <c r="DM222" i="60819"/>
  <c r="L140" i="60818" s="1"/>
  <c r="DN222" i="60819"/>
  <c r="DO222"/>
  <c r="DP222"/>
  <c r="O140" i="60818" s="1"/>
  <c r="DQ222" i="60819"/>
  <c r="P140" i="60818" s="1"/>
  <c r="DR222" i="60819"/>
  <c r="DS222"/>
  <c r="DT222"/>
  <c r="S140" i="60818" s="1"/>
  <c r="DU222" i="60819"/>
  <c r="T140" i="60818" s="1"/>
  <c r="DV222" i="60819"/>
  <c r="DW222"/>
  <c r="DX222"/>
  <c r="W140" i="60818" s="1"/>
  <c r="DY222" i="60819"/>
  <c r="X140" i="60818" s="1"/>
  <c r="DZ222" i="60819"/>
  <c r="EA222"/>
  <c r="EB222"/>
  <c r="AA140" i="60818" s="1"/>
  <c r="EC222" i="60819"/>
  <c r="AB140" i="60818" s="1"/>
  <c r="ED222" i="60819"/>
  <c r="EE222"/>
  <c r="EF222"/>
  <c r="AE140" i="60818" s="1"/>
  <c r="EG222" i="60819"/>
  <c r="AF140" i="60818" s="1"/>
  <c r="EH222" i="60819"/>
  <c r="AL223"/>
  <c r="AM223"/>
  <c r="D51" i="60818" s="1"/>
  <c r="AN223" i="60819"/>
  <c r="E51" i="60818" s="1"/>
  <c r="AO223" i="60819"/>
  <c r="F51" i="60818" s="1"/>
  <c r="AP223" i="60819"/>
  <c r="G51" i="60818" s="1"/>
  <c r="AQ223" i="60819"/>
  <c r="H51" i="60818" s="1"/>
  <c r="AR223" i="60819"/>
  <c r="I51" i="60818" s="1"/>
  <c r="AS223" i="60819"/>
  <c r="J51" i="60818" s="1"/>
  <c r="AT223" i="60819"/>
  <c r="K51" i="60818" s="1"/>
  <c r="AU223" i="60819"/>
  <c r="L51" i="60818" s="1"/>
  <c r="AV223" i="60819"/>
  <c r="M51" i="60818" s="1"/>
  <c r="AW223" i="60819"/>
  <c r="N51" i="60818" s="1"/>
  <c r="AX223" i="60819"/>
  <c r="O51" i="60818" s="1"/>
  <c r="AY223" i="60819"/>
  <c r="P51" i="60818" s="1"/>
  <c r="AZ223" i="60819"/>
  <c r="Q51" i="60818" s="1"/>
  <c r="BA223" i="60819"/>
  <c r="R51" i="60818" s="1"/>
  <c r="BB223" i="60819"/>
  <c r="S51" i="60818" s="1"/>
  <c r="BC223" i="60819"/>
  <c r="T51" i="60818" s="1"/>
  <c r="BD223" i="60819"/>
  <c r="U51" i="60818" s="1"/>
  <c r="BE223" i="60819"/>
  <c r="V51" i="60818" s="1"/>
  <c r="BF223" i="60819"/>
  <c r="W51" i="60818" s="1"/>
  <c r="BG223" i="60819"/>
  <c r="X51" i="60818" s="1"/>
  <c r="BH223" i="60819"/>
  <c r="Y51" i="60818" s="1"/>
  <c r="BI223" i="60819"/>
  <c r="Z51" i="60818" s="1"/>
  <c r="BJ223" i="60819"/>
  <c r="AA51" i="60818" s="1"/>
  <c r="BK223" i="60819"/>
  <c r="AB51" i="60818" s="1"/>
  <c r="BL223" i="60819"/>
  <c r="AC51" i="60818" s="1"/>
  <c r="BM223" i="60819"/>
  <c r="AD51" i="60818" s="1"/>
  <c r="BN223" i="60819"/>
  <c r="AE51" i="60818" s="1"/>
  <c r="BO223" i="60819"/>
  <c r="AF51" i="60818" s="1"/>
  <c r="BP223" i="60819"/>
  <c r="AG51" i="60818" s="1"/>
  <c r="DD223" i="60819"/>
  <c r="DE223"/>
  <c r="DF223"/>
  <c r="E141" i="60818" s="1"/>
  <c r="DG223" i="60819"/>
  <c r="DH223"/>
  <c r="DI223"/>
  <c r="DJ223"/>
  <c r="I141" i="60818" s="1"/>
  <c r="DK223" i="60819"/>
  <c r="DL223"/>
  <c r="DM223"/>
  <c r="DN223"/>
  <c r="M141" i="60818" s="1"/>
  <c r="DO223" i="60819"/>
  <c r="DP223"/>
  <c r="DQ223"/>
  <c r="DR223"/>
  <c r="Q141" i="60818" s="1"/>
  <c r="DS223" i="60819"/>
  <c r="DT223"/>
  <c r="DU223"/>
  <c r="DV223"/>
  <c r="U141" i="60818" s="1"/>
  <c r="DW223" i="60819"/>
  <c r="DX223"/>
  <c r="DY223"/>
  <c r="DZ223"/>
  <c r="Y141" i="60818" s="1"/>
  <c r="EA223" i="60819"/>
  <c r="EB223"/>
  <c r="EC223"/>
  <c r="ED223"/>
  <c r="AC141" i="60818" s="1"/>
  <c r="EE223" i="60819"/>
  <c r="EF223"/>
  <c r="EG223"/>
  <c r="EH223"/>
  <c r="AG141" i="60818" s="1"/>
  <c r="AL224" i="60819"/>
  <c r="C52" i="60818" s="1"/>
  <c r="AM224" i="60819"/>
  <c r="D52" i="60818" s="1"/>
  <c r="AN224" i="60819"/>
  <c r="E52" i="60818" s="1"/>
  <c r="AO224" i="60819"/>
  <c r="F52" i="60818" s="1"/>
  <c r="AP224" i="60819"/>
  <c r="G52" i="60818" s="1"/>
  <c r="AQ224" i="60819"/>
  <c r="H52" i="60818" s="1"/>
  <c r="AR224" i="60819"/>
  <c r="I52" i="60818" s="1"/>
  <c r="AS224" i="60819"/>
  <c r="J52" i="60818" s="1"/>
  <c r="AT224" i="60819"/>
  <c r="K52" i="60818" s="1"/>
  <c r="AU224" i="60819"/>
  <c r="L52" i="60818" s="1"/>
  <c r="AV224" i="60819"/>
  <c r="M52" i="60818" s="1"/>
  <c r="AW224" i="60819"/>
  <c r="N52" i="60818" s="1"/>
  <c r="AX224" i="60819"/>
  <c r="O52" i="60818" s="1"/>
  <c r="AY224" i="60819"/>
  <c r="P52" i="60818" s="1"/>
  <c r="AZ224" i="60819"/>
  <c r="Q52" i="60818" s="1"/>
  <c r="BA224" i="60819"/>
  <c r="R52" i="60818" s="1"/>
  <c r="BB224" i="60819"/>
  <c r="S52" i="60818" s="1"/>
  <c r="BC224" i="60819"/>
  <c r="T52" i="60818" s="1"/>
  <c r="BD224" i="60819"/>
  <c r="U52" i="60818" s="1"/>
  <c r="BE224" i="60819"/>
  <c r="V52" i="60818" s="1"/>
  <c r="BF224" i="60819"/>
  <c r="W52" i="60818" s="1"/>
  <c r="BG224" i="60819"/>
  <c r="X52" i="60818" s="1"/>
  <c r="BH224" i="60819"/>
  <c r="Y52" i="60818" s="1"/>
  <c r="BI224" i="60819"/>
  <c r="Z52" i="60818" s="1"/>
  <c r="BJ224" i="60819"/>
  <c r="AA52" i="60818" s="1"/>
  <c r="BK224" i="60819"/>
  <c r="AB52" i="60818" s="1"/>
  <c r="BL224" i="60819"/>
  <c r="AC52" i="60818" s="1"/>
  <c r="BM224" i="60819"/>
  <c r="AD52" i="60818" s="1"/>
  <c r="BN224" i="60819"/>
  <c r="AE52" i="60818" s="1"/>
  <c r="BO224" i="60819"/>
  <c r="AF52" i="60818" s="1"/>
  <c r="BP224" i="60819"/>
  <c r="AG52" i="60818" s="1"/>
  <c r="DD224" i="60819"/>
  <c r="DE224"/>
  <c r="DF224"/>
  <c r="DG224"/>
  <c r="DH224"/>
  <c r="DI224"/>
  <c r="DJ224"/>
  <c r="DK224"/>
  <c r="DL224"/>
  <c r="DM224"/>
  <c r="DN224"/>
  <c r="DO224"/>
  <c r="DP224"/>
  <c r="DQ224"/>
  <c r="DR224"/>
  <c r="DS224"/>
  <c r="DT224"/>
  <c r="DU224"/>
  <c r="DV224"/>
  <c r="DW224"/>
  <c r="DX224"/>
  <c r="DY224"/>
  <c r="DZ224"/>
  <c r="EA224"/>
  <c r="EB224"/>
  <c r="EC224"/>
  <c r="ED224"/>
  <c r="EE224"/>
  <c r="EF224"/>
  <c r="EG224"/>
  <c r="EH224"/>
  <c r="AM225"/>
  <c r="AU225"/>
  <c r="AL229"/>
  <c r="C57" i="60818" s="1"/>
  <c r="AM229" i="60819"/>
  <c r="D57" i="60818" s="1"/>
  <c r="AN229" i="60819"/>
  <c r="E57" i="60818" s="1"/>
  <c r="AO229" i="60819"/>
  <c r="F57" i="60818" s="1"/>
  <c r="AP229" i="60819"/>
  <c r="G57" i="60818" s="1"/>
  <c r="AQ229" i="60819"/>
  <c r="H57" i="60818" s="1"/>
  <c r="AR229" i="60819"/>
  <c r="I57" i="60818" s="1"/>
  <c r="AS229" i="60819"/>
  <c r="J57" i="60818" s="1"/>
  <c r="AT229" i="60819"/>
  <c r="K57" i="60818" s="1"/>
  <c r="AU229" i="60819"/>
  <c r="L57" i="60818" s="1"/>
  <c r="AV229" i="60819"/>
  <c r="M57" i="60818" s="1"/>
  <c r="AW229" i="60819"/>
  <c r="N57" i="60818" s="1"/>
  <c r="AX229" i="60819"/>
  <c r="O57" i="60818" s="1"/>
  <c r="AY229" i="60819"/>
  <c r="P57" i="60818" s="1"/>
  <c r="AZ229" i="60819"/>
  <c r="Q57" i="60818" s="1"/>
  <c r="BA229" i="60819"/>
  <c r="R57" i="60818" s="1"/>
  <c r="BB229" i="60819"/>
  <c r="S57" i="60818" s="1"/>
  <c r="BC229" i="60819"/>
  <c r="T57" i="60818" s="1"/>
  <c r="BD229" i="60819"/>
  <c r="U57" i="60818" s="1"/>
  <c r="BE229" i="60819"/>
  <c r="V57" i="60818" s="1"/>
  <c r="BF229" i="60819"/>
  <c r="W57" i="60818" s="1"/>
  <c r="BG229" i="60819"/>
  <c r="X57" i="60818" s="1"/>
  <c r="BH229" i="60819"/>
  <c r="Y57" i="60818" s="1"/>
  <c r="BI229" i="60819"/>
  <c r="Z57" i="60818" s="1"/>
  <c r="BJ229" i="60819"/>
  <c r="AA57" i="60818" s="1"/>
  <c r="BK229" i="60819"/>
  <c r="AB57" i="60818" s="1"/>
  <c r="BL229" i="60819"/>
  <c r="AC57" i="60818" s="1"/>
  <c r="BM229" i="60819"/>
  <c r="AD57" i="60818" s="1"/>
  <c r="BN229" i="60819"/>
  <c r="AE57" i="60818" s="1"/>
  <c r="BO229" i="60819"/>
  <c r="AF57" i="60818" s="1"/>
  <c r="BP229" i="60819"/>
  <c r="AG57" i="60818" s="1"/>
  <c r="DD229" i="60819"/>
  <c r="C150" i="60818" s="1"/>
  <c r="DE229" i="60819"/>
  <c r="DF229"/>
  <c r="DG229"/>
  <c r="F150" i="60818" s="1"/>
  <c r="DH229" i="60819"/>
  <c r="G150" i="60818" s="1"/>
  <c r="DI229" i="60819"/>
  <c r="DJ229"/>
  <c r="DK229"/>
  <c r="J150" i="60818" s="1"/>
  <c r="DL229" i="60819"/>
  <c r="K150" i="60818" s="1"/>
  <c r="DM229" i="60819"/>
  <c r="DN229"/>
  <c r="DO229"/>
  <c r="N150" i="60818" s="1"/>
  <c r="DP229" i="60819"/>
  <c r="O150" i="60818" s="1"/>
  <c r="DQ229" i="60819"/>
  <c r="DR229"/>
  <c r="DS229"/>
  <c r="R150" i="60818" s="1"/>
  <c r="DT229" i="60819"/>
  <c r="S150" i="60818" s="1"/>
  <c r="DU229" i="60819"/>
  <c r="DV229"/>
  <c r="DW229"/>
  <c r="V150" i="60818" s="1"/>
  <c r="DX229" i="60819"/>
  <c r="W150" i="60818" s="1"/>
  <c r="DY229" i="60819"/>
  <c r="DZ229"/>
  <c r="EA229"/>
  <c r="Z150" i="60818" s="1"/>
  <c r="EB229" i="60819"/>
  <c r="AA150" i="60818" s="1"/>
  <c r="EC229" i="60819"/>
  <c r="ED229"/>
  <c r="EE229"/>
  <c r="AD150" i="60818" s="1"/>
  <c r="EF229" i="60819"/>
  <c r="AE150" i="60818" s="1"/>
  <c r="EG229" i="60819"/>
  <c r="EH229"/>
  <c r="AL230"/>
  <c r="AM230"/>
  <c r="D58" i="60818" s="1"/>
  <c r="AN230" i="60819"/>
  <c r="E58" i="60818" s="1"/>
  <c r="AO230" i="60819"/>
  <c r="F58" i="60818" s="1"/>
  <c r="AP230" i="60819"/>
  <c r="G58" i="60818" s="1"/>
  <c r="AQ230" i="60819"/>
  <c r="H58" i="60818" s="1"/>
  <c r="AR230" i="60819"/>
  <c r="I58" i="60818" s="1"/>
  <c r="AS230" i="60819"/>
  <c r="J58" i="60818" s="1"/>
  <c r="AT230" i="60819"/>
  <c r="K58" i="60818" s="1"/>
  <c r="AU230" i="60819"/>
  <c r="L58" i="60818" s="1"/>
  <c r="AV230" i="60819"/>
  <c r="M58" i="60818" s="1"/>
  <c r="AW230" i="60819"/>
  <c r="N58" i="60818" s="1"/>
  <c r="AX230" i="60819"/>
  <c r="O58" i="60818" s="1"/>
  <c r="AY230" i="60819"/>
  <c r="P58" i="60818" s="1"/>
  <c r="AZ230" i="60819"/>
  <c r="Q58" i="60818" s="1"/>
  <c r="BA230" i="60819"/>
  <c r="R58" i="60818" s="1"/>
  <c r="BB230" i="60819"/>
  <c r="S58" i="60818" s="1"/>
  <c r="BC230" i="60819"/>
  <c r="T58" i="60818" s="1"/>
  <c r="BD230" i="60819"/>
  <c r="U58" i="60818" s="1"/>
  <c r="BE230" i="60819"/>
  <c r="V58" i="60818" s="1"/>
  <c r="BF230" i="60819"/>
  <c r="W58" i="60818" s="1"/>
  <c r="BG230" i="60819"/>
  <c r="X58" i="60818" s="1"/>
  <c r="BH230" i="60819"/>
  <c r="Y58" i="60818" s="1"/>
  <c r="BI230" i="60819"/>
  <c r="Z58" i="60818" s="1"/>
  <c r="BJ230" i="60819"/>
  <c r="AA58" i="60818" s="1"/>
  <c r="BK230" i="60819"/>
  <c r="AB58" i="60818" s="1"/>
  <c r="BL230" i="60819"/>
  <c r="AC58" i="60818" s="1"/>
  <c r="BM230" i="60819"/>
  <c r="AD58" i="60818" s="1"/>
  <c r="BN230" i="60819"/>
  <c r="AE58" i="60818" s="1"/>
  <c r="BO230" i="60819"/>
  <c r="AF58" i="60818" s="1"/>
  <c r="BP230" i="60819"/>
  <c r="AG58" i="60818" s="1"/>
  <c r="DD230" i="60819"/>
  <c r="DE230"/>
  <c r="D151" i="60818" s="1"/>
  <c r="DF230" i="60819"/>
  <c r="DG230"/>
  <c r="DH230"/>
  <c r="DI230"/>
  <c r="H151" i="60818" s="1"/>
  <c r="DJ230" i="60819"/>
  <c r="DK230"/>
  <c r="DL230"/>
  <c r="DM230"/>
  <c r="L151" i="60818" s="1"/>
  <c r="DN230" i="60819"/>
  <c r="DO230"/>
  <c r="DP230"/>
  <c r="DQ230"/>
  <c r="P151" i="60818" s="1"/>
  <c r="DR230" i="60819"/>
  <c r="DS230"/>
  <c r="DT230"/>
  <c r="DU230"/>
  <c r="T151" i="60818" s="1"/>
  <c r="DV230" i="60819"/>
  <c r="DW230"/>
  <c r="DX230"/>
  <c r="DY230"/>
  <c r="X151" i="60818" s="1"/>
  <c r="DZ230" i="60819"/>
  <c r="EA230"/>
  <c r="EB230"/>
  <c r="EC230"/>
  <c r="AB151" i="60818" s="1"/>
  <c r="ED230" i="60819"/>
  <c r="EE230"/>
  <c r="EF230"/>
  <c r="EG230"/>
  <c r="AF151" i="60818" s="1"/>
  <c r="EH230" i="60819"/>
  <c r="AL231"/>
  <c r="C59" i="60818" s="1"/>
  <c r="AM231" i="60819"/>
  <c r="D59" i="60818" s="1"/>
  <c r="AN231" i="60819"/>
  <c r="E59" i="60818" s="1"/>
  <c r="AO231" i="60819"/>
  <c r="F59" i="60818" s="1"/>
  <c r="AP231" i="60819"/>
  <c r="G59" i="60818" s="1"/>
  <c r="AQ231" i="60819"/>
  <c r="H59" i="60818" s="1"/>
  <c r="AR231" i="60819"/>
  <c r="I59" i="60818" s="1"/>
  <c r="AS231" i="60819"/>
  <c r="J59" i="60818" s="1"/>
  <c r="AT231" i="60819"/>
  <c r="K59" i="60818" s="1"/>
  <c r="AU231" i="60819"/>
  <c r="L59" i="60818" s="1"/>
  <c r="AV231" i="60819"/>
  <c r="M59" i="60818" s="1"/>
  <c r="AW231" i="60819"/>
  <c r="N59" i="60818" s="1"/>
  <c r="AX231" i="60819"/>
  <c r="O59" i="60818" s="1"/>
  <c r="AY231" i="60819"/>
  <c r="P59" i="60818" s="1"/>
  <c r="AZ231" i="60819"/>
  <c r="Q59" i="60818" s="1"/>
  <c r="BA231" i="60819"/>
  <c r="R59" i="60818" s="1"/>
  <c r="BB231" i="60819"/>
  <c r="S59" i="60818" s="1"/>
  <c r="BC231" i="60819"/>
  <c r="T59" i="60818" s="1"/>
  <c r="BD231" i="60819"/>
  <c r="U59" i="60818" s="1"/>
  <c r="BE231" i="60819"/>
  <c r="V59" i="60818" s="1"/>
  <c r="BF231" i="60819"/>
  <c r="W59" i="60818" s="1"/>
  <c r="BG231" i="60819"/>
  <c r="X59" i="60818" s="1"/>
  <c r="BH231" i="60819"/>
  <c r="Y59" i="60818" s="1"/>
  <c r="BI231" i="60819"/>
  <c r="Z59" i="60818" s="1"/>
  <c r="BJ231" i="60819"/>
  <c r="AA59" i="60818" s="1"/>
  <c r="BK231" i="60819"/>
  <c r="AB59" i="60818" s="1"/>
  <c r="BL231" i="60819"/>
  <c r="AC59" i="60818" s="1"/>
  <c r="BM231" i="60819"/>
  <c r="AD59" i="60818" s="1"/>
  <c r="BN231" i="60819"/>
  <c r="AE59" i="60818" s="1"/>
  <c r="BO231" i="60819"/>
  <c r="AF59" i="60818" s="1"/>
  <c r="BP231" i="60819"/>
  <c r="AG59" i="60818" s="1"/>
  <c r="DD231" i="60819"/>
  <c r="DE231"/>
  <c r="DF231"/>
  <c r="DG231"/>
  <c r="DH231"/>
  <c r="DI231"/>
  <c r="DJ231"/>
  <c r="DK231"/>
  <c r="DL231"/>
  <c r="DM231"/>
  <c r="DN231"/>
  <c r="DO231"/>
  <c r="DP231"/>
  <c r="DQ231"/>
  <c r="DR231"/>
  <c r="DS231"/>
  <c r="DT231"/>
  <c r="DU231"/>
  <c r="DV231"/>
  <c r="DW231"/>
  <c r="DX231"/>
  <c r="DY231"/>
  <c r="DZ231"/>
  <c r="EA231"/>
  <c r="EB231"/>
  <c r="EC231"/>
  <c r="ED231"/>
  <c r="EE231"/>
  <c r="EF231"/>
  <c r="EG231"/>
  <c r="EH231"/>
  <c r="AL232"/>
  <c r="AM232"/>
  <c r="D60" i="60818" s="1"/>
  <c r="AN232" i="60819"/>
  <c r="E60" i="60818" s="1"/>
  <c r="AO232" i="60819"/>
  <c r="F60" i="60818" s="1"/>
  <c r="AP232" i="60819"/>
  <c r="G60" i="60818" s="1"/>
  <c r="AQ232" i="60819"/>
  <c r="H60" i="60818" s="1"/>
  <c r="AR232" i="60819"/>
  <c r="I60" i="60818" s="1"/>
  <c r="AS232" i="60819"/>
  <c r="J60" i="60818" s="1"/>
  <c r="AT232" i="60819"/>
  <c r="K60" i="60818" s="1"/>
  <c r="AU232" i="60819"/>
  <c r="L60" i="60818" s="1"/>
  <c r="AV232" i="60819"/>
  <c r="M60" i="60818" s="1"/>
  <c r="AW232" i="60819"/>
  <c r="N60" i="60818" s="1"/>
  <c r="AX232" i="60819"/>
  <c r="O60" i="60818" s="1"/>
  <c r="AY232" i="60819"/>
  <c r="P60" i="60818" s="1"/>
  <c r="AZ232" i="60819"/>
  <c r="Q60" i="60818" s="1"/>
  <c r="BA232" i="60819"/>
  <c r="R60" i="60818" s="1"/>
  <c r="BB232" i="60819"/>
  <c r="S60" i="60818" s="1"/>
  <c r="BC232" i="60819"/>
  <c r="T60" i="60818" s="1"/>
  <c r="BD232" i="60819"/>
  <c r="U60" i="60818" s="1"/>
  <c r="BE232" i="60819"/>
  <c r="V60" i="60818" s="1"/>
  <c r="BF232" i="60819"/>
  <c r="W60" i="60818" s="1"/>
  <c r="BG232" i="60819"/>
  <c r="X60" i="60818" s="1"/>
  <c r="BH232" i="60819"/>
  <c r="Y60" i="60818" s="1"/>
  <c r="BI232" i="60819"/>
  <c r="Z60" i="60818" s="1"/>
  <c r="BJ232" i="60819"/>
  <c r="AA60" i="60818" s="1"/>
  <c r="BK232" i="60819"/>
  <c r="AB60" i="60818" s="1"/>
  <c r="BL232" i="60819"/>
  <c r="AC60" i="60818" s="1"/>
  <c r="BM232" i="60819"/>
  <c r="AD60" i="60818" s="1"/>
  <c r="BN232" i="60819"/>
  <c r="AE60" i="60818" s="1"/>
  <c r="BO232" i="60819"/>
  <c r="AF60" i="60818" s="1"/>
  <c r="BP232" i="60819"/>
  <c r="AG60" i="60818" s="1"/>
  <c r="DD232" i="60819"/>
  <c r="DE232"/>
  <c r="DF232"/>
  <c r="E153" i="60818" s="1"/>
  <c r="DG232" i="60819"/>
  <c r="DH232"/>
  <c r="DI232"/>
  <c r="DJ232"/>
  <c r="I153" i="60818" s="1"/>
  <c r="DK232" i="60819"/>
  <c r="DL232"/>
  <c r="DM232"/>
  <c r="DN232"/>
  <c r="M153" i="60818" s="1"/>
  <c r="DO232" i="60819"/>
  <c r="DP232"/>
  <c r="DQ232"/>
  <c r="DR232"/>
  <c r="Q153" i="60818" s="1"/>
  <c r="DS232" i="60819"/>
  <c r="DT232"/>
  <c r="DU232"/>
  <c r="DV232"/>
  <c r="U153" i="60818" s="1"/>
  <c r="DW232" i="60819"/>
  <c r="DX232"/>
  <c r="DY232"/>
  <c r="DZ232"/>
  <c r="Y153" i="60818" s="1"/>
  <c r="EA232" i="60819"/>
  <c r="EB232"/>
  <c r="EC232"/>
  <c r="ED232"/>
  <c r="AC153" i="60818" s="1"/>
  <c r="EE232" i="60819"/>
  <c r="EF232"/>
  <c r="EG232"/>
  <c r="EH232"/>
  <c r="AG153" i="60818" s="1"/>
  <c r="AL233" i="60819"/>
  <c r="C61" i="60818" s="1"/>
  <c r="AM233" i="60819"/>
  <c r="D61" i="60818" s="1"/>
  <c r="AN233" i="60819"/>
  <c r="E61" i="60818" s="1"/>
  <c r="AO233" i="60819"/>
  <c r="F61" i="60818" s="1"/>
  <c r="AP233" i="60819"/>
  <c r="G61" i="60818" s="1"/>
  <c r="AQ233" i="60819"/>
  <c r="H61" i="60818" s="1"/>
  <c r="AR233" i="60819"/>
  <c r="I61" i="60818" s="1"/>
  <c r="AS233" i="60819"/>
  <c r="J61" i="60818" s="1"/>
  <c r="AT233" i="60819"/>
  <c r="K61" i="60818" s="1"/>
  <c r="AU233" i="60819"/>
  <c r="L61" i="60818" s="1"/>
  <c r="AV233" i="60819"/>
  <c r="M61" i="60818" s="1"/>
  <c r="AW233" i="60819"/>
  <c r="N61" i="60818" s="1"/>
  <c r="AX233" i="60819"/>
  <c r="O61" i="60818" s="1"/>
  <c r="AY233" i="60819"/>
  <c r="P61" i="60818" s="1"/>
  <c r="AZ233" i="60819"/>
  <c r="Q61" i="60818" s="1"/>
  <c r="BA233" i="60819"/>
  <c r="R61" i="60818" s="1"/>
  <c r="BB233" i="60819"/>
  <c r="S61" i="60818" s="1"/>
  <c r="BC233" i="60819"/>
  <c r="T61" i="60818" s="1"/>
  <c r="BD233" i="60819"/>
  <c r="U61" i="60818" s="1"/>
  <c r="BE233" i="60819"/>
  <c r="V61" i="60818" s="1"/>
  <c r="BF233" i="60819"/>
  <c r="W61" i="60818" s="1"/>
  <c r="BG233" i="60819"/>
  <c r="X61" i="60818" s="1"/>
  <c r="BH233" i="60819"/>
  <c r="Y61" i="60818" s="1"/>
  <c r="BI233" i="60819"/>
  <c r="Z61" i="60818" s="1"/>
  <c r="BJ233" i="60819"/>
  <c r="AA61" i="60818" s="1"/>
  <c r="BK233" i="60819"/>
  <c r="AB61" i="60818" s="1"/>
  <c r="BL233" i="60819"/>
  <c r="AC61" i="60818" s="1"/>
  <c r="BM233" i="60819"/>
  <c r="AD61" i="60818" s="1"/>
  <c r="BN233" i="60819"/>
  <c r="AE61" i="60818" s="1"/>
  <c r="BO233" i="60819"/>
  <c r="AF61" i="60818" s="1"/>
  <c r="BP233" i="60819"/>
  <c r="DD233"/>
  <c r="C154" i="60818" s="1"/>
  <c r="DE233" i="60819"/>
  <c r="DF233"/>
  <c r="DG233"/>
  <c r="F154" i="60818" s="1"/>
  <c r="DH233" i="60819"/>
  <c r="G154" i="60818" s="1"/>
  <c r="DI233" i="60819"/>
  <c r="DJ233"/>
  <c r="DK233"/>
  <c r="J154" i="60818" s="1"/>
  <c r="DL233" i="60819"/>
  <c r="K154" i="60818" s="1"/>
  <c r="DM233" i="60819"/>
  <c r="DN233"/>
  <c r="DO233"/>
  <c r="N154" i="60818" s="1"/>
  <c r="DP233" i="60819"/>
  <c r="O154" i="60818" s="1"/>
  <c r="DQ233" i="60819"/>
  <c r="DR233"/>
  <c r="DS233"/>
  <c r="R154" i="60818" s="1"/>
  <c r="DT233" i="60819"/>
  <c r="S154" i="60818" s="1"/>
  <c r="DU233" i="60819"/>
  <c r="DV233"/>
  <c r="DW233"/>
  <c r="V154" i="60818" s="1"/>
  <c r="DX233" i="60819"/>
  <c r="W154" i="60818" s="1"/>
  <c r="DY233" i="60819"/>
  <c r="DZ233"/>
  <c r="EA233"/>
  <c r="Z154" i="60818" s="1"/>
  <c r="EB233" i="60819"/>
  <c r="AA154" i="60818" s="1"/>
  <c r="EC233" i="60819"/>
  <c r="ED233"/>
  <c r="EE233"/>
  <c r="AD154" i="60818" s="1"/>
  <c r="EF233" i="60819"/>
  <c r="AE154" i="60818" s="1"/>
  <c r="EG233" i="60819"/>
  <c r="EH233"/>
  <c r="AL234"/>
  <c r="AM234"/>
  <c r="AN234"/>
  <c r="E62" i="60818" s="1"/>
  <c r="AO234" i="60819"/>
  <c r="F62" i="60818" s="1"/>
  <c r="AP234" i="60819"/>
  <c r="AQ234"/>
  <c r="AR234"/>
  <c r="I62" i="60818" s="1"/>
  <c r="AS234" i="60819"/>
  <c r="J62" i="60818" s="1"/>
  <c r="AT234" i="60819"/>
  <c r="AU234"/>
  <c r="AV234"/>
  <c r="M62" i="60818" s="1"/>
  <c r="AW234" i="60819"/>
  <c r="N62" i="60818" s="1"/>
  <c r="AX234" i="60819"/>
  <c r="AY234"/>
  <c r="AZ234"/>
  <c r="Q62" i="60818" s="1"/>
  <c r="BA234" i="60819"/>
  <c r="R62" i="60818" s="1"/>
  <c r="BB234" i="60819"/>
  <c r="BC234"/>
  <c r="BD234"/>
  <c r="U62" i="60818" s="1"/>
  <c r="BE234" i="60819"/>
  <c r="V62" i="60818" s="1"/>
  <c r="BF234" i="60819"/>
  <c r="BG234"/>
  <c r="BH234"/>
  <c r="Y62" i="60818" s="1"/>
  <c r="BI234" i="60819"/>
  <c r="Z62" i="60818" s="1"/>
  <c r="BJ234" i="60819"/>
  <c r="BK234"/>
  <c r="BL234"/>
  <c r="AC62" i="60818" s="1"/>
  <c r="BM234" i="60819"/>
  <c r="AD62" i="60818" s="1"/>
  <c r="BN234" i="60819"/>
  <c r="BO234"/>
  <c r="BP234"/>
  <c r="AG62" i="60818" s="1"/>
  <c r="DD234" i="60819"/>
  <c r="DE234"/>
  <c r="D155" i="60818" s="1"/>
  <c r="DF234" i="60819"/>
  <c r="DG234"/>
  <c r="DH234"/>
  <c r="DI234"/>
  <c r="H155" i="60818" s="1"/>
  <c r="DJ234" i="60819"/>
  <c r="DK234"/>
  <c r="DL234"/>
  <c r="DM234"/>
  <c r="L155" i="60818" s="1"/>
  <c r="DN234" i="60819"/>
  <c r="DO234"/>
  <c r="DP234"/>
  <c r="DQ234"/>
  <c r="P155" i="60818" s="1"/>
  <c r="DR234" i="60819"/>
  <c r="DS234"/>
  <c r="DT234"/>
  <c r="DU234"/>
  <c r="T155" i="60818" s="1"/>
  <c r="DV234" i="60819"/>
  <c r="DW234"/>
  <c r="DX234"/>
  <c r="DY234"/>
  <c r="X155" i="60818" s="1"/>
  <c r="DZ234" i="60819"/>
  <c r="EA234"/>
  <c r="EB234"/>
  <c r="EC234"/>
  <c r="AB155" i="60818" s="1"/>
  <c r="ED234" i="60819"/>
  <c r="EE234"/>
  <c r="EF234"/>
  <c r="EG234"/>
  <c r="AF155" i="60818" s="1"/>
  <c r="EH234" i="60819"/>
  <c r="AL235"/>
  <c r="C63" i="60818" s="1"/>
  <c r="AM235" i="60819"/>
  <c r="D63" i="60818" s="1"/>
  <c r="AN235" i="60819"/>
  <c r="E63" i="60818" s="1"/>
  <c r="AO235" i="60819"/>
  <c r="F63" i="60818" s="1"/>
  <c r="AP235" i="60819"/>
  <c r="G63" i="60818" s="1"/>
  <c r="AQ235" i="60819"/>
  <c r="H63" i="60818" s="1"/>
  <c r="AR235" i="60819"/>
  <c r="I63" i="60818" s="1"/>
  <c r="AS235" i="60819"/>
  <c r="J63" i="60818" s="1"/>
  <c r="AT235" i="60819"/>
  <c r="K63" i="60818" s="1"/>
  <c r="AU235" i="60819"/>
  <c r="L63" i="60818" s="1"/>
  <c r="AV235" i="60819"/>
  <c r="M63" i="60818" s="1"/>
  <c r="AW235" i="60819"/>
  <c r="N63" i="60818" s="1"/>
  <c r="AX235" i="60819"/>
  <c r="O63" i="60818" s="1"/>
  <c r="AY235" i="60819"/>
  <c r="P63" i="60818" s="1"/>
  <c r="AZ235" i="60819"/>
  <c r="Q63" i="60818" s="1"/>
  <c r="BA235" i="60819"/>
  <c r="R63" i="60818" s="1"/>
  <c r="BB235" i="60819"/>
  <c r="S63" i="60818" s="1"/>
  <c r="BC235" i="60819"/>
  <c r="T63" i="60818" s="1"/>
  <c r="BD235" i="60819"/>
  <c r="U63" i="60818" s="1"/>
  <c r="BE235" i="60819"/>
  <c r="V63" i="60818" s="1"/>
  <c r="BF235" i="60819"/>
  <c r="W63" i="60818" s="1"/>
  <c r="BG235" i="60819"/>
  <c r="X63" i="60818" s="1"/>
  <c r="BH235" i="60819"/>
  <c r="Y63" i="60818" s="1"/>
  <c r="BI235" i="60819"/>
  <c r="Z63" i="60818" s="1"/>
  <c r="BJ235" i="60819"/>
  <c r="AA63" i="60818" s="1"/>
  <c r="BK235" i="60819"/>
  <c r="AB63" i="60818" s="1"/>
  <c r="BL235" i="60819"/>
  <c r="AC63" i="60818" s="1"/>
  <c r="BM235" i="60819"/>
  <c r="AD63" i="60818" s="1"/>
  <c r="BN235" i="60819"/>
  <c r="AE63" i="60818" s="1"/>
  <c r="BO235" i="60819"/>
  <c r="AF63" i="60818" s="1"/>
  <c r="BP235" i="60819"/>
  <c r="DD235"/>
  <c r="DE235"/>
  <c r="DF235"/>
  <c r="DG235"/>
  <c r="DH235"/>
  <c r="DI235"/>
  <c r="DJ235"/>
  <c r="DK235"/>
  <c r="DL235"/>
  <c r="DM235"/>
  <c r="DN235"/>
  <c r="DO235"/>
  <c r="DP235"/>
  <c r="DQ235"/>
  <c r="DR235"/>
  <c r="DS235"/>
  <c r="DT235"/>
  <c r="DU235"/>
  <c r="DV235"/>
  <c r="DW235"/>
  <c r="DX235"/>
  <c r="DY235"/>
  <c r="DZ235"/>
  <c r="EA235"/>
  <c r="EB235"/>
  <c r="EC235"/>
  <c r="ED235"/>
  <c r="EE235"/>
  <c r="EF235"/>
  <c r="EG235"/>
  <c r="EH235"/>
  <c r="AL236"/>
  <c r="AM236"/>
  <c r="D64" i="60818" s="1"/>
  <c r="AN236" i="60819"/>
  <c r="E64" i="60818" s="1"/>
  <c r="AO236" i="60819"/>
  <c r="F64" i="60818" s="1"/>
  <c r="AP236" i="60819"/>
  <c r="G64" i="60818" s="1"/>
  <c r="AQ236" i="60819"/>
  <c r="H64" i="60818" s="1"/>
  <c r="AR236" i="60819"/>
  <c r="I64" i="60818" s="1"/>
  <c r="AS236" i="60819"/>
  <c r="J64" i="60818" s="1"/>
  <c r="AT236" i="60819"/>
  <c r="K64" i="60818" s="1"/>
  <c r="AU236" i="60819"/>
  <c r="L64" i="60818" s="1"/>
  <c r="AV236" i="60819"/>
  <c r="M64" i="60818" s="1"/>
  <c r="AW236" i="60819"/>
  <c r="N64" i="60818" s="1"/>
  <c r="AX236" i="60819"/>
  <c r="O64" i="60818" s="1"/>
  <c r="AY236" i="60819"/>
  <c r="P64" i="60818" s="1"/>
  <c r="AZ236" i="60819"/>
  <c r="Q64" i="60818" s="1"/>
  <c r="BA236" i="60819"/>
  <c r="R64" i="60818" s="1"/>
  <c r="BB236" i="60819"/>
  <c r="S64" i="60818" s="1"/>
  <c r="BC236" i="60819"/>
  <c r="T64" i="60818" s="1"/>
  <c r="BD236" i="60819"/>
  <c r="U64" i="60818" s="1"/>
  <c r="BE236" i="60819"/>
  <c r="V64" i="60818" s="1"/>
  <c r="BF236" i="60819"/>
  <c r="W64" i="60818" s="1"/>
  <c r="BG236" i="60819"/>
  <c r="X64" i="60818" s="1"/>
  <c r="BH236" i="60819"/>
  <c r="Y64" i="60818" s="1"/>
  <c r="BI236" i="60819"/>
  <c r="Z64" i="60818" s="1"/>
  <c r="BJ236" i="60819"/>
  <c r="AA64" i="60818" s="1"/>
  <c r="BK236" i="60819"/>
  <c r="AB64" i="60818" s="1"/>
  <c r="BL236" i="60819"/>
  <c r="AC64" i="60818" s="1"/>
  <c r="BM236" i="60819"/>
  <c r="AD64" i="60818" s="1"/>
  <c r="BN236" i="60819"/>
  <c r="AE64" i="60818" s="1"/>
  <c r="BO236" i="60819"/>
  <c r="AF64" i="60818" s="1"/>
  <c r="BP236" i="60819"/>
  <c r="AG64" i="60818" s="1"/>
  <c r="DD236" i="60819"/>
  <c r="DE236"/>
  <c r="DF236"/>
  <c r="E157" i="60818" s="1"/>
  <c r="DG236" i="60819"/>
  <c r="DH236"/>
  <c r="DI236"/>
  <c r="DJ236"/>
  <c r="I157" i="60818" s="1"/>
  <c r="DK236" i="60819"/>
  <c r="DL236"/>
  <c r="DM236"/>
  <c r="DN236"/>
  <c r="M157" i="60818" s="1"/>
  <c r="DO236" i="60819"/>
  <c r="DP236"/>
  <c r="DQ236"/>
  <c r="DR236"/>
  <c r="Q157" i="60818" s="1"/>
  <c r="DS236" i="60819"/>
  <c r="DT236"/>
  <c r="DU236"/>
  <c r="DV236"/>
  <c r="U157" i="60818" s="1"/>
  <c r="DW236" i="60819"/>
  <c r="DX236"/>
  <c r="DY236"/>
  <c r="DZ236"/>
  <c r="Y157" i="60818" s="1"/>
  <c r="EA236" i="60819"/>
  <c r="EB236"/>
  <c r="EC236"/>
  <c r="ED236"/>
  <c r="AC157" i="60818" s="1"/>
  <c r="EE236" i="60819"/>
  <c r="EF236"/>
  <c r="EG236"/>
  <c r="EH236"/>
  <c r="AG157" i="60818" s="1"/>
  <c r="AL237" i="60819"/>
  <c r="C65" i="60818" s="1"/>
  <c r="AM237" i="60819"/>
  <c r="D65" i="60818" s="1"/>
  <c r="AN237" i="60819"/>
  <c r="E65" i="60818" s="1"/>
  <c r="AO237" i="60819"/>
  <c r="F65" i="60818" s="1"/>
  <c r="AP237" i="60819"/>
  <c r="G65" i="60818" s="1"/>
  <c r="AQ237" i="60819"/>
  <c r="H65" i="60818" s="1"/>
  <c r="AR237" i="60819"/>
  <c r="I65" i="60818" s="1"/>
  <c r="AS237" i="60819"/>
  <c r="J65" i="60818" s="1"/>
  <c r="AT237" i="60819"/>
  <c r="K65" i="60818" s="1"/>
  <c r="AU237" i="60819"/>
  <c r="L65" i="60818" s="1"/>
  <c r="AV237" i="60819"/>
  <c r="M65" i="60818" s="1"/>
  <c r="AW237" i="60819"/>
  <c r="N65" i="60818" s="1"/>
  <c r="AX237" i="60819"/>
  <c r="O65" i="60818" s="1"/>
  <c r="AY237" i="60819"/>
  <c r="P65" i="60818" s="1"/>
  <c r="AZ237" i="60819"/>
  <c r="Q65" i="60818" s="1"/>
  <c r="BA237" i="60819"/>
  <c r="R65" i="60818" s="1"/>
  <c r="BB237" i="60819"/>
  <c r="S65" i="60818" s="1"/>
  <c r="BC237" i="60819"/>
  <c r="T65" i="60818" s="1"/>
  <c r="BD237" i="60819"/>
  <c r="U65" i="60818" s="1"/>
  <c r="BE237" i="60819"/>
  <c r="V65" i="60818" s="1"/>
  <c r="BF237" i="60819"/>
  <c r="W65" i="60818" s="1"/>
  <c r="BG237" i="60819"/>
  <c r="X65" i="60818" s="1"/>
  <c r="BH237" i="60819"/>
  <c r="Y65" i="60818" s="1"/>
  <c r="BI237" i="60819"/>
  <c r="Z65" i="60818" s="1"/>
  <c r="BJ237" i="60819"/>
  <c r="AA65" i="60818" s="1"/>
  <c r="BK237" i="60819"/>
  <c r="AB65" i="60818" s="1"/>
  <c r="BL237" i="60819"/>
  <c r="AC65" i="60818" s="1"/>
  <c r="BM237" i="60819"/>
  <c r="AD65" i="60818" s="1"/>
  <c r="BN237" i="60819"/>
  <c r="AE65" i="60818" s="1"/>
  <c r="BO237" i="60819"/>
  <c r="AF65" i="60818" s="1"/>
  <c r="BP237" i="60819"/>
  <c r="DD237"/>
  <c r="C158" i="60818" s="1"/>
  <c r="DE237" i="60819"/>
  <c r="DF237"/>
  <c r="DG237"/>
  <c r="F158" i="60818" s="1"/>
  <c r="DH237" i="60819"/>
  <c r="G158" i="60818" s="1"/>
  <c r="DI237" i="60819"/>
  <c r="DJ237"/>
  <c r="DK237"/>
  <c r="J158" i="60818" s="1"/>
  <c r="DL237" i="60819"/>
  <c r="K158" i="60818" s="1"/>
  <c r="DM237" i="60819"/>
  <c r="DN237"/>
  <c r="DO237"/>
  <c r="N158" i="60818" s="1"/>
  <c r="DP237" i="60819"/>
  <c r="O158" i="60818" s="1"/>
  <c r="DQ237" i="60819"/>
  <c r="DR237"/>
  <c r="DS237"/>
  <c r="R158" i="60818" s="1"/>
  <c r="DT237" i="60819"/>
  <c r="S158" i="60818" s="1"/>
  <c r="DU237" i="60819"/>
  <c r="DV237"/>
  <c r="DW237"/>
  <c r="V158" i="60818" s="1"/>
  <c r="DX237" i="60819"/>
  <c r="W158" i="60818" s="1"/>
  <c r="DY237" i="60819"/>
  <c r="DZ237"/>
  <c r="EA237"/>
  <c r="Z158" i="60818" s="1"/>
  <c r="EB237" i="60819"/>
  <c r="AA158" i="60818" s="1"/>
  <c r="EC237" i="60819"/>
  <c r="ED237"/>
  <c r="EE237"/>
  <c r="AD158" i="60818" s="1"/>
  <c r="EF237" i="60819"/>
  <c r="AE158" i="60818" s="1"/>
  <c r="EG237" i="60819"/>
  <c r="EH237"/>
  <c r="AL238"/>
  <c r="AM238"/>
  <c r="D66" i="60818" s="1"/>
  <c r="AN238" i="60819"/>
  <c r="E66" i="60818" s="1"/>
  <c r="AO238" i="60819"/>
  <c r="F66" i="60818" s="1"/>
  <c r="AP238" i="60819"/>
  <c r="G66" i="60818" s="1"/>
  <c r="AQ238" i="60819"/>
  <c r="H66" i="60818" s="1"/>
  <c r="AR238" i="60819"/>
  <c r="I66" i="60818" s="1"/>
  <c r="AS238" i="60819"/>
  <c r="J66" i="60818" s="1"/>
  <c r="AT238" i="60819"/>
  <c r="K66" i="60818" s="1"/>
  <c r="AU238" i="60819"/>
  <c r="L66" i="60818" s="1"/>
  <c r="AV238" i="60819"/>
  <c r="M66" i="60818" s="1"/>
  <c r="AW238" i="60819"/>
  <c r="N66" i="60818" s="1"/>
  <c r="AX238" i="60819"/>
  <c r="O66" i="60818" s="1"/>
  <c r="AY238" i="60819"/>
  <c r="P66" i="60818" s="1"/>
  <c r="AZ238" i="60819"/>
  <c r="Q66" i="60818" s="1"/>
  <c r="BA238" i="60819"/>
  <c r="R66" i="60818" s="1"/>
  <c r="BB238" i="60819"/>
  <c r="S66" i="60818" s="1"/>
  <c r="BC238" i="60819"/>
  <c r="T66" i="60818" s="1"/>
  <c r="BD238" i="60819"/>
  <c r="U66" i="60818" s="1"/>
  <c r="BE238" i="60819"/>
  <c r="V66" i="60818" s="1"/>
  <c r="BF238" i="60819"/>
  <c r="W66" i="60818" s="1"/>
  <c r="BG238" i="60819"/>
  <c r="X66" i="60818" s="1"/>
  <c r="BH238" i="60819"/>
  <c r="Y66" i="60818" s="1"/>
  <c r="BI238" i="60819"/>
  <c r="Z66" i="60818" s="1"/>
  <c r="BJ238" i="60819"/>
  <c r="AA66" i="60818" s="1"/>
  <c r="BK238" i="60819"/>
  <c r="AB66" i="60818" s="1"/>
  <c r="BL238" i="60819"/>
  <c r="AC66" i="60818" s="1"/>
  <c r="BM238" i="60819"/>
  <c r="AD66" i="60818" s="1"/>
  <c r="BN238" i="60819"/>
  <c r="AE66" i="60818" s="1"/>
  <c r="BO238" i="60819"/>
  <c r="AF66" i="60818" s="1"/>
  <c r="BP238" i="60819"/>
  <c r="AG66" i="60818" s="1"/>
  <c r="DD238" i="60819"/>
  <c r="DE238"/>
  <c r="D159" i="60818" s="1"/>
  <c r="DF238" i="60819"/>
  <c r="DG238"/>
  <c r="DH238"/>
  <c r="DI238"/>
  <c r="H159" i="60818" s="1"/>
  <c r="DJ238" i="60819"/>
  <c r="DK238"/>
  <c r="DL238"/>
  <c r="DM238"/>
  <c r="L159" i="60818" s="1"/>
  <c r="DN238" i="60819"/>
  <c r="DO238"/>
  <c r="DP238"/>
  <c r="DQ238"/>
  <c r="P159" i="60818" s="1"/>
  <c r="DR238" i="60819"/>
  <c r="DS238"/>
  <c r="DT238"/>
  <c r="DU238"/>
  <c r="T159" i="60818" s="1"/>
  <c r="DV238" i="60819"/>
  <c r="DW238"/>
  <c r="DX238"/>
  <c r="DY238"/>
  <c r="X159" i="60818" s="1"/>
  <c r="DZ238" i="60819"/>
  <c r="EA238"/>
  <c r="EB238"/>
  <c r="EC238"/>
  <c r="AB159" i="60818" s="1"/>
  <c r="ED238" i="60819"/>
  <c r="EE238"/>
  <c r="EF238"/>
  <c r="EG238"/>
  <c r="AF159" i="60818" s="1"/>
  <c r="EH238" i="60819"/>
  <c r="AL239"/>
  <c r="C67" i="60818" s="1"/>
  <c r="AM239" i="60819"/>
  <c r="D67" i="60818" s="1"/>
  <c r="AN239" i="60819"/>
  <c r="E67" i="60818" s="1"/>
  <c r="AO239" i="60819"/>
  <c r="F67" i="60818" s="1"/>
  <c r="AP239" i="60819"/>
  <c r="G67" i="60818" s="1"/>
  <c r="AQ239" i="60819"/>
  <c r="H67" i="60818" s="1"/>
  <c r="AR239" i="60819"/>
  <c r="I67" i="60818" s="1"/>
  <c r="AS239" i="60819"/>
  <c r="J67" i="60818" s="1"/>
  <c r="AT239" i="60819"/>
  <c r="K67" i="60818" s="1"/>
  <c r="AU239" i="60819"/>
  <c r="L67" i="60818" s="1"/>
  <c r="AV239" i="60819"/>
  <c r="M67" i="60818" s="1"/>
  <c r="AW239" i="60819"/>
  <c r="N67" i="60818" s="1"/>
  <c r="AX239" i="60819"/>
  <c r="O67" i="60818" s="1"/>
  <c r="AY239" i="60819"/>
  <c r="P67" i="60818" s="1"/>
  <c r="AZ239" i="60819"/>
  <c r="Q67" i="60818" s="1"/>
  <c r="BA239" i="60819"/>
  <c r="R67" i="60818" s="1"/>
  <c r="BB239" i="60819"/>
  <c r="S67" i="60818" s="1"/>
  <c r="BC239" i="60819"/>
  <c r="T67" i="60818" s="1"/>
  <c r="BD239" i="60819"/>
  <c r="U67" i="60818" s="1"/>
  <c r="BE239" i="60819"/>
  <c r="V67" i="60818" s="1"/>
  <c r="BF239" i="60819"/>
  <c r="W67" i="60818" s="1"/>
  <c r="BG239" i="60819"/>
  <c r="X67" i="60818" s="1"/>
  <c r="BH239" i="60819"/>
  <c r="Y67" i="60818" s="1"/>
  <c r="BI239" i="60819"/>
  <c r="Z67" i="60818" s="1"/>
  <c r="BJ239" i="60819"/>
  <c r="AA67" i="60818" s="1"/>
  <c r="BK239" i="60819"/>
  <c r="AB67" i="60818" s="1"/>
  <c r="BL239" i="60819"/>
  <c r="AC67" i="60818" s="1"/>
  <c r="BM239" i="60819"/>
  <c r="AD67" i="60818" s="1"/>
  <c r="BN239" i="60819"/>
  <c r="AE67" i="60818" s="1"/>
  <c r="BO239" i="60819"/>
  <c r="AF67" i="60818" s="1"/>
  <c r="BP239" i="60819"/>
  <c r="DD239"/>
  <c r="DE239"/>
  <c r="DF239"/>
  <c r="DG239"/>
  <c r="DH239"/>
  <c r="DI239"/>
  <c r="DJ239"/>
  <c r="DK239"/>
  <c r="DL239"/>
  <c r="DM239"/>
  <c r="DN239"/>
  <c r="DO239"/>
  <c r="DP239"/>
  <c r="DQ239"/>
  <c r="DR239"/>
  <c r="DS239"/>
  <c r="DT239"/>
  <c r="DU239"/>
  <c r="DV239"/>
  <c r="DW239"/>
  <c r="DX239"/>
  <c r="DY239"/>
  <c r="DZ239"/>
  <c r="EA239"/>
  <c r="EB239"/>
  <c r="EC239"/>
  <c r="ED239"/>
  <c r="EE239"/>
  <c r="EF239"/>
  <c r="EG239"/>
  <c r="EH239"/>
  <c r="AL240"/>
  <c r="AM240"/>
  <c r="D68" i="60818" s="1"/>
  <c r="AN240" i="60819"/>
  <c r="E68" i="60818" s="1"/>
  <c r="AO240" i="60819"/>
  <c r="F68" i="60818" s="1"/>
  <c r="AP240" i="60819"/>
  <c r="G68" i="60818" s="1"/>
  <c r="AQ240" i="60819"/>
  <c r="H68" i="60818" s="1"/>
  <c r="AR240" i="60819"/>
  <c r="I68" i="60818" s="1"/>
  <c r="AS240" i="60819"/>
  <c r="J68" i="60818" s="1"/>
  <c r="AT240" i="60819"/>
  <c r="K68" i="60818" s="1"/>
  <c r="AU240" i="60819"/>
  <c r="L68" i="60818" s="1"/>
  <c r="AV240" i="60819"/>
  <c r="M68" i="60818" s="1"/>
  <c r="AW240" i="60819"/>
  <c r="N68" i="60818" s="1"/>
  <c r="AX240" i="60819"/>
  <c r="O68" i="60818" s="1"/>
  <c r="AY240" i="60819"/>
  <c r="P68" i="60818" s="1"/>
  <c r="AZ240" i="60819"/>
  <c r="Q68" i="60818" s="1"/>
  <c r="BA240" i="60819"/>
  <c r="R68" i="60818" s="1"/>
  <c r="BB240" i="60819"/>
  <c r="S68" i="60818" s="1"/>
  <c r="BC240" i="60819"/>
  <c r="T68" i="60818" s="1"/>
  <c r="BD240" i="60819"/>
  <c r="U68" i="60818" s="1"/>
  <c r="BE240" i="60819"/>
  <c r="V68" i="60818" s="1"/>
  <c r="BF240" i="60819"/>
  <c r="W68" i="60818" s="1"/>
  <c r="BG240" i="60819"/>
  <c r="X68" i="60818" s="1"/>
  <c r="BH240" i="60819"/>
  <c r="Y68" i="60818" s="1"/>
  <c r="BI240" i="60819"/>
  <c r="Z68" i="60818" s="1"/>
  <c r="BJ240" i="60819"/>
  <c r="AA68" i="60818" s="1"/>
  <c r="BK240" i="60819"/>
  <c r="AB68" i="60818" s="1"/>
  <c r="BL240" i="60819"/>
  <c r="AC68" i="60818" s="1"/>
  <c r="BM240" i="60819"/>
  <c r="AD68" i="60818" s="1"/>
  <c r="BN240" i="60819"/>
  <c r="AE68" i="60818" s="1"/>
  <c r="BO240" i="60819"/>
  <c r="AF68" i="60818" s="1"/>
  <c r="BP240" i="60819"/>
  <c r="AG68" i="60818" s="1"/>
  <c r="DD240" i="60819"/>
  <c r="DE240"/>
  <c r="DF240"/>
  <c r="E161" i="60818" s="1"/>
  <c r="DG240" i="60819"/>
  <c r="DH240"/>
  <c r="DI240"/>
  <c r="DJ240"/>
  <c r="I161" i="60818" s="1"/>
  <c r="DK240" i="60819"/>
  <c r="DL240"/>
  <c r="DM240"/>
  <c r="DN240"/>
  <c r="M161" i="60818" s="1"/>
  <c r="DO240" i="60819"/>
  <c r="DP240"/>
  <c r="DQ240"/>
  <c r="DR240"/>
  <c r="Q161" i="60818" s="1"/>
  <c r="DS240" i="60819"/>
  <c r="DT240"/>
  <c r="DU240"/>
  <c r="DV240"/>
  <c r="U161" i="60818" s="1"/>
  <c r="DW240" i="60819"/>
  <c r="DX240"/>
  <c r="DY240"/>
  <c r="DZ240"/>
  <c r="Y161" i="60818" s="1"/>
  <c r="EA240" i="60819"/>
  <c r="EB240"/>
  <c r="EC240"/>
  <c r="ED240"/>
  <c r="AC161" i="60818" s="1"/>
  <c r="EE240" i="60819"/>
  <c r="EF240"/>
  <c r="EG240"/>
  <c r="EH240"/>
  <c r="AG161" i="60818" s="1"/>
  <c r="AL245" i="60819"/>
  <c r="C73" i="60818" s="1"/>
  <c r="AM245" i="60819"/>
  <c r="D73" i="60818" s="1"/>
  <c r="AN245" i="60819"/>
  <c r="E73" i="60818" s="1"/>
  <c r="AO245" i="60819"/>
  <c r="F73" i="60818" s="1"/>
  <c r="AP245" i="60819"/>
  <c r="G73" i="60818" s="1"/>
  <c r="AQ245" i="60819"/>
  <c r="H73" i="60818" s="1"/>
  <c r="AR245" i="60819"/>
  <c r="I73" i="60818" s="1"/>
  <c r="AS245" i="60819"/>
  <c r="J73" i="60818" s="1"/>
  <c r="AT245" i="60819"/>
  <c r="K73" i="60818" s="1"/>
  <c r="AU245" i="60819"/>
  <c r="L73" i="60818" s="1"/>
  <c r="AV245" i="60819"/>
  <c r="M73" i="60818" s="1"/>
  <c r="AW245" i="60819"/>
  <c r="N73" i="60818" s="1"/>
  <c r="AX245" i="60819"/>
  <c r="O73" i="60818" s="1"/>
  <c r="AY245" i="60819"/>
  <c r="P73" i="60818" s="1"/>
  <c r="AZ245" i="60819"/>
  <c r="Q73" i="60818" s="1"/>
  <c r="BA245" i="60819"/>
  <c r="R73" i="60818" s="1"/>
  <c r="BB245" i="60819"/>
  <c r="S73" i="60818" s="1"/>
  <c r="BC245" i="60819"/>
  <c r="T73" i="60818" s="1"/>
  <c r="BD245" i="60819"/>
  <c r="U73" i="60818" s="1"/>
  <c r="BE245" i="60819"/>
  <c r="V73" i="60818" s="1"/>
  <c r="BF245" i="60819"/>
  <c r="W73" i="60818" s="1"/>
  <c r="BG245" i="60819"/>
  <c r="X73" i="60818" s="1"/>
  <c r="BH245" i="60819"/>
  <c r="Y73" i="60818" s="1"/>
  <c r="BI245" i="60819"/>
  <c r="Z73" i="60818" s="1"/>
  <c r="BJ245" i="60819"/>
  <c r="AA73" i="60818" s="1"/>
  <c r="BK245" i="60819"/>
  <c r="AB73" i="60818" s="1"/>
  <c r="BL245" i="60819"/>
  <c r="AC73" i="60818" s="1"/>
  <c r="BM245" i="60819"/>
  <c r="AD73" i="60818" s="1"/>
  <c r="BN245" i="60819"/>
  <c r="AE73" i="60818" s="1"/>
  <c r="BO245" i="60819"/>
  <c r="AF73" i="60818" s="1"/>
  <c r="BP245" i="60819"/>
  <c r="AG73" i="60818" s="1"/>
  <c r="AL246" i="60819"/>
  <c r="C74" i="60818" s="1"/>
  <c r="AM246" i="60819"/>
  <c r="D74" i="60818" s="1"/>
  <c r="AN246" i="60819"/>
  <c r="E74" i="60818" s="1"/>
  <c r="AO246" i="60819"/>
  <c r="F74" i="60818" s="1"/>
  <c r="AP246" i="60819"/>
  <c r="G74" i="60818" s="1"/>
  <c r="AQ246" i="60819"/>
  <c r="H74" i="60818" s="1"/>
  <c r="AR246" i="60819"/>
  <c r="I74" i="60818" s="1"/>
  <c r="AS246" i="60819"/>
  <c r="J74" i="60818" s="1"/>
  <c r="AT246" i="60819"/>
  <c r="K74" i="60818" s="1"/>
  <c r="AU246" i="60819"/>
  <c r="L74" i="60818" s="1"/>
  <c r="AV246" i="60819"/>
  <c r="M74" i="60818" s="1"/>
  <c r="AW246" i="60819"/>
  <c r="N74" i="60818" s="1"/>
  <c r="AX246" i="60819"/>
  <c r="O74" i="60818" s="1"/>
  <c r="AY246" i="60819"/>
  <c r="P74" i="60818" s="1"/>
  <c r="AZ246" i="60819"/>
  <c r="Q74" i="60818" s="1"/>
  <c r="BA246" i="60819"/>
  <c r="R74" i="60818" s="1"/>
  <c r="BB246" i="60819"/>
  <c r="S74" i="60818" s="1"/>
  <c r="BC246" i="60819"/>
  <c r="T74" i="60818" s="1"/>
  <c r="BD246" i="60819"/>
  <c r="U74" i="60818" s="1"/>
  <c r="BE246" i="60819"/>
  <c r="V74" i="60818" s="1"/>
  <c r="BF246" i="60819"/>
  <c r="W74" i="60818" s="1"/>
  <c r="BG246" i="60819"/>
  <c r="X74" i="60818" s="1"/>
  <c r="BH246" i="60819"/>
  <c r="Y74" i="60818" s="1"/>
  <c r="BI246" i="60819"/>
  <c r="Z74" i="60818" s="1"/>
  <c r="BJ246" i="60819"/>
  <c r="AA74" i="60818" s="1"/>
  <c r="BK246" i="60819"/>
  <c r="AB74" i="60818" s="1"/>
  <c r="BL246" i="60819"/>
  <c r="AC74" i="60818" s="1"/>
  <c r="BM246" i="60819"/>
  <c r="AD74" i="60818" s="1"/>
  <c r="BN246" i="60819"/>
  <c r="AE74" i="60818" s="1"/>
  <c r="BO246" i="60819"/>
  <c r="AF74" i="60818" s="1"/>
  <c r="BP246" i="60819"/>
  <c r="AG74" i="60818" s="1"/>
  <c r="AL247" i="60819"/>
  <c r="C75" i="60818" s="1"/>
  <c r="AM247" i="60819"/>
  <c r="D75" i="60818" s="1"/>
  <c r="AN247" i="60819"/>
  <c r="E75" i="60818" s="1"/>
  <c r="AO247" i="60819"/>
  <c r="F75" i="60818" s="1"/>
  <c r="AP247" i="60819"/>
  <c r="G75" i="60818" s="1"/>
  <c r="AQ247" i="60819"/>
  <c r="H75" i="60818" s="1"/>
  <c r="AR247" i="60819"/>
  <c r="I75" i="60818" s="1"/>
  <c r="AS247" i="60819"/>
  <c r="J75" i="60818" s="1"/>
  <c r="AT247" i="60819"/>
  <c r="K75" i="60818" s="1"/>
  <c r="AU247" i="60819"/>
  <c r="L75" i="60818" s="1"/>
  <c r="AV247" i="60819"/>
  <c r="M75" i="60818" s="1"/>
  <c r="AW247" i="60819"/>
  <c r="N75" i="60818" s="1"/>
  <c r="AX247" i="60819"/>
  <c r="O75" i="60818" s="1"/>
  <c r="AY247" i="60819"/>
  <c r="P75" i="60818" s="1"/>
  <c r="AZ247" i="60819"/>
  <c r="Q75" i="60818" s="1"/>
  <c r="BA247" i="60819"/>
  <c r="R75" i="60818" s="1"/>
  <c r="BB247" i="60819"/>
  <c r="S75" i="60818" s="1"/>
  <c r="BC247" i="60819"/>
  <c r="T75" i="60818" s="1"/>
  <c r="BD247" i="60819"/>
  <c r="U75" i="60818" s="1"/>
  <c r="BE247" i="60819"/>
  <c r="V75" i="60818" s="1"/>
  <c r="BF247" i="60819"/>
  <c r="W75" i="60818" s="1"/>
  <c r="BG247" i="60819"/>
  <c r="X75" i="60818" s="1"/>
  <c r="BH247" i="60819"/>
  <c r="Y75" i="60818" s="1"/>
  <c r="BI247" i="60819"/>
  <c r="Z75" i="60818" s="1"/>
  <c r="BJ247" i="60819"/>
  <c r="AA75" i="60818" s="1"/>
  <c r="BK247" i="60819"/>
  <c r="AB75" i="60818" s="1"/>
  <c r="BL247" i="60819"/>
  <c r="AC75" i="60818" s="1"/>
  <c r="BM247" i="60819"/>
  <c r="AD75" i="60818" s="1"/>
  <c r="BN247" i="60819"/>
  <c r="AE75" i="60818" s="1"/>
  <c r="BO247" i="60819"/>
  <c r="AF75" i="60818" s="1"/>
  <c r="BP247" i="60819"/>
  <c r="AG75" i="60818" s="1"/>
  <c r="AL248" i="60819"/>
  <c r="C76" i="60818" s="1"/>
  <c r="AM248" i="60819"/>
  <c r="AN248"/>
  <c r="E76" i="60818" s="1"/>
  <c r="AO248" i="60819"/>
  <c r="F76" i="60818" s="1"/>
  <c r="AP248" i="60819"/>
  <c r="G76" i="60818" s="1"/>
  <c r="AQ248" i="60819"/>
  <c r="H76" i="60818" s="1"/>
  <c r="AR248" i="60819"/>
  <c r="I76" i="60818" s="1"/>
  <c r="AS248" i="60819"/>
  <c r="J76" i="60818" s="1"/>
  <c r="AT248" i="60819"/>
  <c r="K76" i="60818" s="1"/>
  <c r="AU248" i="60819"/>
  <c r="L76" i="60818" s="1"/>
  <c r="AV248" i="60819"/>
  <c r="M76" i="60818" s="1"/>
  <c r="AW248" i="60819"/>
  <c r="N76" i="60818" s="1"/>
  <c r="AX248" i="60819"/>
  <c r="O76" i="60818" s="1"/>
  <c r="AY248" i="60819"/>
  <c r="P76" i="60818" s="1"/>
  <c r="AZ248" i="60819"/>
  <c r="Q76" i="60818" s="1"/>
  <c r="BA248" i="60819"/>
  <c r="R76" i="60818" s="1"/>
  <c r="BB248" i="60819"/>
  <c r="S76" i="60818" s="1"/>
  <c r="BC248" i="60819"/>
  <c r="T76" i="60818" s="1"/>
  <c r="BD248" i="60819"/>
  <c r="U76" i="60818" s="1"/>
  <c r="BE248" i="60819"/>
  <c r="V76" i="60818" s="1"/>
  <c r="BF248" i="60819"/>
  <c r="W76" i="60818" s="1"/>
  <c r="BG248" i="60819"/>
  <c r="X76" i="60818" s="1"/>
  <c r="BH248" i="60819"/>
  <c r="Y76" i="60818" s="1"/>
  <c r="BI248" i="60819"/>
  <c r="Z76" i="60818" s="1"/>
  <c r="BJ248" i="60819"/>
  <c r="AA76" i="60818" s="1"/>
  <c r="BK248" i="60819"/>
  <c r="AB76" i="60818" s="1"/>
  <c r="BL248" i="60819"/>
  <c r="AC76" i="60818" s="1"/>
  <c r="BM248" i="60819"/>
  <c r="AD76" i="60818" s="1"/>
  <c r="BN248" i="60819"/>
  <c r="AE76" i="60818" s="1"/>
  <c r="BO248" i="60819"/>
  <c r="AF76" i="60818" s="1"/>
  <c r="BP248" i="60819"/>
  <c r="AG76" i="60818" s="1"/>
  <c r="AL249" i="60819"/>
  <c r="AM249"/>
  <c r="D77" i="60818" s="1"/>
  <c r="AN249" i="60819"/>
  <c r="E77" i="60818" s="1"/>
  <c r="AO249" i="60819"/>
  <c r="F77" i="60818" s="1"/>
  <c r="AP249" i="60819"/>
  <c r="G77" i="60818" s="1"/>
  <c r="AQ249" i="60819"/>
  <c r="H77" i="60818" s="1"/>
  <c r="AR249" i="60819"/>
  <c r="I77" i="60818" s="1"/>
  <c r="AS249" i="60819"/>
  <c r="J77" i="60818" s="1"/>
  <c r="AT249" i="60819"/>
  <c r="K77" i="60818" s="1"/>
  <c r="AU249" i="60819"/>
  <c r="L77" i="60818" s="1"/>
  <c r="AV249" i="60819"/>
  <c r="M77" i="60818" s="1"/>
  <c r="AW249" i="60819"/>
  <c r="N77" i="60818" s="1"/>
  <c r="AX249" i="60819"/>
  <c r="O77" i="60818" s="1"/>
  <c r="AY249" i="60819"/>
  <c r="P77" i="60818" s="1"/>
  <c r="AZ249" i="60819"/>
  <c r="Q77" i="60818" s="1"/>
  <c r="BA249" i="60819"/>
  <c r="R77" i="60818" s="1"/>
  <c r="BB249" i="60819"/>
  <c r="S77" i="60818" s="1"/>
  <c r="BC249" i="60819"/>
  <c r="T77" i="60818" s="1"/>
  <c r="BD249" i="60819"/>
  <c r="U77" i="60818" s="1"/>
  <c r="BE249" i="60819"/>
  <c r="V77" i="60818" s="1"/>
  <c r="BF249" i="60819"/>
  <c r="W77" i="60818" s="1"/>
  <c r="BG249" i="60819"/>
  <c r="X77" i="60818" s="1"/>
  <c r="BH249" i="60819"/>
  <c r="Y77" i="60818" s="1"/>
  <c r="BI249" i="60819"/>
  <c r="Z77" i="60818" s="1"/>
  <c r="BJ249" i="60819"/>
  <c r="AA77" i="60818" s="1"/>
  <c r="BK249" i="60819"/>
  <c r="AB77" i="60818" s="1"/>
  <c r="BL249" i="60819"/>
  <c r="AC77" i="60818" s="1"/>
  <c r="BM249" i="60819"/>
  <c r="AD77" i="60818" s="1"/>
  <c r="BN249" i="60819"/>
  <c r="AE77" i="60818" s="1"/>
  <c r="BO249" i="60819"/>
  <c r="AF77" i="60818" s="1"/>
  <c r="BP249" i="60819"/>
  <c r="AG77" i="60818" s="1"/>
  <c r="AL250" i="60819"/>
  <c r="C78" i="60818" s="1"/>
  <c r="AM250" i="60819"/>
  <c r="D78" i="60818" s="1"/>
  <c r="AN250" i="60819"/>
  <c r="E78" i="60818" s="1"/>
  <c r="AO250" i="60819"/>
  <c r="F78" i="60818" s="1"/>
  <c r="AP250" i="60819"/>
  <c r="G78" i="60818" s="1"/>
  <c r="AQ250" i="60819"/>
  <c r="H78" i="60818" s="1"/>
  <c r="AR250" i="60819"/>
  <c r="I78" i="60818" s="1"/>
  <c r="AS250" i="60819"/>
  <c r="J78" i="60818" s="1"/>
  <c r="AT250" i="60819"/>
  <c r="K78" i="60818" s="1"/>
  <c r="AU250" i="60819"/>
  <c r="L78" i="60818" s="1"/>
  <c r="AV250" i="60819"/>
  <c r="M78" i="60818" s="1"/>
  <c r="AW250" i="60819"/>
  <c r="N78" i="60818" s="1"/>
  <c r="AX250" i="60819"/>
  <c r="O78" i="60818" s="1"/>
  <c r="AY250" i="60819"/>
  <c r="P78" i="60818" s="1"/>
  <c r="AZ250" i="60819"/>
  <c r="Q78" i="60818" s="1"/>
  <c r="BA250" i="60819"/>
  <c r="R78" i="60818" s="1"/>
  <c r="BB250" i="60819"/>
  <c r="S78" i="60818" s="1"/>
  <c r="BC250" i="60819"/>
  <c r="T78" i="60818" s="1"/>
  <c r="BD250" i="60819"/>
  <c r="U78" i="60818" s="1"/>
  <c r="BE250" i="60819"/>
  <c r="V78" i="60818" s="1"/>
  <c r="BF250" i="60819"/>
  <c r="W78" i="60818" s="1"/>
  <c r="BG250" i="60819"/>
  <c r="X78" i="60818" s="1"/>
  <c r="BH250" i="60819"/>
  <c r="Y78" i="60818" s="1"/>
  <c r="BI250" i="60819"/>
  <c r="Z78" i="60818" s="1"/>
  <c r="BJ250" i="60819"/>
  <c r="AA78" i="60818" s="1"/>
  <c r="BK250" i="60819"/>
  <c r="AB78" i="60818" s="1"/>
  <c r="BL250" i="60819"/>
  <c r="AC78" i="60818" s="1"/>
  <c r="BM250" i="60819"/>
  <c r="AD78" i="60818" s="1"/>
  <c r="BN250" i="60819"/>
  <c r="AE78" i="60818" s="1"/>
  <c r="BO250" i="60819"/>
  <c r="AF78" i="60818" s="1"/>
  <c r="BP250" i="60819"/>
  <c r="AG78" i="60818" s="1"/>
  <c r="AL251" i="60819"/>
  <c r="C79" i="60818" s="1"/>
  <c r="AM251" i="60819"/>
  <c r="D79" i="60818" s="1"/>
  <c r="AN251" i="60819"/>
  <c r="AO251"/>
  <c r="AP251"/>
  <c r="G79" i="60818" s="1"/>
  <c r="AQ251" i="60819"/>
  <c r="H79" i="60818" s="1"/>
  <c r="AR251" i="60819"/>
  <c r="AS251"/>
  <c r="AT251"/>
  <c r="K79" i="60818" s="1"/>
  <c r="AU251" i="60819"/>
  <c r="L79" i="60818" s="1"/>
  <c r="AV251" i="60819"/>
  <c r="AW251"/>
  <c r="AX251"/>
  <c r="O79" i="60818" s="1"/>
  <c r="AY251" i="60819"/>
  <c r="P79" i="60818" s="1"/>
  <c r="AZ251" i="60819"/>
  <c r="BA251"/>
  <c r="BB251"/>
  <c r="S79" i="60818" s="1"/>
  <c r="BC251" i="60819"/>
  <c r="T79" i="60818" s="1"/>
  <c r="BD251" i="60819"/>
  <c r="BE251"/>
  <c r="BF251"/>
  <c r="W79" i="60818" s="1"/>
  <c r="BG251" i="60819"/>
  <c r="X79" i="60818" s="1"/>
  <c r="BH251" i="60819"/>
  <c r="BI251"/>
  <c r="BJ251"/>
  <c r="AA79" i="60818" s="1"/>
  <c r="BK251" i="60819"/>
  <c r="AB79" i="60818" s="1"/>
  <c r="BL251" i="60819"/>
  <c r="BM251"/>
  <c r="BN251"/>
  <c r="AE79" i="60818" s="1"/>
  <c r="BO251" i="60819"/>
  <c r="AF79" i="60818" s="1"/>
  <c r="BP251" i="60819"/>
  <c r="AL252"/>
  <c r="C80" i="60818" s="1"/>
  <c r="AM252" i="60819"/>
  <c r="AN252"/>
  <c r="E80" i="60818" s="1"/>
  <c r="AO252" i="60819"/>
  <c r="F80" i="60818" s="1"/>
  <c r="AP252" i="60819"/>
  <c r="G80" i="60818" s="1"/>
  <c r="AQ252" i="60819"/>
  <c r="H80" i="60818" s="1"/>
  <c r="AR252" i="60819"/>
  <c r="I80" i="60818" s="1"/>
  <c r="AS252" i="60819"/>
  <c r="J80" i="60818" s="1"/>
  <c r="AT252" i="60819"/>
  <c r="K80" i="60818" s="1"/>
  <c r="AU252" i="60819"/>
  <c r="L80" i="60818" s="1"/>
  <c r="AV252" i="60819"/>
  <c r="M80" i="60818" s="1"/>
  <c r="AW252" i="60819"/>
  <c r="N80" i="60818" s="1"/>
  <c r="AX252" i="60819"/>
  <c r="O80" i="60818" s="1"/>
  <c r="AY252" i="60819"/>
  <c r="P80" i="60818" s="1"/>
  <c r="AZ252" i="60819"/>
  <c r="Q80" i="60818" s="1"/>
  <c r="BA252" i="60819"/>
  <c r="R80" i="60818" s="1"/>
  <c r="BB252" i="60819"/>
  <c r="S80" i="60818" s="1"/>
  <c r="BC252" i="60819"/>
  <c r="T80" i="60818" s="1"/>
  <c r="BD252" i="60819"/>
  <c r="U80" i="60818" s="1"/>
  <c r="BE252" i="60819"/>
  <c r="V80" i="60818" s="1"/>
  <c r="BF252" i="60819"/>
  <c r="W80" i="60818" s="1"/>
  <c r="BG252" i="60819"/>
  <c r="X80" i="60818" s="1"/>
  <c r="BH252" i="60819"/>
  <c r="Y80" i="60818" s="1"/>
  <c r="BI252" i="60819"/>
  <c r="Z80" i="60818" s="1"/>
  <c r="BJ252" i="60819"/>
  <c r="AA80" i="60818" s="1"/>
  <c r="BK252" i="60819"/>
  <c r="AB80" i="60818" s="1"/>
  <c r="BL252" i="60819"/>
  <c r="AC80" i="60818" s="1"/>
  <c r="BM252" i="60819"/>
  <c r="AD80" i="60818" s="1"/>
  <c r="BN252" i="60819"/>
  <c r="AE80" i="60818" s="1"/>
  <c r="BO252" i="60819"/>
  <c r="AF80" i="60818" s="1"/>
  <c r="BP252" i="60819"/>
  <c r="AG80" i="60818" s="1"/>
  <c r="AL253" i="60819"/>
  <c r="AM253"/>
  <c r="D81" i="60818" s="1"/>
  <c r="AN253" i="60819"/>
  <c r="E81" i="60818" s="1"/>
  <c r="AO253" i="60819"/>
  <c r="F81" i="60818" s="1"/>
  <c r="AP253" i="60819"/>
  <c r="G81" i="60818" s="1"/>
  <c r="AQ253" i="60819"/>
  <c r="H81" i="60818" s="1"/>
  <c r="AR253" i="60819"/>
  <c r="I81" i="60818" s="1"/>
  <c r="AS253" i="60819"/>
  <c r="J81" i="60818" s="1"/>
  <c r="AT253" i="60819"/>
  <c r="K81" i="60818" s="1"/>
  <c r="AU253" i="60819"/>
  <c r="L81" i="60818" s="1"/>
  <c r="AV253" i="60819"/>
  <c r="M81" i="60818" s="1"/>
  <c r="AW253" i="60819"/>
  <c r="N81" i="60818" s="1"/>
  <c r="AX253" i="60819"/>
  <c r="O81" i="60818" s="1"/>
  <c r="AY253" i="60819"/>
  <c r="P81" i="60818" s="1"/>
  <c r="AZ253" i="60819"/>
  <c r="Q81" i="60818" s="1"/>
  <c r="BA253" i="60819"/>
  <c r="R81" i="60818" s="1"/>
  <c r="BB253" i="60819"/>
  <c r="S81" i="60818" s="1"/>
  <c r="BC253" i="60819"/>
  <c r="T81" i="60818" s="1"/>
  <c r="BD253" i="60819"/>
  <c r="U81" i="60818" s="1"/>
  <c r="BE253" i="60819"/>
  <c r="V81" i="60818" s="1"/>
  <c r="BF253" i="60819"/>
  <c r="W81" i="60818" s="1"/>
  <c r="BG253" i="60819"/>
  <c r="X81" i="60818" s="1"/>
  <c r="BH253" i="60819"/>
  <c r="Y81" i="60818" s="1"/>
  <c r="BI253" i="60819"/>
  <c r="Z81" i="60818" s="1"/>
  <c r="BJ253" i="60819"/>
  <c r="AA81" i="60818" s="1"/>
  <c r="BK253" i="60819"/>
  <c r="AB81" i="60818" s="1"/>
  <c r="BL253" i="60819"/>
  <c r="AC81" i="60818" s="1"/>
  <c r="BM253" i="60819"/>
  <c r="AD81" i="60818" s="1"/>
  <c r="BN253" i="60819"/>
  <c r="AE81" i="60818" s="1"/>
  <c r="BO253" i="60819"/>
  <c r="AF81" i="60818" s="1"/>
  <c r="BP253" i="60819"/>
  <c r="AG81" i="60818" s="1"/>
  <c r="AL254" i="60819"/>
  <c r="C82" i="60818" s="1"/>
  <c r="AM254" i="60819"/>
  <c r="D82" i="60818" s="1"/>
  <c r="AN254" i="60819"/>
  <c r="E82" i="60818" s="1"/>
  <c r="AO254" i="60819"/>
  <c r="F82" i="60818" s="1"/>
  <c r="AP254" i="60819"/>
  <c r="G82" i="60818" s="1"/>
  <c r="AQ254" i="60819"/>
  <c r="H82" i="60818" s="1"/>
  <c r="AR254" i="60819"/>
  <c r="I82" i="60818" s="1"/>
  <c r="AS254" i="60819"/>
  <c r="J82" i="60818" s="1"/>
  <c r="AT254" i="60819"/>
  <c r="K82" i="60818" s="1"/>
  <c r="AU254" i="60819"/>
  <c r="L82" i="60818" s="1"/>
  <c r="AV254" i="60819"/>
  <c r="M82" i="60818" s="1"/>
  <c r="AW254" i="60819"/>
  <c r="N82" i="60818" s="1"/>
  <c r="AX254" i="60819"/>
  <c r="O82" i="60818" s="1"/>
  <c r="AY254" i="60819"/>
  <c r="P82" i="60818" s="1"/>
  <c r="AZ254" i="60819"/>
  <c r="Q82" i="60818" s="1"/>
  <c r="BA254" i="60819"/>
  <c r="R82" i="60818" s="1"/>
  <c r="BB254" i="60819"/>
  <c r="S82" i="60818" s="1"/>
  <c r="BC254" i="60819"/>
  <c r="T82" i="60818" s="1"/>
  <c r="BD254" i="60819"/>
  <c r="U82" i="60818" s="1"/>
  <c r="BE254" i="60819"/>
  <c r="V82" i="60818" s="1"/>
  <c r="BF254" i="60819"/>
  <c r="W82" i="60818" s="1"/>
  <c r="BG254" i="60819"/>
  <c r="X82" i="60818" s="1"/>
  <c r="BH254" i="60819"/>
  <c r="Y82" i="60818" s="1"/>
  <c r="BI254" i="60819"/>
  <c r="Z82" i="60818" s="1"/>
  <c r="BJ254" i="60819"/>
  <c r="AA82" i="60818" s="1"/>
  <c r="BK254" i="60819"/>
  <c r="AB82" i="60818" s="1"/>
  <c r="BL254" i="60819"/>
  <c r="AC82" i="60818" s="1"/>
  <c r="BM254" i="60819"/>
  <c r="AD82" i="60818" s="1"/>
  <c r="BN254" i="60819"/>
  <c r="BO254"/>
  <c r="AF82" i="60818" s="1"/>
  <c r="BP254" i="60819"/>
  <c r="AG82" i="60818" s="1"/>
  <c r="AL255" i="60819"/>
  <c r="C83" i="60818" s="1"/>
  <c r="AM255" i="60819"/>
  <c r="D83" i="60818" s="1"/>
  <c r="AN255" i="60819"/>
  <c r="E83" i="60818" s="1"/>
  <c r="AO255" i="60819"/>
  <c r="F83" i="60818" s="1"/>
  <c r="AP255" i="60819"/>
  <c r="G83" i="60818" s="1"/>
  <c r="AQ255" i="60819"/>
  <c r="H83" i="60818" s="1"/>
  <c r="AR255" i="60819"/>
  <c r="I83" i="60818" s="1"/>
  <c r="AS255" i="60819"/>
  <c r="J83" i="60818" s="1"/>
  <c r="AT255" i="60819"/>
  <c r="K83" i="60818" s="1"/>
  <c r="AU255" i="60819"/>
  <c r="L83" i="60818" s="1"/>
  <c r="AV255" i="60819"/>
  <c r="M83" i="60818" s="1"/>
  <c r="AW255" i="60819"/>
  <c r="N83" i="60818" s="1"/>
  <c r="AX255" i="60819"/>
  <c r="O83" i="60818" s="1"/>
  <c r="AY255" i="60819"/>
  <c r="P83" i="60818" s="1"/>
  <c r="AZ255" i="60819"/>
  <c r="Q83" i="60818" s="1"/>
  <c r="BA255" i="60819"/>
  <c r="R83" i="60818" s="1"/>
  <c r="BB255" i="60819"/>
  <c r="S83" i="60818" s="1"/>
  <c r="BC255" i="60819"/>
  <c r="T83" i="60818" s="1"/>
  <c r="BD255" i="60819"/>
  <c r="U83" i="60818" s="1"/>
  <c r="BE255" i="60819"/>
  <c r="V83" i="60818" s="1"/>
  <c r="BF255" i="60819"/>
  <c r="W83" i="60818" s="1"/>
  <c r="BG255" i="60819"/>
  <c r="X83" i="60818" s="1"/>
  <c r="BH255" i="60819"/>
  <c r="Y83" i="60818" s="1"/>
  <c r="BI255" i="60819"/>
  <c r="Z83" i="60818" s="1"/>
  <c r="BJ255" i="60819"/>
  <c r="AA83" i="60818" s="1"/>
  <c r="BK255" i="60819"/>
  <c r="AB83" i="60818" s="1"/>
  <c r="BL255" i="60819"/>
  <c r="AC83" i="60818" s="1"/>
  <c r="BM255" i="60819"/>
  <c r="AD83" i="60818" s="1"/>
  <c r="BN255" i="60819"/>
  <c r="AE83" i="60818" s="1"/>
  <c r="BO255" i="60819"/>
  <c r="AF83" i="60818" s="1"/>
  <c r="BP255" i="60819"/>
  <c r="AL256"/>
  <c r="C84" i="60818" s="1"/>
  <c r="AM256" i="60819"/>
  <c r="AN256"/>
  <c r="E84" i="60818" s="1"/>
  <c r="AO256" i="60819"/>
  <c r="F84" i="60818" s="1"/>
  <c r="AP256" i="60819"/>
  <c r="G84" i="60818" s="1"/>
  <c r="AQ256" i="60819"/>
  <c r="H84" i="60818" s="1"/>
  <c r="AR256" i="60819"/>
  <c r="I84" i="60818" s="1"/>
  <c r="AS256" i="60819"/>
  <c r="J84" i="60818" s="1"/>
  <c r="AT256" i="60819"/>
  <c r="K84" i="60818" s="1"/>
  <c r="AU256" i="60819"/>
  <c r="L84" i="60818" s="1"/>
  <c r="AV256" i="60819"/>
  <c r="M84" i="60818" s="1"/>
  <c r="AW256" i="60819"/>
  <c r="N84" i="60818" s="1"/>
  <c r="AX256" i="60819"/>
  <c r="O84" i="60818" s="1"/>
  <c r="AY256" i="60819"/>
  <c r="P84" i="60818" s="1"/>
  <c r="AZ256" i="60819"/>
  <c r="Q84" i="60818" s="1"/>
  <c r="BA256" i="60819"/>
  <c r="R84" i="60818" s="1"/>
  <c r="BB256" i="60819"/>
  <c r="S84" i="60818" s="1"/>
  <c r="BC256" i="60819"/>
  <c r="T84" i="60818" s="1"/>
  <c r="BD256" i="60819"/>
  <c r="U84" i="60818" s="1"/>
  <c r="BE256" i="60819"/>
  <c r="V84" i="60818" s="1"/>
  <c r="BF256" i="60819"/>
  <c r="W84" i="60818" s="1"/>
  <c r="BG256" i="60819"/>
  <c r="X84" i="60818" s="1"/>
  <c r="BH256" i="60819"/>
  <c r="Y84" i="60818" s="1"/>
  <c r="BI256" i="60819"/>
  <c r="Z84" i="60818" s="1"/>
  <c r="BJ256" i="60819"/>
  <c r="AA84" i="60818" s="1"/>
  <c r="BK256" i="60819"/>
  <c r="AB84" i="60818" s="1"/>
  <c r="BL256" i="60819"/>
  <c r="AC84" i="60818" s="1"/>
  <c r="BM256" i="60819"/>
  <c r="AD84" i="60818" s="1"/>
  <c r="BN256" i="60819"/>
  <c r="AE84" i="60818" s="1"/>
  <c r="BO256" i="60819"/>
  <c r="AF84" i="60818" s="1"/>
  <c r="BP256" i="60819"/>
  <c r="AG84" i="60818" s="1"/>
  <c r="AH25"/>
  <c r="B25" s="1"/>
  <c r="AH26"/>
  <c r="B26" s="1"/>
  <c r="AH27"/>
  <c r="B27" s="1"/>
  <c r="AH28"/>
  <c r="B28" s="1"/>
  <c r="AH29"/>
  <c r="B29" s="1"/>
  <c r="AH30"/>
  <c r="B30" s="1"/>
  <c r="AH31"/>
  <c r="B31" s="1"/>
  <c r="AH32"/>
  <c r="B32" s="1"/>
  <c r="AH33"/>
  <c r="B33" s="1"/>
  <c r="AH34"/>
  <c r="B34" s="1"/>
  <c r="AH35"/>
  <c r="B35" s="1"/>
  <c r="AH36"/>
  <c r="B36" s="1"/>
  <c r="C37"/>
  <c r="D37"/>
  <c r="E37"/>
  <c r="F37"/>
  <c r="G37"/>
  <c r="H37"/>
  <c r="I37"/>
  <c r="J37"/>
  <c r="K37"/>
  <c r="L37"/>
  <c r="M37"/>
  <c r="N37"/>
  <c r="O37"/>
  <c r="P37"/>
  <c r="Q37"/>
  <c r="R37"/>
  <c r="S37"/>
  <c r="T37"/>
  <c r="U37"/>
  <c r="V37"/>
  <c r="W37"/>
  <c r="X37"/>
  <c r="Y37"/>
  <c r="Z37"/>
  <c r="AA37"/>
  <c r="AB37"/>
  <c r="AC37"/>
  <c r="AD37"/>
  <c r="AE37"/>
  <c r="AF37"/>
  <c r="AG37"/>
  <c r="I69"/>
  <c r="J69"/>
  <c r="Y69"/>
  <c r="AH98"/>
  <c r="B98" s="1"/>
  <c r="AH102"/>
  <c r="B102" s="1"/>
  <c r="C112"/>
  <c r="E112"/>
  <c r="F112"/>
  <c r="G112"/>
  <c r="I112"/>
  <c r="J112"/>
  <c r="K112"/>
  <c r="M112"/>
  <c r="N112"/>
  <c r="O112"/>
  <c r="Q112"/>
  <c r="R112"/>
  <c r="S112"/>
  <c r="U112"/>
  <c r="V112"/>
  <c r="W112"/>
  <c r="Y112"/>
  <c r="Z112"/>
  <c r="AA112"/>
  <c r="AC112"/>
  <c r="AD112"/>
  <c r="AE112"/>
  <c r="AG112"/>
  <c r="D113"/>
  <c r="E113"/>
  <c r="H113"/>
  <c r="I113"/>
  <c r="L113"/>
  <c r="M113"/>
  <c r="P113"/>
  <c r="Q113"/>
  <c r="T113"/>
  <c r="U113"/>
  <c r="X113"/>
  <c r="Y113"/>
  <c r="AB113"/>
  <c r="AC113"/>
  <c r="AF113"/>
  <c r="AG113"/>
  <c r="C114"/>
  <c r="F114"/>
  <c r="G114"/>
  <c r="J114"/>
  <c r="K114"/>
  <c r="N114"/>
  <c r="O114"/>
  <c r="R114"/>
  <c r="S114"/>
  <c r="V114"/>
  <c r="W114"/>
  <c r="Z114"/>
  <c r="AA114"/>
  <c r="AD114"/>
  <c r="AE114"/>
  <c r="C115"/>
  <c r="D115"/>
  <c r="E115"/>
  <c r="G115"/>
  <c r="H115"/>
  <c r="I115"/>
  <c r="K115"/>
  <c r="L115"/>
  <c r="M115"/>
  <c r="O115"/>
  <c r="P115"/>
  <c r="Q115"/>
  <c r="S115"/>
  <c r="T115"/>
  <c r="U115"/>
  <c r="W115"/>
  <c r="X115"/>
  <c r="Y115"/>
  <c r="AA115"/>
  <c r="AB115"/>
  <c r="AC115"/>
  <c r="AE115"/>
  <c r="AF115"/>
  <c r="AG115"/>
  <c r="C116"/>
  <c r="D116"/>
  <c r="E116"/>
  <c r="F116"/>
  <c r="G116"/>
  <c r="H116"/>
  <c r="I116"/>
  <c r="J116"/>
  <c r="K116"/>
  <c r="L116"/>
  <c r="M116"/>
  <c r="N116"/>
  <c r="O116"/>
  <c r="P116"/>
  <c r="Q116"/>
  <c r="R116"/>
  <c r="S116"/>
  <c r="T116"/>
  <c r="U116"/>
  <c r="V116"/>
  <c r="W116"/>
  <c r="X116"/>
  <c r="Y116"/>
  <c r="Z116"/>
  <c r="AA116"/>
  <c r="AB116"/>
  <c r="AC116"/>
  <c r="AD116"/>
  <c r="AE116"/>
  <c r="AF116"/>
  <c r="AG116"/>
  <c r="D117"/>
  <c r="E117"/>
  <c r="H117"/>
  <c r="I117"/>
  <c r="L117"/>
  <c r="M117"/>
  <c r="P117"/>
  <c r="Q117"/>
  <c r="T117"/>
  <c r="U117"/>
  <c r="X117"/>
  <c r="Y117"/>
  <c r="AB117"/>
  <c r="AC117"/>
  <c r="AF117"/>
  <c r="AG117"/>
  <c r="C118"/>
  <c r="F118"/>
  <c r="G118"/>
  <c r="J118"/>
  <c r="K118"/>
  <c r="N118"/>
  <c r="O118"/>
  <c r="R118"/>
  <c r="S118"/>
  <c r="V118"/>
  <c r="W118"/>
  <c r="Z118"/>
  <c r="AA118"/>
  <c r="AD118"/>
  <c r="AE118"/>
  <c r="C119"/>
  <c r="D119"/>
  <c r="E119"/>
  <c r="G119"/>
  <c r="H119"/>
  <c r="I119"/>
  <c r="K119"/>
  <c r="L119"/>
  <c r="M119"/>
  <c r="O119"/>
  <c r="P119"/>
  <c r="Q119"/>
  <c r="S119"/>
  <c r="T119"/>
  <c r="U119"/>
  <c r="W119"/>
  <c r="X119"/>
  <c r="Y119"/>
  <c r="AA119"/>
  <c r="AB119"/>
  <c r="AC119"/>
  <c r="AE119"/>
  <c r="AF119"/>
  <c r="AG119"/>
  <c r="C120"/>
  <c r="E120"/>
  <c r="F120"/>
  <c r="G120"/>
  <c r="I120"/>
  <c r="J120"/>
  <c r="K120"/>
  <c r="M120"/>
  <c r="N120"/>
  <c r="O120"/>
  <c r="Q120"/>
  <c r="R120"/>
  <c r="S120"/>
  <c r="U120"/>
  <c r="V120"/>
  <c r="W120"/>
  <c r="Y120"/>
  <c r="Z120"/>
  <c r="AA120"/>
  <c r="AC120"/>
  <c r="AD120"/>
  <c r="AE120"/>
  <c r="AG120"/>
  <c r="D121"/>
  <c r="E121"/>
  <c r="H121"/>
  <c r="I121"/>
  <c r="J121"/>
  <c r="L121"/>
  <c r="M121"/>
  <c r="P121"/>
  <c r="Q121"/>
  <c r="T121"/>
  <c r="U121"/>
  <c r="X121"/>
  <c r="Y121"/>
  <c r="Z121"/>
  <c r="AB121"/>
  <c r="AC121"/>
  <c r="AF121"/>
  <c r="AG121"/>
  <c r="C122"/>
  <c r="F122"/>
  <c r="G122"/>
  <c r="J122"/>
  <c r="K122"/>
  <c r="N122"/>
  <c r="O122"/>
  <c r="R122"/>
  <c r="S122"/>
  <c r="V122"/>
  <c r="W122"/>
  <c r="Z122"/>
  <c r="AA122"/>
  <c r="AD122"/>
  <c r="AE122"/>
  <c r="C123"/>
  <c r="D123"/>
  <c r="E123"/>
  <c r="G123"/>
  <c r="H123"/>
  <c r="I123"/>
  <c r="K123"/>
  <c r="L123"/>
  <c r="M123"/>
  <c r="O123"/>
  <c r="P123"/>
  <c r="Q123"/>
  <c r="S123"/>
  <c r="T123"/>
  <c r="U123"/>
  <c r="W123"/>
  <c r="X123"/>
  <c r="Y123"/>
  <c r="AA123"/>
  <c r="AB123"/>
  <c r="AC123"/>
  <c r="AE123"/>
  <c r="AF123"/>
  <c r="AG123"/>
  <c r="C131"/>
  <c r="D131"/>
  <c r="G131"/>
  <c r="H131"/>
  <c r="K131"/>
  <c r="L131"/>
  <c r="M131"/>
  <c r="O131"/>
  <c r="P131"/>
  <c r="Q131"/>
  <c r="S131"/>
  <c r="T131"/>
  <c r="W131"/>
  <c r="X131"/>
  <c r="AA131"/>
  <c r="AB131"/>
  <c r="AC131"/>
  <c r="AE131"/>
  <c r="AF131"/>
  <c r="AG131"/>
  <c r="E132"/>
  <c r="F132"/>
  <c r="I132"/>
  <c r="J132"/>
  <c r="M132"/>
  <c r="N132"/>
  <c r="Q132"/>
  <c r="R132"/>
  <c r="U132"/>
  <c r="V132"/>
  <c r="Y132"/>
  <c r="Z132"/>
  <c r="AC132"/>
  <c r="AD132"/>
  <c r="AG132"/>
  <c r="C133"/>
  <c r="D133"/>
  <c r="F133"/>
  <c r="G133"/>
  <c r="H133"/>
  <c r="J133"/>
  <c r="K133"/>
  <c r="L133"/>
  <c r="N133"/>
  <c r="O133"/>
  <c r="P133"/>
  <c r="R133"/>
  <c r="S133"/>
  <c r="T133"/>
  <c r="V133"/>
  <c r="W133"/>
  <c r="X133"/>
  <c r="Z133"/>
  <c r="AA133"/>
  <c r="AB133"/>
  <c r="AD133"/>
  <c r="AE133"/>
  <c r="AF133"/>
  <c r="D134"/>
  <c r="E134"/>
  <c r="F134"/>
  <c r="H134"/>
  <c r="I134"/>
  <c r="J134"/>
  <c r="L134"/>
  <c r="M134"/>
  <c r="N134"/>
  <c r="P134"/>
  <c r="Q134"/>
  <c r="R134"/>
  <c r="T134"/>
  <c r="U134"/>
  <c r="V134"/>
  <c r="X134"/>
  <c r="Y134"/>
  <c r="Z134"/>
  <c r="AB134"/>
  <c r="AC134"/>
  <c r="AD134"/>
  <c r="AF134"/>
  <c r="AG134"/>
  <c r="C135"/>
  <c r="D135"/>
  <c r="E135"/>
  <c r="G135"/>
  <c r="H135"/>
  <c r="K135"/>
  <c r="L135"/>
  <c r="O135"/>
  <c r="P135"/>
  <c r="Q135"/>
  <c r="S135"/>
  <c r="T135"/>
  <c r="U135"/>
  <c r="W135"/>
  <c r="X135"/>
  <c r="AA135"/>
  <c r="AB135"/>
  <c r="AE135"/>
  <c r="AF135"/>
  <c r="AG135"/>
  <c r="E136"/>
  <c r="F136"/>
  <c r="I136"/>
  <c r="J136"/>
  <c r="M136"/>
  <c r="N136"/>
  <c r="Q136"/>
  <c r="R136"/>
  <c r="U136"/>
  <c r="V136"/>
  <c r="Y136"/>
  <c r="Z136"/>
  <c r="AC136"/>
  <c r="AD136"/>
  <c r="AG136"/>
  <c r="C137"/>
  <c r="D137"/>
  <c r="F137"/>
  <c r="G137"/>
  <c r="H137"/>
  <c r="J137"/>
  <c r="K137"/>
  <c r="L137"/>
  <c r="N137"/>
  <c r="O137"/>
  <c r="P137"/>
  <c r="R137"/>
  <c r="S137"/>
  <c r="T137"/>
  <c r="V137"/>
  <c r="W137"/>
  <c r="X137"/>
  <c r="Z137"/>
  <c r="AA137"/>
  <c r="AB137"/>
  <c r="AD137"/>
  <c r="AE137"/>
  <c r="AF137"/>
  <c r="C138"/>
  <c r="D138"/>
  <c r="E138"/>
  <c r="F138"/>
  <c r="G138"/>
  <c r="H138"/>
  <c r="I138"/>
  <c r="J138"/>
  <c r="K138"/>
  <c r="L138"/>
  <c r="M138"/>
  <c r="N138"/>
  <c r="O138"/>
  <c r="P138"/>
  <c r="Q138"/>
  <c r="R138"/>
  <c r="S138"/>
  <c r="T138"/>
  <c r="U138"/>
  <c r="V138"/>
  <c r="W138"/>
  <c r="X138"/>
  <c r="Y138"/>
  <c r="Z138"/>
  <c r="AA138"/>
  <c r="AB138"/>
  <c r="AC138"/>
  <c r="AD138"/>
  <c r="AE138"/>
  <c r="AF138"/>
  <c r="AG138"/>
  <c r="C139"/>
  <c r="D139"/>
  <c r="E139"/>
  <c r="G139"/>
  <c r="H139"/>
  <c r="I139"/>
  <c r="K139"/>
  <c r="L139"/>
  <c r="O139"/>
  <c r="P139"/>
  <c r="S139"/>
  <c r="T139"/>
  <c r="U139"/>
  <c r="W139"/>
  <c r="X139"/>
  <c r="Y139"/>
  <c r="AA139"/>
  <c r="AB139"/>
  <c r="AE139"/>
  <c r="AF139"/>
  <c r="E140"/>
  <c r="F140"/>
  <c r="I140"/>
  <c r="J140"/>
  <c r="M140"/>
  <c r="N140"/>
  <c r="Q140"/>
  <c r="R140"/>
  <c r="U140"/>
  <c r="V140"/>
  <c r="Y140"/>
  <c r="Z140"/>
  <c r="AC140"/>
  <c r="AD140"/>
  <c r="AG140"/>
  <c r="C141"/>
  <c r="D141"/>
  <c r="F141"/>
  <c r="G141"/>
  <c r="H141"/>
  <c r="J141"/>
  <c r="K141"/>
  <c r="L141"/>
  <c r="N141"/>
  <c r="O141"/>
  <c r="P141"/>
  <c r="R141"/>
  <c r="S141"/>
  <c r="T141"/>
  <c r="V141"/>
  <c r="W141"/>
  <c r="X141"/>
  <c r="Z141"/>
  <c r="AA141"/>
  <c r="AB141"/>
  <c r="AD141"/>
  <c r="AE141"/>
  <c r="AF141"/>
  <c r="C142"/>
  <c r="D142"/>
  <c r="E142"/>
  <c r="F142"/>
  <c r="G142"/>
  <c r="H142"/>
  <c r="I142"/>
  <c r="J142"/>
  <c r="K142"/>
  <c r="L142"/>
  <c r="M142"/>
  <c r="N142"/>
  <c r="O142"/>
  <c r="P142"/>
  <c r="Q142"/>
  <c r="R142"/>
  <c r="S142"/>
  <c r="T142"/>
  <c r="U142"/>
  <c r="V142"/>
  <c r="W142"/>
  <c r="X142"/>
  <c r="Y142"/>
  <c r="Z142"/>
  <c r="AA142"/>
  <c r="AB142"/>
  <c r="AC142"/>
  <c r="AD142"/>
  <c r="AE142"/>
  <c r="AF142"/>
  <c r="AG142"/>
  <c r="D150"/>
  <c r="E150"/>
  <c r="H150"/>
  <c r="I150"/>
  <c r="L150"/>
  <c r="M150"/>
  <c r="P150"/>
  <c r="Q150"/>
  <c r="T150"/>
  <c r="U150"/>
  <c r="X150"/>
  <c r="Y150"/>
  <c r="AB150"/>
  <c r="AC150"/>
  <c r="AF150"/>
  <c r="AG150"/>
  <c r="C151"/>
  <c r="E151"/>
  <c r="F151"/>
  <c r="G151"/>
  <c r="I151"/>
  <c r="J151"/>
  <c r="K151"/>
  <c r="M151"/>
  <c r="N151"/>
  <c r="O151"/>
  <c r="Q151"/>
  <c r="R151"/>
  <c r="S151"/>
  <c r="U151"/>
  <c r="V151"/>
  <c r="W151"/>
  <c r="Y151"/>
  <c r="Z151"/>
  <c r="AA151"/>
  <c r="AC151"/>
  <c r="AD151"/>
  <c r="AE151"/>
  <c r="AG151"/>
  <c r="C152"/>
  <c r="D152"/>
  <c r="E152"/>
  <c r="F152"/>
  <c r="G152"/>
  <c r="H152"/>
  <c r="I152"/>
  <c r="J152"/>
  <c r="K152"/>
  <c r="L152"/>
  <c r="M152"/>
  <c r="N152"/>
  <c r="O152"/>
  <c r="P152"/>
  <c r="Q152"/>
  <c r="R152"/>
  <c r="S152"/>
  <c r="T152"/>
  <c r="U152"/>
  <c r="V152"/>
  <c r="W152"/>
  <c r="X152"/>
  <c r="Y152"/>
  <c r="Z152"/>
  <c r="AA152"/>
  <c r="AB152"/>
  <c r="AC152"/>
  <c r="AD152"/>
  <c r="AE152"/>
  <c r="AF152"/>
  <c r="AG152"/>
  <c r="C153"/>
  <c r="D153"/>
  <c r="F153"/>
  <c r="G153"/>
  <c r="H153"/>
  <c r="J153"/>
  <c r="K153"/>
  <c r="L153"/>
  <c r="N153"/>
  <c r="O153"/>
  <c r="P153"/>
  <c r="R153"/>
  <c r="S153"/>
  <c r="T153"/>
  <c r="V153"/>
  <c r="W153"/>
  <c r="X153"/>
  <c r="Z153"/>
  <c r="AA153"/>
  <c r="AB153"/>
  <c r="AD153"/>
  <c r="AE153"/>
  <c r="AF153"/>
  <c r="D154"/>
  <c r="E154"/>
  <c r="H154"/>
  <c r="I154"/>
  <c r="L154"/>
  <c r="M154"/>
  <c r="P154"/>
  <c r="Q154"/>
  <c r="T154"/>
  <c r="U154"/>
  <c r="X154"/>
  <c r="Y154"/>
  <c r="AB154"/>
  <c r="AC154"/>
  <c r="AF154"/>
  <c r="AG154"/>
  <c r="C155"/>
  <c r="E155"/>
  <c r="F155"/>
  <c r="G155"/>
  <c r="I155"/>
  <c r="J155"/>
  <c r="K155"/>
  <c r="M155"/>
  <c r="N155"/>
  <c r="O155"/>
  <c r="Q155"/>
  <c r="R155"/>
  <c r="S155"/>
  <c r="U155"/>
  <c r="V155"/>
  <c r="W155"/>
  <c r="Y155"/>
  <c r="Z155"/>
  <c r="AA155"/>
  <c r="AC155"/>
  <c r="AD155"/>
  <c r="AE155"/>
  <c r="AG155"/>
  <c r="C156"/>
  <c r="D156"/>
  <c r="E156"/>
  <c r="F156"/>
  <c r="G156"/>
  <c r="H156"/>
  <c r="I156"/>
  <c r="J156"/>
  <c r="K156"/>
  <c r="L156"/>
  <c r="M156"/>
  <c r="N156"/>
  <c r="O156"/>
  <c r="P156"/>
  <c r="Q156"/>
  <c r="R156"/>
  <c r="S156"/>
  <c r="T156"/>
  <c r="U156"/>
  <c r="V156"/>
  <c r="W156"/>
  <c r="X156"/>
  <c r="Y156"/>
  <c r="Z156"/>
  <c r="AA156"/>
  <c r="AB156"/>
  <c r="AC156"/>
  <c r="AD156"/>
  <c r="AE156"/>
  <c r="AF156"/>
  <c r="AG156"/>
  <c r="C157"/>
  <c r="D157"/>
  <c r="F157"/>
  <c r="G157"/>
  <c r="H157"/>
  <c r="J157"/>
  <c r="K157"/>
  <c r="L157"/>
  <c r="N157"/>
  <c r="O157"/>
  <c r="P157"/>
  <c r="R157"/>
  <c r="S157"/>
  <c r="T157"/>
  <c r="V157"/>
  <c r="W157"/>
  <c r="X157"/>
  <c r="Z157"/>
  <c r="AA157"/>
  <c r="AB157"/>
  <c r="AD157"/>
  <c r="AE157"/>
  <c r="AF157"/>
  <c r="D158"/>
  <c r="E158"/>
  <c r="H158"/>
  <c r="I158"/>
  <c r="L158"/>
  <c r="M158"/>
  <c r="P158"/>
  <c r="Q158"/>
  <c r="T158"/>
  <c r="U158"/>
  <c r="X158"/>
  <c r="Y158"/>
  <c r="AB158"/>
  <c r="AC158"/>
  <c r="AF158"/>
  <c r="AG158"/>
  <c r="C159"/>
  <c r="E159"/>
  <c r="F159"/>
  <c r="G159"/>
  <c r="I159"/>
  <c r="J159"/>
  <c r="K159"/>
  <c r="M159"/>
  <c r="N159"/>
  <c r="O159"/>
  <c r="Q159"/>
  <c r="R159"/>
  <c r="S159"/>
  <c r="U159"/>
  <c r="V159"/>
  <c r="W159"/>
  <c r="Y159"/>
  <c r="Z159"/>
  <c r="AA159"/>
  <c r="AC159"/>
  <c r="AD159"/>
  <c r="AE159"/>
  <c r="AG159"/>
  <c r="C160"/>
  <c r="D160"/>
  <c r="E160"/>
  <c r="F160"/>
  <c r="G160"/>
  <c r="H160"/>
  <c r="I160"/>
  <c r="J160"/>
  <c r="K160"/>
  <c r="L160"/>
  <c r="M160"/>
  <c r="N160"/>
  <c r="O160"/>
  <c r="P160"/>
  <c r="Q160"/>
  <c r="R160"/>
  <c r="S160"/>
  <c r="T160"/>
  <c r="U160"/>
  <c r="V160"/>
  <c r="W160"/>
  <c r="X160"/>
  <c r="Y160"/>
  <c r="Z160"/>
  <c r="AA160"/>
  <c r="AB160"/>
  <c r="AC160"/>
  <c r="AD160"/>
  <c r="AE160"/>
  <c r="AF160"/>
  <c r="AG160"/>
  <c r="C161"/>
  <c r="D161"/>
  <c r="F161"/>
  <c r="G161"/>
  <c r="H161"/>
  <c r="J161"/>
  <c r="K161"/>
  <c r="L161"/>
  <c r="N161"/>
  <c r="O161"/>
  <c r="P161"/>
  <c r="R161"/>
  <c r="S161"/>
  <c r="T161"/>
  <c r="V161"/>
  <c r="W161"/>
  <c r="X161"/>
  <c r="Z161"/>
  <c r="AA161"/>
  <c r="AB161"/>
  <c r="AD161"/>
  <c r="AE161"/>
  <c r="AF161"/>
  <c r="C170"/>
  <c r="C171"/>
  <c r="C172"/>
  <c r="C174"/>
  <c r="F174"/>
  <c r="G174"/>
  <c r="J174"/>
  <c r="K174"/>
  <c r="M174"/>
  <c r="N174"/>
  <c r="O174"/>
  <c r="Q174"/>
  <c r="R174"/>
  <c r="S174"/>
  <c r="V174"/>
  <c r="W174"/>
  <c r="Z174"/>
  <c r="AA174"/>
  <c r="AC174"/>
  <c r="AD174"/>
  <c r="AE174"/>
  <c r="AG174"/>
  <c r="C175"/>
  <c r="D175"/>
  <c r="G175"/>
  <c r="H175"/>
  <c r="K175"/>
  <c r="L175"/>
  <c r="N175"/>
  <c r="O175"/>
  <c r="P175"/>
  <c r="R175"/>
  <c r="S175"/>
  <c r="T175"/>
  <c r="W175"/>
  <c r="X175"/>
  <c r="AA175"/>
  <c r="AB175"/>
  <c r="AD175"/>
  <c r="AE175"/>
  <c r="AF175"/>
  <c r="C176"/>
  <c r="D176"/>
  <c r="E176"/>
  <c r="H176"/>
  <c r="I176"/>
  <c r="L176"/>
  <c r="M176"/>
  <c r="O176"/>
  <c r="P176"/>
  <c r="Q176"/>
  <c r="S176"/>
  <c r="T176"/>
  <c r="U176"/>
  <c r="X176"/>
  <c r="Y176"/>
  <c r="AB176"/>
  <c r="AC176"/>
  <c r="AE176"/>
  <c r="AF176"/>
  <c r="AG176"/>
  <c r="D177"/>
  <c r="F177"/>
  <c r="I177"/>
  <c r="J177"/>
  <c r="L177"/>
  <c r="M177"/>
  <c r="N177"/>
  <c r="P177"/>
  <c r="Q177"/>
  <c r="R177"/>
  <c r="U177"/>
  <c r="V177"/>
  <c r="Y177"/>
  <c r="Z177"/>
  <c r="AB177"/>
  <c r="AC177"/>
  <c r="AD177"/>
  <c r="AF177"/>
  <c r="AG177"/>
  <c r="C178"/>
  <c r="F178"/>
  <c r="G178"/>
  <c r="J178"/>
  <c r="K178"/>
  <c r="M178"/>
  <c r="N178"/>
  <c r="O178"/>
  <c r="Q178"/>
  <c r="R178"/>
  <c r="S178"/>
  <c r="V178"/>
  <c r="W178"/>
  <c r="Z178"/>
  <c r="AA178"/>
  <c r="AC178"/>
  <c r="AD178"/>
  <c r="AE178"/>
  <c r="AG178"/>
  <c r="C179"/>
  <c r="D179"/>
  <c r="G179"/>
  <c r="H179"/>
  <c r="K179"/>
  <c r="L179"/>
  <c r="N179"/>
  <c r="O179"/>
  <c r="P179"/>
  <c r="R179"/>
  <c r="S179"/>
  <c r="T179"/>
  <c r="W179"/>
  <c r="X179"/>
  <c r="AA179"/>
  <c r="AB179"/>
  <c r="AD179"/>
  <c r="AE179"/>
  <c r="AF179"/>
  <c r="C180"/>
  <c r="D180"/>
  <c r="E180"/>
  <c r="H180"/>
  <c r="I180"/>
  <c r="L180"/>
  <c r="M180"/>
  <c r="O180"/>
  <c r="P180"/>
  <c r="Q180"/>
  <c r="S180"/>
  <c r="T180"/>
  <c r="U180"/>
  <c r="X180"/>
  <c r="Y180"/>
  <c r="AB180"/>
  <c r="AC180"/>
  <c r="AE180"/>
  <c r="AF180"/>
  <c r="AG180"/>
  <c r="D181"/>
  <c r="E181"/>
  <c r="F181"/>
  <c r="I181"/>
  <c r="J181"/>
  <c r="M181"/>
  <c r="N181"/>
  <c r="P181"/>
  <c r="Q181"/>
  <c r="R181"/>
  <c r="T181"/>
  <c r="U181"/>
  <c r="V181"/>
  <c r="Y181"/>
  <c r="Z181"/>
  <c r="AC181"/>
  <c r="AD181"/>
  <c r="AF181"/>
  <c r="AG181"/>
  <c r="C7" i="60817"/>
  <c r="F7"/>
  <c r="C8"/>
  <c r="F8"/>
  <c r="F9"/>
  <c r="F10"/>
  <c r="C11"/>
  <c r="F11"/>
  <c r="C12"/>
  <c r="F12"/>
  <c r="C13"/>
  <c r="F13"/>
  <c r="C14"/>
  <c r="F14"/>
  <c r="G14"/>
  <c r="H14" s="1"/>
  <c r="C15"/>
  <c r="F15"/>
  <c r="E80" i="60815"/>
  <c r="G80" s="1"/>
  <c r="H80" s="1"/>
  <c r="AH101" i="60818" l="1"/>
  <c r="B101" s="1"/>
  <c r="AH97"/>
  <c r="B97" s="1"/>
  <c r="V69"/>
  <c r="EG225" i="60819"/>
  <c r="EC225"/>
  <c r="DM225"/>
  <c r="DI225"/>
  <c r="DC133"/>
  <c r="EI145"/>
  <c r="EB209"/>
  <c r="EB225" s="1"/>
  <c r="EB241" s="1"/>
  <c r="DT209"/>
  <c r="DT241" s="1"/>
  <c r="DL209"/>
  <c r="DL225" s="1"/>
  <c r="DL241" s="1"/>
  <c r="DD209"/>
  <c r="DD241" s="1"/>
  <c r="AE41" i="60818"/>
  <c r="AE53" s="1"/>
  <c r="BN225" i="60819"/>
  <c r="AA41" i="60818"/>
  <c r="AA53" s="1"/>
  <c r="BJ225" i="60819"/>
  <c r="W41" i="60818"/>
  <c r="W53" s="1"/>
  <c r="BF225" i="60819"/>
  <c r="S41" i="60818"/>
  <c r="BB225" i="60819"/>
  <c r="O41" i="60818"/>
  <c r="O53" s="1"/>
  <c r="AX225" i="60819"/>
  <c r="K41" i="60818"/>
  <c r="AT225" i="60819"/>
  <c r="G41" i="60818"/>
  <c r="G53" s="1"/>
  <c r="AP225" i="60819"/>
  <c r="C41" i="60818"/>
  <c r="AL225" i="60819"/>
  <c r="AA6" i="60818"/>
  <c r="AA209" i="60819"/>
  <c r="W6" i="60818"/>
  <c r="W209" i="60819"/>
  <c r="S6" i="60818"/>
  <c r="S18" s="1"/>
  <c r="S209" i="60819"/>
  <c r="K6" i="60818"/>
  <c r="K209" i="60819"/>
  <c r="G6" i="60818"/>
  <c r="G18" s="1"/>
  <c r="G209" i="60819"/>
  <c r="BT101"/>
  <c r="CZ113"/>
  <c r="DC85"/>
  <c r="DC97" s="1"/>
  <c r="EI97"/>
  <c r="EH209"/>
  <c r="EH225"/>
  <c r="ED209"/>
  <c r="DZ209"/>
  <c r="DZ225"/>
  <c r="DV209"/>
  <c r="DR209"/>
  <c r="DR225"/>
  <c r="DN209"/>
  <c r="DJ209"/>
  <c r="DJ241" s="1"/>
  <c r="DJ225"/>
  <c r="DF209"/>
  <c r="BM209"/>
  <c r="BE209"/>
  <c r="AW209"/>
  <c r="AO209"/>
  <c r="AH42" i="60818"/>
  <c r="B42" s="1"/>
  <c r="DS209" i="60819"/>
  <c r="DS241" s="1"/>
  <c r="EC241"/>
  <c r="DM241"/>
  <c r="DI241"/>
  <c r="Q69" i="60818"/>
  <c r="BC225" i="60819"/>
  <c r="O209"/>
  <c r="BZ209"/>
  <c r="BV209"/>
  <c r="CX209"/>
  <c r="CP209"/>
  <c r="CL209"/>
  <c r="CH209"/>
  <c r="EM33"/>
  <c r="EE225"/>
  <c r="DW225"/>
  <c r="DS225"/>
  <c r="DO225"/>
  <c r="DO241" s="1"/>
  <c r="DG225"/>
  <c r="CU209"/>
  <c r="CQ209"/>
  <c r="CM209"/>
  <c r="CE209"/>
  <c r="CA209"/>
  <c r="EF209"/>
  <c r="EF241" s="1"/>
  <c r="DX209"/>
  <c r="DX241"/>
  <c r="DP209"/>
  <c r="DP241" s="1"/>
  <c r="DH209"/>
  <c r="DH241"/>
  <c r="BT181"/>
  <c r="CZ193"/>
  <c r="D103" i="60818"/>
  <c r="AH103" s="1"/>
  <c r="B103" s="1"/>
  <c r="CZ207" i="60819"/>
  <c r="BT207" s="1"/>
  <c r="D99" i="60818"/>
  <c r="AH99" s="1"/>
  <c r="B99" s="1"/>
  <c r="CZ203" i="60819"/>
  <c r="BT203" s="1"/>
  <c r="D95" i="60818"/>
  <c r="CZ199" i="60819"/>
  <c r="BT199" s="1"/>
  <c r="AH15" i="60818"/>
  <c r="B15" s="1"/>
  <c r="AS209" i="60819"/>
  <c r="DC145"/>
  <c r="EE241"/>
  <c r="DW241"/>
  <c r="DG241"/>
  <c r="AH74" i="60818"/>
  <c r="B74" s="1"/>
  <c r="BK225" i="60819"/>
  <c r="EA209"/>
  <c r="DK209"/>
  <c r="DK225" s="1"/>
  <c r="DK241" s="1"/>
  <c r="AE209"/>
  <c r="EF225"/>
  <c r="DX225"/>
  <c r="DT225"/>
  <c r="DP225"/>
  <c r="DH225"/>
  <c r="DD225"/>
  <c r="AH104" i="60818"/>
  <c r="B104" s="1"/>
  <c r="AH100"/>
  <c r="B100" s="1"/>
  <c r="AH96"/>
  <c r="B96" s="1"/>
  <c r="BW209" i="60819"/>
  <c r="BO225"/>
  <c r="BG225"/>
  <c r="AY225"/>
  <c r="AQ225"/>
  <c r="EG209"/>
  <c r="EG241" s="1"/>
  <c r="EC209"/>
  <c r="DY209"/>
  <c r="DY225" s="1"/>
  <c r="DY241" s="1"/>
  <c r="DU209"/>
  <c r="DU225" s="1"/>
  <c r="DQ209"/>
  <c r="DQ225" s="1"/>
  <c r="DM209"/>
  <c r="DI209"/>
  <c r="DE209"/>
  <c r="DE225" s="1"/>
  <c r="AB209"/>
  <c r="R209"/>
  <c r="L209"/>
  <c r="BO209"/>
  <c r="BK209"/>
  <c r="BG209"/>
  <c r="BC209"/>
  <c r="AY209"/>
  <c r="AU209"/>
  <c r="AQ209"/>
  <c r="AM209"/>
  <c r="CZ205"/>
  <c r="BT205" s="1"/>
  <c r="CZ201"/>
  <c r="BT201" s="1"/>
  <c r="CZ197"/>
  <c r="BT197" s="1"/>
  <c r="CV209"/>
  <c r="CR209"/>
  <c r="CN209"/>
  <c r="CJ209"/>
  <c r="CF209"/>
  <c r="CB209"/>
  <c r="BX209"/>
  <c r="AH33"/>
  <c r="AD209"/>
  <c r="X209"/>
  <c r="N209"/>
  <c r="H209"/>
  <c r="BL209"/>
  <c r="BD209"/>
  <c r="EI193"/>
  <c r="FN33"/>
  <c r="EU33"/>
  <c r="FF33"/>
  <c r="AL209"/>
  <c r="BQ193"/>
  <c r="C209"/>
  <c r="AH171" i="60818"/>
  <c r="B171" s="1"/>
  <c r="AA85"/>
  <c r="S85"/>
  <c r="K85"/>
  <c r="AD69"/>
  <c r="Z69"/>
  <c r="R69"/>
  <c r="N69"/>
  <c r="F69"/>
  <c r="AH50"/>
  <c r="B50" s="1"/>
  <c r="S53"/>
  <c r="K53"/>
  <c r="AH57"/>
  <c r="B57" s="1"/>
  <c r="AH78"/>
  <c r="B78" s="1"/>
  <c r="W85"/>
  <c r="O85"/>
  <c r="G85"/>
  <c r="AF85"/>
  <c r="AB85"/>
  <c r="X85"/>
  <c r="T85"/>
  <c r="P85"/>
  <c r="L85"/>
  <c r="H85"/>
  <c r="AH59"/>
  <c r="B59" s="1"/>
  <c r="AC69"/>
  <c r="U69"/>
  <c r="M69"/>
  <c r="E69"/>
  <c r="AH52"/>
  <c r="B52" s="1"/>
  <c r="AH45"/>
  <c r="B45" s="1"/>
  <c r="AH44"/>
  <c r="B44" s="1"/>
  <c r="AH43"/>
  <c r="B43" s="1"/>
  <c r="AF53"/>
  <c r="AB53"/>
  <c r="X53"/>
  <c r="T53"/>
  <c r="P53"/>
  <c r="L53"/>
  <c r="H53"/>
  <c r="AH11"/>
  <c r="B11" s="1"/>
  <c r="EL17" i="60819"/>
  <c r="EQ33"/>
  <c r="FJ33"/>
  <c r="FB33"/>
  <c r="CZ129"/>
  <c r="AH113"/>
  <c r="CZ97"/>
  <c r="EI81"/>
  <c r="CZ65"/>
  <c r="EI49"/>
  <c r="FO33"/>
  <c r="FK33"/>
  <c r="FG33"/>
  <c r="FC33"/>
  <c r="EY33"/>
  <c r="ET33"/>
  <c r="EP33"/>
  <c r="AQ257"/>
  <c r="BM241"/>
  <c r="BO257"/>
  <c r="AW241"/>
  <c r="BQ177"/>
  <c r="BQ161"/>
  <c r="AH145"/>
  <c r="AH129"/>
  <c r="EI113"/>
  <c r="AH65"/>
  <c r="CZ49"/>
  <c r="AH95" i="60818"/>
  <c r="B95" s="1"/>
  <c r="EI232" i="60819"/>
  <c r="DC232" s="1"/>
  <c r="EI230"/>
  <c r="DC230" s="1"/>
  <c r="AY257"/>
  <c r="BQ250"/>
  <c r="AK250" s="1"/>
  <c r="BQ231"/>
  <c r="AK231" s="1"/>
  <c r="BQ229"/>
  <c r="AK229" s="1"/>
  <c r="AF143" i="60818"/>
  <c r="K124"/>
  <c r="T182"/>
  <c r="AA124"/>
  <c r="K162"/>
  <c r="EI240" i="60819"/>
  <c r="DC240" s="1"/>
  <c r="FR29"/>
  <c r="EL29" s="1"/>
  <c r="AD143" i="60818"/>
  <c r="V143"/>
  <c r="P143"/>
  <c r="N143"/>
  <c r="F143"/>
  <c r="BG257" i="60819"/>
  <c r="AU257"/>
  <c r="AM257"/>
  <c r="BE241"/>
  <c r="AO241"/>
  <c r="AK161"/>
  <c r="AH97"/>
  <c r="AH81"/>
  <c r="AH49"/>
  <c r="D182" i="60818"/>
  <c r="AH159"/>
  <c r="B159" s="1"/>
  <c r="AA162"/>
  <c r="X143"/>
  <c r="H143"/>
  <c r="S124"/>
  <c r="C124"/>
  <c r="EI236" i="60819"/>
  <c r="DC236" s="1"/>
  <c r="BQ201"/>
  <c r="AK201" s="1"/>
  <c r="AH180" i="60818"/>
  <c r="B180" s="1"/>
  <c r="BI241" i="60819"/>
  <c r="BA241"/>
  <c r="AS241"/>
  <c r="EI219"/>
  <c r="DC219" s="1"/>
  <c r="AB182" i="60818"/>
  <c r="L182"/>
  <c r="S162"/>
  <c r="AH137"/>
  <c r="B137" s="1"/>
  <c r="BK257" i="60819"/>
  <c r="BC257"/>
  <c r="AN241"/>
  <c r="EI238"/>
  <c r="DC238" s="1"/>
  <c r="EI223"/>
  <c r="DC223" s="1"/>
  <c r="EI221"/>
  <c r="DC221" s="1"/>
  <c r="BQ218"/>
  <c r="AK218" s="1"/>
  <c r="EI206"/>
  <c r="DC206" s="1"/>
  <c r="BQ206"/>
  <c r="AK206" s="1"/>
  <c r="EI202"/>
  <c r="DC202" s="1"/>
  <c r="FR25"/>
  <c r="EL25" s="1"/>
  <c r="AH151" i="60818"/>
  <c r="B151" s="1"/>
  <c r="AH123"/>
  <c r="B123" s="1"/>
  <c r="AG124"/>
  <c r="Y124"/>
  <c r="Q124"/>
  <c r="I124"/>
  <c r="EI234" i="60819"/>
  <c r="DC234" s="1"/>
  <c r="EI217"/>
  <c r="DC217" s="1"/>
  <c r="EI215"/>
  <c r="DC215" s="1"/>
  <c r="EI213"/>
  <c r="DC213" s="1"/>
  <c r="EI198"/>
  <c r="DC198" s="1"/>
  <c r="DC193"/>
  <c r="CZ81"/>
  <c r="B37" i="60818"/>
  <c r="BQ254" i="60819"/>
  <c r="AK254" s="1"/>
  <c r="AE82" i="60818"/>
  <c r="BM257" i="60819"/>
  <c r="AD79" i="60818"/>
  <c r="AD85" s="1"/>
  <c r="BI257" i="60819"/>
  <c r="Z79" i="60818"/>
  <c r="Z85" s="1"/>
  <c r="BE257" i="60819"/>
  <c r="V79" i="60818"/>
  <c r="V85" s="1"/>
  <c r="BA257" i="60819"/>
  <c r="R79" i="60818"/>
  <c r="R85" s="1"/>
  <c r="AW257" i="60819"/>
  <c r="N79" i="60818"/>
  <c r="N85" s="1"/>
  <c r="AS257" i="60819"/>
  <c r="J79" i="60818"/>
  <c r="J85" s="1"/>
  <c r="AO257" i="60819"/>
  <c r="F79" i="60818"/>
  <c r="F85" s="1"/>
  <c r="BQ249" i="60819"/>
  <c r="AK249" s="1"/>
  <c r="C77" i="60818"/>
  <c r="BQ248" i="60819"/>
  <c r="AK248" s="1"/>
  <c r="D76" i="60818"/>
  <c r="AH76" s="1"/>
  <c r="B76" s="1"/>
  <c r="BQ240" i="60819"/>
  <c r="AK240" s="1"/>
  <c r="C68" i="60818"/>
  <c r="AH68" s="1"/>
  <c r="B68" s="1"/>
  <c r="BQ239" i="60819"/>
  <c r="AK239" s="1"/>
  <c r="AG67" i="60818"/>
  <c r="AH67" s="1"/>
  <c r="B67" s="1"/>
  <c r="BQ236" i="60819"/>
  <c r="AK236" s="1"/>
  <c r="C64" i="60818"/>
  <c r="AH64" s="1"/>
  <c r="B64" s="1"/>
  <c r="BQ235" i="60819"/>
  <c r="AK235" s="1"/>
  <c r="AG63" i="60818"/>
  <c r="AH63" s="1"/>
  <c r="B63" s="1"/>
  <c r="BO241" i="60819"/>
  <c r="AF62" i="60818"/>
  <c r="AF69" s="1"/>
  <c r="BK241" i="60819"/>
  <c r="AB62" i="60818"/>
  <c r="AB69" s="1"/>
  <c r="BG241" i="60819"/>
  <c r="X62" i="60818"/>
  <c r="X69" s="1"/>
  <c r="BC241" i="60819"/>
  <c r="T62" i="60818"/>
  <c r="T69" s="1"/>
  <c r="AY241" i="60819"/>
  <c r="P62" i="60818"/>
  <c r="P69" s="1"/>
  <c r="AU241" i="60819"/>
  <c r="L62" i="60818"/>
  <c r="L69" s="1"/>
  <c r="AQ241" i="60819"/>
  <c r="H62" i="60818"/>
  <c r="H69" s="1"/>
  <c r="AM241" i="60819"/>
  <c r="D62" i="60818"/>
  <c r="D69" s="1"/>
  <c r="BQ232" i="60819"/>
  <c r="AK232" s="1"/>
  <c r="C60" i="60818"/>
  <c r="AH60" s="1"/>
  <c r="B60" s="1"/>
  <c r="BQ230" i="60819"/>
  <c r="AK230" s="1"/>
  <c r="C58" i="60818"/>
  <c r="BQ223" i="60819"/>
  <c r="AK223" s="1"/>
  <c r="C51" i="60818"/>
  <c r="AH51" s="1"/>
  <c r="B51" s="1"/>
  <c r="BQ221" i="60819"/>
  <c r="AK221" s="1"/>
  <c r="C49" i="60818"/>
  <c r="AH49" s="1"/>
  <c r="B49" s="1"/>
  <c r="BM225" i="60819"/>
  <c r="AD48" i="60818"/>
  <c r="AD53" s="1"/>
  <c r="BI225" i="60819"/>
  <c r="Z48" i="60818"/>
  <c r="Z53" s="1"/>
  <c r="BE225" i="60819"/>
  <c r="V48" i="60818"/>
  <c r="V53" s="1"/>
  <c r="BA225" i="60819"/>
  <c r="R48" i="60818"/>
  <c r="R53" s="1"/>
  <c r="AW225" i="60819"/>
  <c r="N48" i="60818"/>
  <c r="N53" s="1"/>
  <c r="AS225" i="60819"/>
  <c r="J48" i="60818"/>
  <c r="J53" s="1"/>
  <c r="AO225" i="60819"/>
  <c r="F48" i="60818"/>
  <c r="F53" s="1"/>
  <c r="AH176"/>
  <c r="B176" s="1"/>
  <c r="AD182"/>
  <c r="V182"/>
  <c r="AF182"/>
  <c r="X182"/>
  <c r="P182"/>
  <c r="AH161"/>
  <c r="B161" s="1"/>
  <c r="AH155"/>
  <c r="B155" s="1"/>
  <c r="AE162"/>
  <c r="W162"/>
  <c r="O162"/>
  <c r="G162"/>
  <c r="AH135"/>
  <c r="B135" s="1"/>
  <c r="AH133"/>
  <c r="B133" s="1"/>
  <c r="AH131"/>
  <c r="B131" s="1"/>
  <c r="AH121"/>
  <c r="B121" s="1"/>
  <c r="AH117"/>
  <c r="B117" s="1"/>
  <c r="AC124"/>
  <c r="U124"/>
  <c r="M124"/>
  <c r="E124"/>
  <c r="EI239" i="60819"/>
  <c r="DC239" s="1"/>
  <c r="EI235"/>
  <c r="DC235" s="1"/>
  <c r="EI231"/>
  <c r="DC231" s="1"/>
  <c r="EI224"/>
  <c r="DC224" s="1"/>
  <c r="BQ224"/>
  <c r="AK224" s="1"/>
  <c r="EI222"/>
  <c r="DC222" s="1"/>
  <c r="BQ222"/>
  <c r="AK222" s="1"/>
  <c r="EI220"/>
  <c r="DC220" s="1"/>
  <c r="BQ220"/>
  <c r="AK220" s="1"/>
  <c r="AK177"/>
  <c r="BT145"/>
  <c r="B145"/>
  <c r="B129"/>
  <c r="B113"/>
  <c r="B65"/>
  <c r="B49"/>
  <c r="BT49"/>
  <c r="BQ256"/>
  <c r="AK256" s="1"/>
  <c r="D84" i="60818"/>
  <c r="AH84" s="1"/>
  <c r="B84" s="1"/>
  <c r="BQ255" i="60819"/>
  <c r="AK255" s="1"/>
  <c r="AG83" i="60818"/>
  <c r="AH83" s="1"/>
  <c r="B83" s="1"/>
  <c r="BQ253" i="60819"/>
  <c r="AK253" s="1"/>
  <c r="C81" i="60818"/>
  <c r="AH81" s="1"/>
  <c r="B81" s="1"/>
  <c r="BQ252" i="60819"/>
  <c r="AK252" s="1"/>
  <c r="D80" i="60818"/>
  <c r="AH80" s="1"/>
  <c r="B80" s="1"/>
  <c r="BP257" i="60819"/>
  <c r="AG79" i="60818"/>
  <c r="BL257" i="60819"/>
  <c r="AC79" i="60818"/>
  <c r="AC85" s="1"/>
  <c r="BH257" i="60819"/>
  <c r="Y79" i="60818"/>
  <c r="Y85" s="1"/>
  <c r="BD257" i="60819"/>
  <c r="U79" i="60818"/>
  <c r="U85" s="1"/>
  <c r="AZ257" i="60819"/>
  <c r="Q79" i="60818"/>
  <c r="Q85" s="1"/>
  <c r="AV257" i="60819"/>
  <c r="M79" i="60818"/>
  <c r="M85" s="1"/>
  <c r="AR257" i="60819"/>
  <c r="I79" i="60818"/>
  <c r="I85" s="1"/>
  <c r="AN257" i="60819"/>
  <c r="E79" i="60818"/>
  <c r="BQ238" i="60819"/>
  <c r="AK238" s="1"/>
  <c r="C66" i="60818"/>
  <c r="AH66" s="1"/>
  <c r="B66" s="1"/>
  <c r="BQ237" i="60819"/>
  <c r="AK237" s="1"/>
  <c r="AG65" i="60818"/>
  <c r="AH65" s="1"/>
  <c r="B65" s="1"/>
  <c r="BN241" i="60819"/>
  <c r="AE62" i="60818"/>
  <c r="AE69" s="1"/>
  <c r="BJ241" i="60819"/>
  <c r="AA62" i="60818"/>
  <c r="AA69" s="1"/>
  <c r="BF241" i="60819"/>
  <c r="W62" i="60818"/>
  <c r="W69" s="1"/>
  <c r="BB241" i="60819"/>
  <c r="S62" i="60818"/>
  <c r="S69" s="1"/>
  <c r="AX241" i="60819"/>
  <c r="O62" i="60818"/>
  <c r="O69" s="1"/>
  <c r="AT241" i="60819"/>
  <c r="K62" i="60818"/>
  <c r="K69" s="1"/>
  <c r="AP241" i="60819"/>
  <c r="G62" i="60818"/>
  <c r="G69" s="1"/>
  <c r="AL241" i="60819"/>
  <c r="C62" i="60818"/>
  <c r="BQ233" i="60819"/>
  <c r="AK233" s="1"/>
  <c r="AG61" i="60818"/>
  <c r="BP225" i="60819"/>
  <c r="AG48" i="60818"/>
  <c r="BL225" i="60819"/>
  <c r="AC48" i="60818"/>
  <c r="AC53" s="1"/>
  <c r="BH225" i="60819"/>
  <c r="Y48" i="60818"/>
  <c r="Y53" s="1"/>
  <c r="BD225" i="60819"/>
  <c r="U48" i="60818"/>
  <c r="U53" s="1"/>
  <c r="AH178"/>
  <c r="B178" s="1"/>
  <c r="Z182"/>
  <c r="R182"/>
  <c r="J182"/>
  <c r="C162"/>
  <c r="AC162"/>
  <c r="U162"/>
  <c r="M162"/>
  <c r="AH157"/>
  <c r="B157" s="1"/>
  <c r="AH153"/>
  <c r="B153" s="1"/>
  <c r="AG162"/>
  <c r="Y162"/>
  <c r="Q162"/>
  <c r="I162"/>
  <c r="AH141"/>
  <c r="B141" s="1"/>
  <c r="AH139"/>
  <c r="B139" s="1"/>
  <c r="AB143"/>
  <c r="T143"/>
  <c r="L143"/>
  <c r="D143"/>
  <c r="Z143"/>
  <c r="R143"/>
  <c r="J143"/>
  <c r="AH119"/>
  <c r="B119" s="1"/>
  <c r="AE124"/>
  <c r="W124"/>
  <c r="O124"/>
  <c r="G124"/>
  <c r="AH37"/>
  <c r="BN257" i="60819"/>
  <c r="BJ257"/>
  <c r="BF257"/>
  <c r="BB257"/>
  <c r="AX257"/>
  <c r="AT257"/>
  <c r="AP257"/>
  <c r="AL257"/>
  <c r="AH75" i="60818"/>
  <c r="B75" s="1"/>
  <c r="BQ246" i="60819"/>
  <c r="AK246" s="1"/>
  <c r="BP241"/>
  <c r="BL241"/>
  <c r="BH241"/>
  <c r="BD241"/>
  <c r="AZ241"/>
  <c r="AV241"/>
  <c r="AR241"/>
  <c r="EI237"/>
  <c r="DC237" s="1"/>
  <c r="EI233"/>
  <c r="DC233" s="1"/>
  <c r="BT97"/>
  <c r="B81"/>
  <c r="BT65"/>
  <c r="AG209"/>
  <c r="AG17" i="60818"/>
  <c r="AC209" i="60819"/>
  <c r="AC17" i="60818"/>
  <c r="AC18" s="1"/>
  <c r="Y209" i="60819"/>
  <c r="Y17" i="60818"/>
  <c r="Y18" s="1"/>
  <c r="U209" i="60819"/>
  <c r="U17" i="60818"/>
  <c r="Q209" i="60819"/>
  <c r="Q17" i="60818"/>
  <c r="M209" i="60819"/>
  <c r="M17" i="60818"/>
  <c r="M18" s="1"/>
  <c r="I209" i="60819"/>
  <c r="I17" i="60818"/>
  <c r="I18" s="1"/>
  <c r="E209" i="60819"/>
  <c r="E17" i="60818"/>
  <c r="AH207" i="60819"/>
  <c r="B207" s="1"/>
  <c r="AG16" i="60818"/>
  <c r="AH16" s="1"/>
  <c r="B16" s="1"/>
  <c r="AH205" i="60819"/>
  <c r="B205" s="1"/>
  <c r="C14" i="60818"/>
  <c r="AH14" s="1"/>
  <c r="B14" s="1"/>
  <c r="AH203" i="60819"/>
  <c r="B203" s="1"/>
  <c r="AG12" i="60818"/>
  <c r="AH12" s="1"/>
  <c r="B12" s="1"/>
  <c r="AH201" i="60819"/>
  <c r="B201" s="1"/>
  <c r="C10" i="60818"/>
  <c r="AH10" s="1"/>
  <c r="B10" s="1"/>
  <c r="AH199" i="60819"/>
  <c r="B199" s="1"/>
  <c r="Q8" i="60818"/>
  <c r="AH8" s="1"/>
  <c r="B8" s="1"/>
  <c r="BQ219" i="60819"/>
  <c r="AK219" s="1"/>
  <c r="EI218"/>
  <c r="DC218" s="1"/>
  <c r="EI208"/>
  <c r="DC208" s="1"/>
  <c r="BQ207"/>
  <c r="AK207" s="1"/>
  <c r="EI204"/>
  <c r="DC204" s="1"/>
  <c r="BQ203"/>
  <c r="AK203" s="1"/>
  <c r="BQ202"/>
  <c r="AK202" s="1"/>
  <c r="EI200"/>
  <c r="DC200" s="1"/>
  <c r="BQ199"/>
  <c r="AK199" s="1"/>
  <c r="BQ198"/>
  <c r="AK198" s="1"/>
  <c r="EI197"/>
  <c r="DC197" s="1"/>
  <c r="DC209" s="1"/>
  <c r="AF18" i="60818"/>
  <c r="AB18"/>
  <c r="DC177" i="60819"/>
  <c r="AH161"/>
  <c r="DC161"/>
  <c r="BQ129"/>
  <c r="BQ113"/>
  <c r="BQ65"/>
  <c r="BQ49"/>
  <c r="FR32"/>
  <c r="EL32" s="1"/>
  <c r="FR31"/>
  <c r="EL31" s="1"/>
  <c r="FQ33"/>
  <c r="FR30"/>
  <c r="EL30" s="1"/>
  <c r="FI33"/>
  <c r="FE33"/>
  <c r="FA33"/>
  <c r="EW33"/>
  <c r="ES33"/>
  <c r="EO33"/>
  <c r="FP33"/>
  <c r="FL33"/>
  <c r="FH33"/>
  <c r="EZ33"/>
  <c r="CZ33"/>
  <c r="FR24"/>
  <c r="EL24" s="1"/>
  <c r="AG105" i="60818"/>
  <c r="AE105"/>
  <c r="AC105"/>
  <c r="AA105"/>
  <c r="Y105"/>
  <c r="W105"/>
  <c r="U105"/>
  <c r="S105"/>
  <c r="Q105"/>
  <c r="O105"/>
  <c r="M105"/>
  <c r="K105"/>
  <c r="I105"/>
  <c r="G105"/>
  <c r="E105"/>
  <c r="C47"/>
  <c r="AH208" i="60819"/>
  <c r="B208" s="1"/>
  <c r="D17" i="60818"/>
  <c r="AH204" i="60819"/>
  <c r="B204" s="1"/>
  <c r="D13" i="60818"/>
  <c r="AH13" s="1"/>
  <c r="B13" s="1"/>
  <c r="AH200" i="60819"/>
  <c r="B200" s="1"/>
  <c r="D9" i="60818"/>
  <c r="AH9" s="1"/>
  <c r="B9" s="1"/>
  <c r="AZ225" i="60819"/>
  <c r="AV225"/>
  <c r="AR225"/>
  <c r="AN225"/>
  <c r="BQ217"/>
  <c r="AK217" s="1"/>
  <c r="EI216"/>
  <c r="DC216" s="1"/>
  <c r="BQ216"/>
  <c r="AK216" s="1"/>
  <c r="BQ215"/>
  <c r="AK215" s="1"/>
  <c r="EI214"/>
  <c r="EI225" s="1"/>
  <c r="BQ214"/>
  <c r="AK214" s="1"/>
  <c r="BQ208"/>
  <c r="AK208" s="1"/>
  <c r="EI207"/>
  <c r="DC207" s="1"/>
  <c r="AH206"/>
  <c r="B206" s="1"/>
  <c r="EI205"/>
  <c r="DC205" s="1"/>
  <c r="BQ205"/>
  <c r="AK205" s="1"/>
  <c r="BQ204"/>
  <c r="AK204" s="1"/>
  <c r="EI203"/>
  <c r="DC203" s="1"/>
  <c r="AH202"/>
  <c r="B202" s="1"/>
  <c r="EI201"/>
  <c r="DC201" s="1"/>
  <c r="BQ200"/>
  <c r="AK200" s="1"/>
  <c r="EI199"/>
  <c r="DC199" s="1"/>
  <c r="AH198"/>
  <c r="B198" s="1"/>
  <c r="BQ197"/>
  <c r="AK197" s="1"/>
  <c r="B158"/>
  <c r="BT129"/>
  <c r="BT113"/>
  <c r="B97"/>
  <c r="BQ97"/>
  <c r="BQ81"/>
  <c r="FR28"/>
  <c r="EL28" s="1"/>
  <c r="EV33"/>
  <c r="ER33"/>
  <c r="FR27"/>
  <c r="EL27" s="1"/>
  <c r="EI33"/>
  <c r="FR26"/>
  <c r="EL26" s="1"/>
  <c r="B33"/>
  <c r="AF105" i="60818"/>
  <c r="AD105"/>
  <c r="AB105"/>
  <c r="Z105"/>
  <c r="X105"/>
  <c r="V105"/>
  <c r="T105"/>
  <c r="R105"/>
  <c r="P105"/>
  <c r="N105"/>
  <c r="L105"/>
  <c r="J105"/>
  <c r="H105"/>
  <c r="F105"/>
  <c r="Q48"/>
  <c r="Q53" s="1"/>
  <c r="M48"/>
  <c r="M53" s="1"/>
  <c r="I48"/>
  <c r="I53" s="1"/>
  <c r="E48"/>
  <c r="AG46"/>
  <c r="H182"/>
  <c r="Z18"/>
  <c r="V18"/>
  <c r="R18"/>
  <c r="N18"/>
  <c r="J18"/>
  <c r="F18"/>
  <c r="AE18"/>
  <c r="AA18"/>
  <c r="W18"/>
  <c r="O18"/>
  <c r="K18"/>
  <c r="X18"/>
  <c r="T18"/>
  <c r="P18"/>
  <c r="L18"/>
  <c r="H18"/>
  <c r="U18"/>
  <c r="AH197" i="60819"/>
  <c r="E7" i="60818"/>
  <c r="E18" s="1"/>
  <c r="FD33" i="60819"/>
  <c r="EX33"/>
  <c r="F182" i="60818"/>
  <c r="FR22" i="60819"/>
  <c r="EL22" s="1"/>
  <c r="AH94" i="60818"/>
  <c r="B94" s="1"/>
  <c r="BT81" i="60819"/>
  <c r="AD18" i="60818"/>
  <c r="AH7"/>
  <c r="B7" s="1"/>
  <c r="N182"/>
  <c r="FR23" i="60819"/>
  <c r="EL23" s="1"/>
  <c r="FR21"/>
  <c r="EL21" s="1"/>
  <c r="AH170" i="60818"/>
  <c r="B170" s="1"/>
  <c r="EI65" i="60819"/>
  <c r="EI229"/>
  <c r="EI241" s="1"/>
  <c r="EI17"/>
  <c r="C6" i="60818"/>
  <c r="BQ247" i="60819"/>
  <c r="AK247" s="1"/>
  <c r="AK193"/>
  <c r="AH73" i="60818"/>
  <c r="B73" s="1"/>
  <c r="BQ245" i="60819"/>
  <c r="AK245" s="1"/>
  <c r="BQ17"/>
  <c r="BQ33"/>
  <c r="D53" i="60818"/>
  <c r="BQ213" i="60819"/>
  <c r="AK213" s="1"/>
  <c r="AH93" i="60818"/>
  <c r="B93" s="1"/>
  <c r="C105"/>
  <c r="BT209" i="60819"/>
  <c r="BT193"/>
  <c r="BT177"/>
  <c r="B161"/>
  <c r="B193"/>
  <c r="B177"/>
  <c r="DC214"/>
  <c r="DC225" s="1"/>
  <c r="BT161"/>
  <c r="BQ145"/>
  <c r="AK133"/>
  <c r="AK145" s="1"/>
  <c r="G182" i="60818"/>
  <c r="E162"/>
  <c r="AH177"/>
  <c r="B177" s="1"/>
  <c r="AH156"/>
  <c r="B156" s="1"/>
  <c r="AH136"/>
  <c r="B136" s="1"/>
  <c r="AG143"/>
  <c r="AC143"/>
  <c r="Y143"/>
  <c r="U143"/>
  <c r="Q143"/>
  <c r="M143"/>
  <c r="I143"/>
  <c r="E143"/>
  <c r="AH120"/>
  <c r="B120" s="1"/>
  <c r="AH115"/>
  <c r="B115" s="1"/>
  <c r="AB124"/>
  <c r="X124"/>
  <c r="T124"/>
  <c r="P124"/>
  <c r="L124"/>
  <c r="H124"/>
  <c r="AH114"/>
  <c r="B114" s="1"/>
  <c r="BQ234" i="60819"/>
  <c r="AK234" s="1"/>
  <c r="AH193"/>
  <c r="AH177"/>
  <c r="DC33"/>
  <c r="B17"/>
  <c r="AE182" i="60818"/>
  <c r="W182"/>
  <c r="S182"/>
  <c r="K182"/>
  <c r="AH154"/>
  <c r="B154" s="1"/>
  <c r="AD162"/>
  <c r="Z162"/>
  <c r="V162"/>
  <c r="R162"/>
  <c r="N162"/>
  <c r="J162"/>
  <c r="F162"/>
  <c r="AH142"/>
  <c r="B142" s="1"/>
  <c r="AH134"/>
  <c r="B134" s="1"/>
  <c r="AH118"/>
  <c r="B118" s="1"/>
  <c r="D124"/>
  <c r="AH112"/>
  <c r="B112" s="1"/>
  <c r="AK33" i="60819"/>
  <c r="AK17"/>
  <c r="O182" i="60818"/>
  <c r="AH160"/>
  <c r="B160" s="1"/>
  <c r="AH152"/>
  <c r="B152" s="1"/>
  <c r="AH140"/>
  <c r="B140" s="1"/>
  <c r="AE143"/>
  <c r="AA143"/>
  <c r="W143"/>
  <c r="S143"/>
  <c r="O143"/>
  <c r="K143"/>
  <c r="G143"/>
  <c r="AH132"/>
  <c r="B132" s="1"/>
  <c r="AH116"/>
  <c r="B116" s="1"/>
  <c r="BQ251" i="60819"/>
  <c r="AK251" s="1"/>
  <c r="DC113"/>
  <c r="DC81"/>
  <c r="DC65"/>
  <c r="DC49"/>
  <c r="AH175" i="60818"/>
  <c r="B175" s="1"/>
  <c r="AA182"/>
  <c r="AH181"/>
  <c r="B181" s="1"/>
  <c r="AH179"/>
  <c r="B179" s="1"/>
  <c r="AH174"/>
  <c r="B174" s="1"/>
  <c r="AH173"/>
  <c r="B173" s="1"/>
  <c r="AH172"/>
  <c r="B172" s="1"/>
  <c r="AG182"/>
  <c r="AC182"/>
  <c r="Y182"/>
  <c r="U182"/>
  <c r="Q182"/>
  <c r="M182"/>
  <c r="I182"/>
  <c r="E182"/>
  <c r="AH158"/>
  <c r="B158" s="1"/>
  <c r="AF162"/>
  <c r="AB162"/>
  <c r="X162"/>
  <c r="T162"/>
  <c r="P162"/>
  <c r="L162"/>
  <c r="H162"/>
  <c r="D162"/>
  <c r="AH150"/>
  <c r="B150" s="1"/>
  <c r="AH138"/>
  <c r="B138" s="1"/>
  <c r="AH122"/>
  <c r="B122" s="1"/>
  <c r="AH113"/>
  <c r="B113" s="1"/>
  <c r="AD124"/>
  <c r="Z124"/>
  <c r="V124"/>
  <c r="R124"/>
  <c r="N124"/>
  <c r="J124"/>
  <c r="F124"/>
  <c r="EI161" i="60819"/>
  <c r="BT17"/>
  <c r="AK117"/>
  <c r="AK129" s="1"/>
  <c r="AK101"/>
  <c r="AK113" s="1"/>
  <c r="AK85"/>
  <c r="AK97" s="1"/>
  <c r="AK69"/>
  <c r="AK81" s="1"/>
  <c r="AK53"/>
  <c r="AK65" s="1"/>
  <c r="AK37"/>
  <c r="AK49" s="1"/>
  <c r="FM33"/>
  <c r="BT28"/>
  <c r="BT33" s="1"/>
  <c r="FR17"/>
  <c r="AH17"/>
  <c r="DC6"/>
  <c r="DC17" s="1"/>
  <c r="EN33"/>
  <c r="I14" i="60817"/>
  <c r="C143" i="60818"/>
  <c r="AF124"/>
  <c r="K14" i="60817"/>
  <c r="C182" i="60818"/>
  <c r="L14" i="60817"/>
  <c r="J14"/>
  <c r="C9" i="60796"/>
  <c r="EA241" i="60819" l="1"/>
  <c r="DF241"/>
  <c r="DF225"/>
  <c r="DV225"/>
  <c r="DV241" s="1"/>
  <c r="BQ209"/>
  <c r="EI209"/>
  <c r="CZ209"/>
  <c r="AH41" i="60818"/>
  <c r="B41" s="1"/>
  <c r="D105"/>
  <c r="EA225" i="60819"/>
  <c r="DE241"/>
  <c r="DU241"/>
  <c r="DR241"/>
  <c r="DZ241"/>
  <c r="EH241"/>
  <c r="DN241"/>
  <c r="ED241"/>
  <c r="DN225"/>
  <c r="ED225"/>
  <c r="AK225"/>
  <c r="DQ241"/>
  <c r="AK209"/>
  <c r="AH209"/>
  <c r="B197"/>
  <c r="B209" s="1"/>
  <c r="Q18" i="60818"/>
  <c r="D18"/>
  <c r="AH17"/>
  <c r="B17" s="1"/>
  <c r="AG18"/>
  <c r="B105"/>
  <c r="G10" i="60817" s="1"/>
  <c r="J10" s="1"/>
  <c r="B182" i="60818"/>
  <c r="B143"/>
  <c r="G11" i="60817" s="1"/>
  <c r="H11" s="1"/>
  <c r="J11" s="1"/>
  <c r="AH62" i="60818"/>
  <c r="B62" s="1"/>
  <c r="D85"/>
  <c r="AG85"/>
  <c r="BQ225" i="60819"/>
  <c r="AH48" i="60818"/>
  <c r="B48" s="1"/>
  <c r="E53"/>
  <c r="AH61"/>
  <c r="B61" s="1"/>
  <c r="AG69"/>
  <c r="AH79"/>
  <c r="B79" s="1"/>
  <c r="E85"/>
  <c r="C69"/>
  <c r="AH58"/>
  <c r="AH77"/>
  <c r="C85"/>
  <c r="AH82"/>
  <c r="B82" s="1"/>
  <c r="AE85"/>
  <c r="AH105"/>
  <c r="AH46"/>
  <c r="B46" s="1"/>
  <c r="AG53"/>
  <c r="AH47"/>
  <c r="B47" s="1"/>
  <c r="C53"/>
  <c r="AK241" i="60819"/>
  <c r="G15" i="60817"/>
  <c r="K15" s="1"/>
  <c r="FR33" i="60819"/>
  <c r="EL33"/>
  <c r="DC229"/>
  <c r="DC241" s="1"/>
  <c r="K11" i="60817"/>
  <c r="AH6" i="60818"/>
  <c r="C18"/>
  <c r="I10" i="60817"/>
  <c r="B162" i="60818"/>
  <c r="G12" i="60817" s="1"/>
  <c r="AH143" i="60818"/>
  <c r="AH124"/>
  <c r="AK257" i="60819"/>
  <c r="BQ241"/>
  <c r="BQ257"/>
  <c r="AH182" i="60818"/>
  <c r="AH162"/>
  <c r="B124"/>
  <c r="AH463" i="2316"/>
  <c r="AH464"/>
  <c r="AH447"/>
  <c r="AH448"/>
  <c r="L11" i="60817" l="1"/>
  <c r="H10"/>
  <c r="K10"/>
  <c r="L10"/>
  <c r="I11"/>
  <c r="AH53" i="60818"/>
  <c r="B53"/>
  <c r="G7" i="60817" s="1"/>
  <c r="I7" s="1"/>
  <c r="I15"/>
  <c r="B77" i="60818"/>
  <c r="B85" s="1"/>
  <c r="G9" i="60817" s="1"/>
  <c r="AH85" i="60818"/>
  <c r="B58"/>
  <c r="B69" s="1"/>
  <c r="G8" i="60817" s="1"/>
  <c r="AH69" i="60818"/>
  <c r="H15" i="60817"/>
  <c r="J15" s="1"/>
  <c r="H12"/>
  <c r="I12"/>
  <c r="K12"/>
  <c r="B6" i="60818"/>
  <c r="B18" s="1"/>
  <c r="G13" i="60817" s="1"/>
  <c r="AH18" i="60818"/>
  <c r="E179" i="7380"/>
  <c r="E180"/>
  <c r="E181"/>
  <c r="E182"/>
  <c r="E183"/>
  <c r="E184"/>
  <c r="E185"/>
  <c r="E186"/>
  <c r="E187"/>
  <c r="E188"/>
  <c r="E189"/>
  <c r="E190"/>
  <c r="E191"/>
  <c r="E192"/>
  <c r="E193"/>
  <c r="E194"/>
  <c r="E178"/>
  <c r="E193" i="1792"/>
  <c r="E194"/>
  <c r="E195"/>
  <c r="E196"/>
  <c r="E197"/>
  <c r="E198"/>
  <c r="E199"/>
  <c r="E200"/>
  <c r="E201"/>
  <c r="E202"/>
  <c r="E203"/>
  <c r="E204"/>
  <c r="E205"/>
  <c r="E206"/>
  <c r="E207"/>
  <c r="E208"/>
  <c r="E192"/>
  <c r="E77" i="11565"/>
  <c r="E78"/>
  <c r="E79"/>
  <c r="E80"/>
  <c r="E81"/>
  <c r="E82"/>
  <c r="E83"/>
  <c r="E84"/>
  <c r="E85"/>
  <c r="E86"/>
  <c r="E76"/>
  <c r="E240" i="7380"/>
  <c r="E35" i="11565"/>
  <c r="E36"/>
  <c r="E37"/>
  <c r="E38"/>
  <c r="E39"/>
  <c r="E40"/>
  <c r="E41"/>
  <c r="E42"/>
  <c r="E43"/>
  <c r="E44"/>
  <c r="E45"/>
  <c r="E46"/>
  <c r="E47"/>
  <c r="E48"/>
  <c r="E49"/>
  <c r="E50"/>
  <c r="E34"/>
  <c r="D71"/>
  <c r="D51"/>
  <c r="D16"/>
  <c r="D29"/>
  <c r="E23"/>
  <c r="E22"/>
  <c r="E9" i="7380"/>
  <c r="E8"/>
  <c r="E21" i="1792"/>
  <c r="E23" s="1"/>
  <c r="C23"/>
  <c r="E8" i="11565"/>
  <c r="E9"/>
  <c r="E39" i="1792"/>
  <c r="E40"/>
  <c r="E38"/>
  <c r="E7" i="11565"/>
  <c r="E8" i="1792"/>
  <c r="E9"/>
  <c r="E7"/>
  <c r="C12" i="60814"/>
  <c r="G105" i="7380"/>
  <c r="E171" s="1"/>
  <c r="F185" i="1792"/>
  <c r="G119"/>
  <c r="K7" i="60817" l="1"/>
  <c r="H7"/>
  <c r="L15"/>
  <c r="E185" i="1792"/>
  <c r="G185" s="1"/>
  <c r="H185" s="1"/>
  <c r="H8" i="60817"/>
  <c r="I8"/>
  <c r="K8"/>
  <c r="H9"/>
  <c r="I9"/>
  <c r="K9"/>
  <c r="G171" i="7380"/>
  <c r="H171" s="1"/>
  <c r="H105"/>
  <c r="L12" i="60817"/>
  <c r="J12"/>
  <c r="K13"/>
  <c r="I13"/>
  <c r="H13"/>
  <c r="H119" i="1792"/>
  <c r="E26" i="7380"/>
  <c r="AG69" i="32"/>
  <c r="AF69"/>
  <c r="AE69"/>
  <c r="AC69"/>
  <c r="AB69"/>
  <c r="AA69"/>
  <c r="Z69"/>
  <c r="Y69"/>
  <c r="X69"/>
  <c r="W69"/>
  <c r="V69"/>
  <c r="U69"/>
  <c r="T69"/>
  <c r="S69"/>
  <c r="R69"/>
  <c r="Q69"/>
  <c r="P69"/>
  <c r="O69"/>
  <c r="N69"/>
  <c r="M69"/>
  <c r="L69"/>
  <c r="K69"/>
  <c r="J69"/>
  <c r="I69"/>
  <c r="H69"/>
  <c r="G69"/>
  <c r="F69"/>
  <c r="E69"/>
  <c r="D69"/>
  <c r="C69"/>
  <c r="AH68"/>
  <c r="B68" s="1"/>
  <c r="AH67"/>
  <c r="B67" s="1"/>
  <c r="AH66"/>
  <c r="B66" s="1"/>
  <c r="AH65"/>
  <c r="B65" s="1"/>
  <c r="AH64"/>
  <c r="B64" s="1"/>
  <c r="AH63"/>
  <c r="B63" s="1"/>
  <c r="AH62"/>
  <c r="B62" s="1"/>
  <c r="AH61"/>
  <c r="B61" s="1"/>
  <c r="AH60"/>
  <c r="B60" s="1"/>
  <c r="AH59"/>
  <c r="B59" s="1"/>
  <c r="AH58"/>
  <c r="B58" s="1"/>
  <c r="AH57"/>
  <c r="AG135" i="2316"/>
  <c r="AF135"/>
  <c r="AE135"/>
  <c r="AD135"/>
  <c r="AC135"/>
  <c r="AB135"/>
  <c r="AA135"/>
  <c r="Z135"/>
  <c r="Y135"/>
  <c r="X135"/>
  <c r="W135"/>
  <c r="V135"/>
  <c r="U135"/>
  <c r="T135"/>
  <c r="S135"/>
  <c r="R135"/>
  <c r="Q135"/>
  <c r="P135"/>
  <c r="O135"/>
  <c r="N135"/>
  <c r="M135"/>
  <c r="L135"/>
  <c r="K135"/>
  <c r="J135"/>
  <c r="I135"/>
  <c r="H135"/>
  <c r="G135"/>
  <c r="F135"/>
  <c r="E135"/>
  <c r="D135"/>
  <c r="C135"/>
  <c r="AH134"/>
  <c r="B134" s="1"/>
  <c r="AH133"/>
  <c r="B133" s="1"/>
  <c r="AH132"/>
  <c r="AH131"/>
  <c r="B131" s="1"/>
  <c r="AH130"/>
  <c r="B130" s="1"/>
  <c r="AH129"/>
  <c r="B129" s="1"/>
  <c r="AH128"/>
  <c r="B128" s="1"/>
  <c r="AH127"/>
  <c r="B127" s="1"/>
  <c r="AH126"/>
  <c r="B126" s="1"/>
  <c r="AH125"/>
  <c r="B125" s="1"/>
  <c r="AH124"/>
  <c r="B124" s="1"/>
  <c r="AH123"/>
  <c r="B123" s="1"/>
  <c r="AH7" i="8194"/>
  <c r="F32" i="7380" l="1"/>
  <c r="F38"/>
  <c r="J7" i="60817"/>
  <c r="L7"/>
  <c r="F46" i="1792"/>
  <c r="F52"/>
  <c r="F40"/>
  <c r="J8" i="60817"/>
  <c r="L8"/>
  <c r="L9"/>
  <c r="J9"/>
  <c r="J13"/>
  <c r="L13"/>
  <c r="AH69" i="32"/>
  <c r="B57"/>
  <c r="B135" i="2316"/>
  <c r="AH135"/>
  <c r="B69" i="32" l="1"/>
  <c r="F26" i="7380"/>
  <c r="G26" s="1"/>
  <c r="E32" l="1"/>
  <c r="G32" s="1"/>
  <c r="H26"/>
  <c r="F58" i="60796"/>
  <c r="C58"/>
  <c r="C29" i="2" s="1"/>
  <c r="C59" i="60796"/>
  <c r="F56"/>
  <c r="C56"/>
  <c r="C28" i="2" s="1"/>
  <c r="C57" i="60796"/>
  <c r="F52"/>
  <c r="C52"/>
  <c r="C26" i="2" s="1"/>
  <c r="F50" i="60796"/>
  <c r="C50"/>
  <c r="C25" i="2" s="1"/>
  <c r="C51" i="60796"/>
  <c r="F48"/>
  <c r="C48"/>
  <c r="C24" i="2" s="1"/>
  <c r="C49" i="60796"/>
  <c r="F46"/>
  <c r="C44"/>
  <c r="C22" i="2" s="1"/>
  <c r="C45" i="60796"/>
  <c r="C46"/>
  <c r="C23" i="2" s="1"/>
  <c r="C47" i="60796"/>
  <c r="F44"/>
  <c r="F38"/>
  <c r="F40"/>
  <c r="F42"/>
  <c r="C43"/>
  <c r="C42"/>
  <c r="C21" i="2" s="1"/>
  <c r="C40" i="60796"/>
  <c r="C20" i="2" s="1"/>
  <c r="C41" i="60796"/>
  <c r="C38"/>
  <c r="C19" i="2" s="1"/>
  <c r="F36" i="60796"/>
  <c r="C36"/>
  <c r="C18" i="2" s="1"/>
  <c r="C37" i="60796"/>
  <c r="F34"/>
  <c r="C34"/>
  <c r="C17" i="2" s="1"/>
  <c r="C35" i="60796"/>
  <c r="F13"/>
  <c r="C13"/>
  <c r="C9" i="2" s="1"/>
  <c r="C14" i="60796"/>
  <c r="F11"/>
  <c r="C11"/>
  <c r="C8" i="2" s="1"/>
  <c r="C12" i="60796"/>
  <c r="C7" i="2"/>
  <c r="C7" i="60796"/>
  <c r="C6" i="2" s="1"/>
  <c r="F7" i="60796"/>
  <c r="F6" i="60815"/>
  <c r="D81"/>
  <c r="C6"/>
  <c r="E6" s="1"/>
  <c r="E79"/>
  <c r="G79" s="1"/>
  <c r="H79" s="1"/>
  <c r="E78"/>
  <c r="G78" s="1"/>
  <c r="H78" s="1"/>
  <c r="E77"/>
  <c r="G77" s="1"/>
  <c r="H77" s="1"/>
  <c r="E76"/>
  <c r="G76" s="1"/>
  <c r="H76" s="1"/>
  <c r="E75"/>
  <c r="G75" s="1"/>
  <c r="H75" s="1"/>
  <c r="E74"/>
  <c r="G74" s="1"/>
  <c r="H74" s="1"/>
  <c r="E73"/>
  <c r="G73" s="1"/>
  <c r="H73" s="1"/>
  <c r="E72"/>
  <c r="G72" s="1"/>
  <c r="H72" s="1"/>
  <c r="E71"/>
  <c r="G71" s="1"/>
  <c r="H71" s="1"/>
  <c r="E70"/>
  <c r="G70" s="1"/>
  <c r="H70" s="1"/>
  <c r="E69"/>
  <c r="G69" s="1"/>
  <c r="H69" s="1"/>
  <c r="E68"/>
  <c r="G68" s="1"/>
  <c r="H68" s="1"/>
  <c r="E67"/>
  <c r="G67" s="1"/>
  <c r="H67" s="1"/>
  <c r="E66"/>
  <c r="G66" s="1"/>
  <c r="H66" s="1"/>
  <c r="E65"/>
  <c r="G65" s="1"/>
  <c r="H65" s="1"/>
  <c r="E64"/>
  <c r="G64" s="1"/>
  <c r="H64" s="1"/>
  <c r="E63"/>
  <c r="G63" s="1"/>
  <c r="H63" s="1"/>
  <c r="E62"/>
  <c r="G62" s="1"/>
  <c r="H62" s="1"/>
  <c r="E61"/>
  <c r="G61" s="1"/>
  <c r="H61" s="1"/>
  <c r="E60"/>
  <c r="G60" s="1"/>
  <c r="H60" s="1"/>
  <c r="E59"/>
  <c r="G59" s="1"/>
  <c r="H59" s="1"/>
  <c r="E58"/>
  <c r="G58" s="1"/>
  <c r="H58" s="1"/>
  <c r="E57"/>
  <c r="G57" s="1"/>
  <c r="H57" s="1"/>
  <c r="E56"/>
  <c r="G56" s="1"/>
  <c r="H56" s="1"/>
  <c r="E55"/>
  <c r="G55" s="1"/>
  <c r="H55" s="1"/>
  <c r="E54"/>
  <c r="G54" s="1"/>
  <c r="H54" s="1"/>
  <c r="E53"/>
  <c r="G53" s="1"/>
  <c r="H53" s="1"/>
  <c r="E52"/>
  <c r="G52" s="1"/>
  <c r="H52" s="1"/>
  <c r="E51"/>
  <c r="G51" s="1"/>
  <c r="H51" s="1"/>
  <c r="E50"/>
  <c r="G50" s="1"/>
  <c r="H50" s="1"/>
  <c r="E49"/>
  <c r="G49" s="1"/>
  <c r="H49" s="1"/>
  <c r="E48"/>
  <c r="G48" s="1"/>
  <c r="H48" s="1"/>
  <c r="E47"/>
  <c r="G47" s="1"/>
  <c r="H47" s="1"/>
  <c r="E46"/>
  <c r="G46" s="1"/>
  <c r="H46" s="1"/>
  <c r="E45"/>
  <c r="G45" s="1"/>
  <c r="H45" s="1"/>
  <c r="E44"/>
  <c r="G44" s="1"/>
  <c r="H44" s="1"/>
  <c r="E43"/>
  <c r="G43" s="1"/>
  <c r="H43" s="1"/>
  <c r="E42"/>
  <c r="G42" s="1"/>
  <c r="H42" s="1"/>
  <c r="E41"/>
  <c r="G41" s="1"/>
  <c r="H41" s="1"/>
  <c r="E40"/>
  <c r="G40" s="1"/>
  <c r="H40" s="1"/>
  <c r="E39"/>
  <c r="G39" s="1"/>
  <c r="H39" s="1"/>
  <c r="E38"/>
  <c r="G38" s="1"/>
  <c r="H38" s="1"/>
  <c r="E37"/>
  <c r="G37" s="1"/>
  <c r="H37" s="1"/>
  <c r="E36"/>
  <c r="G36" s="1"/>
  <c r="H36" s="1"/>
  <c r="E35"/>
  <c r="G35" s="1"/>
  <c r="H35" s="1"/>
  <c r="E34"/>
  <c r="G34" s="1"/>
  <c r="H34" s="1"/>
  <c r="E33"/>
  <c r="G33" s="1"/>
  <c r="H33" s="1"/>
  <c r="E32"/>
  <c r="G32" s="1"/>
  <c r="H32" s="1"/>
  <c r="E31"/>
  <c r="G31" s="1"/>
  <c r="H31" s="1"/>
  <c r="E30"/>
  <c r="G30" s="1"/>
  <c r="H30" s="1"/>
  <c r="E29"/>
  <c r="G29" s="1"/>
  <c r="H29" s="1"/>
  <c r="E28"/>
  <c r="G28" s="1"/>
  <c r="H28" s="1"/>
  <c r="E27"/>
  <c r="G27" s="1"/>
  <c r="H27" s="1"/>
  <c r="E26"/>
  <c r="G26" s="1"/>
  <c r="H26" s="1"/>
  <c r="E25"/>
  <c r="G25" s="1"/>
  <c r="H25" s="1"/>
  <c r="E24"/>
  <c r="G24" s="1"/>
  <c r="H24" s="1"/>
  <c r="E23"/>
  <c r="G23" s="1"/>
  <c r="H23" s="1"/>
  <c r="E22"/>
  <c r="G22" s="1"/>
  <c r="H22" s="1"/>
  <c r="E21"/>
  <c r="G21" s="1"/>
  <c r="H21" s="1"/>
  <c r="J20"/>
  <c r="J21" s="1"/>
  <c r="J22" s="1"/>
  <c r="J23" s="1"/>
  <c r="J24" s="1"/>
  <c r="J25" s="1"/>
  <c r="J26" s="1"/>
  <c r="J27" s="1"/>
  <c r="J28" s="1"/>
  <c r="J29" s="1"/>
  <c r="J30" s="1"/>
  <c r="J31" s="1"/>
  <c r="J32" s="1"/>
  <c r="J33" s="1"/>
  <c r="J34" s="1"/>
  <c r="J35" s="1"/>
  <c r="J36" s="1"/>
  <c r="J37" s="1"/>
  <c r="J38" s="1"/>
  <c r="J39" s="1"/>
  <c r="J40" s="1"/>
  <c r="J41" s="1"/>
  <c r="J42" s="1"/>
  <c r="J43" s="1"/>
  <c r="J44" s="1"/>
  <c r="J45" s="1"/>
  <c r="J46" s="1"/>
  <c r="J47" s="1"/>
  <c r="J48" s="1"/>
  <c r="J49" s="1"/>
  <c r="J50" s="1"/>
  <c r="J51" s="1"/>
  <c r="J52" s="1"/>
  <c r="J53" s="1"/>
  <c r="J54" s="1"/>
  <c r="J55" s="1"/>
  <c r="J56" s="1"/>
  <c r="J57" s="1"/>
  <c r="J58" s="1"/>
  <c r="J59" s="1"/>
  <c r="J60" s="1"/>
  <c r="J61" s="1"/>
  <c r="J62" s="1"/>
  <c r="J63" s="1"/>
  <c r="J64" s="1"/>
  <c r="J65" s="1"/>
  <c r="J66" s="1"/>
  <c r="J67" s="1"/>
  <c r="J68" s="1"/>
  <c r="J69" s="1"/>
  <c r="J70" s="1"/>
  <c r="J71" s="1"/>
  <c r="J72" s="1"/>
  <c r="J73" s="1"/>
  <c r="J74" s="1"/>
  <c r="J75" s="1"/>
  <c r="J76" s="1"/>
  <c r="J77" s="1"/>
  <c r="J78" s="1"/>
  <c r="J79" s="1"/>
  <c r="J81" s="1"/>
  <c r="E20"/>
  <c r="G20" s="1"/>
  <c r="H20" s="1"/>
  <c r="E19"/>
  <c r="G19" l="1"/>
  <c r="H19" s="1"/>
  <c r="E81"/>
  <c r="G81" s="1"/>
  <c r="H81" s="1"/>
  <c r="G6"/>
  <c r="H6" s="1"/>
  <c r="E38" i="7380"/>
  <c r="G38" s="1"/>
  <c r="H38" s="1"/>
  <c r="H32"/>
  <c r="F73" i="60796" l="1"/>
  <c r="C41" i="516" l="1"/>
  <c r="D41"/>
  <c r="E41"/>
  <c r="F41"/>
  <c r="G41"/>
  <c r="H41"/>
  <c r="I41"/>
  <c r="J41"/>
  <c r="K41"/>
  <c r="L41"/>
  <c r="M41"/>
  <c r="N41"/>
  <c r="O41"/>
  <c r="P41"/>
  <c r="Q41"/>
  <c r="R41"/>
  <c r="S41"/>
  <c r="T41"/>
  <c r="U41"/>
  <c r="V41"/>
  <c r="W41"/>
  <c r="X41"/>
  <c r="Y41"/>
  <c r="Z41"/>
  <c r="AA41"/>
  <c r="AB41"/>
  <c r="AC41"/>
  <c r="AD41"/>
  <c r="AE41"/>
  <c r="AF41"/>
  <c r="AG41"/>
  <c r="C42"/>
  <c r="D42"/>
  <c r="E42"/>
  <c r="F42"/>
  <c r="G42"/>
  <c r="H42"/>
  <c r="I42"/>
  <c r="J42"/>
  <c r="K42"/>
  <c r="L42"/>
  <c r="M42"/>
  <c r="N42"/>
  <c r="O42"/>
  <c r="P42"/>
  <c r="Q42"/>
  <c r="R42"/>
  <c r="S42"/>
  <c r="T42"/>
  <c r="U42"/>
  <c r="V42"/>
  <c r="W42"/>
  <c r="X42"/>
  <c r="Y42"/>
  <c r="Z42"/>
  <c r="AA42"/>
  <c r="AB42"/>
  <c r="AC42"/>
  <c r="AD42"/>
  <c r="AE42"/>
  <c r="AF42"/>
  <c r="AG42"/>
  <c r="C43"/>
  <c r="D43"/>
  <c r="E43"/>
  <c r="F43"/>
  <c r="G43"/>
  <c r="H43"/>
  <c r="I43"/>
  <c r="J43"/>
  <c r="K43"/>
  <c r="L43"/>
  <c r="M43"/>
  <c r="N43"/>
  <c r="O43"/>
  <c r="P43"/>
  <c r="Q43"/>
  <c r="R43"/>
  <c r="S43"/>
  <c r="T43"/>
  <c r="U43"/>
  <c r="V43"/>
  <c r="W43"/>
  <c r="X43"/>
  <c r="Y43"/>
  <c r="Z43"/>
  <c r="AA43"/>
  <c r="AB43"/>
  <c r="AC43"/>
  <c r="AD43"/>
  <c r="AE43"/>
  <c r="AF43"/>
  <c r="AG43"/>
  <c r="C44"/>
  <c r="D44"/>
  <c r="E44"/>
  <c r="F44"/>
  <c r="G44"/>
  <c r="H44"/>
  <c r="I44"/>
  <c r="J44"/>
  <c r="K44"/>
  <c r="L44"/>
  <c r="M44"/>
  <c r="N44"/>
  <c r="O44"/>
  <c r="P44"/>
  <c r="Q44"/>
  <c r="R44"/>
  <c r="S44"/>
  <c r="T44"/>
  <c r="U44"/>
  <c r="V44"/>
  <c r="W44"/>
  <c r="X44"/>
  <c r="Y44"/>
  <c r="Z44"/>
  <c r="AA44"/>
  <c r="AB44"/>
  <c r="AC44"/>
  <c r="AD44"/>
  <c r="AE44"/>
  <c r="AF44"/>
  <c r="AG44"/>
  <c r="C45"/>
  <c r="D45"/>
  <c r="E45"/>
  <c r="F45"/>
  <c r="G45"/>
  <c r="H45"/>
  <c r="I45"/>
  <c r="J45"/>
  <c r="K45"/>
  <c r="L45"/>
  <c r="M45"/>
  <c r="N45"/>
  <c r="O45"/>
  <c r="P45"/>
  <c r="Q45"/>
  <c r="R45"/>
  <c r="S45"/>
  <c r="T45"/>
  <c r="U45"/>
  <c r="V45"/>
  <c r="W45"/>
  <c r="X45"/>
  <c r="Y45"/>
  <c r="Z45"/>
  <c r="AA45"/>
  <c r="AB45"/>
  <c r="AC45"/>
  <c r="AD45"/>
  <c r="AE45"/>
  <c r="AF45"/>
  <c r="AG45"/>
  <c r="C46"/>
  <c r="D46"/>
  <c r="E46"/>
  <c r="F46"/>
  <c r="G46"/>
  <c r="H46"/>
  <c r="I46"/>
  <c r="J46"/>
  <c r="K46"/>
  <c r="L46"/>
  <c r="M46"/>
  <c r="N46"/>
  <c r="O46"/>
  <c r="P46"/>
  <c r="Q46"/>
  <c r="R46"/>
  <c r="S46"/>
  <c r="T46"/>
  <c r="U46"/>
  <c r="V46"/>
  <c r="W46"/>
  <c r="X46"/>
  <c r="Y46"/>
  <c r="Z46"/>
  <c r="AA46"/>
  <c r="AB46"/>
  <c r="AC46"/>
  <c r="AD46"/>
  <c r="AE46"/>
  <c r="AF46"/>
  <c r="AG46"/>
  <c r="C47"/>
  <c r="D47"/>
  <c r="E47"/>
  <c r="F47"/>
  <c r="G47"/>
  <c r="H47"/>
  <c r="I47"/>
  <c r="J47"/>
  <c r="K47"/>
  <c r="L47"/>
  <c r="M47"/>
  <c r="N47"/>
  <c r="O47"/>
  <c r="P47"/>
  <c r="Q47"/>
  <c r="R47"/>
  <c r="S47"/>
  <c r="T47"/>
  <c r="U47"/>
  <c r="V47"/>
  <c r="W47"/>
  <c r="X47"/>
  <c r="Y47"/>
  <c r="Z47"/>
  <c r="AA47"/>
  <c r="AB47"/>
  <c r="AC47"/>
  <c r="AD47"/>
  <c r="AE47"/>
  <c r="AF47"/>
  <c r="AG47"/>
  <c r="C48"/>
  <c r="D48"/>
  <c r="E48"/>
  <c r="F48"/>
  <c r="G48"/>
  <c r="H48"/>
  <c r="I48"/>
  <c r="J48"/>
  <c r="K48"/>
  <c r="L48"/>
  <c r="M48"/>
  <c r="N48"/>
  <c r="O48"/>
  <c r="P48"/>
  <c r="Q48"/>
  <c r="R48"/>
  <c r="S48"/>
  <c r="T48"/>
  <c r="U48"/>
  <c r="V48"/>
  <c r="W48"/>
  <c r="X48"/>
  <c r="Y48"/>
  <c r="Z48"/>
  <c r="AA48"/>
  <c r="AB48"/>
  <c r="AC48"/>
  <c r="AD48"/>
  <c r="AE48"/>
  <c r="AF48"/>
  <c r="AG48"/>
  <c r="C49"/>
  <c r="D49"/>
  <c r="E49"/>
  <c r="F49"/>
  <c r="G49"/>
  <c r="H49"/>
  <c r="J49"/>
  <c r="K49"/>
  <c r="L49"/>
  <c r="M49"/>
  <c r="N49"/>
  <c r="O49"/>
  <c r="P49"/>
  <c r="Q49"/>
  <c r="R49"/>
  <c r="S49"/>
  <c r="T49"/>
  <c r="U49"/>
  <c r="V49"/>
  <c r="W49"/>
  <c r="X49"/>
  <c r="Y49"/>
  <c r="Z49"/>
  <c r="AA49"/>
  <c r="AB49"/>
  <c r="AC49"/>
  <c r="AD49"/>
  <c r="AE49"/>
  <c r="AF49"/>
  <c r="AG49"/>
  <c r="C50"/>
  <c r="D50"/>
  <c r="E50"/>
  <c r="F50"/>
  <c r="G50"/>
  <c r="H50"/>
  <c r="I50"/>
  <c r="J50"/>
  <c r="K50"/>
  <c r="L50"/>
  <c r="M50"/>
  <c r="N50"/>
  <c r="O50"/>
  <c r="P50"/>
  <c r="Q50"/>
  <c r="R50"/>
  <c r="S50"/>
  <c r="T50"/>
  <c r="U50"/>
  <c r="V50"/>
  <c r="W50"/>
  <c r="X50"/>
  <c r="Y50"/>
  <c r="Z50"/>
  <c r="AA50"/>
  <c r="AB50"/>
  <c r="AC50"/>
  <c r="AD50"/>
  <c r="AE50"/>
  <c r="AF50"/>
  <c r="AG50"/>
  <c r="C39"/>
  <c r="D39"/>
  <c r="I39"/>
  <c r="J39"/>
  <c r="K39"/>
  <c r="L39"/>
  <c r="M39"/>
  <c r="N39"/>
  <c r="O39"/>
  <c r="P39"/>
  <c r="Q39"/>
  <c r="R39"/>
  <c r="S39"/>
  <c r="T39"/>
  <c r="U39"/>
  <c r="V39"/>
  <c r="W39"/>
  <c r="X39"/>
  <c r="Y39"/>
  <c r="Z39"/>
  <c r="AA39"/>
  <c r="AB39"/>
  <c r="AC39"/>
  <c r="AD39"/>
  <c r="AE39"/>
  <c r="AF39"/>
  <c r="AG39"/>
  <c r="D40"/>
  <c r="I40"/>
  <c r="J40"/>
  <c r="K40"/>
  <c r="L40"/>
  <c r="M40"/>
  <c r="N40"/>
  <c r="O40"/>
  <c r="P40"/>
  <c r="Q40"/>
  <c r="R40"/>
  <c r="S40"/>
  <c r="T40"/>
  <c r="U40"/>
  <c r="V40"/>
  <c r="W40"/>
  <c r="X40"/>
  <c r="Y40"/>
  <c r="Z40"/>
  <c r="AA40"/>
  <c r="AB40"/>
  <c r="AC40"/>
  <c r="AD40"/>
  <c r="AE40"/>
  <c r="AF40"/>
  <c r="AG40"/>
  <c r="C40"/>
  <c r="AG84"/>
  <c r="AF84"/>
  <c r="AE84"/>
  <c r="AD84"/>
  <c r="AC84"/>
  <c r="AB84"/>
  <c r="AA84"/>
  <c r="Z84"/>
  <c r="Y84"/>
  <c r="X84"/>
  <c r="W84"/>
  <c r="V84"/>
  <c r="U84"/>
  <c r="T84"/>
  <c r="S84"/>
  <c r="R84"/>
  <c r="Q84"/>
  <c r="P84"/>
  <c r="O84"/>
  <c r="N84"/>
  <c r="M84"/>
  <c r="L84"/>
  <c r="K84"/>
  <c r="J84"/>
  <c r="I84"/>
  <c r="H84"/>
  <c r="G84"/>
  <c r="F84"/>
  <c r="E84"/>
  <c r="D84"/>
  <c r="C84"/>
  <c r="AH83"/>
  <c r="B83" s="1"/>
  <c r="AH82"/>
  <c r="B82" s="1"/>
  <c r="AH81"/>
  <c r="B81" s="1"/>
  <c r="AH80"/>
  <c r="B80" s="1"/>
  <c r="AH79"/>
  <c r="B79" s="1"/>
  <c r="AH78"/>
  <c r="B78" s="1"/>
  <c r="AH77"/>
  <c r="B77" s="1"/>
  <c r="AH76"/>
  <c r="B76" s="1"/>
  <c r="AH75"/>
  <c r="B75" s="1"/>
  <c r="AH74"/>
  <c r="B74" s="1"/>
  <c r="AH73"/>
  <c r="B73" s="1"/>
  <c r="AH72"/>
  <c r="AG68"/>
  <c r="AF68"/>
  <c r="AE68"/>
  <c r="AD68"/>
  <c r="AC68"/>
  <c r="AB68"/>
  <c r="AA68"/>
  <c r="Z68"/>
  <c r="Y68"/>
  <c r="X68"/>
  <c r="W68"/>
  <c r="V68"/>
  <c r="U68"/>
  <c r="T68"/>
  <c r="S68"/>
  <c r="R68"/>
  <c r="Q68"/>
  <c r="P68"/>
  <c r="O68"/>
  <c r="N68"/>
  <c r="M68"/>
  <c r="L68"/>
  <c r="K68"/>
  <c r="J68"/>
  <c r="I68"/>
  <c r="H68"/>
  <c r="G68"/>
  <c r="F68"/>
  <c r="E68"/>
  <c r="D68"/>
  <c r="C68"/>
  <c r="AH67"/>
  <c r="B67" s="1"/>
  <c r="AH66"/>
  <c r="B66" s="1"/>
  <c r="AH65"/>
  <c r="B65" s="1"/>
  <c r="AH64"/>
  <c r="B64" s="1"/>
  <c r="AH63"/>
  <c r="B63" s="1"/>
  <c r="AH62"/>
  <c r="B62" s="1"/>
  <c r="AH61"/>
  <c r="B61" s="1"/>
  <c r="AH60"/>
  <c r="B60" s="1"/>
  <c r="AH59"/>
  <c r="B59" s="1"/>
  <c r="AH58"/>
  <c r="B58" s="1"/>
  <c r="AH57"/>
  <c r="B57" s="1"/>
  <c r="AH56"/>
  <c r="AH68" l="1"/>
  <c r="AH84"/>
  <c r="B72"/>
  <c r="B84" s="1"/>
  <c r="B56"/>
  <c r="B68" s="1"/>
  <c r="F81" i="60796" l="1"/>
  <c r="AG149" i="60806"/>
  <c r="AF149"/>
  <c r="AE149"/>
  <c r="AC149"/>
  <c r="AB149"/>
  <c r="AA149"/>
  <c r="Z149"/>
  <c r="Y149"/>
  <c r="X149"/>
  <c r="W149"/>
  <c r="V149"/>
  <c r="U149"/>
  <c r="T149"/>
  <c r="S149"/>
  <c r="R149"/>
  <c r="Q149"/>
  <c r="P149"/>
  <c r="O149"/>
  <c r="N149"/>
  <c r="M149"/>
  <c r="L149"/>
  <c r="K149"/>
  <c r="J149"/>
  <c r="I149"/>
  <c r="H149"/>
  <c r="G149"/>
  <c r="F149"/>
  <c r="D149"/>
  <c r="C149"/>
  <c r="AH137"/>
  <c r="AG133"/>
  <c r="AF133"/>
  <c r="AE133"/>
  <c r="AC133"/>
  <c r="AB133"/>
  <c r="AA133"/>
  <c r="Z133"/>
  <c r="Y133"/>
  <c r="X133"/>
  <c r="W133"/>
  <c r="V133"/>
  <c r="U133"/>
  <c r="T133"/>
  <c r="S133"/>
  <c r="R133"/>
  <c r="Q133"/>
  <c r="P133"/>
  <c r="O133"/>
  <c r="N133"/>
  <c r="M133"/>
  <c r="L133"/>
  <c r="K133"/>
  <c r="J133"/>
  <c r="I133"/>
  <c r="H133"/>
  <c r="G133"/>
  <c r="F133"/>
  <c r="D133"/>
  <c r="C133"/>
  <c r="AH132"/>
  <c r="B132" s="1"/>
  <c r="AH131"/>
  <c r="B131" s="1"/>
  <c r="AH130"/>
  <c r="B130" s="1"/>
  <c r="AH129"/>
  <c r="B129" s="1"/>
  <c r="AH128"/>
  <c r="B128" s="1"/>
  <c r="AH127"/>
  <c r="B127" s="1"/>
  <c r="AH126"/>
  <c r="B126" s="1"/>
  <c r="AH125"/>
  <c r="B125" s="1"/>
  <c r="AH124"/>
  <c r="B124" s="1"/>
  <c r="AH123"/>
  <c r="B123" s="1"/>
  <c r="AH122"/>
  <c r="B122" s="1"/>
  <c r="AH121"/>
  <c r="AG117"/>
  <c r="AF117"/>
  <c r="AE117"/>
  <c r="AC117"/>
  <c r="AB117"/>
  <c r="AA117"/>
  <c r="Z117"/>
  <c r="Y117"/>
  <c r="X117"/>
  <c r="W117"/>
  <c r="V117"/>
  <c r="U117"/>
  <c r="T117"/>
  <c r="S117"/>
  <c r="R117"/>
  <c r="Q117"/>
  <c r="P117"/>
  <c r="O117"/>
  <c r="N117"/>
  <c r="M117"/>
  <c r="L117"/>
  <c r="K117"/>
  <c r="J117"/>
  <c r="I117"/>
  <c r="H117"/>
  <c r="G117"/>
  <c r="F117"/>
  <c r="D117"/>
  <c r="C117"/>
  <c r="AH116"/>
  <c r="B116" s="1"/>
  <c r="AH115"/>
  <c r="B115" s="1"/>
  <c r="AH114"/>
  <c r="B114" s="1"/>
  <c r="AH113"/>
  <c r="B113" s="1"/>
  <c r="AH112"/>
  <c r="B112" s="1"/>
  <c r="AH111"/>
  <c r="B111" s="1"/>
  <c r="AH110"/>
  <c r="B110" s="1"/>
  <c r="AH109"/>
  <c r="B109" s="1"/>
  <c r="AH108"/>
  <c r="B108" s="1"/>
  <c r="AH107"/>
  <c r="B107" s="1"/>
  <c r="AH106"/>
  <c r="B106" s="1"/>
  <c r="AH105"/>
  <c r="B105" s="1"/>
  <c r="AG101"/>
  <c r="AF101"/>
  <c r="AE101"/>
  <c r="AC101"/>
  <c r="AB101"/>
  <c r="AA101"/>
  <c r="Z101"/>
  <c r="Y101"/>
  <c r="X101"/>
  <c r="W101"/>
  <c r="V101"/>
  <c r="U101"/>
  <c r="T101"/>
  <c r="S101"/>
  <c r="R101"/>
  <c r="Q101"/>
  <c r="P101"/>
  <c r="O101"/>
  <c r="N101"/>
  <c r="M101"/>
  <c r="L101"/>
  <c r="K101"/>
  <c r="J101"/>
  <c r="I101"/>
  <c r="H101"/>
  <c r="G101"/>
  <c r="F101"/>
  <c r="D101"/>
  <c r="C101"/>
  <c r="AH100"/>
  <c r="B100" s="1"/>
  <c r="AH99"/>
  <c r="B99" s="1"/>
  <c r="AH98"/>
  <c r="B98" s="1"/>
  <c r="AH97"/>
  <c r="B97" s="1"/>
  <c r="AH96"/>
  <c r="B96" s="1"/>
  <c r="AH95"/>
  <c r="B95" s="1"/>
  <c r="AH94"/>
  <c r="B94" s="1"/>
  <c r="AH93"/>
  <c r="B93" s="1"/>
  <c r="AH92"/>
  <c r="B92" s="1"/>
  <c r="AH91"/>
  <c r="B91" s="1"/>
  <c r="AH90"/>
  <c r="B90" s="1"/>
  <c r="AH89"/>
  <c r="AG85"/>
  <c r="AF85"/>
  <c r="AE85"/>
  <c r="AC85"/>
  <c r="AB85"/>
  <c r="AA85"/>
  <c r="Z85"/>
  <c r="Y85"/>
  <c r="X85"/>
  <c r="W85"/>
  <c r="V85"/>
  <c r="U85"/>
  <c r="T85"/>
  <c r="S85"/>
  <c r="R85"/>
  <c r="Q85"/>
  <c r="P85"/>
  <c r="O85"/>
  <c r="N85"/>
  <c r="M85"/>
  <c r="L85"/>
  <c r="K85"/>
  <c r="J85"/>
  <c r="I85"/>
  <c r="H85"/>
  <c r="G85"/>
  <c r="F85"/>
  <c r="D85"/>
  <c r="C85"/>
  <c r="B84"/>
  <c r="B83"/>
  <c r="B82"/>
  <c r="B81"/>
  <c r="B80"/>
  <c r="B79"/>
  <c r="B78"/>
  <c r="B77"/>
  <c r="B76"/>
  <c r="B75"/>
  <c r="B74"/>
  <c r="AH73"/>
  <c r="AG69"/>
  <c r="AF69"/>
  <c r="AE69"/>
  <c r="AC69"/>
  <c r="AB69"/>
  <c r="AA69"/>
  <c r="Z69"/>
  <c r="Y69"/>
  <c r="X69"/>
  <c r="W69"/>
  <c r="V69"/>
  <c r="U69"/>
  <c r="T69"/>
  <c r="S69"/>
  <c r="R69"/>
  <c r="Q69"/>
  <c r="P69"/>
  <c r="O69"/>
  <c r="N69"/>
  <c r="M69"/>
  <c r="L69"/>
  <c r="K69"/>
  <c r="J69"/>
  <c r="I69"/>
  <c r="H69"/>
  <c r="G69"/>
  <c r="F69"/>
  <c r="D69"/>
  <c r="C69"/>
  <c r="AH68"/>
  <c r="B68" s="1"/>
  <c r="F17" i="60814" s="1"/>
  <c r="AH67" i="60806"/>
  <c r="B67" s="1"/>
  <c r="AH66"/>
  <c r="B66" s="1"/>
  <c r="AH65"/>
  <c r="B65" s="1"/>
  <c r="AH64"/>
  <c r="B64" s="1"/>
  <c r="AH63"/>
  <c r="B63" s="1"/>
  <c r="AH62"/>
  <c r="B62" s="1"/>
  <c r="AH61"/>
  <c r="B61" s="1"/>
  <c r="AH60"/>
  <c r="B60" s="1"/>
  <c r="AH59"/>
  <c r="B59" s="1"/>
  <c r="AH58"/>
  <c r="B58" s="1"/>
  <c r="AH57"/>
  <c r="AG53"/>
  <c r="AF53"/>
  <c r="AE53"/>
  <c r="AC53"/>
  <c r="AB53"/>
  <c r="AA53"/>
  <c r="Z53"/>
  <c r="Y53"/>
  <c r="X53"/>
  <c r="W53"/>
  <c r="V53"/>
  <c r="U53"/>
  <c r="T53"/>
  <c r="S53"/>
  <c r="R53"/>
  <c r="Q53"/>
  <c r="P53"/>
  <c r="O53"/>
  <c r="N53"/>
  <c r="M53"/>
  <c r="L53"/>
  <c r="K53"/>
  <c r="J53"/>
  <c r="I53"/>
  <c r="H53"/>
  <c r="G53"/>
  <c r="F53"/>
  <c r="D53"/>
  <c r="C53"/>
  <c r="AH52"/>
  <c r="B52" s="1"/>
  <c r="AH51"/>
  <c r="B51" s="1"/>
  <c r="AH50"/>
  <c r="B50" s="1"/>
  <c r="AH49"/>
  <c r="B49" s="1"/>
  <c r="AH48"/>
  <c r="B48" s="1"/>
  <c r="AH47"/>
  <c r="B47" s="1"/>
  <c r="AH46"/>
  <c r="B46" s="1"/>
  <c r="AH45"/>
  <c r="B45" s="1"/>
  <c r="AH44"/>
  <c r="B44" s="1"/>
  <c r="AH43"/>
  <c r="B43" s="1"/>
  <c r="AH42"/>
  <c r="B42" s="1"/>
  <c r="AH41"/>
  <c r="B41" s="1"/>
  <c r="AG37"/>
  <c r="AF37"/>
  <c r="AE37"/>
  <c r="AC37"/>
  <c r="AB37"/>
  <c r="AA37"/>
  <c r="Z37"/>
  <c r="Y37"/>
  <c r="X37"/>
  <c r="W37"/>
  <c r="V37"/>
  <c r="U37"/>
  <c r="T37"/>
  <c r="S37"/>
  <c r="R37"/>
  <c r="Q37"/>
  <c r="P37"/>
  <c r="O37"/>
  <c r="N37"/>
  <c r="M37"/>
  <c r="L37"/>
  <c r="K37"/>
  <c r="J37"/>
  <c r="I37"/>
  <c r="H37"/>
  <c r="G37"/>
  <c r="F37"/>
  <c r="D37"/>
  <c r="C37"/>
  <c r="AH36"/>
  <c r="B36" s="1"/>
  <c r="AH35"/>
  <c r="B35" s="1"/>
  <c r="AH34"/>
  <c r="B34" s="1"/>
  <c r="AH33"/>
  <c r="B33" s="1"/>
  <c r="AH32"/>
  <c r="B32" s="1"/>
  <c r="AH31"/>
  <c r="B31" s="1"/>
  <c r="AH30"/>
  <c r="B30" s="1"/>
  <c r="AH29"/>
  <c r="B29" s="1"/>
  <c r="AH28"/>
  <c r="B28" s="1"/>
  <c r="AH27"/>
  <c r="B27" s="1"/>
  <c r="AH26"/>
  <c r="B26" s="1"/>
  <c r="AH25"/>
  <c r="C23" i="60814"/>
  <c r="E11"/>
  <c r="E10"/>
  <c r="E9"/>
  <c r="E8"/>
  <c r="E7"/>
  <c r="E6"/>
  <c r="E5"/>
  <c r="AG427" i="2819"/>
  <c r="AF427"/>
  <c r="AE427"/>
  <c r="AC427"/>
  <c r="AB427"/>
  <c r="AA427"/>
  <c r="Z427"/>
  <c r="Y427"/>
  <c r="X427"/>
  <c r="W427"/>
  <c r="V427"/>
  <c r="U427"/>
  <c r="T427"/>
  <c r="S427"/>
  <c r="R427"/>
  <c r="Q427"/>
  <c r="P427"/>
  <c r="O427"/>
  <c r="N427"/>
  <c r="M427"/>
  <c r="L427"/>
  <c r="K427"/>
  <c r="J427"/>
  <c r="I427"/>
  <c r="H427"/>
  <c r="G427"/>
  <c r="F427"/>
  <c r="D427"/>
  <c r="C427"/>
  <c r="AH426"/>
  <c r="B426" s="1"/>
  <c r="AH425"/>
  <c r="B425" s="1"/>
  <c r="AH424"/>
  <c r="B424" s="1"/>
  <c r="AH423"/>
  <c r="B423" s="1"/>
  <c r="AH422"/>
  <c r="B422" s="1"/>
  <c r="AH421"/>
  <c r="B421" s="1"/>
  <c r="AH420"/>
  <c r="B420" s="1"/>
  <c r="AH419"/>
  <c r="B419" s="1"/>
  <c r="AH418"/>
  <c r="B418" s="1"/>
  <c r="AH417"/>
  <c r="B417" s="1"/>
  <c r="AH416"/>
  <c r="B416" s="1"/>
  <c r="AH415"/>
  <c r="AG395"/>
  <c r="AF395"/>
  <c r="AE395"/>
  <c r="AC395"/>
  <c r="AB395"/>
  <c r="AA395"/>
  <c r="Z395"/>
  <c r="Y395"/>
  <c r="X395"/>
  <c r="W395"/>
  <c r="V395"/>
  <c r="U395"/>
  <c r="T395"/>
  <c r="S395"/>
  <c r="R395"/>
  <c r="Q395"/>
  <c r="P395"/>
  <c r="O395"/>
  <c r="N395"/>
  <c r="M395"/>
  <c r="L395"/>
  <c r="K395"/>
  <c r="J395"/>
  <c r="I395"/>
  <c r="H395"/>
  <c r="G395"/>
  <c r="F395"/>
  <c r="D395"/>
  <c r="C395"/>
  <c r="AH394"/>
  <c r="B394" s="1"/>
  <c r="AH393"/>
  <c r="B393" s="1"/>
  <c r="AH392"/>
  <c r="B392" s="1"/>
  <c r="AH391"/>
  <c r="B391" s="1"/>
  <c r="AH390"/>
  <c r="B390" s="1"/>
  <c r="AH389"/>
  <c r="B389" s="1"/>
  <c r="AH388"/>
  <c r="B388" s="1"/>
  <c r="AH387"/>
  <c r="B387" s="1"/>
  <c r="AH386"/>
  <c r="B386" s="1"/>
  <c r="AH385"/>
  <c r="B385" s="1"/>
  <c r="AH384"/>
  <c r="B384" s="1"/>
  <c r="AH383"/>
  <c r="AG425" i="32"/>
  <c r="AF425"/>
  <c r="AE425"/>
  <c r="AC425"/>
  <c r="AB425"/>
  <c r="AA425"/>
  <c r="Z425"/>
  <c r="Y425"/>
  <c r="X425"/>
  <c r="W425"/>
  <c r="V425"/>
  <c r="U425"/>
  <c r="T425"/>
  <c r="S425"/>
  <c r="R425"/>
  <c r="Q425"/>
  <c r="P425"/>
  <c r="O425"/>
  <c r="N425"/>
  <c r="M425"/>
  <c r="L425"/>
  <c r="K425"/>
  <c r="J425"/>
  <c r="I425"/>
  <c r="H425"/>
  <c r="G425"/>
  <c r="F425"/>
  <c r="D425"/>
  <c r="C425"/>
  <c r="AH424"/>
  <c r="B424" s="1"/>
  <c r="AH423"/>
  <c r="B423" s="1"/>
  <c r="AH422"/>
  <c r="B422" s="1"/>
  <c r="AH421"/>
  <c r="B421" s="1"/>
  <c r="AH420"/>
  <c r="B420" s="1"/>
  <c r="AH419"/>
  <c r="B419" s="1"/>
  <c r="AH418"/>
  <c r="B418" s="1"/>
  <c r="AH417"/>
  <c r="B417" s="1"/>
  <c r="AH416"/>
  <c r="B416" s="1"/>
  <c r="AH415"/>
  <c r="B415" s="1"/>
  <c r="AH414"/>
  <c r="B414" s="1"/>
  <c r="AH413"/>
  <c r="AG393"/>
  <c r="AF393"/>
  <c r="AE393"/>
  <c r="AC393"/>
  <c r="AB393"/>
  <c r="AA393"/>
  <c r="Z393"/>
  <c r="Y393"/>
  <c r="X393"/>
  <c r="W393"/>
  <c r="V393"/>
  <c r="U393"/>
  <c r="T393"/>
  <c r="S393"/>
  <c r="R393"/>
  <c r="Q393"/>
  <c r="P393"/>
  <c r="O393"/>
  <c r="N393"/>
  <c r="M393"/>
  <c r="L393"/>
  <c r="K393"/>
  <c r="J393"/>
  <c r="I393"/>
  <c r="H393"/>
  <c r="G393"/>
  <c r="F393"/>
  <c r="D393"/>
  <c r="C393"/>
  <c r="AH392"/>
  <c r="B392" s="1"/>
  <c r="AH391"/>
  <c r="B391" s="1"/>
  <c r="AH390"/>
  <c r="B390" s="1"/>
  <c r="AH389"/>
  <c r="B389" s="1"/>
  <c r="AH388"/>
  <c r="B388" s="1"/>
  <c r="AH387"/>
  <c r="B387" s="1"/>
  <c r="AH386"/>
  <c r="B386" s="1"/>
  <c r="AH385"/>
  <c r="B385" s="1"/>
  <c r="AH384"/>
  <c r="B384" s="1"/>
  <c r="AH383"/>
  <c r="B383" s="1"/>
  <c r="AH382"/>
  <c r="B382" s="1"/>
  <c r="AH381"/>
  <c r="E241" i="7380"/>
  <c r="E242"/>
  <c r="E243"/>
  <c r="AH467" i="2316"/>
  <c r="B467" s="1"/>
  <c r="AH468"/>
  <c r="B468" s="1"/>
  <c r="AH469"/>
  <c r="AH470"/>
  <c r="AH471"/>
  <c r="B471" s="1"/>
  <c r="AH472"/>
  <c r="B472" s="1"/>
  <c r="AH473"/>
  <c r="AH474"/>
  <c r="B474" s="1"/>
  <c r="D475"/>
  <c r="F475"/>
  <c r="G475"/>
  <c r="H475"/>
  <c r="I475"/>
  <c r="J475"/>
  <c r="K475"/>
  <c r="L475"/>
  <c r="M475"/>
  <c r="N475"/>
  <c r="O475"/>
  <c r="P475"/>
  <c r="Q475"/>
  <c r="R475"/>
  <c r="S475"/>
  <c r="T475"/>
  <c r="U475"/>
  <c r="V475"/>
  <c r="W475"/>
  <c r="X475"/>
  <c r="Y475"/>
  <c r="Z475"/>
  <c r="AA475"/>
  <c r="AB475"/>
  <c r="AC475"/>
  <c r="AE475"/>
  <c r="AF475"/>
  <c r="AG475"/>
  <c r="C475"/>
  <c r="B473"/>
  <c r="B470"/>
  <c r="B469"/>
  <c r="AH466"/>
  <c r="B466" s="1"/>
  <c r="AH465"/>
  <c r="B464"/>
  <c r="B463"/>
  <c r="AG443"/>
  <c r="AF443"/>
  <c r="AE443"/>
  <c r="AC443"/>
  <c r="AB443"/>
  <c r="AA443"/>
  <c r="Z443"/>
  <c r="Y443"/>
  <c r="X443"/>
  <c r="W443"/>
  <c r="V443"/>
  <c r="U443"/>
  <c r="T443"/>
  <c r="S443"/>
  <c r="R443"/>
  <c r="Q443"/>
  <c r="P443"/>
  <c r="O443"/>
  <c r="N443"/>
  <c r="M443"/>
  <c r="L443"/>
  <c r="K443"/>
  <c r="J443"/>
  <c r="I443"/>
  <c r="H443"/>
  <c r="G443"/>
  <c r="F443"/>
  <c r="D443"/>
  <c r="C443"/>
  <c r="AH442"/>
  <c r="B442" s="1"/>
  <c r="AH441"/>
  <c r="B441" s="1"/>
  <c r="AH440"/>
  <c r="B440" s="1"/>
  <c r="AH439"/>
  <c r="B439" s="1"/>
  <c r="AH438"/>
  <c r="B438" s="1"/>
  <c r="AH437"/>
  <c r="B437" s="1"/>
  <c r="AH436"/>
  <c r="B436" s="1"/>
  <c r="AH435"/>
  <c r="B435" s="1"/>
  <c r="AH434"/>
  <c r="B434" s="1"/>
  <c r="AH433"/>
  <c r="B433" s="1"/>
  <c r="AH432"/>
  <c r="B432" s="1"/>
  <c r="AH431"/>
  <c r="E256" i="1792"/>
  <c r="E255"/>
  <c r="E257"/>
  <c r="E258"/>
  <c r="E259"/>
  <c r="E260"/>
  <c r="E261"/>
  <c r="E262"/>
  <c r="E263"/>
  <c r="E264"/>
  <c r="E265"/>
  <c r="F83" i="60796"/>
  <c r="C24" i="60814" l="1"/>
  <c r="F93" i="11565"/>
  <c r="F258" i="7380"/>
  <c r="F21" i="60814"/>
  <c r="F256" i="7380"/>
  <c r="F20" i="60814"/>
  <c r="F15"/>
  <c r="F18"/>
  <c r="F19"/>
  <c r="F22"/>
  <c r="F16"/>
  <c r="AH395" i="2819"/>
  <c r="F91" i="11565"/>
  <c r="AH427" i="2819"/>
  <c r="AH475" i="2316"/>
  <c r="F272" i="1792"/>
  <c r="AH443" i="2316"/>
  <c r="F270" i="1792"/>
  <c r="C81" i="60796"/>
  <c r="AH69" i="60806"/>
  <c r="AH393" i="32"/>
  <c r="F5" i="60814"/>
  <c r="AH149" i="60806"/>
  <c r="F9" i="60814"/>
  <c r="B137" i="60806"/>
  <c r="B149" s="1"/>
  <c r="AH37"/>
  <c r="AH101"/>
  <c r="AH133"/>
  <c r="AH85"/>
  <c r="B53"/>
  <c r="B117"/>
  <c r="AH53"/>
  <c r="B73"/>
  <c r="B85" s="1"/>
  <c r="AH117"/>
  <c r="B25"/>
  <c r="B37" s="1"/>
  <c r="B57"/>
  <c r="B69" s="1"/>
  <c r="B89"/>
  <c r="B101" s="1"/>
  <c r="B121"/>
  <c r="B133" s="1"/>
  <c r="E12" i="60814"/>
  <c r="AH425" i="32"/>
  <c r="B383" i="2819"/>
  <c r="F77" i="11565" s="1"/>
  <c r="B415" i="2819"/>
  <c r="B413" i="32"/>
  <c r="B425" s="1"/>
  <c r="B381"/>
  <c r="B393" s="1"/>
  <c r="B465" i="2316"/>
  <c r="B475" s="1"/>
  <c r="B431"/>
  <c r="B443" s="1"/>
  <c r="C361" i="2819"/>
  <c r="C281"/>
  <c r="C265"/>
  <c r="F6" i="60814" l="1"/>
  <c r="J17" s="1"/>
  <c r="L91" i="11565"/>
  <c r="J16" i="60814"/>
  <c r="J20"/>
  <c r="F23"/>
  <c r="F4"/>
  <c r="J15" s="1"/>
  <c r="F11"/>
  <c r="J22" s="1"/>
  <c r="B395" i="2819"/>
  <c r="B427"/>
  <c r="F79" i="11565"/>
  <c r="L93" s="1"/>
  <c r="F10" i="60814"/>
  <c r="J21" s="1"/>
  <c r="F8"/>
  <c r="J19" s="1"/>
  <c r="F7"/>
  <c r="J18" s="1"/>
  <c r="G5"/>
  <c r="G9"/>
  <c r="F255" i="1792"/>
  <c r="H255" s="1"/>
  <c r="F243" i="7380"/>
  <c r="J258" s="1"/>
  <c r="F241"/>
  <c r="J256" s="1"/>
  <c r="F257" i="1792"/>
  <c r="G77" i="11565"/>
  <c r="H77" s="1"/>
  <c r="E44" i="7380"/>
  <c r="E107" s="1"/>
  <c r="J270" i="1792" l="1"/>
  <c r="H257"/>
  <c r="J272"/>
  <c r="J23" i="60814"/>
  <c r="G82" i="60796"/>
  <c r="E91" i="11565"/>
  <c r="G91" s="1"/>
  <c r="H91" s="1"/>
  <c r="E16" i="60814"/>
  <c r="G16" s="1"/>
  <c r="H16" s="1"/>
  <c r="H5"/>
  <c r="E20"/>
  <c r="G20" s="1"/>
  <c r="H20" s="1"/>
  <c r="H9"/>
  <c r="G4"/>
  <c r="G11"/>
  <c r="G79" i="11565"/>
  <c r="G10" i="60814"/>
  <c r="G8"/>
  <c r="G7"/>
  <c r="F12"/>
  <c r="G12" s="1"/>
  <c r="E23" s="1"/>
  <c r="G23" s="1"/>
  <c r="G6"/>
  <c r="G255" i="1792"/>
  <c r="E270" s="1"/>
  <c r="H270" s="1"/>
  <c r="G243" i="7380"/>
  <c r="E258" s="1"/>
  <c r="H243"/>
  <c r="H241"/>
  <c r="G241"/>
  <c r="E256" s="1"/>
  <c r="G257" i="1792"/>
  <c r="E272" s="1"/>
  <c r="H272" s="1"/>
  <c r="C87" i="11565"/>
  <c r="C51"/>
  <c r="C24"/>
  <c r="C10"/>
  <c r="C10" i="1792"/>
  <c r="E87" i="11565" l="1"/>
  <c r="E54" i="60796"/>
  <c r="F24" i="60814"/>
  <c r="E19"/>
  <c r="G19" s="1"/>
  <c r="H19" s="1"/>
  <c r="H8"/>
  <c r="E93" i="11565"/>
  <c r="G93" s="1"/>
  <c r="H93" s="1"/>
  <c r="H79"/>
  <c r="E15" i="60814"/>
  <c r="H4"/>
  <c r="E17"/>
  <c r="G17" s="1"/>
  <c r="H17" s="1"/>
  <c r="H6"/>
  <c r="E18"/>
  <c r="G18" s="1"/>
  <c r="H18" s="1"/>
  <c r="H7"/>
  <c r="E21"/>
  <c r="H10"/>
  <c r="E22"/>
  <c r="H11"/>
  <c r="G81" i="60796"/>
  <c r="K81" s="1"/>
  <c r="G270" i="1792"/>
  <c r="H258" i="7380"/>
  <c r="G258"/>
  <c r="H256"/>
  <c r="G256"/>
  <c r="G272" i="1792"/>
  <c r="C39" i="2"/>
  <c r="C38"/>
  <c r="F54" i="60796" l="1"/>
  <c r="C53"/>
  <c r="G21" i="60814"/>
  <c r="H21" s="1"/>
  <c r="G22"/>
  <c r="H22" s="1"/>
  <c r="G15"/>
  <c r="H15" s="1"/>
  <c r="C13" i="1"/>
  <c r="AG18" i="514"/>
  <c r="AF18"/>
  <c r="AE18"/>
  <c r="AD18"/>
  <c r="AC18"/>
  <c r="AB18"/>
  <c r="AA18"/>
  <c r="Z18"/>
  <c r="Y18"/>
  <c r="X18"/>
  <c r="W18"/>
  <c r="V18"/>
  <c r="U18"/>
  <c r="T18"/>
  <c r="S18"/>
  <c r="R18"/>
  <c r="Q18"/>
  <c r="P18"/>
  <c r="O18"/>
  <c r="N18"/>
  <c r="M18"/>
  <c r="L18"/>
  <c r="K18"/>
  <c r="J18"/>
  <c r="I18"/>
  <c r="H18"/>
  <c r="G18"/>
  <c r="F18"/>
  <c r="E18"/>
  <c r="D18"/>
  <c r="C18"/>
  <c r="AH17"/>
  <c r="B17" s="1"/>
  <c r="AH16"/>
  <c r="B16" s="1"/>
  <c r="AH15"/>
  <c r="B15" s="1"/>
  <c r="AH14"/>
  <c r="B14" s="1"/>
  <c r="AH13"/>
  <c r="B13" s="1"/>
  <c r="AH12"/>
  <c r="B12" s="1"/>
  <c r="AH11"/>
  <c r="B11" s="1"/>
  <c r="AH10"/>
  <c r="B10" s="1"/>
  <c r="AH9"/>
  <c r="B9" s="1"/>
  <c r="AH8"/>
  <c r="B8" s="1"/>
  <c r="AH7"/>
  <c r="B7" s="1"/>
  <c r="AH6"/>
  <c r="AH22"/>
  <c r="B22" s="1"/>
  <c r="AH23"/>
  <c r="B23" s="1"/>
  <c r="AH24"/>
  <c r="B24" s="1"/>
  <c r="AH25"/>
  <c r="B25" s="1"/>
  <c r="AH26"/>
  <c r="B26" s="1"/>
  <c r="AH27"/>
  <c r="B27" s="1"/>
  <c r="AH28"/>
  <c r="B28" s="1"/>
  <c r="AH29"/>
  <c r="B29" s="1"/>
  <c r="AH30"/>
  <c r="B30" s="1"/>
  <c r="AH31"/>
  <c r="B31" s="1"/>
  <c r="AH32"/>
  <c r="B32" s="1"/>
  <c r="AG114"/>
  <c r="AF114"/>
  <c r="AE114"/>
  <c r="AD114"/>
  <c r="AC114"/>
  <c r="AB114"/>
  <c r="AA114"/>
  <c r="Z114"/>
  <c r="Y114"/>
  <c r="X114"/>
  <c r="W114"/>
  <c r="V114"/>
  <c r="U114"/>
  <c r="T114"/>
  <c r="S114"/>
  <c r="R114"/>
  <c r="Q114"/>
  <c r="P114"/>
  <c r="O114"/>
  <c r="N114"/>
  <c r="M114"/>
  <c r="L114"/>
  <c r="K114"/>
  <c r="J114"/>
  <c r="I114"/>
  <c r="H114"/>
  <c r="G114"/>
  <c r="F114"/>
  <c r="E114"/>
  <c r="D114"/>
  <c r="C114"/>
  <c r="AH113"/>
  <c r="B113" s="1"/>
  <c r="AH112"/>
  <c r="B112" s="1"/>
  <c r="AH111"/>
  <c r="B111" s="1"/>
  <c r="AH110"/>
  <c r="B110" s="1"/>
  <c r="AH109"/>
  <c r="B109" s="1"/>
  <c r="AH108"/>
  <c r="B108" s="1"/>
  <c r="AH107"/>
  <c r="B107" s="1"/>
  <c r="AH106"/>
  <c r="B106" s="1"/>
  <c r="AH105"/>
  <c r="B105" s="1"/>
  <c r="AH104"/>
  <c r="B104" s="1"/>
  <c r="AH103"/>
  <c r="B103" s="1"/>
  <c r="AH102"/>
  <c r="AG98"/>
  <c r="AF98"/>
  <c r="AE98"/>
  <c r="AD98"/>
  <c r="AC98"/>
  <c r="AB98"/>
  <c r="AA98"/>
  <c r="Z98"/>
  <c r="Y98"/>
  <c r="X98"/>
  <c r="W98"/>
  <c r="V98"/>
  <c r="U98"/>
  <c r="T98"/>
  <c r="S98"/>
  <c r="R98"/>
  <c r="Q98"/>
  <c r="P98"/>
  <c r="O98"/>
  <c r="N98"/>
  <c r="M98"/>
  <c r="L98"/>
  <c r="K98"/>
  <c r="J98"/>
  <c r="I98"/>
  <c r="H98"/>
  <c r="G98"/>
  <c r="F98"/>
  <c r="E98"/>
  <c r="D98"/>
  <c r="C98"/>
  <c r="AH97"/>
  <c r="B97" s="1"/>
  <c r="AH96"/>
  <c r="B96" s="1"/>
  <c r="AH95"/>
  <c r="B95" s="1"/>
  <c r="AH94"/>
  <c r="B94" s="1"/>
  <c r="AH93"/>
  <c r="B93" s="1"/>
  <c r="AH92"/>
  <c r="B92" s="1"/>
  <c r="AH91"/>
  <c r="B91" s="1"/>
  <c r="AH90"/>
  <c r="B90" s="1"/>
  <c r="AH89"/>
  <c r="B89" s="1"/>
  <c r="AH88"/>
  <c r="B88" s="1"/>
  <c r="AH87"/>
  <c r="B87" s="1"/>
  <c r="AH86"/>
  <c r="AG82"/>
  <c r="AF82"/>
  <c r="AE82"/>
  <c r="AD82"/>
  <c r="AC82"/>
  <c r="AB82"/>
  <c r="AA82"/>
  <c r="Z82"/>
  <c r="Y82"/>
  <c r="X82"/>
  <c r="W82"/>
  <c r="V82"/>
  <c r="U82"/>
  <c r="T82"/>
  <c r="S82"/>
  <c r="R82"/>
  <c r="Q82"/>
  <c r="P82"/>
  <c r="O82"/>
  <c r="N82"/>
  <c r="M82"/>
  <c r="L82"/>
  <c r="K82"/>
  <c r="J82"/>
  <c r="I82"/>
  <c r="H82"/>
  <c r="G82"/>
  <c r="F82"/>
  <c r="E82"/>
  <c r="D82"/>
  <c r="C82"/>
  <c r="AH81"/>
  <c r="AH80"/>
  <c r="AH79"/>
  <c r="AH78"/>
  <c r="AH77"/>
  <c r="AH76"/>
  <c r="AH75"/>
  <c r="AH74"/>
  <c r="AH73"/>
  <c r="AH72"/>
  <c r="AH71"/>
  <c r="AH70"/>
  <c r="AJ70" s="1"/>
  <c r="AG66"/>
  <c r="AF66"/>
  <c r="AE66"/>
  <c r="AD66"/>
  <c r="AC66"/>
  <c r="AB66"/>
  <c r="AA66"/>
  <c r="Z66"/>
  <c r="Y66"/>
  <c r="X66"/>
  <c r="W66"/>
  <c r="V66"/>
  <c r="U66"/>
  <c r="T66"/>
  <c r="S66"/>
  <c r="R66"/>
  <c r="Q66"/>
  <c r="P66"/>
  <c r="O66"/>
  <c r="N66"/>
  <c r="M66"/>
  <c r="L66"/>
  <c r="K66"/>
  <c r="J66"/>
  <c r="I66"/>
  <c r="H66"/>
  <c r="G66"/>
  <c r="F66"/>
  <c r="E66"/>
  <c r="D66"/>
  <c r="C66"/>
  <c r="AH65"/>
  <c r="B65" s="1"/>
  <c r="AH64"/>
  <c r="B64" s="1"/>
  <c r="AH63"/>
  <c r="B63" s="1"/>
  <c r="AH62"/>
  <c r="B62" s="1"/>
  <c r="AH61"/>
  <c r="B61" s="1"/>
  <c r="AH60"/>
  <c r="B60" s="1"/>
  <c r="AH59"/>
  <c r="B59" s="1"/>
  <c r="AH58"/>
  <c r="B58" s="1"/>
  <c r="AH57"/>
  <c r="B57" s="1"/>
  <c r="AH56"/>
  <c r="B56" s="1"/>
  <c r="AH55"/>
  <c r="B55" s="1"/>
  <c r="AH54"/>
  <c r="B54" s="1"/>
  <c r="F76" i="60796"/>
  <c r="C76"/>
  <c r="C36" i="2" s="1"/>
  <c r="C71" i="60796"/>
  <c r="C34" i="2" s="1"/>
  <c r="F62" i="60796"/>
  <c r="C62"/>
  <c r="C31" i="2" s="1"/>
  <c r="AH8" i="516"/>
  <c r="AH9"/>
  <c r="AH10"/>
  <c r="AH11"/>
  <c r="AH12"/>
  <c r="AH13"/>
  <c r="AH14"/>
  <c r="AH15"/>
  <c r="AH16"/>
  <c r="AH17"/>
  <c r="AH18"/>
  <c r="F60" i="60796"/>
  <c r="F29"/>
  <c r="F18"/>
  <c r="F15"/>
  <c r="AH24" i="1024"/>
  <c r="B24" s="1"/>
  <c r="AH25"/>
  <c r="B25" s="1"/>
  <c r="AH26"/>
  <c r="B26" s="1"/>
  <c r="B27"/>
  <c r="B28"/>
  <c r="AH29"/>
  <c r="B29" s="1"/>
  <c r="AH30"/>
  <c r="B30" s="1"/>
  <c r="AH31"/>
  <c r="B31" s="1"/>
  <c r="AH32"/>
  <c r="B32" s="1"/>
  <c r="AH33"/>
  <c r="B33" s="1"/>
  <c r="AH34"/>
  <c r="B34" s="1"/>
  <c r="AH35"/>
  <c r="B35" s="1"/>
  <c r="C29" i="60796"/>
  <c r="C15" i="2" s="1"/>
  <c r="AG182" i="1024"/>
  <c r="AF182"/>
  <c r="AE182"/>
  <c r="AD182"/>
  <c r="AC182"/>
  <c r="AB182"/>
  <c r="AA182"/>
  <c r="Z182"/>
  <c r="Y182"/>
  <c r="X182"/>
  <c r="W182"/>
  <c r="V182"/>
  <c r="U182"/>
  <c r="T182"/>
  <c r="S182"/>
  <c r="R182"/>
  <c r="Q182"/>
  <c r="P182"/>
  <c r="O182"/>
  <c r="N182"/>
  <c r="M182"/>
  <c r="L182"/>
  <c r="K182"/>
  <c r="J182"/>
  <c r="I182"/>
  <c r="H182"/>
  <c r="G182"/>
  <c r="F182"/>
  <c r="E182"/>
  <c r="D182"/>
  <c r="C182"/>
  <c r="AH181"/>
  <c r="B181" s="1"/>
  <c r="AH180"/>
  <c r="B180" s="1"/>
  <c r="AH179"/>
  <c r="B179" s="1"/>
  <c r="AH178"/>
  <c r="B178" s="1"/>
  <c r="AH177"/>
  <c r="B177" s="1"/>
  <c r="AH176"/>
  <c r="B176" s="1"/>
  <c r="AH175"/>
  <c r="B175" s="1"/>
  <c r="AH174"/>
  <c r="B174" s="1"/>
  <c r="AH173"/>
  <c r="B173" s="1"/>
  <c r="AH172"/>
  <c r="B172" s="1"/>
  <c r="AH171"/>
  <c r="B171" s="1"/>
  <c r="AH170"/>
  <c r="AG166"/>
  <c r="AF166"/>
  <c r="AE166"/>
  <c r="AD166"/>
  <c r="AC166"/>
  <c r="AB166"/>
  <c r="AA166"/>
  <c r="Z166"/>
  <c r="Y166"/>
  <c r="X166"/>
  <c r="W166"/>
  <c r="V166"/>
  <c r="U166"/>
  <c r="T166"/>
  <c r="S166"/>
  <c r="R166"/>
  <c r="Q166"/>
  <c r="P166"/>
  <c r="O166"/>
  <c r="N166"/>
  <c r="M166"/>
  <c r="L166"/>
  <c r="K166"/>
  <c r="J166"/>
  <c r="I166"/>
  <c r="H166"/>
  <c r="G166"/>
  <c r="F166"/>
  <c r="E166"/>
  <c r="D166"/>
  <c r="C166"/>
  <c r="AH165"/>
  <c r="B165" s="1"/>
  <c r="AH164"/>
  <c r="B164" s="1"/>
  <c r="AH163"/>
  <c r="B163" s="1"/>
  <c r="AH162"/>
  <c r="B162" s="1"/>
  <c r="AH161"/>
  <c r="B161" s="1"/>
  <c r="AH160"/>
  <c r="B160" s="1"/>
  <c r="AH159"/>
  <c r="B159" s="1"/>
  <c r="AH158"/>
  <c r="B158" s="1"/>
  <c r="AH157"/>
  <c r="B157" s="1"/>
  <c r="AH156"/>
  <c r="B156" s="1"/>
  <c r="AH155"/>
  <c r="B155" s="1"/>
  <c r="AH154"/>
  <c r="AG133"/>
  <c r="AF133"/>
  <c r="AE133"/>
  <c r="AD133"/>
  <c r="AC133"/>
  <c r="AB133"/>
  <c r="AA133"/>
  <c r="Z133"/>
  <c r="Y133"/>
  <c r="X133"/>
  <c r="W133"/>
  <c r="V133"/>
  <c r="U133"/>
  <c r="T133"/>
  <c r="S133"/>
  <c r="R133"/>
  <c r="Q133"/>
  <c r="P133"/>
  <c r="O133"/>
  <c r="N133"/>
  <c r="M133"/>
  <c r="L133"/>
  <c r="K133"/>
  <c r="J133"/>
  <c r="I133"/>
  <c r="H133"/>
  <c r="G133"/>
  <c r="F133"/>
  <c r="E133"/>
  <c r="D133"/>
  <c r="C133"/>
  <c r="AH132"/>
  <c r="B132" s="1"/>
  <c r="AH131"/>
  <c r="B131" s="1"/>
  <c r="AH130"/>
  <c r="B130" s="1"/>
  <c r="AH129"/>
  <c r="B129" s="1"/>
  <c r="AH128"/>
  <c r="B128" s="1"/>
  <c r="AH127"/>
  <c r="B127" s="1"/>
  <c r="AH126"/>
  <c r="B126" s="1"/>
  <c r="AH125"/>
  <c r="B125" s="1"/>
  <c r="AH124"/>
  <c r="B124" s="1"/>
  <c r="AH123"/>
  <c r="B123" s="1"/>
  <c r="AH122"/>
  <c r="B122" s="1"/>
  <c r="AH121"/>
  <c r="AG117"/>
  <c r="AF117"/>
  <c r="AE117"/>
  <c r="AD117"/>
  <c r="AC117"/>
  <c r="AB117"/>
  <c r="AA117"/>
  <c r="Z117"/>
  <c r="Y117"/>
  <c r="X117"/>
  <c r="W117"/>
  <c r="V117"/>
  <c r="U117"/>
  <c r="T117"/>
  <c r="S117"/>
  <c r="R117"/>
  <c r="Q117"/>
  <c r="P117"/>
  <c r="O117"/>
  <c r="N117"/>
  <c r="M117"/>
  <c r="L117"/>
  <c r="K117"/>
  <c r="J117"/>
  <c r="I117"/>
  <c r="H117"/>
  <c r="G117"/>
  <c r="F117"/>
  <c r="E117"/>
  <c r="D117"/>
  <c r="C117"/>
  <c r="AH116"/>
  <c r="B116" s="1"/>
  <c r="AH115"/>
  <c r="B115" s="1"/>
  <c r="AH114"/>
  <c r="B114" s="1"/>
  <c r="AH113"/>
  <c r="B113" s="1"/>
  <c r="AH112"/>
  <c r="B112" s="1"/>
  <c r="AH111"/>
  <c r="B111" s="1"/>
  <c r="AH110"/>
  <c r="B110" s="1"/>
  <c r="AH109"/>
  <c r="B109" s="1"/>
  <c r="AH108"/>
  <c r="B108" s="1"/>
  <c r="AH107"/>
  <c r="B107" s="1"/>
  <c r="AH106"/>
  <c r="B106" s="1"/>
  <c r="AH105"/>
  <c r="AH83"/>
  <c r="B83" s="1"/>
  <c r="AH82"/>
  <c r="B82" s="1"/>
  <c r="AH81"/>
  <c r="B81" s="1"/>
  <c r="AH80"/>
  <c r="B80" s="1"/>
  <c r="AH79"/>
  <c r="B79" s="1"/>
  <c r="AH78"/>
  <c r="B78" s="1"/>
  <c r="AH77"/>
  <c r="B77" s="1"/>
  <c r="AH76"/>
  <c r="B76" s="1"/>
  <c r="AH75"/>
  <c r="B75" s="1"/>
  <c r="AH74"/>
  <c r="B74" s="1"/>
  <c r="AH73"/>
  <c r="B73" s="1"/>
  <c r="AH72"/>
  <c r="B72" s="1"/>
  <c r="AH67"/>
  <c r="B67" s="1"/>
  <c r="AH66"/>
  <c r="B66" s="1"/>
  <c r="AH65"/>
  <c r="B65" s="1"/>
  <c r="AH64"/>
  <c r="B64" s="1"/>
  <c r="AH63"/>
  <c r="B63" s="1"/>
  <c r="AH62"/>
  <c r="B62" s="1"/>
  <c r="AH61"/>
  <c r="B61" s="1"/>
  <c r="AH60"/>
  <c r="B60" s="1"/>
  <c r="AH59"/>
  <c r="B59" s="1"/>
  <c r="AH58"/>
  <c r="B58" s="1"/>
  <c r="AH57"/>
  <c r="B57" s="1"/>
  <c r="AH56"/>
  <c r="B56" s="1"/>
  <c r="AG179" i="8194"/>
  <c r="AF179"/>
  <c r="AE179"/>
  <c r="AD179"/>
  <c r="AC179"/>
  <c r="AB179"/>
  <c r="AA179"/>
  <c r="Z179"/>
  <c r="Y179"/>
  <c r="X179"/>
  <c r="W179"/>
  <c r="V179"/>
  <c r="U179"/>
  <c r="T179"/>
  <c r="S179"/>
  <c r="R179"/>
  <c r="Q179"/>
  <c r="P179"/>
  <c r="O179"/>
  <c r="N179"/>
  <c r="M179"/>
  <c r="L179"/>
  <c r="K179"/>
  <c r="J179"/>
  <c r="I179"/>
  <c r="H179"/>
  <c r="G179"/>
  <c r="F179"/>
  <c r="E179"/>
  <c r="D179"/>
  <c r="C179"/>
  <c r="AH178"/>
  <c r="B178" s="1"/>
  <c r="AH177"/>
  <c r="B177" s="1"/>
  <c r="AH176"/>
  <c r="B176" s="1"/>
  <c r="AH175"/>
  <c r="B175" s="1"/>
  <c r="AH174"/>
  <c r="B174" s="1"/>
  <c r="AH173"/>
  <c r="B173" s="1"/>
  <c r="AH172"/>
  <c r="B172" s="1"/>
  <c r="AH171"/>
  <c r="B171" s="1"/>
  <c r="AH170"/>
  <c r="B170" s="1"/>
  <c r="AH169"/>
  <c r="B169" s="1"/>
  <c r="AH168"/>
  <c r="B168" s="1"/>
  <c r="AH167"/>
  <c r="AG163"/>
  <c r="AF163"/>
  <c r="AE163"/>
  <c r="AD163"/>
  <c r="AC163"/>
  <c r="AB163"/>
  <c r="AA163"/>
  <c r="Z163"/>
  <c r="Y163"/>
  <c r="X163"/>
  <c r="W163"/>
  <c r="V163"/>
  <c r="U163"/>
  <c r="T163"/>
  <c r="S163"/>
  <c r="R163"/>
  <c r="Q163"/>
  <c r="P163"/>
  <c r="O163"/>
  <c r="N163"/>
  <c r="M163"/>
  <c r="L163"/>
  <c r="K163"/>
  <c r="J163"/>
  <c r="I163"/>
  <c r="H163"/>
  <c r="G163"/>
  <c r="F163"/>
  <c r="E163"/>
  <c r="D163"/>
  <c r="C163"/>
  <c r="AH162"/>
  <c r="B162" s="1"/>
  <c r="AH161"/>
  <c r="B161" s="1"/>
  <c r="AH160"/>
  <c r="B160" s="1"/>
  <c r="AH159"/>
  <c r="B159" s="1"/>
  <c r="AH158"/>
  <c r="B158" s="1"/>
  <c r="AH157"/>
  <c r="B157" s="1"/>
  <c r="AH156"/>
  <c r="B156" s="1"/>
  <c r="AH155"/>
  <c r="B155" s="1"/>
  <c r="AH154"/>
  <c r="B154" s="1"/>
  <c r="AH153"/>
  <c r="B153" s="1"/>
  <c r="AH152"/>
  <c r="B152" s="1"/>
  <c r="AH151"/>
  <c r="AG83"/>
  <c r="AF83"/>
  <c r="AE83"/>
  <c r="AD83"/>
  <c r="AC83"/>
  <c r="AB83"/>
  <c r="AA83"/>
  <c r="Z83"/>
  <c r="Y83"/>
  <c r="X83"/>
  <c r="W83"/>
  <c r="V83"/>
  <c r="U83"/>
  <c r="T83"/>
  <c r="S83"/>
  <c r="R83"/>
  <c r="Q83"/>
  <c r="P83"/>
  <c r="O83"/>
  <c r="N83"/>
  <c r="M83"/>
  <c r="L83"/>
  <c r="K83"/>
  <c r="J83"/>
  <c r="I83"/>
  <c r="H83"/>
  <c r="G83"/>
  <c r="F83"/>
  <c r="E83"/>
  <c r="D83"/>
  <c r="C83"/>
  <c r="AH82"/>
  <c r="B82" s="1"/>
  <c r="AH81"/>
  <c r="B81" s="1"/>
  <c r="AH80"/>
  <c r="B80" s="1"/>
  <c r="AH79"/>
  <c r="B79" s="1"/>
  <c r="AH78"/>
  <c r="B78" s="1"/>
  <c r="AH77"/>
  <c r="B77" s="1"/>
  <c r="AH76"/>
  <c r="B76" s="1"/>
  <c r="AH75"/>
  <c r="B75" s="1"/>
  <c r="AH74"/>
  <c r="B74" s="1"/>
  <c r="AH73"/>
  <c r="B73" s="1"/>
  <c r="AH72"/>
  <c r="B72" s="1"/>
  <c r="AH71"/>
  <c r="AG67"/>
  <c r="AF67"/>
  <c r="AE67"/>
  <c r="AD67"/>
  <c r="AC67"/>
  <c r="AB67"/>
  <c r="AA67"/>
  <c r="Z67"/>
  <c r="Y67"/>
  <c r="X67"/>
  <c r="W67"/>
  <c r="V67"/>
  <c r="U67"/>
  <c r="T67"/>
  <c r="S67"/>
  <c r="R67"/>
  <c r="Q67"/>
  <c r="P67"/>
  <c r="O67"/>
  <c r="N67"/>
  <c r="M67"/>
  <c r="L67"/>
  <c r="K67"/>
  <c r="J67"/>
  <c r="I67"/>
  <c r="H67"/>
  <c r="G67"/>
  <c r="F67"/>
  <c r="E67"/>
  <c r="D67"/>
  <c r="C67"/>
  <c r="AH66"/>
  <c r="B66" s="1"/>
  <c r="AH65"/>
  <c r="B65" s="1"/>
  <c r="AH64"/>
  <c r="B64" s="1"/>
  <c r="AH63"/>
  <c r="B63" s="1"/>
  <c r="AH62"/>
  <c r="B62" s="1"/>
  <c r="AH61"/>
  <c r="B61" s="1"/>
  <c r="AH60"/>
  <c r="B60" s="1"/>
  <c r="AH59"/>
  <c r="B59" s="1"/>
  <c r="AH58"/>
  <c r="B58" s="1"/>
  <c r="AH57"/>
  <c r="B57" s="1"/>
  <c r="AH56"/>
  <c r="B56" s="1"/>
  <c r="AH55"/>
  <c r="AH157" i="60805"/>
  <c r="AH158"/>
  <c r="AH159"/>
  <c r="AH160"/>
  <c r="AH161"/>
  <c r="AH162"/>
  <c r="AH163"/>
  <c r="AH164"/>
  <c r="AH165"/>
  <c r="AH166"/>
  <c r="J129" i="60804"/>
  <c r="J130"/>
  <c r="J116"/>
  <c r="J117"/>
  <c r="J118"/>
  <c r="AH23" i="1024"/>
  <c r="I234" i="60804"/>
  <c r="I235"/>
  <c r="B27" i="60805"/>
  <c r="AH514"/>
  <c r="AH515"/>
  <c r="AH516"/>
  <c r="AH517"/>
  <c r="AH518"/>
  <c r="AH519"/>
  <c r="AH520"/>
  <c r="AH521"/>
  <c r="AH522"/>
  <c r="AH523"/>
  <c r="AH524"/>
  <c r="AH513"/>
  <c r="AH498"/>
  <c r="AH499"/>
  <c r="AH500"/>
  <c r="AH501"/>
  <c r="AH502"/>
  <c r="AH503"/>
  <c r="AH504"/>
  <c r="AH505"/>
  <c r="AH506"/>
  <c r="AH507"/>
  <c r="AH508"/>
  <c r="AH497"/>
  <c r="AH481"/>
  <c r="AH482"/>
  <c r="AH483"/>
  <c r="AH484"/>
  <c r="AH485"/>
  <c r="AH486"/>
  <c r="AH487"/>
  <c r="AH488"/>
  <c r="AH489"/>
  <c r="AH490"/>
  <c r="AH491"/>
  <c r="AH480"/>
  <c r="AH465"/>
  <c r="AH466"/>
  <c r="AH467"/>
  <c r="AH468"/>
  <c r="AH469"/>
  <c r="AH470"/>
  <c r="AH471"/>
  <c r="AH472"/>
  <c r="AH473"/>
  <c r="AH474"/>
  <c r="AH475"/>
  <c r="AH464"/>
  <c r="AH449"/>
  <c r="AH450"/>
  <c r="AH451"/>
  <c r="AH452"/>
  <c r="AH453"/>
  <c r="AH454"/>
  <c r="AH455"/>
  <c r="AH456"/>
  <c r="AH457"/>
  <c r="AH458"/>
  <c r="AH459"/>
  <c r="AH448"/>
  <c r="AH433"/>
  <c r="AH434"/>
  <c r="AH435"/>
  <c r="AH436"/>
  <c r="AH437"/>
  <c r="AH438"/>
  <c r="AH439"/>
  <c r="AH440"/>
  <c r="AH441"/>
  <c r="AH442"/>
  <c r="AH443"/>
  <c r="AH432"/>
  <c r="AH417"/>
  <c r="AH418"/>
  <c r="AH419"/>
  <c r="AH420"/>
  <c r="AH421"/>
  <c r="AH422"/>
  <c r="AH423"/>
  <c r="AH424"/>
  <c r="AH425"/>
  <c r="AH426"/>
  <c r="AH427"/>
  <c r="AH416"/>
  <c r="AH38" i="514"/>
  <c r="AH39"/>
  <c r="D36" i="60801"/>
  <c r="AH90" i="60805"/>
  <c r="AH89"/>
  <c r="B89" s="1"/>
  <c r="AH88"/>
  <c r="B88" s="1"/>
  <c r="AH87"/>
  <c r="B87" s="1"/>
  <c r="AH86"/>
  <c r="B86" s="1"/>
  <c r="AH85"/>
  <c r="B85" s="1"/>
  <c r="AH84"/>
  <c r="B84" s="1"/>
  <c r="AH83"/>
  <c r="B83" s="1"/>
  <c r="B82"/>
  <c r="AH81"/>
  <c r="B81" s="1"/>
  <c r="AH80"/>
  <c r="B80" s="1"/>
  <c r="AH79"/>
  <c r="B79" s="1"/>
  <c r="AH78"/>
  <c r="B78" s="1"/>
  <c r="B71" i="514" l="1"/>
  <c r="AJ71"/>
  <c r="B75"/>
  <c r="AJ75"/>
  <c r="B79"/>
  <c r="AJ79"/>
  <c r="B74"/>
  <c r="AJ74"/>
  <c r="B78"/>
  <c r="AJ78"/>
  <c r="G73" i="60796"/>
  <c r="B73" i="514"/>
  <c r="AJ73"/>
  <c r="B77"/>
  <c r="AJ77"/>
  <c r="B72"/>
  <c r="AJ72"/>
  <c r="B76"/>
  <c r="AJ76"/>
  <c r="B81"/>
  <c r="AJ81"/>
  <c r="B80"/>
  <c r="AJ80"/>
  <c r="G9" i="60796"/>
  <c r="K9" s="1"/>
  <c r="G10"/>
  <c r="B36" i="1024"/>
  <c r="G65" i="60796"/>
  <c r="G66"/>
  <c r="AH83" i="8194"/>
  <c r="AH133" i="1024"/>
  <c r="AH18" i="514"/>
  <c r="AH98"/>
  <c r="AH82"/>
  <c r="AH114"/>
  <c r="B6"/>
  <c r="B18" s="1"/>
  <c r="B102"/>
  <c r="B114" s="1"/>
  <c r="B86"/>
  <c r="B98" s="1"/>
  <c r="B66"/>
  <c r="B70"/>
  <c r="AH66"/>
  <c r="C79" i="60796"/>
  <c r="C37" i="2" s="1"/>
  <c r="F79" i="60796"/>
  <c r="F71"/>
  <c r="AH182" i="1024"/>
  <c r="AH166"/>
  <c r="AH117"/>
  <c r="B84"/>
  <c r="C15" i="60796"/>
  <c r="C10" i="2" s="1"/>
  <c r="B170" i="1024"/>
  <c r="B182" s="1"/>
  <c r="B154"/>
  <c r="B166" s="1"/>
  <c r="B121"/>
  <c r="B133" s="1"/>
  <c r="B105"/>
  <c r="B117" s="1"/>
  <c r="B68"/>
  <c r="AH163" i="8194"/>
  <c r="B151"/>
  <c r="AH179"/>
  <c r="B167"/>
  <c r="B71"/>
  <c r="AH67"/>
  <c r="B55"/>
  <c r="B90" i="60805"/>
  <c r="G74" i="60796" l="1"/>
  <c r="B82" i="514"/>
  <c r="G75" i="60796"/>
  <c r="AJ82" i="514"/>
  <c r="I9" i="60796"/>
  <c r="F10" s="1"/>
  <c r="I10" s="1"/>
  <c r="H9"/>
  <c r="B92" i="60805"/>
  <c r="E34" i="60801"/>
  <c r="K73" i="60796"/>
  <c r="B179" i="8194"/>
  <c r="B163"/>
  <c r="B83"/>
  <c r="B67"/>
  <c r="I256" i="60804"/>
  <c r="L256" s="1"/>
  <c r="L110" i="7380"/>
  <c r="K10" i="60796" l="1"/>
  <c r="J9"/>
  <c r="L9"/>
  <c r="D7" i="2"/>
  <c r="E36" i="60801"/>
  <c r="F34"/>
  <c r="F36" s="1"/>
  <c r="F192"/>
  <c r="H191"/>
  <c r="H190"/>
  <c r="E247" i="7380"/>
  <c r="C110" i="60801"/>
  <c r="C105"/>
  <c r="H192" l="1"/>
  <c r="F124" i="1792"/>
  <c r="D278" i="60804"/>
  <c r="G281"/>
  <c r="H268"/>
  <c r="H271"/>
  <c r="H265"/>
  <c r="J275" l="1"/>
  <c r="B524" i="60805"/>
  <c r="B523"/>
  <c r="B522"/>
  <c r="B521"/>
  <c r="B520"/>
  <c r="B519"/>
  <c r="B518"/>
  <c r="B517"/>
  <c r="B516"/>
  <c r="B515"/>
  <c r="B514"/>
  <c r="B513"/>
  <c r="B525" l="1"/>
  <c r="J284" i="60804" l="1"/>
  <c r="J276"/>
  <c r="J287" l="1"/>
  <c r="AH293" i="60805"/>
  <c r="B293" s="1"/>
  <c r="AH292"/>
  <c r="B292" s="1"/>
  <c r="AH291"/>
  <c r="B291" s="1"/>
  <c r="AH290"/>
  <c r="B290" s="1"/>
  <c r="AH289"/>
  <c r="B289" s="1"/>
  <c r="AH288"/>
  <c r="B288" s="1"/>
  <c r="AH287"/>
  <c r="B287" s="1"/>
  <c r="AH286"/>
  <c r="B286" s="1"/>
  <c r="AH285"/>
  <c r="B285" s="1"/>
  <c r="AH284"/>
  <c r="B284" s="1"/>
  <c r="AH283"/>
  <c r="B283" s="1"/>
  <c r="AH282"/>
  <c r="B282" s="1"/>
  <c r="B294" l="1"/>
  <c r="AH294"/>
  <c r="K207" i="60804" l="1"/>
  <c r="K208"/>
  <c r="K209"/>
  <c r="K210"/>
  <c r="K211"/>
  <c r="J207"/>
  <c r="J208"/>
  <c r="J209"/>
  <c r="J210"/>
  <c r="J211"/>
  <c r="J206"/>
  <c r="H218"/>
  <c r="I218"/>
  <c r="F110" i="7380" l="1"/>
  <c r="O44" s="1"/>
  <c r="P44" s="1"/>
  <c r="K277" i="60804"/>
  <c r="I250" l="1"/>
  <c r="L250" s="1"/>
  <c r="L111" i="7380"/>
  <c r="L112"/>
  <c r="F112" s="1"/>
  <c r="O46" s="1"/>
  <c r="P46" s="1"/>
  <c r="L113"/>
  <c r="F113" s="1"/>
  <c r="O47" s="1"/>
  <c r="P47" s="1"/>
  <c r="L114"/>
  <c r="F114" s="1"/>
  <c r="O48" s="1"/>
  <c r="P48" s="1"/>
  <c r="L115"/>
  <c r="F115" s="1"/>
  <c r="O49" s="1"/>
  <c r="P49" s="1"/>
  <c r="L116"/>
  <c r="F116" s="1"/>
  <c r="O50" s="1"/>
  <c r="P50" s="1"/>
  <c r="L117"/>
  <c r="F117" s="1"/>
  <c r="O51" s="1"/>
  <c r="P51" s="1"/>
  <c r="L118"/>
  <c r="F118" s="1"/>
  <c r="O52" s="1"/>
  <c r="P52" s="1"/>
  <c r="L119"/>
  <c r="F119" s="1"/>
  <c r="O53" s="1"/>
  <c r="P53" s="1"/>
  <c r="L120"/>
  <c r="F120" s="1"/>
  <c r="O54" s="1"/>
  <c r="P54" s="1"/>
  <c r="L121"/>
  <c r="F121" s="1"/>
  <c r="O55" s="1"/>
  <c r="P55" s="1"/>
  <c r="L122"/>
  <c r="F122" s="1"/>
  <c r="O56" s="1"/>
  <c r="P56" s="1"/>
  <c r="L123"/>
  <c r="F123" s="1"/>
  <c r="O57" s="1"/>
  <c r="P57" s="1"/>
  <c r="L124"/>
  <c r="F124" s="1"/>
  <c r="O58" s="1"/>
  <c r="P58" s="1"/>
  <c r="L125"/>
  <c r="F125" s="1"/>
  <c r="O59" s="1"/>
  <c r="P59" s="1"/>
  <c r="L126"/>
  <c r="F126" s="1"/>
  <c r="O60" s="1"/>
  <c r="P60" s="1"/>
  <c r="L127"/>
  <c r="F127" s="1"/>
  <c r="O61" s="1"/>
  <c r="P61" s="1"/>
  <c r="L128"/>
  <c r="F128" s="1"/>
  <c r="O62" s="1"/>
  <c r="P62" s="1"/>
  <c r="L129"/>
  <c r="F129" s="1"/>
  <c r="O63" s="1"/>
  <c r="P63" s="1"/>
  <c r="L130"/>
  <c r="F130" s="1"/>
  <c r="O64" s="1"/>
  <c r="P64" s="1"/>
  <c r="L131"/>
  <c r="F131" s="1"/>
  <c r="O65" s="1"/>
  <c r="P65" s="1"/>
  <c r="L132"/>
  <c r="F132" s="1"/>
  <c r="O66" s="1"/>
  <c r="P66" s="1"/>
  <c r="L133"/>
  <c r="F133" s="1"/>
  <c r="O67" s="1"/>
  <c r="P67" s="1"/>
  <c r="L134"/>
  <c r="F134" s="1"/>
  <c r="O68" s="1"/>
  <c r="P68" s="1"/>
  <c r="L135"/>
  <c r="F135" s="1"/>
  <c r="O69" s="1"/>
  <c r="P69" s="1"/>
  <c r="L136"/>
  <c r="F136" s="1"/>
  <c r="O70" s="1"/>
  <c r="P70" s="1"/>
  <c r="L137"/>
  <c r="F137" s="1"/>
  <c r="O71" s="1"/>
  <c r="P71" s="1"/>
  <c r="L138"/>
  <c r="F138" s="1"/>
  <c r="O72" s="1"/>
  <c r="P72" s="1"/>
  <c r="L139"/>
  <c r="F139" s="1"/>
  <c r="O73" s="1"/>
  <c r="P73" s="1"/>
  <c r="L140"/>
  <c r="F140" s="1"/>
  <c r="O74" s="1"/>
  <c r="P74" s="1"/>
  <c r="L141"/>
  <c r="F141" s="1"/>
  <c r="O75" s="1"/>
  <c r="P75" s="1"/>
  <c r="L142"/>
  <c r="F142" s="1"/>
  <c r="O76" s="1"/>
  <c r="P76" s="1"/>
  <c r="L143"/>
  <c r="F143" s="1"/>
  <c r="O77" s="1"/>
  <c r="P77" s="1"/>
  <c r="L144"/>
  <c r="F144" s="1"/>
  <c r="O78" s="1"/>
  <c r="P78" s="1"/>
  <c r="L145"/>
  <c r="F145" s="1"/>
  <c r="O79" s="1"/>
  <c r="P79" s="1"/>
  <c r="L146"/>
  <c r="F146" s="1"/>
  <c r="O80" s="1"/>
  <c r="P80" s="1"/>
  <c r="L147"/>
  <c r="F147" s="1"/>
  <c r="O81" s="1"/>
  <c r="P81" s="1"/>
  <c r="L148"/>
  <c r="F148" s="1"/>
  <c r="O82" s="1"/>
  <c r="P82" s="1"/>
  <c r="L149"/>
  <c r="F149" s="1"/>
  <c r="O83" s="1"/>
  <c r="P83" s="1"/>
  <c r="L150"/>
  <c r="F150" s="1"/>
  <c r="O84" s="1"/>
  <c r="P84" s="1"/>
  <c r="L151"/>
  <c r="F151" s="1"/>
  <c r="O85" s="1"/>
  <c r="P85" s="1"/>
  <c r="L152"/>
  <c r="F152" s="1"/>
  <c r="O86" s="1"/>
  <c r="P86" s="1"/>
  <c r="L153"/>
  <c r="F153" s="1"/>
  <c r="O87" s="1"/>
  <c r="P87" s="1"/>
  <c r="L154"/>
  <c r="F154" s="1"/>
  <c r="O88" s="1"/>
  <c r="P88" s="1"/>
  <c r="L155"/>
  <c r="F155" s="1"/>
  <c r="O89" s="1"/>
  <c r="P89" s="1"/>
  <c r="L156"/>
  <c r="F156" s="1"/>
  <c r="O90" s="1"/>
  <c r="P90" s="1"/>
  <c r="L157"/>
  <c r="F157" s="1"/>
  <c r="O91" s="1"/>
  <c r="P91" s="1"/>
  <c r="L158"/>
  <c r="F158" s="1"/>
  <c r="O92" s="1"/>
  <c r="P92" s="1"/>
  <c r="L159"/>
  <c r="F159" s="1"/>
  <c r="O93" s="1"/>
  <c r="P93" s="1"/>
  <c r="L160"/>
  <c r="F160" s="1"/>
  <c r="O94" s="1"/>
  <c r="P94" s="1"/>
  <c r="L161"/>
  <c r="F161" s="1"/>
  <c r="O95" s="1"/>
  <c r="P95" s="1"/>
  <c r="L162"/>
  <c r="F162" s="1"/>
  <c r="O96" s="1"/>
  <c r="P96" s="1"/>
  <c r="L163"/>
  <c r="F163" s="1"/>
  <c r="O97" s="1"/>
  <c r="P97" s="1"/>
  <c r="L164"/>
  <c r="F164" s="1"/>
  <c r="O98" s="1"/>
  <c r="P98" s="1"/>
  <c r="L165"/>
  <c r="F165" s="1"/>
  <c r="O99" s="1"/>
  <c r="P99" s="1"/>
  <c r="L166"/>
  <c r="F166" s="1"/>
  <c r="O100" s="1"/>
  <c r="P100" s="1"/>
  <c r="L167"/>
  <c r="F167" s="1"/>
  <c r="O101" s="1"/>
  <c r="P101" s="1"/>
  <c r="L168"/>
  <c r="F168" s="1"/>
  <c r="O102" s="1"/>
  <c r="P102" s="1"/>
  <c r="L169"/>
  <c r="F169" s="1"/>
  <c r="O103" s="1"/>
  <c r="P103" s="1"/>
  <c r="L170"/>
  <c r="F170" s="1"/>
  <c r="O104" s="1"/>
  <c r="P104" s="1"/>
  <c r="J173"/>
  <c r="F126" i="1792"/>
  <c r="F125"/>
  <c r="F127"/>
  <c r="F128"/>
  <c r="F129"/>
  <c r="F130"/>
  <c r="F131"/>
  <c r="F132"/>
  <c r="F133"/>
  <c r="F134"/>
  <c r="F135"/>
  <c r="F136"/>
  <c r="F137"/>
  <c r="F138"/>
  <c r="F139"/>
  <c r="F140"/>
  <c r="F141"/>
  <c r="F142"/>
  <c r="F143"/>
  <c r="F144"/>
  <c r="F145"/>
  <c r="F146"/>
  <c r="F147"/>
  <c r="F148"/>
  <c r="F149"/>
  <c r="F150"/>
  <c r="F151"/>
  <c r="F152"/>
  <c r="F153"/>
  <c r="F154"/>
  <c r="F155"/>
  <c r="F156"/>
  <c r="F157"/>
  <c r="F158"/>
  <c r="F159"/>
  <c r="F160"/>
  <c r="F161"/>
  <c r="F162"/>
  <c r="F163"/>
  <c r="F164"/>
  <c r="F165"/>
  <c r="F166"/>
  <c r="F167"/>
  <c r="F168"/>
  <c r="F169"/>
  <c r="F170"/>
  <c r="F171"/>
  <c r="F172"/>
  <c r="F173"/>
  <c r="F174"/>
  <c r="F175"/>
  <c r="F176"/>
  <c r="F177"/>
  <c r="F178"/>
  <c r="F179"/>
  <c r="F180"/>
  <c r="F181"/>
  <c r="F182"/>
  <c r="F183"/>
  <c r="F184"/>
  <c r="F111" i="7380" l="1"/>
  <c r="L173"/>
  <c r="F187" i="1792"/>
  <c r="F173" i="7380" l="1"/>
  <c r="O45"/>
  <c r="P45" s="1"/>
  <c r="D137" i="60801"/>
  <c r="D37" l="1"/>
  <c r="AH71" i="60805" l="1"/>
  <c r="AH70"/>
  <c r="B70" s="1"/>
  <c r="AH69"/>
  <c r="B69" s="1"/>
  <c r="AH68"/>
  <c r="B68" s="1"/>
  <c r="AH67"/>
  <c r="B67" s="1"/>
  <c r="AH66"/>
  <c r="B66" s="1"/>
  <c r="AH65"/>
  <c r="B65" s="1"/>
  <c r="AH64"/>
  <c r="B64" s="1"/>
  <c r="B63"/>
  <c r="AH62"/>
  <c r="B62" s="1"/>
  <c r="AH61"/>
  <c r="B61" s="1"/>
  <c r="AH60"/>
  <c r="B60" s="1"/>
  <c r="AH59"/>
  <c r="B59" s="1"/>
  <c r="I255" i="60804"/>
  <c r="L255" s="1"/>
  <c r="I254"/>
  <c r="L254" s="1"/>
  <c r="B71" i="60805" l="1"/>
  <c r="C127" i="60801"/>
  <c r="C154"/>
  <c r="E153"/>
  <c r="E154" s="1"/>
  <c r="K22" i="60804"/>
  <c r="J22"/>
  <c r="H22"/>
  <c r="G22"/>
  <c r="B73" i="60805" l="1"/>
  <c r="E27" i="60801"/>
  <c r="E29" s="1"/>
  <c r="D29"/>
  <c r="H184"/>
  <c r="G184"/>
  <c r="G185" s="1"/>
  <c r="F185"/>
  <c r="E185"/>
  <c r="D185"/>
  <c r="C185"/>
  <c r="H185"/>
  <c r="F27" l="1"/>
  <c r="F29" s="1"/>
  <c r="C148" l="1"/>
  <c r="F147"/>
  <c r="F148" s="1"/>
  <c r="I244" i="60804"/>
  <c r="L244" s="1"/>
  <c r="I249" l="1"/>
  <c r="L249" s="1"/>
  <c r="F280" i="60801"/>
  <c r="E280"/>
  <c r="D280"/>
  <c r="C280"/>
  <c r="H279"/>
  <c r="G279"/>
  <c r="H278"/>
  <c r="G278"/>
  <c r="H277"/>
  <c r="G277"/>
  <c r="H276"/>
  <c r="G276"/>
  <c r="H275"/>
  <c r="G275"/>
  <c r="H274"/>
  <c r="G274"/>
  <c r="H273"/>
  <c r="G273"/>
  <c r="H272"/>
  <c r="G272"/>
  <c r="H271"/>
  <c r="G271"/>
  <c r="H270"/>
  <c r="G270"/>
  <c r="H269"/>
  <c r="G269"/>
  <c r="H268"/>
  <c r="G268"/>
  <c r="G280" l="1"/>
  <c r="H280"/>
  <c r="AY75"/>
  <c r="AX75"/>
  <c r="AW75"/>
  <c r="AV75"/>
  <c r="AU75"/>
  <c r="AT75"/>
  <c r="AN75"/>
  <c r="AM75"/>
  <c r="AO75"/>
  <c r="AL75"/>
  <c r="C143"/>
  <c r="E142"/>
  <c r="E143" s="1"/>
  <c r="C137"/>
  <c r="E134"/>
  <c r="E135"/>
  <c r="E136"/>
  <c r="E133"/>
  <c r="F291"/>
  <c r="D291"/>
  <c r="C291"/>
  <c r="H290"/>
  <c r="H291" s="1"/>
  <c r="B491" i="60805"/>
  <c r="B490"/>
  <c r="B489"/>
  <c r="B488"/>
  <c r="B487"/>
  <c r="B486"/>
  <c r="B485"/>
  <c r="B484"/>
  <c r="B483"/>
  <c r="B482"/>
  <c r="B481"/>
  <c r="B480"/>
  <c r="AH49" i="1024"/>
  <c r="AH50"/>
  <c r="B50" s="1"/>
  <c r="AH51"/>
  <c r="B51" s="1"/>
  <c r="F262" i="60801"/>
  <c r="E262"/>
  <c r="D262"/>
  <c r="C262"/>
  <c r="H261"/>
  <c r="H262" s="1"/>
  <c r="G261"/>
  <c r="G262" s="1"/>
  <c r="I20" i="60804"/>
  <c r="L20" s="1"/>
  <c r="I19"/>
  <c r="L19" s="1"/>
  <c r="D22" i="60801"/>
  <c r="B45" i="60805"/>
  <c r="AH53"/>
  <c r="AH52"/>
  <c r="B52" s="1"/>
  <c r="AH51"/>
  <c r="B51" s="1"/>
  <c r="AH50"/>
  <c r="B50" s="1"/>
  <c r="AH49"/>
  <c r="B49" s="1"/>
  <c r="AH48"/>
  <c r="B48" s="1"/>
  <c r="AH47"/>
  <c r="B47" s="1"/>
  <c r="AH46"/>
  <c r="B46" s="1"/>
  <c r="AH44"/>
  <c r="B44" s="1"/>
  <c r="AH43"/>
  <c r="B43" s="1"/>
  <c r="AH42"/>
  <c r="B42" s="1"/>
  <c r="AH41"/>
  <c r="B41" s="1"/>
  <c r="H252" i="60801"/>
  <c r="H253"/>
  <c r="H254"/>
  <c r="G251"/>
  <c r="G252"/>
  <c r="G253"/>
  <c r="G254"/>
  <c r="H250"/>
  <c r="G250"/>
  <c r="H249"/>
  <c r="G249"/>
  <c r="H248"/>
  <c r="G248"/>
  <c r="H247"/>
  <c r="G247"/>
  <c r="H246"/>
  <c r="G246"/>
  <c r="H245"/>
  <c r="G245"/>
  <c r="H244"/>
  <c r="G244"/>
  <c r="H243"/>
  <c r="G243"/>
  <c r="H242"/>
  <c r="G242"/>
  <c r="C255"/>
  <c r="D255"/>
  <c r="E255"/>
  <c r="F236"/>
  <c r="E236"/>
  <c r="D236"/>
  <c r="C236"/>
  <c r="H235"/>
  <c r="G235"/>
  <c r="H234"/>
  <c r="G234"/>
  <c r="J196" i="60804"/>
  <c r="K196"/>
  <c r="J197"/>
  <c r="K197"/>
  <c r="J198"/>
  <c r="K198"/>
  <c r="J199"/>
  <c r="K199"/>
  <c r="J200"/>
  <c r="K200"/>
  <c r="J201"/>
  <c r="K201"/>
  <c r="J202"/>
  <c r="K202"/>
  <c r="J203"/>
  <c r="K203"/>
  <c r="J204"/>
  <c r="K204"/>
  <c r="J205"/>
  <c r="K205"/>
  <c r="K206"/>
  <c r="K35"/>
  <c r="J35"/>
  <c r="K34"/>
  <c r="J34"/>
  <c r="I18"/>
  <c r="L18" s="1"/>
  <c r="E25" i="7380"/>
  <c r="I17" i="60804"/>
  <c r="L17" s="1"/>
  <c r="K28"/>
  <c r="K29"/>
  <c r="K30"/>
  <c r="K31"/>
  <c r="K32"/>
  <c r="K33"/>
  <c r="K166"/>
  <c r="J166"/>
  <c r="K215"/>
  <c r="J215"/>
  <c r="B421" i="60805"/>
  <c r="E274" i="60804"/>
  <c r="F274" s="1"/>
  <c r="E275" s="1"/>
  <c r="F275" s="1"/>
  <c r="C121" i="60801"/>
  <c r="AH251" i="60805"/>
  <c r="B251" s="1"/>
  <c r="AH277"/>
  <c r="B277" s="1"/>
  <c r="AH276"/>
  <c r="B276" s="1"/>
  <c r="AH275"/>
  <c r="B275" s="1"/>
  <c r="AH274"/>
  <c r="B274" s="1"/>
  <c r="AH273"/>
  <c r="B273" s="1"/>
  <c r="AH272"/>
  <c r="B272" s="1"/>
  <c r="E109" i="60801" s="1"/>
  <c r="AH271" i="60805"/>
  <c r="B271" s="1"/>
  <c r="AH270"/>
  <c r="B270" s="1"/>
  <c r="AH269"/>
  <c r="B269" s="1"/>
  <c r="AH268"/>
  <c r="B268" s="1"/>
  <c r="AH267"/>
  <c r="B267" s="1"/>
  <c r="E104" i="60801" s="1"/>
  <c r="AH266" i="60805"/>
  <c r="B266" s="1"/>
  <c r="K176" i="60804"/>
  <c r="K177"/>
  <c r="K178"/>
  <c r="K179"/>
  <c r="K180"/>
  <c r="K181"/>
  <c r="K182"/>
  <c r="K183"/>
  <c r="K184"/>
  <c r="K185"/>
  <c r="K186"/>
  <c r="K187"/>
  <c r="K188"/>
  <c r="K189"/>
  <c r="K190"/>
  <c r="K191"/>
  <c r="K192"/>
  <c r="K193"/>
  <c r="K194"/>
  <c r="K195"/>
  <c r="J176"/>
  <c r="J177"/>
  <c r="J178"/>
  <c r="J179"/>
  <c r="J180"/>
  <c r="J181"/>
  <c r="J182"/>
  <c r="J183"/>
  <c r="J184"/>
  <c r="J185"/>
  <c r="J186"/>
  <c r="J187"/>
  <c r="J188"/>
  <c r="J189"/>
  <c r="J190"/>
  <c r="J191"/>
  <c r="J192"/>
  <c r="J193"/>
  <c r="J194"/>
  <c r="J195"/>
  <c r="K175"/>
  <c r="J175"/>
  <c r="K174"/>
  <c r="K173"/>
  <c r="K172"/>
  <c r="K171"/>
  <c r="K170"/>
  <c r="K169"/>
  <c r="K168"/>
  <c r="K167"/>
  <c r="J174"/>
  <c r="J173"/>
  <c r="J172"/>
  <c r="J171"/>
  <c r="J170"/>
  <c r="J169"/>
  <c r="J168"/>
  <c r="J167"/>
  <c r="D71" i="60801"/>
  <c r="E69"/>
  <c r="E72"/>
  <c r="AH355" i="60805"/>
  <c r="B355" s="1"/>
  <c r="AH354"/>
  <c r="B354" s="1"/>
  <c r="AH353"/>
  <c r="B353" s="1"/>
  <c r="AH352"/>
  <c r="B352" s="1"/>
  <c r="AH351"/>
  <c r="B351" s="1"/>
  <c r="AH350"/>
  <c r="B350" s="1"/>
  <c r="F69" i="60801" s="1"/>
  <c r="G69" s="1"/>
  <c r="E70" s="1"/>
  <c r="AH349" i="60805"/>
  <c r="B349" s="1"/>
  <c r="AH363"/>
  <c r="B363" s="1"/>
  <c r="AH364"/>
  <c r="B364" s="1"/>
  <c r="AH365"/>
  <c r="B365" s="1"/>
  <c r="K165" i="60804"/>
  <c r="J165"/>
  <c r="K164"/>
  <c r="J164"/>
  <c r="K163"/>
  <c r="J163"/>
  <c r="K162"/>
  <c r="J162"/>
  <c r="K161"/>
  <c r="J161"/>
  <c r="K160"/>
  <c r="J160"/>
  <c r="K159"/>
  <c r="J159"/>
  <c r="K158"/>
  <c r="J158"/>
  <c r="K157"/>
  <c r="J157"/>
  <c r="K156"/>
  <c r="J156"/>
  <c r="E61" i="60801"/>
  <c r="G218" i="60804"/>
  <c r="AH127" i="60805"/>
  <c r="AH126"/>
  <c r="B126" s="1"/>
  <c r="AH125"/>
  <c r="B125" s="1"/>
  <c r="AH124"/>
  <c r="B124" s="1"/>
  <c r="AH123"/>
  <c r="B123" s="1"/>
  <c r="AH122"/>
  <c r="B122" s="1"/>
  <c r="AH121"/>
  <c r="B121" s="1"/>
  <c r="AH120"/>
  <c r="B120" s="1"/>
  <c r="AH119"/>
  <c r="AH118"/>
  <c r="AH117"/>
  <c r="AH116"/>
  <c r="AH115"/>
  <c r="G210" i="60801"/>
  <c r="G211" s="1"/>
  <c r="F218" i="60804"/>
  <c r="K133"/>
  <c r="K134"/>
  <c r="K135"/>
  <c r="K136"/>
  <c r="K137"/>
  <c r="K132"/>
  <c r="J133"/>
  <c r="J134"/>
  <c r="J135"/>
  <c r="J136"/>
  <c r="J137"/>
  <c r="J132"/>
  <c r="K139"/>
  <c r="K140"/>
  <c r="K141"/>
  <c r="K142"/>
  <c r="K143"/>
  <c r="K144"/>
  <c r="K145"/>
  <c r="K146"/>
  <c r="K147"/>
  <c r="K148"/>
  <c r="K149"/>
  <c r="K150"/>
  <c r="K151"/>
  <c r="K152"/>
  <c r="K153"/>
  <c r="K154"/>
  <c r="K155"/>
  <c r="K138"/>
  <c r="J139"/>
  <c r="J140"/>
  <c r="J141"/>
  <c r="J142"/>
  <c r="J143"/>
  <c r="J144"/>
  <c r="J145"/>
  <c r="J146"/>
  <c r="J147"/>
  <c r="J148"/>
  <c r="J149"/>
  <c r="J150"/>
  <c r="J151"/>
  <c r="J152"/>
  <c r="J153"/>
  <c r="J154"/>
  <c r="J155"/>
  <c r="J138"/>
  <c r="J212"/>
  <c r="K212"/>
  <c r="J213"/>
  <c r="K213"/>
  <c r="J214"/>
  <c r="K214"/>
  <c r="I227"/>
  <c r="L227" s="1"/>
  <c r="I228"/>
  <c r="L228" s="1"/>
  <c r="I229"/>
  <c r="L229" s="1"/>
  <c r="I230"/>
  <c r="L230" s="1"/>
  <c r="I231"/>
  <c r="L231" s="1"/>
  <c r="J131"/>
  <c r="K131"/>
  <c r="AH299" i="60805"/>
  <c r="AH300"/>
  <c r="AH301"/>
  <c r="AH302"/>
  <c r="AH303"/>
  <c r="AH304"/>
  <c r="AH305"/>
  <c r="AH306"/>
  <c r="AH307"/>
  <c r="AH308"/>
  <c r="AH309"/>
  <c r="AH310"/>
  <c r="G177" i="60801"/>
  <c r="G176"/>
  <c r="AH235" i="60805"/>
  <c r="B235" s="1"/>
  <c r="AH236"/>
  <c r="B236" s="1"/>
  <c r="AH237"/>
  <c r="B237" s="1"/>
  <c r="AH238"/>
  <c r="B238" s="1"/>
  <c r="AH239"/>
  <c r="B239" s="1"/>
  <c r="AH240"/>
  <c r="B240" s="1"/>
  <c r="AH241"/>
  <c r="B241" s="1"/>
  <c r="AH242"/>
  <c r="B242" s="1"/>
  <c r="AH243"/>
  <c r="B243" s="1"/>
  <c r="AH244"/>
  <c r="B244" s="1"/>
  <c r="AH245"/>
  <c r="B245" s="1"/>
  <c r="G117" i="1792"/>
  <c r="K238" i="60804"/>
  <c r="J238"/>
  <c r="L235"/>
  <c r="L234"/>
  <c r="H176" i="60801"/>
  <c r="L233" i="60804"/>
  <c r="I233"/>
  <c r="D277"/>
  <c r="AH254" i="60805"/>
  <c r="B254" s="1"/>
  <c r="AH255"/>
  <c r="B255" s="1"/>
  <c r="AH256"/>
  <c r="B256" s="1"/>
  <c r="AH257"/>
  <c r="B257" s="1"/>
  <c r="AH258"/>
  <c r="B258" s="1"/>
  <c r="AH259"/>
  <c r="B259" s="1"/>
  <c r="AH260"/>
  <c r="B260" s="1"/>
  <c r="AH261"/>
  <c r="B261" s="1"/>
  <c r="AH253"/>
  <c r="B253" s="1"/>
  <c r="AH252"/>
  <c r="B252" s="1"/>
  <c r="AH250"/>
  <c r="B250" s="1"/>
  <c r="K118" i="60804"/>
  <c r="K117"/>
  <c r="K116"/>
  <c r="B508" i="60805"/>
  <c r="B507"/>
  <c r="B506"/>
  <c r="B505"/>
  <c r="B504"/>
  <c r="B503"/>
  <c r="B502"/>
  <c r="B501"/>
  <c r="B500"/>
  <c r="B499"/>
  <c r="B498"/>
  <c r="B497"/>
  <c r="K128" i="60804"/>
  <c r="J128"/>
  <c r="K127"/>
  <c r="J127"/>
  <c r="K126"/>
  <c r="J126"/>
  <c r="K125"/>
  <c r="J125"/>
  <c r="K124"/>
  <c r="J124"/>
  <c r="K123"/>
  <c r="J123"/>
  <c r="K122"/>
  <c r="J122"/>
  <c r="K121"/>
  <c r="J121"/>
  <c r="K120"/>
  <c r="J120"/>
  <c r="K119"/>
  <c r="J119"/>
  <c r="C116" i="60801"/>
  <c r="AH234" i="60805"/>
  <c r="B234" s="1"/>
  <c r="D161" i="60801"/>
  <c r="B475" i="60805"/>
  <c r="B474"/>
  <c r="B473"/>
  <c r="B472"/>
  <c r="B471"/>
  <c r="B470"/>
  <c r="B469"/>
  <c r="B468"/>
  <c r="B467"/>
  <c r="B466"/>
  <c r="B465"/>
  <c r="B476" s="1"/>
  <c r="F166" i="60801" s="1"/>
  <c r="B464" i="60805"/>
  <c r="B459"/>
  <c r="B458"/>
  <c r="B457"/>
  <c r="B456"/>
  <c r="B455"/>
  <c r="B454"/>
  <c r="B453"/>
  <c r="B452"/>
  <c r="B451"/>
  <c r="B450"/>
  <c r="B449"/>
  <c r="B448"/>
  <c r="B443"/>
  <c r="E160" i="60801" s="1"/>
  <c r="E161" s="1"/>
  <c r="B442" i="60805"/>
  <c r="B441"/>
  <c r="B440"/>
  <c r="B439"/>
  <c r="B438"/>
  <c r="B437"/>
  <c r="B436"/>
  <c r="B435"/>
  <c r="B434"/>
  <c r="B433"/>
  <c r="B432"/>
  <c r="B427"/>
  <c r="B426"/>
  <c r="B425"/>
  <c r="B424"/>
  <c r="B423"/>
  <c r="B422"/>
  <c r="B420"/>
  <c r="B419"/>
  <c r="B418"/>
  <c r="B417"/>
  <c r="B416"/>
  <c r="G24" i="60796"/>
  <c r="AH483" i="32"/>
  <c r="B483" s="1"/>
  <c r="AH484"/>
  <c r="B484" s="1"/>
  <c r="AH485"/>
  <c r="AH486"/>
  <c r="AH487"/>
  <c r="AH488"/>
  <c r="B488" s="1"/>
  <c r="B485"/>
  <c r="B486"/>
  <c r="B487"/>
  <c r="AH17" i="60806"/>
  <c r="B17" s="1"/>
  <c r="AH16"/>
  <c r="B16" s="1"/>
  <c r="AH15"/>
  <c r="B15" s="1"/>
  <c r="AH14"/>
  <c r="B14" s="1"/>
  <c r="AH13"/>
  <c r="B13" s="1"/>
  <c r="AH12"/>
  <c r="B12" s="1"/>
  <c r="AH11"/>
  <c r="B11" s="1"/>
  <c r="AH10"/>
  <c r="B10" s="1"/>
  <c r="AH9"/>
  <c r="B9" s="1"/>
  <c r="AH8"/>
  <c r="B8" s="1"/>
  <c r="AH7"/>
  <c r="B7" s="1"/>
  <c r="AH6"/>
  <c r="B6" s="1"/>
  <c r="C100" i="60801"/>
  <c r="I248" i="60804"/>
  <c r="L248" s="1"/>
  <c r="I243"/>
  <c r="L243" s="1"/>
  <c r="H238"/>
  <c r="G238"/>
  <c r="I232"/>
  <c r="L232" s="1"/>
  <c r="C252" i="7380"/>
  <c r="I4" i="60804"/>
  <c r="I5"/>
  <c r="L5" s="1"/>
  <c r="I6"/>
  <c r="L6" s="1"/>
  <c r="I7"/>
  <c r="L7" s="1"/>
  <c r="I8"/>
  <c r="L8" s="1"/>
  <c r="I9"/>
  <c r="L9" s="1"/>
  <c r="I10"/>
  <c r="L10" s="1"/>
  <c r="I11"/>
  <c r="L11" s="1"/>
  <c r="I12"/>
  <c r="L12" s="1"/>
  <c r="I13"/>
  <c r="L13" s="1"/>
  <c r="I14"/>
  <c r="L14" s="1"/>
  <c r="I15"/>
  <c r="L15" s="1"/>
  <c r="I16"/>
  <c r="L16" s="1"/>
  <c r="J27"/>
  <c r="J218" s="1"/>
  <c r="K27"/>
  <c r="J28"/>
  <c r="J29"/>
  <c r="J30"/>
  <c r="J31"/>
  <c r="J32"/>
  <c r="J33"/>
  <c r="J36"/>
  <c r="K36"/>
  <c r="J37"/>
  <c r="K37"/>
  <c r="J38"/>
  <c r="K38"/>
  <c r="J39"/>
  <c r="K39"/>
  <c r="J40"/>
  <c r="K40"/>
  <c r="J41"/>
  <c r="K41"/>
  <c r="J42"/>
  <c r="K42"/>
  <c r="J43"/>
  <c r="K43"/>
  <c r="J44"/>
  <c r="K44"/>
  <c r="J45"/>
  <c r="K45"/>
  <c r="J46"/>
  <c r="K46"/>
  <c r="J47"/>
  <c r="K47"/>
  <c r="J48"/>
  <c r="K48"/>
  <c r="J49"/>
  <c r="K49"/>
  <c r="J50"/>
  <c r="K50"/>
  <c r="J51"/>
  <c r="K51"/>
  <c r="J52"/>
  <c r="K52"/>
  <c r="J53"/>
  <c r="K53"/>
  <c r="J54"/>
  <c r="K54"/>
  <c r="J55"/>
  <c r="K55"/>
  <c r="J56"/>
  <c r="K56"/>
  <c r="J57"/>
  <c r="K57"/>
  <c r="J58"/>
  <c r="K58"/>
  <c r="J59"/>
  <c r="K59"/>
  <c r="J60"/>
  <c r="K60"/>
  <c r="J61"/>
  <c r="K61"/>
  <c r="J62"/>
  <c r="K62"/>
  <c r="J63"/>
  <c r="K63"/>
  <c r="J64"/>
  <c r="K64"/>
  <c r="J65"/>
  <c r="K65"/>
  <c r="J66"/>
  <c r="K66"/>
  <c r="J67"/>
  <c r="K67"/>
  <c r="J68"/>
  <c r="K68"/>
  <c r="J69"/>
  <c r="K69"/>
  <c r="J70"/>
  <c r="K70"/>
  <c r="J71"/>
  <c r="K71"/>
  <c r="J72"/>
  <c r="K72"/>
  <c r="J73"/>
  <c r="K73"/>
  <c r="J74"/>
  <c r="K74"/>
  <c r="J75"/>
  <c r="K75"/>
  <c r="J76"/>
  <c r="K76"/>
  <c r="J77"/>
  <c r="K77"/>
  <c r="J78"/>
  <c r="K78"/>
  <c r="J79"/>
  <c r="K79"/>
  <c r="J80"/>
  <c r="K80"/>
  <c r="J81"/>
  <c r="K81"/>
  <c r="J82"/>
  <c r="K82"/>
  <c r="J83"/>
  <c r="K83"/>
  <c r="J84"/>
  <c r="K84"/>
  <c r="J85"/>
  <c r="K85"/>
  <c r="J86"/>
  <c r="K86"/>
  <c r="J87"/>
  <c r="K87"/>
  <c r="J88"/>
  <c r="K88"/>
  <c r="J89"/>
  <c r="K89"/>
  <c r="J90"/>
  <c r="K90"/>
  <c r="J91"/>
  <c r="K91"/>
  <c r="J92"/>
  <c r="K92"/>
  <c r="J93"/>
  <c r="K93"/>
  <c r="J94"/>
  <c r="K94"/>
  <c r="J95"/>
  <c r="K95"/>
  <c r="J96"/>
  <c r="K96"/>
  <c r="J97"/>
  <c r="K97"/>
  <c r="J98"/>
  <c r="K98"/>
  <c r="J99"/>
  <c r="K99"/>
  <c r="J100"/>
  <c r="K100"/>
  <c r="J101"/>
  <c r="K101"/>
  <c r="J102"/>
  <c r="K102"/>
  <c r="J103"/>
  <c r="K103"/>
  <c r="J104"/>
  <c r="K104"/>
  <c r="J105"/>
  <c r="K105"/>
  <c r="J106"/>
  <c r="K106"/>
  <c r="J107"/>
  <c r="K107"/>
  <c r="J108"/>
  <c r="K108"/>
  <c r="J109"/>
  <c r="K109"/>
  <c r="J110"/>
  <c r="K110"/>
  <c r="J111"/>
  <c r="K111"/>
  <c r="J112"/>
  <c r="K112"/>
  <c r="J113"/>
  <c r="K113"/>
  <c r="J114"/>
  <c r="K114"/>
  <c r="J115"/>
  <c r="K115"/>
  <c r="AH4" i="60805"/>
  <c r="B4" s="1"/>
  <c r="AH5"/>
  <c r="B5" s="1"/>
  <c r="AH6"/>
  <c r="B6" s="1"/>
  <c r="AH7"/>
  <c r="B7" s="1"/>
  <c r="AH8"/>
  <c r="B8" s="1"/>
  <c r="AH9"/>
  <c r="B9" s="1"/>
  <c r="AH10"/>
  <c r="B10" s="1"/>
  <c r="AH11"/>
  <c r="B11" s="1"/>
  <c r="AH12"/>
  <c r="B12" s="1"/>
  <c r="AH13"/>
  <c r="B13" s="1"/>
  <c r="AH14"/>
  <c r="B14" s="1"/>
  <c r="AH15"/>
  <c r="B15" s="1"/>
  <c r="AH16"/>
  <c r="AH23"/>
  <c r="B23" s="1"/>
  <c r="AH24"/>
  <c r="B24" s="1"/>
  <c r="AH25"/>
  <c r="B25" s="1"/>
  <c r="AH26"/>
  <c r="B26" s="1"/>
  <c r="AH28"/>
  <c r="B28" s="1"/>
  <c r="AH29"/>
  <c r="B29" s="1"/>
  <c r="AH30"/>
  <c r="B30" s="1"/>
  <c r="AH31"/>
  <c r="B31" s="1"/>
  <c r="AH32"/>
  <c r="B32" s="1"/>
  <c r="AH33"/>
  <c r="B33" s="1"/>
  <c r="AH34"/>
  <c r="B34" s="1"/>
  <c r="AH35"/>
  <c r="AH97"/>
  <c r="AH98"/>
  <c r="AH99"/>
  <c r="AH100"/>
  <c r="AH101"/>
  <c r="AH102"/>
  <c r="B102" s="1"/>
  <c r="AH103"/>
  <c r="B103" s="1"/>
  <c r="AH104"/>
  <c r="B104" s="1"/>
  <c r="AH105"/>
  <c r="B105" s="1"/>
  <c r="AH106"/>
  <c r="B106" s="1"/>
  <c r="AH107"/>
  <c r="B107" s="1"/>
  <c r="AH108"/>
  <c r="B108" s="1"/>
  <c r="AH109"/>
  <c r="AH138"/>
  <c r="B138" s="1"/>
  <c r="AH139"/>
  <c r="B139" s="1"/>
  <c r="AH140"/>
  <c r="B140" s="1"/>
  <c r="AH141"/>
  <c r="B141" s="1"/>
  <c r="AH142"/>
  <c r="B142" s="1"/>
  <c r="AH143"/>
  <c r="B143" s="1"/>
  <c r="AH144"/>
  <c r="B144" s="1"/>
  <c r="AH145"/>
  <c r="B145" s="1"/>
  <c r="AH146"/>
  <c r="B146" s="1"/>
  <c r="AH147"/>
  <c r="B147" s="1"/>
  <c r="AH148"/>
  <c r="B148" s="1"/>
  <c r="AH149"/>
  <c r="B149" s="1"/>
  <c r="AH150"/>
  <c r="AH154"/>
  <c r="B154" s="1"/>
  <c r="AH155"/>
  <c r="B155" s="1"/>
  <c r="AH156"/>
  <c r="B156" s="1"/>
  <c r="B157"/>
  <c r="B158"/>
  <c r="B159"/>
  <c r="B160"/>
  <c r="B161"/>
  <c r="B162"/>
  <c r="B163"/>
  <c r="B164"/>
  <c r="B165"/>
  <c r="AH170"/>
  <c r="B170" s="1"/>
  <c r="AH171"/>
  <c r="B171" s="1"/>
  <c r="E81" i="60801" s="1"/>
  <c r="F81" s="1"/>
  <c r="AH172" i="60805"/>
  <c r="B172" s="1"/>
  <c r="AH173"/>
  <c r="B173" s="1"/>
  <c r="AH174"/>
  <c r="B174" s="1"/>
  <c r="AH175"/>
  <c r="B175" s="1"/>
  <c r="AH176"/>
  <c r="B176" s="1"/>
  <c r="AH177"/>
  <c r="B177" s="1"/>
  <c r="AH178"/>
  <c r="B178" s="1"/>
  <c r="AH179"/>
  <c r="B179" s="1"/>
  <c r="AH180"/>
  <c r="B180" s="1"/>
  <c r="AH181"/>
  <c r="B181" s="1"/>
  <c r="C182"/>
  <c r="D182"/>
  <c r="E182"/>
  <c r="F182"/>
  <c r="G182"/>
  <c r="H182"/>
  <c r="I182"/>
  <c r="J182"/>
  <c r="K182"/>
  <c r="L182"/>
  <c r="M182"/>
  <c r="N182"/>
  <c r="O182"/>
  <c r="P182"/>
  <c r="Q182"/>
  <c r="R182"/>
  <c r="S182"/>
  <c r="T182"/>
  <c r="U182"/>
  <c r="V182"/>
  <c r="W182"/>
  <c r="X182"/>
  <c r="Y182"/>
  <c r="Z182"/>
  <c r="AA182"/>
  <c r="AB182"/>
  <c r="AC182"/>
  <c r="AD182"/>
  <c r="AE182"/>
  <c r="AF182"/>
  <c r="AG182"/>
  <c r="AH186"/>
  <c r="B186" s="1"/>
  <c r="AH187"/>
  <c r="B187" s="1"/>
  <c r="AH188"/>
  <c r="B188" s="1"/>
  <c r="AH189"/>
  <c r="B189" s="1"/>
  <c r="AH190"/>
  <c r="B190" s="1"/>
  <c r="AH191"/>
  <c r="B191" s="1"/>
  <c r="AH192"/>
  <c r="B192" s="1"/>
  <c r="AH193"/>
  <c r="B193" s="1"/>
  <c r="AH194"/>
  <c r="B194" s="1"/>
  <c r="AH195"/>
  <c r="B195" s="1"/>
  <c r="AH196"/>
  <c r="B196" s="1"/>
  <c r="AH197"/>
  <c r="B197" s="1"/>
  <c r="AH198"/>
  <c r="AH202"/>
  <c r="B202" s="1"/>
  <c r="AH203"/>
  <c r="B203" s="1"/>
  <c r="AH204"/>
  <c r="B204" s="1"/>
  <c r="AH205"/>
  <c r="B205" s="1"/>
  <c r="AH206"/>
  <c r="B206" s="1"/>
  <c r="AH207"/>
  <c r="B207" s="1"/>
  <c r="AH208"/>
  <c r="B208" s="1"/>
  <c r="AH209"/>
  <c r="B209" s="1"/>
  <c r="AH210"/>
  <c r="B210" s="1"/>
  <c r="AH211"/>
  <c r="B211" s="1"/>
  <c r="AH212"/>
  <c r="B212" s="1"/>
  <c r="AH213"/>
  <c r="B213" s="1"/>
  <c r="AH218"/>
  <c r="B218" s="1"/>
  <c r="AH219"/>
  <c r="B219" s="1"/>
  <c r="AH220"/>
  <c r="B220" s="1"/>
  <c r="AH221"/>
  <c r="B221" s="1"/>
  <c r="B222"/>
  <c r="B223"/>
  <c r="B224"/>
  <c r="B225"/>
  <c r="B226"/>
  <c r="B227"/>
  <c r="B228"/>
  <c r="B229"/>
  <c r="B299"/>
  <c r="B300"/>
  <c r="F126" i="60801" s="1"/>
  <c r="F127" s="1"/>
  <c r="B301" i="60805"/>
  <c r="B302"/>
  <c r="B303"/>
  <c r="B304"/>
  <c r="B305"/>
  <c r="B306"/>
  <c r="B307"/>
  <c r="B308"/>
  <c r="B309"/>
  <c r="B310"/>
  <c r="AH316"/>
  <c r="B316" s="1"/>
  <c r="AH317"/>
  <c r="B317" s="1"/>
  <c r="AH318"/>
  <c r="B318" s="1"/>
  <c r="AH319"/>
  <c r="B319" s="1"/>
  <c r="AH320"/>
  <c r="B320" s="1"/>
  <c r="AH321"/>
  <c r="B321" s="1"/>
  <c r="AH322"/>
  <c r="B322" s="1"/>
  <c r="AH323"/>
  <c r="B323" s="1"/>
  <c r="AH324"/>
  <c r="B324" s="1"/>
  <c r="AH325"/>
  <c r="B325" s="1"/>
  <c r="AH326"/>
  <c r="B326" s="1"/>
  <c r="AH327"/>
  <c r="B327" s="1"/>
  <c r="AH332"/>
  <c r="B332" s="1"/>
  <c r="AH333"/>
  <c r="B333" s="1"/>
  <c r="AH334"/>
  <c r="B334" s="1"/>
  <c r="AH335"/>
  <c r="B335" s="1"/>
  <c r="AH336"/>
  <c r="B336" s="1"/>
  <c r="AH337"/>
  <c r="B337" s="1"/>
  <c r="AH338"/>
  <c r="B338" s="1"/>
  <c r="AH339"/>
  <c r="B339" s="1"/>
  <c r="AH340"/>
  <c r="B340" s="1"/>
  <c r="AH341"/>
  <c r="B341" s="1"/>
  <c r="AH342"/>
  <c r="B342" s="1"/>
  <c r="E55" i="60801" s="1"/>
  <c r="AH343" i="60805"/>
  <c r="B343" s="1"/>
  <c r="AH366"/>
  <c r="B366" s="1"/>
  <c r="AH367"/>
  <c r="B367" s="1"/>
  <c r="AH368"/>
  <c r="B368" s="1"/>
  <c r="AH369"/>
  <c r="B369" s="1"/>
  <c r="AH370"/>
  <c r="B370" s="1"/>
  <c r="AH371"/>
  <c r="B371" s="1"/>
  <c r="AH372"/>
  <c r="B372" s="1"/>
  <c r="AH373"/>
  <c r="B373" s="1"/>
  <c r="AH374"/>
  <c r="B374" s="1"/>
  <c r="AH380"/>
  <c r="B380" s="1"/>
  <c r="AH381"/>
  <c r="B381" s="1"/>
  <c r="AH382"/>
  <c r="B382" s="1"/>
  <c r="AH383"/>
  <c r="B383" s="1"/>
  <c r="AH384"/>
  <c r="B384" s="1"/>
  <c r="AH385"/>
  <c r="B385" s="1"/>
  <c r="AH386"/>
  <c r="B386" s="1"/>
  <c r="AH387"/>
  <c r="B387" s="1"/>
  <c r="AH388"/>
  <c r="B388" s="1"/>
  <c r="AH389"/>
  <c r="B389" s="1"/>
  <c r="AH390"/>
  <c r="B390" s="1"/>
  <c r="AH391"/>
  <c r="B391" s="1"/>
  <c r="AH397"/>
  <c r="B397" s="1"/>
  <c r="AH398"/>
  <c r="B398" s="1"/>
  <c r="AH399"/>
  <c r="B399" s="1"/>
  <c r="AH400"/>
  <c r="B400" s="1"/>
  <c r="AH401"/>
  <c r="B401" s="1"/>
  <c r="AH402"/>
  <c r="B402" s="1"/>
  <c r="AH403"/>
  <c r="B403" s="1"/>
  <c r="AH404"/>
  <c r="B404" s="1"/>
  <c r="AH405"/>
  <c r="B405" s="1"/>
  <c r="AH406"/>
  <c r="B406" s="1"/>
  <c r="AH407"/>
  <c r="B407" s="1"/>
  <c r="AH408"/>
  <c r="B408" s="1"/>
  <c r="D7" i="60801"/>
  <c r="D14"/>
  <c r="D44"/>
  <c r="D50"/>
  <c r="D56"/>
  <c r="F62"/>
  <c r="D63"/>
  <c r="C83"/>
  <c r="F92"/>
  <c r="F94"/>
  <c r="H177"/>
  <c r="C178"/>
  <c r="D178"/>
  <c r="E178"/>
  <c r="F178"/>
  <c r="G198"/>
  <c r="H198"/>
  <c r="G199"/>
  <c r="G204" s="1"/>
  <c r="H199"/>
  <c r="G200"/>
  <c r="H200"/>
  <c r="G201"/>
  <c r="H201"/>
  <c r="G202"/>
  <c r="H202"/>
  <c r="G203"/>
  <c r="H203"/>
  <c r="H204"/>
  <c r="G217"/>
  <c r="G228" s="1"/>
  <c r="H217"/>
  <c r="G218"/>
  <c r="H218"/>
  <c r="G219"/>
  <c r="H219"/>
  <c r="G220"/>
  <c r="H220"/>
  <c r="G221"/>
  <c r="H221"/>
  <c r="G222"/>
  <c r="H222"/>
  <c r="G223"/>
  <c r="H223"/>
  <c r="G224"/>
  <c r="H224"/>
  <c r="G225"/>
  <c r="H225"/>
  <c r="G226"/>
  <c r="H226"/>
  <c r="G227"/>
  <c r="H227"/>
  <c r="C228"/>
  <c r="D228"/>
  <c r="E228"/>
  <c r="F228"/>
  <c r="H228"/>
  <c r="AH7" i="516"/>
  <c r="B7" s="1"/>
  <c r="B8"/>
  <c r="B9"/>
  <c r="B10"/>
  <c r="B11"/>
  <c r="B12"/>
  <c r="B13"/>
  <c r="B14"/>
  <c r="B15"/>
  <c r="B16"/>
  <c r="B17"/>
  <c r="B18"/>
  <c r="C19"/>
  <c r="D19"/>
  <c r="E19"/>
  <c r="F19"/>
  <c r="G19"/>
  <c r="H19"/>
  <c r="I19"/>
  <c r="J19"/>
  <c r="K19"/>
  <c r="L19"/>
  <c r="M19"/>
  <c r="N19"/>
  <c r="O19"/>
  <c r="P19"/>
  <c r="Q19"/>
  <c r="R19"/>
  <c r="S19"/>
  <c r="T19"/>
  <c r="U19"/>
  <c r="V19"/>
  <c r="W19"/>
  <c r="X19"/>
  <c r="Y19"/>
  <c r="Z19"/>
  <c r="AA19"/>
  <c r="AB19"/>
  <c r="AC19"/>
  <c r="AD19"/>
  <c r="AE19"/>
  <c r="AF19"/>
  <c r="AG19"/>
  <c r="AH23"/>
  <c r="B23" s="1"/>
  <c r="AH24"/>
  <c r="B24" s="1"/>
  <c r="AH25"/>
  <c r="B25" s="1"/>
  <c r="AH26"/>
  <c r="B26" s="1"/>
  <c r="AH27"/>
  <c r="B27" s="1"/>
  <c r="AH28"/>
  <c r="B28" s="1"/>
  <c r="AH29"/>
  <c r="B29" s="1"/>
  <c r="AH30"/>
  <c r="B30" s="1"/>
  <c r="AH31"/>
  <c r="B31" s="1"/>
  <c r="AH32"/>
  <c r="B32" s="1"/>
  <c r="AH33"/>
  <c r="B33" s="1"/>
  <c r="AH34"/>
  <c r="B34" s="1"/>
  <c r="AH39"/>
  <c r="B39" s="1"/>
  <c r="AH40"/>
  <c r="B40" s="1"/>
  <c r="AH41"/>
  <c r="B41" s="1"/>
  <c r="AH42"/>
  <c r="B42" s="1"/>
  <c r="AH43"/>
  <c r="B43" s="1"/>
  <c r="AH44"/>
  <c r="B44" s="1"/>
  <c r="AH45"/>
  <c r="B45" s="1"/>
  <c r="AH46"/>
  <c r="B46" s="1"/>
  <c r="AH47"/>
  <c r="B47" s="1"/>
  <c r="AH48"/>
  <c r="B48" s="1"/>
  <c r="AH49"/>
  <c r="B49" s="1"/>
  <c r="AH50"/>
  <c r="B50" s="1"/>
  <c r="C51"/>
  <c r="D51"/>
  <c r="E51"/>
  <c r="F51"/>
  <c r="G51"/>
  <c r="H51"/>
  <c r="I51"/>
  <c r="J51"/>
  <c r="K51"/>
  <c r="L51"/>
  <c r="M51"/>
  <c r="N51"/>
  <c r="O51"/>
  <c r="P51"/>
  <c r="Q51"/>
  <c r="R51"/>
  <c r="S51"/>
  <c r="T51"/>
  <c r="U51"/>
  <c r="V51"/>
  <c r="W51"/>
  <c r="X51"/>
  <c r="Y51"/>
  <c r="Z51"/>
  <c r="AA51"/>
  <c r="AB51"/>
  <c r="AC51"/>
  <c r="AD51"/>
  <c r="AE51"/>
  <c r="AF51"/>
  <c r="AG51"/>
  <c r="B7" i="8194"/>
  <c r="AH8"/>
  <c r="B8" s="1"/>
  <c r="AH9"/>
  <c r="B9" s="1"/>
  <c r="AH10"/>
  <c r="B10" s="1"/>
  <c r="AH11"/>
  <c r="B11" s="1"/>
  <c r="AH12"/>
  <c r="B12" s="1"/>
  <c r="AH13"/>
  <c r="B13" s="1"/>
  <c r="AH14"/>
  <c r="B14" s="1"/>
  <c r="AH15"/>
  <c r="B15" s="1"/>
  <c r="AH16"/>
  <c r="B16" s="1"/>
  <c r="AH17"/>
  <c r="B17" s="1"/>
  <c r="AH18"/>
  <c r="B18" s="1"/>
  <c r="AH23"/>
  <c r="B23" s="1"/>
  <c r="AH24"/>
  <c r="B24" s="1"/>
  <c r="AH25"/>
  <c r="B25" s="1"/>
  <c r="AH26"/>
  <c r="B26" s="1"/>
  <c r="AH27"/>
  <c r="B27" s="1"/>
  <c r="AH28"/>
  <c r="B28" s="1"/>
  <c r="AH29"/>
  <c r="B29" s="1"/>
  <c r="AH30"/>
  <c r="B30" s="1"/>
  <c r="AH31"/>
  <c r="B31" s="1"/>
  <c r="AH32"/>
  <c r="B32" s="1"/>
  <c r="AH33"/>
  <c r="B33" s="1"/>
  <c r="AH34"/>
  <c r="B34" s="1"/>
  <c r="AH39"/>
  <c r="B39" s="1"/>
  <c r="AH40"/>
  <c r="B40" s="1"/>
  <c r="AH41"/>
  <c r="B41" s="1"/>
  <c r="AH42"/>
  <c r="B42" s="1"/>
  <c r="AH43"/>
  <c r="B43" s="1"/>
  <c r="AH44"/>
  <c r="B44" s="1"/>
  <c r="AH45"/>
  <c r="B45" s="1"/>
  <c r="AH46"/>
  <c r="B46" s="1"/>
  <c r="AH47"/>
  <c r="B47" s="1"/>
  <c r="AH48"/>
  <c r="B48" s="1"/>
  <c r="AH49"/>
  <c r="B49" s="1"/>
  <c r="AH50"/>
  <c r="B50" s="1"/>
  <c r="C51"/>
  <c r="D51"/>
  <c r="E51"/>
  <c r="F51"/>
  <c r="G51"/>
  <c r="H51"/>
  <c r="I51"/>
  <c r="J51"/>
  <c r="K51"/>
  <c r="L51"/>
  <c r="M51"/>
  <c r="N51"/>
  <c r="O51"/>
  <c r="P51"/>
  <c r="Q51"/>
  <c r="R51"/>
  <c r="S51"/>
  <c r="T51"/>
  <c r="U51"/>
  <c r="V51"/>
  <c r="W51"/>
  <c r="X51"/>
  <c r="Y51"/>
  <c r="Z51"/>
  <c r="AA51"/>
  <c r="AB51"/>
  <c r="AC51"/>
  <c r="AD51"/>
  <c r="AE51"/>
  <c r="AF51"/>
  <c r="AG51"/>
  <c r="AH87"/>
  <c r="B87" s="1"/>
  <c r="AH88"/>
  <c r="B88" s="1"/>
  <c r="AH89"/>
  <c r="B89" s="1"/>
  <c r="AH90"/>
  <c r="B90" s="1"/>
  <c r="AH91"/>
  <c r="B91" s="1"/>
  <c r="AH92"/>
  <c r="B92" s="1"/>
  <c r="AH93"/>
  <c r="B93" s="1"/>
  <c r="AH94"/>
  <c r="B94" s="1"/>
  <c r="AH95"/>
  <c r="B95" s="1"/>
  <c r="AH96"/>
  <c r="B96" s="1"/>
  <c r="AH97"/>
  <c r="B97" s="1"/>
  <c r="AH98"/>
  <c r="B98" s="1"/>
  <c r="C99"/>
  <c r="D99"/>
  <c r="E99"/>
  <c r="F99"/>
  <c r="G99"/>
  <c r="H99"/>
  <c r="I99"/>
  <c r="J99"/>
  <c r="K99"/>
  <c r="L99"/>
  <c r="M99"/>
  <c r="N99"/>
  <c r="O99"/>
  <c r="P99"/>
  <c r="Q99"/>
  <c r="R99"/>
  <c r="S99"/>
  <c r="T99"/>
  <c r="U99"/>
  <c r="V99"/>
  <c r="W99"/>
  <c r="X99"/>
  <c r="Y99"/>
  <c r="Z99"/>
  <c r="AA99"/>
  <c r="AB99"/>
  <c r="AC99"/>
  <c r="AD99"/>
  <c r="AE99"/>
  <c r="AF99"/>
  <c r="AG99"/>
  <c r="AH103"/>
  <c r="B103" s="1"/>
  <c r="AH104"/>
  <c r="B104" s="1"/>
  <c r="AH105"/>
  <c r="B105" s="1"/>
  <c r="AH106"/>
  <c r="B106" s="1"/>
  <c r="AH107"/>
  <c r="B107" s="1"/>
  <c r="AH108"/>
  <c r="B108" s="1"/>
  <c r="AH109"/>
  <c r="B109" s="1"/>
  <c r="AH110"/>
  <c r="B110" s="1"/>
  <c r="AH111"/>
  <c r="B111" s="1"/>
  <c r="AH112"/>
  <c r="B112" s="1"/>
  <c r="AH113"/>
  <c r="B113" s="1"/>
  <c r="AH114"/>
  <c r="B114" s="1"/>
  <c r="C115"/>
  <c r="D115"/>
  <c r="E115"/>
  <c r="F115"/>
  <c r="G115"/>
  <c r="H115"/>
  <c r="I115"/>
  <c r="J115"/>
  <c r="K115"/>
  <c r="L115"/>
  <c r="M115"/>
  <c r="N115"/>
  <c r="O115"/>
  <c r="P115"/>
  <c r="Q115"/>
  <c r="R115"/>
  <c r="S115"/>
  <c r="T115"/>
  <c r="U115"/>
  <c r="V115"/>
  <c r="W115"/>
  <c r="X115"/>
  <c r="Y115"/>
  <c r="Z115"/>
  <c r="AA115"/>
  <c r="AB115"/>
  <c r="AC115"/>
  <c r="AD115"/>
  <c r="AE115"/>
  <c r="AF115"/>
  <c r="AG115"/>
  <c r="AH119"/>
  <c r="B119" s="1"/>
  <c r="AH120"/>
  <c r="B120" s="1"/>
  <c r="AH121"/>
  <c r="B121" s="1"/>
  <c r="AH122"/>
  <c r="B122" s="1"/>
  <c r="AH123"/>
  <c r="B123" s="1"/>
  <c r="AH124"/>
  <c r="B124" s="1"/>
  <c r="AH125"/>
  <c r="B125" s="1"/>
  <c r="AH126"/>
  <c r="B126" s="1"/>
  <c r="AH127"/>
  <c r="B127" s="1"/>
  <c r="AH128"/>
  <c r="B128" s="1"/>
  <c r="AH129"/>
  <c r="B129" s="1"/>
  <c r="AH130"/>
  <c r="B130" s="1"/>
  <c r="C131"/>
  <c r="D131"/>
  <c r="E131"/>
  <c r="F131"/>
  <c r="G131"/>
  <c r="H131"/>
  <c r="I131"/>
  <c r="J131"/>
  <c r="K131"/>
  <c r="L131"/>
  <c r="M131"/>
  <c r="N131"/>
  <c r="O131"/>
  <c r="P131"/>
  <c r="Q131"/>
  <c r="R131"/>
  <c r="S131"/>
  <c r="T131"/>
  <c r="U131"/>
  <c r="V131"/>
  <c r="W131"/>
  <c r="X131"/>
  <c r="Y131"/>
  <c r="Z131"/>
  <c r="AA131"/>
  <c r="AB131"/>
  <c r="AC131"/>
  <c r="AD131"/>
  <c r="AE131"/>
  <c r="AF131"/>
  <c r="AG131"/>
  <c r="AH135"/>
  <c r="B135" s="1"/>
  <c r="AH136"/>
  <c r="B136" s="1"/>
  <c r="AH137"/>
  <c r="B137" s="1"/>
  <c r="AH138"/>
  <c r="B138" s="1"/>
  <c r="AH139"/>
  <c r="B139" s="1"/>
  <c r="AH140"/>
  <c r="B140" s="1"/>
  <c r="AH141"/>
  <c r="B141" s="1"/>
  <c r="AH142"/>
  <c r="B142" s="1"/>
  <c r="AH143"/>
  <c r="B143" s="1"/>
  <c r="AH144"/>
  <c r="B144" s="1"/>
  <c r="AH145"/>
  <c r="B145" s="1"/>
  <c r="AH146"/>
  <c r="B146" s="1"/>
  <c r="C147"/>
  <c r="D147"/>
  <c r="E147"/>
  <c r="F147"/>
  <c r="G147"/>
  <c r="H147"/>
  <c r="I147"/>
  <c r="J147"/>
  <c r="K147"/>
  <c r="L147"/>
  <c r="M147"/>
  <c r="N147"/>
  <c r="O147"/>
  <c r="P147"/>
  <c r="Q147"/>
  <c r="R147"/>
  <c r="S147"/>
  <c r="T147"/>
  <c r="U147"/>
  <c r="V147"/>
  <c r="W147"/>
  <c r="X147"/>
  <c r="Y147"/>
  <c r="Z147"/>
  <c r="AA147"/>
  <c r="AB147"/>
  <c r="AC147"/>
  <c r="AD147"/>
  <c r="AE147"/>
  <c r="AF147"/>
  <c r="AG147"/>
  <c r="AH9" i="2819"/>
  <c r="B9" s="1"/>
  <c r="AH10"/>
  <c r="B10" s="1"/>
  <c r="AH11"/>
  <c r="B11" s="1"/>
  <c r="AH12"/>
  <c r="B12" s="1"/>
  <c r="AH13"/>
  <c r="B13" s="1"/>
  <c r="AH14"/>
  <c r="B14" s="1"/>
  <c r="AH15"/>
  <c r="B15" s="1"/>
  <c r="AH16"/>
  <c r="B16" s="1"/>
  <c r="AH17"/>
  <c r="B17" s="1"/>
  <c r="AH18"/>
  <c r="B18" s="1"/>
  <c r="AH19"/>
  <c r="B19" s="1"/>
  <c r="AH20"/>
  <c r="B20" s="1"/>
  <c r="C21"/>
  <c r="D21"/>
  <c r="E21"/>
  <c r="F21"/>
  <c r="G21"/>
  <c r="H21"/>
  <c r="I21"/>
  <c r="J21"/>
  <c r="K21"/>
  <c r="L21"/>
  <c r="M21"/>
  <c r="N21"/>
  <c r="O21"/>
  <c r="P21"/>
  <c r="Q21"/>
  <c r="R21"/>
  <c r="S21"/>
  <c r="T21"/>
  <c r="U21"/>
  <c r="V21"/>
  <c r="W21"/>
  <c r="X21"/>
  <c r="Y21"/>
  <c r="Z21"/>
  <c r="AA21"/>
  <c r="AB21"/>
  <c r="AC21"/>
  <c r="AD21"/>
  <c r="AE21"/>
  <c r="AF21"/>
  <c r="AG21"/>
  <c r="AH25"/>
  <c r="B25" s="1"/>
  <c r="AH26"/>
  <c r="B26" s="1"/>
  <c r="AH27"/>
  <c r="B27" s="1"/>
  <c r="AH28"/>
  <c r="B28" s="1"/>
  <c r="AH29"/>
  <c r="B29" s="1"/>
  <c r="AH30"/>
  <c r="B30" s="1"/>
  <c r="AH31"/>
  <c r="B31" s="1"/>
  <c r="AH32"/>
  <c r="B32" s="1"/>
  <c r="AH33"/>
  <c r="B33" s="1"/>
  <c r="AH34"/>
  <c r="B34" s="1"/>
  <c r="AH35"/>
  <c r="B35" s="1"/>
  <c r="AH36"/>
  <c r="B36" s="1"/>
  <c r="C37"/>
  <c r="D37"/>
  <c r="E37"/>
  <c r="F37"/>
  <c r="G37"/>
  <c r="H37"/>
  <c r="I37"/>
  <c r="J37"/>
  <c r="K37"/>
  <c r="L37"/>
  <c r="M37"/>
  <c r="N37"/>
  <c r="O37"/>
  <c r="P37"/>
  <c r="Q37"/>
  <c r="R37"/>
  <c r="S37"/>
  <c r="T37"/>
  <c r="U37"/>
  <c r="V37"/>
  <c r="W37"/>
  <c r="X37"/>
  <c r="Y37"/>
  <c r="Z37"/>
  <c r="AA37"/>
  <c r="AB37"/>
  <c r="AC37"/>
  <c r="AD37"/>
  <c r="AE37"/>
  <c r="AF37"/>
  <c r="AG37"/>
  <c r="AH41"/>
  <c r="B41" s="1"/>
  <c r="AH42"/>
  <c r="B42" s="1"/>
  <c r="AH43"/>
  <c r="B43" s="1"/>
  <c r="AH44"/>
  <c r="B44" s="1"/>
  <c r="AH45"/>
  <c r="B45" s="1"/>
  <c r="AH46"/>
  <c r="B46" s="1"/>
  <c r="AH47"/>
  <c r="B47" s="1"/>
  <c r="AH48"/>
  <c r="B48" s="1"/>
  <c r="AH49"/>
  <c r="B49" s="1"/>
  <c r="AH50"/>
  <c r="B50" s="1"/>
  <c r="AH51"/>
  <c r="B51" s="1"/>
  <c r="AH52"/>
  <c r="B52" s="1"/>
  <c r="C53"/>
  <c r="AH53" s="1"/>
  <c r="D53"/>
  <c r="E53"/>
  <c r="F53"/>
  <c r="G53"/>
  <c r="H53"/>
  <c r="I53"/>
  <c r="J53"/>
  <c r="K53"/>
  <c r="L53"/>
  <c r="M53"/>
  <c r="N53"/>
  <c r="O53"/>
  <c r="P53"/>
  <c r="Q53"/>
  <c r="R53"/>
  <c r="S53"/>
  <c r="T53"/>
  <c r="U53"/>
  <c r="V53"/>
  <c r="W53"/>
  <c r="X53"/>
  <c r="Y53"/>
  <c r="Z53"/>
  <c r="AA53"/>
  <c r="AB53"/>
  <c r="AC53"/>
  <c r="AD53"/>
  <c r="AE53"/>
  <c r="AF53"/>
  <c r="AG53"/>
  <c r="AH59"/>
  <c r="B59" s="1"/>
  <c r="AH60"/>
  <c r="B60" s="1"/>
  <c r="AH61"/>
  <c r="B61" s="1"/>
  <c r="AH62"/>
  <c r="B62" s="1"/>
  <c r="AH63"/>
  <c r="B63" s="1"/>
  <c r="AH64"/>
  <c r="B64" s="1"/>
  <c r="AH65"/>
  <c r="B65" s="1"/>
  <c r="AH66"/>
  <c r="B66" s="1"/>
  <c r="AH67"/>
  <c r="B67" s="1"/>
  <c r="AH68"/>
  <c r="B68" s="1"/>
  <c r="AH69"/>
  <c r="B69" s="1"/>
  <c r="AH70"/>
  <c r="B70" s="1"/>
  <c r="C71"/>
  <c r="D71"/>
  <c r="F71"/>
  <c r="G71"/>
  <c r="H71"/>
  <c r="I71"/>
  <c r="J71"/>
  <c r="K71"/>
  <c r="L71"/>
  <c r="M71"/>
  <c r="N71"/>
  <c r="O71"/>
  <c r="P71"/>
  <c r="Q71"/>
  <c r="R71"/>
  <c r="S71"/>
  <c r="T71"/>
  <c r="U71"/>
  <c r="V71"/>
  <c r="W71"/>
  <c r="X71"/>
  <c r="Y71"/>
  <c r="Z71"/>
  <c r="AA71"/>
  <c r="AB71"/>
  <c r="AC71"/>
  <c r="AE71"/>
  <c r="AF71"/>
  <c r="AG71"/>
  <c r="AH75"/>
  <c r="B75" s="1"/>
  <c r="AH76"/>
  <c r="B76" s="1"/>
  <c r="AH77"/>
  <c r="B77" s="1"/>
  <c r="AH78"/>
  <c r="B78" s="1"/>
  <c r="AH79"/>
  <c r="B79" s="1"/>
  <c r="AH80"/>
  <c r="B80" s="1"/>
  <c r="AH81"/>
  <c r="B81" s="1"/>
  <c r="AH82"/>
  <c r="B82" s="1"/>
  <c r="AH83"/>
  <c r="B83" s="1"/>
  <c r="AH84"/>
  <c r="B84" s="1"/>
  <c r="AH85"/>
  <c r="B85" s="1"/>
  <c r="AH86"/>
  <c r="B86" s="1"/>
  <c r="C87"/>
  <c r="D87"/>
  <c r="F87"/>
  <c r="G87"/>
  <c r="H87"/>
  <c r="I87"/>
  <c r="J87"/>
  <c r="K87"/>
  <c r="L87"/>
  <c r="M87"/>
  <c r="N87"/>
  <c r="O87"/>
  <c r="P87"/>
  <c r="Q87"/>
  <c r="R87"/>
  <c r="S87"/>
  <c r="T87"/>
  <c r="U87"/>
  <c r="V87"/>
  <c r="W87"/>
  <c r="X87"/>
  <c r="Y87"/>
  <c r="Z87"/>
  <c r="AA87"/>
  <c r="AB87"/>
  <c r="AC87"/>
  <c r="AE87"/>
  <c r="AF87"/>
  <c r="AG87"/>
  <c r="AH93"/>
  <c r="B93" s="1"/>
  <c r="AH94"/>
  <c r="B94" s="1"/>
  <c r="AH95"/>
  <c r="B95" s="1"/>
  <c r="AH96"/>
  <c r="B96" s="1"/>
  <c r="AH97"/>
  <c r="B97" s="1"/>
  <c r="AH98"/>
  <c r="B98" s="1"/>
  <c r="AH99"/>
  <c r="B99" s="1"/>
  <c r="AH100"/>
  <c r="B100" s="1"/>
  <c r="AH101"/>
  <c r="B101" s="1"/>
  <c r="AH102"/>
  <c r="B102" s="1"/>
  <c r="AH103"/>
  <c r="B103" s="1"/>
  <c r="AH104"/>
  <c r="B104" s="1"/>
  <c r="C105"/>
  <c r="D105"/>
  <c r="F105"/>
  <c r="G105"/>
  <c r="H105"/>
  <c r="I105"/>
  <c r="J105"/>
  <c r="K105"/>
  <c r="L105"/>
  <c r="M105"/>
  <c r="N105"/>
  <c r="O105"/>
  <c r="P105"/>
  <c r="Q105"/>
  <c r="R105"/>
  <c r="S105"/>
  <c r="T105"/>
  <c r="U105"/>
  <c r="V105"/>
  <c r="W105"/>
  <c r="X105"/>
  <c r="Y105"/>
  <c r="Z105"/>
  <c r="AA105"/>
  <c r="AB105"/>
  <c r="AC105"/>
  <c r="AE105"/>
  <c r="AF105"/>
  <c r="AG105"/>
  <c r="AH109"/>
  <c r="B109" s="1"/>
  <c r="AH110"/>
  <c r="B110" s="1"/>
  <c r="AH111"/>
  <c r="B111" s="1"/>
  <c r="AH112"/>
  <c r="B112" s="1"/>
  <c r="AH113"/>
  <c r="B113" s="1"/>
  <c r="AH114"/>
  <c r="B114" s="1"/>
  <c r="AH115"/>
  <c r="B115" s="1"/>
  <c r="AH116"/>
  <c r="B116" s="1"/>
  <c r="AH117"/>
  <c r="B117" s="1"/>
  <c r="AH118"/>
  <c r="B118" s="1"/>
  <c r="AH119"/>
  <c r="B119" s="1"/>
  <c r="AH120"/>
  <c r="B120" s="1"/>
  <c r="C121"/>
  <c r="D121"/>
  <c r="F121"/>
  <c r="G121"/>
  <c r="H121"/>
  <c r="I121"/>
  <c r="J121"/>
  <c r="K121"/>
  <c r="L121"/>
  <c r="M121"/>
  <c r="N121"/>
  <c r="O121"/>
  <c r="P121"/>
  <c r="Q121"/>
  <c r="R121"/>
  <c r="S121"/>
  <c r="T121"/>
  <c r="U121"/>
  <c r="V121"/>
  <c r="W121"/>
  <c r="X121"/>
  <c r="Y121"/>
  <c r="Z121"/>
  <c r="AA121"/>
  <c r="AB121"/>
  <c r="AC121"/>
  <c r="AE121"/>
  <c r="AF121"/>
  <c r="AG121"/>
  <c r="AH125"/>
  <c r="B125" s="1"/>
  <c r="AH126"/>
  <c r="B126" s="1"/>
  <c r="AH127"/>
  <c r="B127" s="1"/>
  <c r="AH128"/>
  <c r="B128" s="1"/>
  <c r="AH129"/>
  <c r="B129" s="1"/>
  <c r="AH130"/>
  <c r="B130" s="1"/>
  <c r="AH131"/>
  <c r="B131" s="1"/>
  <c r="AH132"/>
  <c r="B132" s="1"/>
  <c r="AH133"/>
  <c r="B133" s="1"/>
  <c r="AH134"/>
  <c r="B134" s="1"/>
  <c r="AH135"/>
  <c r="B135" s="1"/>
  <c r="AH136"/>
  <c r="B136" s="1"/>
  <c r="C137"/>
  <c r="D137"/>
  <c r="F137"/>
  <c r="G137"/>
  <c r="H137"/>
  <c r="I137"/>
  <c r="J137"/>
  <c r="K137"/>
  <c r="L137"/>
  <c r="M137"/>
  <c r="N137"/>
  <c r="O137"/>
  <c r="P137"/>
  <c r="Q137"/>
  <c r="R137"/>
  <c r="S137"/>
  <c r="T137"/>
  <c r="U137"/>
  <c r="V137"/>
  <c r="W137"/>
  <c r="X137"/>
  <c r="Y137"/>
  <c r="Z137"/>
  <c r="AA137"/>
  <c r="AB137"/>
  <c r="AC137"/>
  <c r="AE137"/>
  <c r="AF137"/>
  <c r="AG137"/>
  <c r="AH141"/>
  <c r="B141" s="1"/>
  <c r="B153" s="1"/>
  <c r="AH142"/>
  <c r="B142" s="1"/>
  <c r="AH143"/>
  <c r="B143" s="1"/>
  <c r="AH144"/>
  <c r="B144" s="1"/>
  <c r="AH145"/>
  <c r="B145" s="1"/>
  <c r="AH146"/>
  <c r="B146" s="1"/>
  <c r="AH147"/>
  <c r="B147" s="1"/>
  <c r="AH148"/>
  <c r="B148" s="1"/>
  <c r="AH149"/>
  <c r="B149" s="1"/>
  <c r="AH150"/>
  <c r="B150" s="1"/>
  <c r="AH151"/>
  <c r="B151" s="1"/>
  <c r="AH152"/>
  <c r="B152" s="1"/>
  <c r="C153"/>
  <c r="D153"/>
  <c r="F153"/>
  <c r="G153"/>
  <c r="H153"/>
  <c r="I153"/>
  <c r="J153"/>
  <c r="K153"/>
  <c r="L153"/>
  <c r="M153"/>
  <c r="N153"/>
  <c r="O153"/>
  <c r="P153"/>
  <c r="Q153"/>
  <c r="R153"/>
  <c r="S153"/>
  <c r="T153"/>
  <c r="U153"/>
  <c r="V153"/>
  <c r="W153"/>
  <c r="X153"/>
  <c r="Y153"/>
  <c r="Z153"/>
  <c r="AA153"/>
  <c r="AB153"/>
  <c r="AC153"/>
  <c r="AE153"/>
  <c r="AF153"/>
  <c r="AG153"/>
  <c r="AH157"/>
  <c r="B157" s="1"/>
  <c r="AH158"/>
  <c r="B158" s="1"/>
  <c r="AH159"/>
  <c r="B159" s="1"/>
  <c r="AH160"/>
  <c r="B160" s="1"/>
  <c r="AH161"/>
  <c r="B161" s="1"/>
  <c r="AH162"/>
  <c r="B162" s="1"/>
  <c r="AH163"/>
  <c r="B163" s="1"/>
  <c r="AH164"/>
  <c r="B164" s="1"/>
  <c r="AH165"/>
  <c r="B165" s="1"/>
  <c r="AH166"/>
  <c r="B166" s="1"/>
  <c r="AH167"/>
  <c r="B167" s="1"/>
  <c r="AH168"/>
  <c r="B168" s="1"/>
  <c r="C169"/>
  <c r="D169"/>
  <c r="F169"/>
  <c r="G169"/>
  <c r="H169"/>
  <c r="I169"/>
  <c r="J169"/>
  <c r="K169"/>
  <c r="L169"/>
  <c r="M169"/>
  <c r="N169"/>
  <c r="O169"/>
  <c r="P169"/>
  <c r="Q169"/>
  <c r="R169"/>
  <c r="S169"/>
  <c r="T169"/>
  <c r="U169"/>
  <c r="V169"/>
  <c r="W169"/>
  <c r="X169"/>
  <c r="Y169"/>
  <c r="Z169"/>
  <c r="AA169"/>
  <c r="AB169"/>
  <c r="AC169"/>
  <c r="AE169"/>
  <c r="AF169"/>
  <c r="AG169"/>
  <c r="AH173"/>
  <c r="B173" s="1"/>
  <c r="AH174"/>
  <c r="B174" s="1"/>
  <c r="AH175"/>
  <c r="B175" s="1"/>
  <c r="AH176"/>
  <c r="B176" s="1"/>
  <c r="AH177"/>
  <c r="B177" s="1"/>
  <c r="AH178"/>
  <c r="B178" s="1"/>
  <c r="AH179"/>
  <c r="B179" s="1"/>
  <c r="AH180"/>
  <c r="B180" s="1"/>
  <c r="AH181"/>
  <c r="B181" s="1"/>
  <c r="AH182"/>
  <c r="B182" s="1"/>
  <c r="AH183"/>
  <c r="B183" s="1"/>
  <c r="AH184"/>
  <c r="B184" s="1"/>
  <c r="C185"/>
  <c r="D185"/>
  <c r="F185"/>
  <c r="G185"/>
  <c r="H185"/>
  <c r="I185"/>
  <c r="J185"/>
  <c r="K185"/>
  <c r="L185"/>
  <c r="M185"/>
  <c r="N185"/>
  <c r="O185"/>
  <c r="P185"/>
  <c r="Q185"/>
  <c r="R185"/>
  <c r="S185"/>
  <c r="T185"/>
  <c r="U185"/>
  <c r="V185"/>
  <c r="W185"/>
  <c r="X185"/>
  <c r="Y185"/>
  <c r="Z185"/>
  <c r="AA185"/>
  <c r="AB185"/>
  <c r="AC185"/>
  <c r="AE185"/>
  <c r="AF185"/>
  <c r="AG185"/>
  <c r="AH189"/>
  <c r="B189" s="1"/>
  <c r="AH190"/>
  <c r="B190" s="1"/>
  <c r="AH191"/>
  <c r="B191" s="1"/>
  <c r="AH192"/>
  <c r="B192" s="1"/>
  <c r="AH193"/>
  <c r="B193" s="1"/>
  <c r="AH194"/>
  <c r="B194" s="1"/>
  <c r="AH195"/>
  <c r="B195" s="1"/>
  <c r="AH196"/>
  <c r="B196" s="1"/>
  <c r="AH197"/>
  <c r="B197" s="1"/>
  <c r="AH198"/>
  <c r="B198" s="1"/>
  <c r="AH199"/>
  <c r="B199" s="1"/>
  <c r="AH200"/>
  <c r="B200" s="1"/>
  <c r="C201"/>
  <c r="D201"/>
  <c r="F201"/>
  <c r="G201"/>
  <c r="H201"/>
  <c r="I201"/>
  <c r="J201"/>
  <c r="K201"/>
  <c r="L201"/>
  <c r="M201"/>
  <c r="N201"/>
  <c r="O201"/>
  <c r="P201"/>
  <c r="Q201"/>
  <c r="R201"/>
  <c r="S201"/>
  <c r="T201"/>
  <c r="U201"/>
  <c r="V201"/>
  <c r="W201"/>
  <c r="X201"/>
  <c r="Y201"/>
  <c r="Z201"/>
  <c r="AA201"/>
  <c r="AB201"/>
  <c r="AC201"/>
  <c r="AE201"/>
  <c r="AF201"/>
  <c r="AG201"/>
  <c r="AH205"/>
  <c r="AH206"/>
  <c r="B206" s="1"/>
  <c r="AH207"/>
  <c r="B207" s="1"/>
  <c r="AH208"/>
  <c r="B208" s="1"/>
  <c r="AH209"/>
  <c r="B209" s="1"/>
  <c r="AH210"/>
  <c r="B210" s="1"/>
  <c r="AH211"/>
  <c r="B211" s="1"/>
  <c r="AH212"/>
  <c r="B212" s="1"/>
  <c r="AH213"/>
  <c r="B213" s="1"/>
  <c r="AH214"/>
  <c r="B214" s="1"/>
  <c r="AH215"/>
  <c r="B215" s="1"/>
  <c r="AH216"/>
  <c r="B216" s="1"/>
  <c r="C217"/>
  <c r="D217"/>
  <c r="F217"/>
  <c r="G217"/>
  <c r="H217"/>
  <c r="I217"/>
  <c r="J217"/>
  <c r="K217"/>
  <c r="L217"/>
  <c r="M217"/>
  <c r="N217"/>
  <c r="O217"/>
  <c r="P217"/>
  <c r="Q217"/>
  <c r="R217"/>
  <c r="S217"/>
  <c r="T217"/>
  <c r="U217"/>
  <c r="V217"/>
  <c r="W217"/>
  <c r="X217"/>
  <c r="Y217"/>
  <c r="Z217"/>
  <c r="AA217"/>
  <c r="AB217"/>
  <c r="AC217"/>
  <c r="AE217"/>
  <c r="AF217"/>
  <c r="AG217"/>
  <c r="AH221"/>
  <c r="B221" s="1"/>
  <c r="AH222"/>
  <c r="B222" s="1"/>
  <c r="AH223"/>
  <c r="B223" s="1"/>
  <c r="AH224"/>
  <c r="B224" s="1"/>
  <c r="AH225"/>
  <c r="B225" s="1"/>
  <c r="AH226"/>
  <c r="B226" s="1"/>
  <c r="AH227"/>
  <c r="B227" s="1"/>
  <c r="AH228"/>
  <c r="B228" s="1"/>
  <c r="AH229"/>
  <c r="B229" s="1"/>
  <c r="AH230"/>
  <c r="B230" s="1"/>
  <c r="AH231"/>
  <c r="B231" s="1"/>
  <c r="AH232"/>
  <c r="B232" s="1"/>
  <c r="C233"/>
  <c r="D233"/>
  <c r="F233"/>
  <c r="G233"/>
  <c r="H233"/>
  <c r="I233"/>
  <c r="J233"/>
  <c r="K233"/>
  <c r="L233"/>
  <c r="M233"/>
  <c r="N233"/>
  <c r="O233"/>
  <c r="P233"/>
  <c r="Q233"/>
  <c r="R233"/>
  <c r="S233"/>
  <c r="T233"/>
  <c r="U233"/>
  <c r="V233"/>
  <c r="W233"/>
  <c r="X233"/>
  <c r="Y233"/>
  <c r="Z233"/>
  <c r="AA233"/>
  <c r="AB233"/>
  <c r="AC233"/>
  <c r="AE233"/>
  <c r="AF233"/>
  <c r="AG233"/>
  <c r="AH237"/>
  <c r="B237" s="1"/>
  <c r="AH238"/>
  <c r="B238" s="1"/>
  <c r="AH239"/>
  <c r="B239" s="1"/>
  <c r="B249" s="1"/>
  <c r="AH240"/>
  <c r="B240" s="1"/>
  <c r="AH241"/>
  <c r="B241" s="1"/>
  <c r="AH242"/>
  <c r="B242" s="1"/>
  <c r="AH243"/>
  <c r="B243" s="1"/>
  <c r="AH244"/>
  <c r="B244" s="1"/>
  <c r="AH245"/>
  <c r="B245" s="1"/>
  <c r="AH246"/>
  <c r="B246" s="1"/>
  <c r="AH247"/>
  <c r="B247" s="1"/>
  <c r="AH248"/>
  <c r="B248" s="1"/>
  <c r="C249"/>
  <c r="D249"/>
  <c r="F249"/>
  <c r="G249"/>
  <c r="H249"/>
  <c r="I249"/>
  <c r="J249"/>
  <c r="K249"/>
  <c r="L249"/>
  <c r="M249"/>
  <c r="N249"/>
  <c r="O249"/>
  <c r="P249"/>
  <c r="Q249"/>
  <c r="R249"/>
  <c r="S249"/>
  <c r="T249"/>
  <c r="U249"/>
  <c r="V249"/>
  <c r="W249"/>
  <c r="X249"/>
  <c r="Y249"/>
  <c r="Z249"/>
  <c r="AA249"/>
  <c r="AB249"/>
  <c r="AC249"/>
  <c r="AE249"/>
  <c r="AF249"/>
  <c r="AG249"/>
  <c r="AH253"/>
  <c r="B253" s="1"/>
  <c r="AH254"/>
  <c r="B254" s="1"/>
  <c r="AH255"/>
  <c r="B255" s="1"/>
  <c r="AH256"/>
  <c r="B256" s="1"/>
  <c r="AH257"/>
  <c r="B257" s="1"/>
  <c r="AH258"/>
  <c r="B258" s="1"/>
  <c r="AH259"/>
  <c r="B259" s="1"/>
  <c r="AH260"/>
  <c r="B260" s="1"/>
  <c r="AH261"/>
  <c r="B261" s="1"/>
  <c r="AH262"/>
  <c r="B262" s="1"/>
  <c r="AH263"/>
  <c r="B263" s="1"/>
  <c r="AH264"/>
  <c r="B264" s="1"/>
  <c r="D265"/>
  <c r="F265"/>
  <c r="G265"/>
  <c r="H265"/>
  <c r="I265"/>
  <c r="J265"/>
  <c r="K265"/>
  <c r="L265"/>
  <c r="M265"/>
  <c r="N265"/>
  <c r="O265"/>
  <c r="P265"/>
  <c r="Q265"/>
  <c r="R265"/>
  <c r="S265"/>
  <c r="T265"/>
  <c r="U265"/>
  <c r="V265"/>
  <c r="W265"/>
  <c r="X265"/>
  <c r="Y265"/>
  <c r="Z265"/>
  <c r="AA265"/>
  <c r="AB265"/>
  <c r="AC265"/>
  <c r="AE265"/>
  <c r="AF265"/>
  <c r="AG265"/>
  <c r="AH269"/>
  <c r="B269" s="1"/>
  <c r="AH270"/>
  <c r="B270" s="1"/>
  <c r="AH271"/>
  <c r="B271" s="1"/>
  <c r="AH272"/>
  <c r="B272" s="1"/>
  <c r="AH273"/>
  <c r="B273" s="1"/>
  <c r="AH274"/>
  <c r="B274" s="1"/>
  <c r="AH275"/>
  <c r="B275" s="1"/>
  <c r="AH276"/>
  <c r="B276" s="1"/>
  <c r="AH277"/>
  <c r="B277" s="1"/>
  <c r="AH278"/>
  <c r="B278" s="1"/>
  <c r="AH279"/>
  <c r="B279" s="1"/>
  <c r="AH280"/>
  <c r="B280" s="1"/>
  <c r="D281"/>
  <c r="F281"/>
  <c r="G281"/>
  <c r="H281"/>
  <c r="I281"/>
  <c r="J281"/>
  <c r="K281"/>
  <c r="L281"/>
  <c r="M281"/>
  <c r="N281"/>
  <c r="O281"/>
  <c r="P281"/>
  <c r="Q281"/>
  <c r="R281"/>
  <c r="S281"/>
  <c r="T281"/>
  <c r="U281"/>
  <c r="V281"/>
  <c r="W281"/>
  <c r="X281"/>
  <c r="Y281"/>
  <c r="Z281"/>
  <c r="AA281"/>
  <c r="AB281"/>
  <c r="AC281"/>
  <c r="AE281"/>
  <c r="AF281"/>
  <c r="AG281"/>
  <c r="AH285"/>
  <c r="B285" s="1"/>
  <c r="AH286"/>
  <c r="B286" s="1"/>
  <c r="AH287"/>
  <c r="B287" s="1"/>
  <c r="AH288"/>
  <c r="B288" s="1"/>
  <c r="AH289"/>
  <c r="B289" s="1"/>
  <c r="AH290"/>
  <c r="B290" s="1"/>
  <c r="AH291"/>
  <c r="B291" s="1"/>
  <c r="AH292"/>
  <c r="B292" s="1"/>
  <c r="AH293"/>
  <c r="B293" s="1"/>
  <c r="AH294"/>
  <c r="B294" s="1"/>
  <c r="AH295"/>
  <c r="B295" s="1"/>
  <c r="AH296"/>
  <c r="B296" s="1"/>
  <c r="C297"/>
  <c r="D297"/>
  <c r="F297"/>
  <c r="G297"/>
  <c r="H297"/>
  <c r="I297"/>
  <c r="J297"/>
  <c r="K297"/>
  <c r="L297"/>
  <c r="M297"/>
  <c r="N297"/>
  <c r="O297"/>
  <c r="P297"/>
  <c r="Q297"/>
  <c r="R297"/>
  <c r="S297"/>
  <c r="T297"/>
  <c r="U297"/>
  <c r="V297"/>
  <c r="W297"/>
  <c r="X297"/>
  <c r="Y297"/>
  <c r="Z297"/>
  <c r="AA297"/>
  <c r="AB297"/>
  <c r="AC297"/>
  <c r="AE297"/>
  <c r="AF297"/>
  <c r="AG297"/>
  <c r="AH301"/>
  <c r="B301" s="1"/>
  <c r="AH302"/>
  <c r="B302" s="1"/>
  <c r="AH303"/>
  <c r="B303" s="1"/>
  <c r="AH304"/>
  <c r="B304" s="1"/>
  <c r="AH305"/>
  <c r="B305" s="1"/>
  <c r="AH306"/>
  <c r="B306" s="1"/>
  <c r="AH307"/>
  <c r="B307" s="1"/>
  <c r="AH308"/>
  <c r="B308" s="1"/>
  <c r="AH309"/>
  <c r="B309" s="1"/>
  <c r="AH310"/>
  <c r="B310" s="1"/>
  <c r="AH311"/>
  <c r="B311" s="1"/>
  <c r="AH312"/>
  <c r="B312" s="1"/>
  <c r="C313"/>
  <c r="D313"/>
  <c r="F313"/>
  <c r="G313"/>
  <c r="H313"/>
  <c r="I313"/>
  <c r="J313"/>
  <c r="K313"/>
  <c r="L313"/>
  <c r="M313"/>
  <c r="N313"/>
  <c r="O313"/>
  <c r="P313"/>
  <c r="Q313"/>
  <c r="R313"/>
  <c r="S313"/>
  <c r="T313"/>
  <c r="U313"/>
  <c r="V313"/>
  <c r="W313"/>
  <c r="X313"/>
  <c r="Y313"/>
  <c r="Z313"/>
  <c r="AA313"/>
  <c r="AB313"/>
  <c r="AC313"/>
  <c r="AE313"/>
  <c r="AF313"/>
  <c r="AG313"/>
  <c r="AH317"/>
  <c r="B317" s="1"/>
  <c r="AH318"/>
  <c r="B318" s="1"/>
  <c r="AH319"/>
  <c r="B319" s="1"/>
  <c r="AH320"/>
  <c r="B320" s="1"/>
  <c r="AH321"/>
  <c r="B321" s="1"/>
  <c r="AH322"/>
  <c r="B322" s="1"/>
  <c r="AH323"/>
  <c r="B323" s="1"/>
  <c r="AH324"/>
  <c r="B324" s="1"/>
  <c r="AH325"/>
  <c r="B325" s="1"/>
  <c r="AH326"/>
  <c r="B326" s="1"/>
  <c r="AH327"/>
  <c r="B327" s="1"/>
  <c r="AH328"/>
  <c r="B328" s="1"/>
  <c r="C329"/>
  <c r="D329"/>
  <c r="F329"/>
  <c r="G329"/>
  <c r="H329"/>
  <c r="I329"/>
  <c r="J329"/>
  <c r="K329"/>
  <c r="L329"/>
  <c r="M329"/>
  <c r="N329"/>
  <c r="O329"/>
  <c r="P329"/>
  <c r="Q329"/>
  <c r="R329"/>
  <c r="S329"/>
  <c r="T329"/>
  <c r="U329"/>
  <c r="V329"/>
  <c r="W329"/>
  <c r="X329"/>
  <c r="Y329"/>
  <c r="Z329"/>
  <c r="AA329"/>
  <c r="AB329"/>
  <c r="AC329"/>
  <c r="AE329"/>
  <c r="AF329"/>
  <c r="AG329"/>
  <c r="AH333"/>
  <c r="B333" s="1"/>
  <c r="AH334"/>
  <c r="B334" s="1"/>
  <c r="AH335"/>
  <c r="B335" s="1"/>
  <c r="B345" s="1"/>
  <c r="AH336"/>
  <c r="B336" s="1"/>
  <c r="AH337"/>
  <c r="B337" s="1"/>
  <c r="AH338"/>
  <c r="B338" s="1"/>
  <c r="AH339"/>
  <c r="B339" s="1"/>
  <c r="AH340"/>
  <c r="B340" s="1"/>
  <c r="AH341"/>
  <c r="B341" s="1"/>
  <c r="AH342"/>
  <c r="B342" s="1"/>
  <c r="AH343"/>
  <c r="B343" s="1"/>
  <c r="AH344"/>
  <c r="B344" s="1"/>
  <c r="C345"/>
  <c r="D345"/>
  <c r="F345"/>
  <c r="G345"/>
  <c r="H345"/>
  <c r="I345"/>
  <c r="J345"/>
  <c r="K345"/>
  <c r="L345"/>
  <c r="M345"/>
  <c r="N345"/>
  <c r="O345"/>
  <c r="P345"/>
  <c r="Q345"/>
  <c r="R345"/>
  <c r="S345"/>
  <c r="T345"/>
  <c r="U345"/>
  <c r="V345"/>
  <c r="W345"/>
  <c r="X345"/>
  <c r="Y345"/>
  <c r="Z345"/>
  <c r="AA345"/>
  <c r="AB345"/>
  <c r="AC345"/>
  <c r="AE345"/>
  <c r="AF345"/>
  <c r="AG345"/>
  <c r="AH349"/>
  <c r="B349" s="1"/>
  <c r="AH350"/>
  <c r="B350" s="1"/>
  <c r="B361" s="1"/>
  <c r="AH351"/>
  <c r="B351" s="1"/>
  <c r="AH352"/>
  <c r="B352" s="1"/>
  <c r="AH353"/>
  <c r="B353" s="1"/>
  <c r="AH354"/>
  <c r="B354" s="1"/>
  <c r="AH355"/>
  <c r="B355" s="1"/>
  <c r="AH356"/>
  <c r="B356" s="1"/>
  <c r="AH357"/>
  <c r="B357" s="1"/>
  <c r="AH358"/>
  <c r="B358" s="1"/>
  <c r="AH359"/>
  <c r="B359" s="1"/>
  <c r="AH360"/>
  <c r="B360" s="1"/>
  <c r="D361"/>
  <c r="F361"/>
  <c r="G361"/>
  <c r="H361"/>
  <c r="I361"/>
  <c r="J361"/>
  <c r="K361"/>
  <c r="L361"/>
  <c r="M361"/>
  <c r="N361"/>
  <c r="O361"/>
  <c r="P361"/>
  <c r="Q361"/>
  <c r="R361"/>
  <c r="S361"/>
  <c r="T361"/>
  <c r="U361"/>
  <c r="V361"/>
  <c r="W361"/>
  <c r="X361"/>
  <c r="Y361"/>
  <c r="Z361"/>
  <c r="AA361"/>
  <c r="AB361"/>
  <c r="AC361"/>
  <c r="AE361"/>
  <c r="AF361"/>
  <c r="AG361"/>
  <c r="AH367"/>
  <c r="B367" s="1"/>
  <c r="AH368"/>
  <c r="B368" s="1"/>
  <c r="AH369"/>
  <c r="B369" s="1"/>
  <c r="AH370"/>
  <c r="B370" s="1"/>
  <c r="AH371"/>
  <c r="B371" s="1"/>
  <c r="AH372"/>
  <c r="B372" s="1"/>
  <c r="AH373"/>
  <c r="B373" s="1"/>
  <c r="AH374"/>
  <c r="B374" s="1"/>
  <c r="AH375"/>
  <c r="B375" s="1"/>
  <c r="AH376"/>
  <c r="B376" s="1"/>
  <c r="AH377"/>
  <c r="B377" s="1"/>
  <c r="AH378"/>
  <c r="B378" s="1"/>
  <c r="C379"/>
  <c r="D379"/>
  <c r="F379"/>
  <c r="G379"/>
  <c r="H379"/>
  <c r="I379"/>
  <c r="J379"/>
  <c r="K379"/>
  <c r="L379"/>
  <c r="M379"/>
  <c r="N379"/>
  <c r="O379"/>
  <c r="P379"/>
  <c r="Q379"/>
  <c r="R379"/>
  <c r="S379"/>
  <c r="T379"/>
  <c r="U379"/>
  <c r="V379"/>
  <c r="W379"/>
  <c r="X379"/>
  <c r="Y379"/>
  <c r="Z379"/>
  <c r="AA379"/>
  <c r="AB379"/>
  <c r="AC379"/>
  <c r="AE379"/>
  <c r="AF379"/>
  <c r="AG379"/>
  <c r="AH399"/>
  <c r="B399" s="1"/>
  <c r="B411" s="1"/>
  <c r="AH400"/>
  <c r="B400" s="1"/>
  <c r="AH401"/>
  <c r="B401" s="1"/>
  <c r="AH402"/>
  <c r="B402" s="1"/>
  <c r="AH403"/>
  <c r="B403" s="1"/>
  <c r="AH404"/>
  <c r="B404" s="1"/>
  <c r="AH405"/>
  <c r="B405" s="1"/>
  <c r="AH406"/>
  <c r="B406" s="1"/>
  <c r="AH407"/>
  <c r="B407" s="1"/>
  <c r="AH408"/>
  <c r="B408" s="1"/>
  <c r="AH409"/>
  <c r="B409" s="1"/>
  <c r="AH410"/>
  <c r="B410" s="1"/>
  <c r="C411"/>
  <c r="D411"/>
  <c r="F411"/>
  <c r="G411"/>
  <c r="H411"/>
  <c r="I411"/>
  <c r="J411"/>
  <c r="K411"/>
  <c r="L411"/>
  <c r="M411"/>
  <c r="N411"/>
  <c r="O411"/>
  <c r="P411"/>
  <c r="Q411"/>
  <c r="R411"/>
  <c r="S411"/>
  <c r="T411"/>
  <c r="U411"/>
  <c r="V411"/>
  <c r="W411"/>
  <c r="X411"/>
  <c r="Y411"/>
  <c r="Z411"/>
  <c r="AA411"/>
  <c r="AB411"/>
  <c r="AC411"/>
  <c r="AE411"/>
  <c r="AF411"/>
  <c r="AG411"/>
  <c r="AH431"/>
  <c r="B431" s="1"/>
  <c r="AH432"/>
  <c r="B432" s="1"/>
  <c r="AH433"/>
  <c r="B433" s="1"/>
  <c r="AH434"/>
  <c r="B434" s="1"/>
  <c r="AH435"/>
  <c r="B435" s="1"/>
  <c r="AH436"/>
  <c r="B436" s="1"/>
  <c r="AH437"/>
  <c r="B437" s="1"/>
  <c r="AH438"/>
  <c r="B438" s="1"/>
  <c r="AH439"/>
  <c r="B439" s="1"/>
  <c r="AH440"/>
  <c r="B440" s="1"/>
  <c r="AH441"/>
  <c r="B441" s="1"/>
  <c r="AH442"/>
  <c r="B442" s="1"/>
  <c r="C443"/>
  <c r="D443"/>
  <c r="F443"/>
  <c r="G443"/>
  <c r="H443"/>
  <c r="I443"/>
  <c r="J443"/>
  <c r="K443"/>
  <c r="L443"/>
  <c r="M443"/>
  <c r="N443"/>
  <c r="O443"/>
  <c r="P443"/>
  <c r="Q443"/>
  <c r="R443"/>
  <c r="S443"/>
  <c r="T443"/>
  <c r="U443"/>
  <c r="V443"/>
  <c r="W443"/>
  <c r="X443"/>
  <c r="Y443"/>
  <c r="Z443"/>
  <c r="AA443"/>
  <c r="AB443"/>
  <c r="AC443"/>
  <c r="AE443"/>
  <c r="AF443"/>
  <c r="AG443"/>
  <c r="AH447"/>
  <c r="B447" s="1"/>
  <c r="AH448"/>
  <c r="B448" s="1"/>
  <c r="B459" s="1"/>
  <c r="AH449"/>
  <c r="B449" s="1"/>
  <c r="AH450"/>
  <c r="B450" s="1"/>
  <c r="AH451"/>
  <c r="B451" s="1"/>
  <c r="AH452"/>
  <c r="B452" s="1"/>
  <c r="AH453"/>
  <c r="B453" s="1"/>
  <c r="AH454"/>
  <c r="B454" s="1"/>
  <c r="AH455"/>
  <c r="B455" s="1"/>
  <c r="AH456"/>
  <c r="B456" s="1"/>
  <c r="AH457"/>
  <c r="B457" s="1"/>
  <c r="AH458"/>
  <c r="B458" s="1"/>
  <c r="C459"/>
  <c r="D459"/>
  <c r="F459"/>
  <c r="G459"/>
  <c r="H459"/>
  <c r="I459"/>
  <c r="J459"/>
  <c r="K459"/>
  <c r="L459"/>
  <c r="M459"/>
  <c r="N459"/>
  <c r="O459"/>
  <c r="P459"/>
  <c r="Q459"/>
  <c r="R459"/>
  <c r="S459"/>
  <c r="T459"/>
  <c r="U459"/>
  <c r="V459"/>
  <c r="W459"/>
  <c r="X459"/>
  <c r="Y459"/>
  <c r="Z459"/>
  <c r="AA459"/>
  <c r="AB459"/>
  <c r="AC459"/>
  <c r="AE459"/>
  <c r="AF459"/>
  <c r="AG459"/>
  <c r="AH463"/>
  <c r="B463" s="1"/>
  <c r="AH464"/>
  <c r="B464" s="1"/>
  <c r="AH465"/>
  <c r="B465" s="1"/>
  <c r="AH466"/>
  <c r="B466" s="1"/>
  <c r="AH467"/>
  <c r="B467" s="1"/>
  <c r="AH468"/>
  <c r="B468" s="1"/>
  <c r="AH469"/>
  <c r="B469" s="1"/>
  <c r="AH470"/>
  <c r="B470" s="1"/>
  <c r="AH471"/>
  <c r="B471" s="1"/>
  <c r="AH472"/>
  <c r="B472" s="1"/>
  <c r="AH473"/>
  <c r="B473" s="1"/>
  <c r="AH474"/>
  <c r="B474" s="1"/>
  <c r="C475"/>
  <c r="D475"/>
  <c r="F475"/>
  <c r="G475"/>
  <c r="H475"/>
  <c r="I475"/>
  <c r="J475"/>
  <c r="K475"/>
  <c r="L475"/>
  <c r="M475"/>
  <c r="N475"/>
  <c r="O475"/>
  <c r="P475"/>
  <c r="Q475"/>
  <c r="R475"/>
  <c r="S475"/>
  <c r="T475"/>
  <c r="U475"/>
  <c r="V475"/>
  <c r="W475"/>
  <c r="X475"/>
  <c r="Y475"/>
  <c r="Z475"/>
  <c r="AA475"/>
  <c r="AB475"/>
  <c r="AC475"/>
  <c r="AE475"/>
  <c r="AF475"/>
  <c r="AG475"/>
  <c r="AH479"/>
  <c r="B479" s="1"/>
  <c r="AH480"/>
  <c r="B480" s="1"/>
  <c r="AH481"/>
  <c r="B481" s="1"/>
  <c r="AH482"/>
  <c r="B482" s="1"/>
  <c r="AH483"/>
  <c r="B483" s="1"/>
  <c r="AH484"/>
  <c r="B484" s="1"/>
  <c r="AH485"/>
  <c r="B485" s="1"/>
  <c r="AH486"/>
  <c r="B486" s="1"/>
  <c r="AH487"/>
  <c r="B487" s="1"/>
  <c r="AH488"/>
  <c r="B488" s="1"/>
  <c r="AH489"/>
  <c r="B489" s="1"/>
  <c r="AH490"/>
  <c r="B490" s="1"/>
  <c r="C491"/>
  <c r="D491"/>
  <c r="F491"/>
  <c r="G491"/>
  <c r="H491"/>
  <c r="I491"/>
  <c r="J491"/>
  <c r="K491"/>
  <c r="L491"/>
  <c r="M491"/>
  <c r="N491"/>
  <c r="O491"/>
  <c r="P491"/>
  <c r="Q491"/>
  <c r="R491"/>
  <c r="S491"/>
  <c r="T491"/>
  <c r="U491"/>
  <c r="V491"/>
  <c r="W491"/>
  <c r="X491"/>
  <c r="Y491"/>
  <c r="Z491"/>
  <c r="AA491"/>
  <c r="AB491"/>
  <c r="AC491"/>
  <c r="AE491"/>
  <c r="AF491"/>
  <c r="AG491"/>
  <c r="AH495"/>
  <c r="B495" s="1"/>
  <c r="AH496"/>
  <c r="B496" s="1"/>
  <c r="AH497"/>
  <c r="B497" s="1"/>
  <c r="B507" s="1"/>
  <c r="AH498"/>
  <c r="B498" s="1"/>
  <c r="AH499"/>
  <c r="B499" s="1"/>
  <c r="AH500"/>
  <c r="B500" s="1"/>
  <c r="AH501"/>
  <c r="B501" s="1"/>
  <c r="AH502"/>
  <c r="B502" s="1"/>
  <c r="AH503"/>
  <c r="B503" s="1"/>
  <c r="AH504"/>
  <c r="B504" s="1"/>
  <c r="AH505"/>
  <c r="B505" s="1"/>
  <c r="AH506"/>
  <c r="B506" s="1"/>
  <c r="C507"/>
  <c r="D507"/>
  <c r="F507"/>
  <c r="G507"/>
  <c r="H507"/>
  <c r="I507"/>
  <c r="J507"/>
  <c r="K507"/>
  <c r="L507"/>
  <c r="M507"/>
  <c r="N507"/>
  <c r="O507"/>
  <c r="P507"/>
  <c r="Q507"/>
  <c r="R507"/>
  <c r="S507"/>
  <c r="T507"/>
  <c r="U507"/>
  <c r="V507"/>
  <c r="W507"/>
  <c r="X507"/>
  <c r="Y507"/>
  <c r="Z507"/>
  <c r="AA507"/>
  <c r="AB507"/>
  <c r="AC507"/>
  <c r="AE507"/>
  <c r="AF507"/>
  <c r="AG507"/>
  <c r="AH511"/>
  <c r="B511" s="1"/>
  <c r="AH512"/>
  <c r="B512" s="1"/>
  <c r="B523" s="1"/>
  <c r="AH513"/>
  <c r="B513" s="1"/>
  <c r="AH514"/>
  <c r="B514" s="1"/>
  <c r="AH515"/>
  <c r="B515" s="1"/>
  <c r="AH516"/>
  <c r="B516" s="1"/>
  <c r="AH517"/>
  <c r="B517" s="1"/>
  <c r="AH518"/>
  <c r="B518" s="1"/>
  <c r="AH519"/>
  <c r="B519" s="1"/>
  <c r="AH520"/>
  <c r="B520" s="1"/>
  <c r="AH521"/>
  <c r="B521" s="1"/>
  <c r="AH522"/>
  <c r="B522" s="1"/>
  <c r="C523"/>
  <c r="D523"/>
  <c r="F523"/>
  <c r="G523"/>
  <c r="H523"/>
  <c r="I523"/>
  <c r="J523"/>
  <c r="K523"/>
  <c r="L523"/>
  <c r="M523"/>
  <c r="N523"/>
  <c r="O523"/>
  <c r="P523"/>
  <c r="Q523"/>
  <c r="R523"/>
  <c r="S523"/>
  <c r="T523"/>
  <c r="U523"/>
  <c r="V523"/>
  <c r="W523"/>
  <c r="X523"/>
  <c r="Y523"/>
  <c r="Z523"/>
  <c r="AA523"/>
  <c r="AB523"/>
  <c r="AC523"/>
  <c r="AE523"/>
  <c r="AF523"/>
  <c r="AG523"/>
  <c r="AH527"/>
  <c r="B527" s="1"/>
  <c r="AH528"/>
  <c r="B528" s="1"/>
  <c r="AH529"/>
  <c r="B529" s="1"/>
  <c r="AH530"/>
  <c r="B530" s="1"/>
  <c r="AH531"/>
  <c r="B531" s="1"/>
  <c r="AH532"/>
  <c r="B532" s="1"/>
  <c r="AH533"/>
  <c r="B533" s="1"/>
  <c r="AH534"/>
  <c r="B534" s="1"/>
  <c r="AH535"/>
  <c r="B535" s="1"/>
  <c r="AH536"/>
  <c r="B536" s="1"/>
  <c r="AH537"/>
  <c r="B537" s="1"/>
  <c r="AH538"/>
  <c r="B538" s="1"/>
  <c r="C539"/>
  <c r="D539"/>
  <c r="F539"/>
  <c r="G539"/>
  <c r="H539"/>
  <c r="I539"/>
  <c r="J539"/>
  <c r="K539"/>
  <c r="L539"/>
  <c r="M539"/>
  <c r="N539"/>
  <c r="O539"/>
  <c r="P539"/>
  <c r="Q539"/>
  <c r="R539"/>
  <c r="S539"/>
  <c r="T539"/>
  <c r="U539"/>
  <c r="V539"/>
  <c r="W539"/>
  <c r="X539"/>
  <c r="Y539"/>
  <c r="Z539"/>
  <c r="AA539"/>
  <c r="AB539"/>
  <c r="AC539"/>
  <c r="AE539"/>
  <c r="AF539"/>
  <c r="AG539"/>
  <c r="C16" i="11565"/>
  <c r="C71"/>
  <c r="C101"/>
  <c r="E55" i="60796" s="1"/>
  <c r="AH33" i="514"/>
  <c r="B33" s="1"/>
  <c r="G67" i="60796" s="1"/>
  <c r="C34" i="514"/>
  <c r="D34"/>
  <c r="E34"/>
  <c r="F34"/>
  <c r="G34"/>
  <c r="H34"/>
  <c r="I34"/>
  <c r="J34"/>
  <c r="K34"/>
  <c r="L34"/>
  <c r="M34"/>
  <c r="N34"/>
  <c r="O34"/>
  <c r="P34"/>
  <c r="Q34"/>
  <c r="R34"/>
  <c r="S34"/>
  <c r="T34"/>
  <c r="U34"/>
  <c r="V34"/>
  <c r="W34"/>
  <c r="X34"/>
  <c r="Y34"/>
  <c r="Z34"/>
  <c r="AA34"/>
  <c r="AB34"/>
  <c r="AC34"/>
  <c r="AD34"/>
  <c r="AE34"/>
  <c r="AF34"/>
  <c r="AG34"/>
  <c r="AH34"/>
  <c r="B38"/>
  <c r="B39"/>
  <c r="AH40"/>
  <c r="B40" s="1"/>
  <c r="AH41"/>
  <c r="B41" s="1"/>
  <c r="AH42"/>
  <c r="B42" s="1"/>
  <c r="AH43"/>
  <c r="B43" s="1"/>
  <c r="AH44"/>
  <c r="B44" s="1"/>
  <c r="AH45"/>
  <c r="AH46"/>
  <c r="B46" s="1"/>
  <c r="AH47"/>
  <c r="B47" s="1"/>
  <c r="AH48"/>
  <c r="B48" s="1"/>
  <c r="AH49"/>
  <c r="B49" s="1"/>
  <c r="C50"/>
  <c r="D50"/>
  <c r="E50"/>
  <c r="F50"/>
  <c r="G50"/>
  <c r="H50"/>
  <c r="I50"/>
  <c r="J50"/>
  <c r="K50"/>
  <c r="L50"/>
  <c r="M50"/>
  <c r="N50"/>
  <c r="O50"/>
  <c r="P50"/>
  <c r="Q50"/>
  <c r="R50"/>
  <c r="S50"/>
  <c r="T50"/>
  <c r="U50"/>
  <c r="V50"/>
  <c r="W50"/>
  <c r="X50"/>
  <c r="Y50"/>
  <c r="Z50"/>
  <c r="AA50"/>
  <c r="AB50"/>
  <c r="AC50"/>
  <c r="AD50"/>
  <c r="AE50"/>
  <c r="AF50"/>
  <c r="AG50"/>
  <c r="AH8" i="32"/>
  <c r="B8" s="1"/>
  <c r="F8" i="7380" s="1"/>
  <c r="AH9" i="32"/>
  <c r="B9" s="1"/>
  <c r="AH10"/>
  <c r="B10" s="1"/>
  <c r="AH11"/>
  <c r="B11" s="1"/>
  <c r="AH12"/>
  <c r="B12" s="1"/>
  <c r="AH13"/>
  <c r="B13" s="1"/>
  <c r="AH14"/>
  <c r="B14" s="1"/>
  <c r="AH15"/>
  <c r="B15" s="1"/>
  <c r="AH16"/>
  <c r="B16" s="1"/>
  <c r="AH17"/>
  <c r="B17" s="1"/>
  <c r="AH18"/>
  <c r="B18" s="1"/>
  <c r="AH19"/>
  <c r="B19" s="1"/>
  <c r="C20"/>
  <c r="D20"/>
  <c r="F20"/>
  <c r="G20"/>
  <c r="H20"/>
  <c r="I20"/>
  <c r="J20"/>
  <c r="K20"/>
  <c r="L20"/>
  <c r="M20"/>
  <c r="N20"/>
  <c r="O20"/>
  <c r="P20"/>
  <c r="Q20"/>
  <c r="R20"/>
  <c r="S20"/>
  <c r="T20"/>
  <c r="U20"/>
  <c r="V20"/>
  <c r="W20"/>
  <c r="X20"/>
  <c r="Y20"/>
  <c r="Z20"/>
  <c r="AA20"/>
  <c r="AB20"/>
  <c r="AC20"/>
  <c r="AE20"/>
  <c r="AF20"/>
  <c r="AG20"/>
  <c r="AH24"/>
  <c r="B24" s="1"/>
  <c r="AH25"/>
  <c r="B25" s="1"/>
  <c r="AH26"/>
  <c r="B26" s="1"/>
  <c r="AH27"/>
  <c r="B27" s="1"/>
  <c r="AH28"/>
  <c r="B28" s="1"/>
  <c r="AH29"/>
  <c r="B29" s="1"/>
  <c r="AH30"/>
  <c r="B30" s="1"/>
  <c r="AH31"/>
  <c r="B31" s="1"/>
  <c r="AH32"/>
  <c r="B32" s="1"/>
  <c r="AH33"/>
  <c r="B33" s="1"/>
  <c r="AH34"/>
  <c r="B34" s="1"/>
  <c r="AH35"/>
  <c r="B35" s="1"/>
  <c r="C36"/>
  <c r="D36"/>
  <c r="F36"/>
  <c r="G36"/>
  <c r="H36"/>
  <c r="I36"/>
  <c r="J36"/>
  <c r="K36"/>
  <c r="L36"/>
  <c r="M36"/>
  <c r="N36"/>
  <c r="O36"/>
  <c r="P36"/>
  <c r="Q36"/>
  <c r="R36"/>
  <c r="S36"/>
  <c r="T36"/>
  <c r="U36"/>
  <c r="V36"/>
  <c r="W36"/>
  <c r="X36"/>
  <c r="Y36"/>
  <c r="Z36"/>
  <c r="AA36"/>
  <c r="AB36"/>
  <c r="AC36"/>
  <c r="AE36"/>
  <c r="AF36"/>
  <c r="AG36"/>
  <c r="AH41"/>
  <c r="B41" s="1"/>
  <c r="AH42"/>
  <c r="B42" s="1"/>
  <c r="AH43"/>
  <c r="B43" s="1"/>
  <c r="AH44"/>
  <c r="B44" s="1"/>
  <c r="AH45"/>
  <c r="B45" s="1"/>
  <c r="AH46"/>
  <c r="B46" s="1"/>
  <c r="AH47"/>
  <c r="B47" s="1"/>
  <c r="AH48"/>
  <c r="B48" s="1"/>
  <c r="AH49"/>
  <c r="B49" s="1"/>
  <c r="AH50"/>
  <c r="B50" s="1"/>
  <c r="AH51"/>
  <c r="B51" s="1"/>
  <c r="AH52"/>
  <c r="B52" s="1"/>
  <c r="C53"/>
  <c r="D53"/>
  <c r="E53"/>
  <c r="F53"/>
  <c r="G53"/>
  <c r="H53"/>
  <c r="I53"/>
  <c r="J53"/>
  <c r="K53"/>
  <c r="L53"/>
  <c r="M53"/>
  <c r="N53"/>
  <c r="O53"/>
  <c r="P53"/>
  <c r="Q53"/>
  <c r="R53"/>
  <c r="S53"/>
  <c r="T53"/>
  <c r="U53"/>
  <c r="V53"/>
  <c r="W53"/>
  <c r="X53"/>
  <c r="Y53"/>
  <c r="Z53"/>
  <c r="AA53"/>
  <c r="AB53"/>
  <c r="AC53"/>
  <c r="AE53"/>
  <c r="AF53"/>
  <c r="AG53"/>
  <c r="AH73"/>
  <c r="B73" s="1"/>
  <c r="AH74"/>
  <c r="B74" s="1"/>
  <c r="AH75"/>
  <c r="B75" s="1"/>
  <c r="AH76"/>
  <c r="B76" s="1"/>
  <c r="AH77"/>
  <c r="B77" s="1"/>
  <c r="AH78"/>
  <c r="B78" s="1"/>
  <c r="AH79"/>
  <c r="B79" s="1"/>
  <c r="AH80"/>
  <c r="B80" s="1"/>
  <c r="AH81"/>
  <c r="B81" s="1"/>
  <c r="AH82"/>
  <c r="B82" s="1"/>
  <c r="AH83"/>
  <c r="B83" s="1"/>
  <c r="AH84"/>
  <c r="B84" s="1"/>
  <c r="C85"/>
  <c r="D85"/>
  <c r="E85"/>
  <c r="F85"/>
  <c r="G85"/>
  <c r="H85"/>
  <c r="I85"/>
  <c r="J85"/>
  <c r="K85"/>
  <c r="L85"/>
  <c r="M85"/>
  <c r="N85"/>
  <c r="O85"/>
  <c r="P85"/>
  <c r="Q85"/>
  <c r="R85"/>
  <c r="S85"/>
  <c r="T85"/>
  <c r="U85"/>
  <c r="V85"/>
  <c r="W85"/>
  <c r="X85"/>
  <c r="Y85"/>
  <c r="Z85"/>
  <c r="AA85"/>
  <c r="AB85"/>
  <c r="AC85"/>
  <c r="AE85"/>
  <c r="AF85"/>
  <c r="AG85"/>
  <c r="AH91"/>
  <c r="B91" s="1"/>
  <c r="AH92"/>
  <c r="B92" s="1"/>
  <c r="AH93"/>
  <c r="B93" s="1"/>
  <c r="AH94"/>
  <c r="B94" s="1"/>
  <c r="AH95"/>
  <c r="B95" s="1"/>
  <c r="AH96"/>
  <c r="B96" s="1"/>
  <c r="AH97"/>
  <c r="B97" s="1"/>
  <c r="AH98"/>
  <c r="B98" s="1"/>
  <c r="AH99"/>
  <c r="B99" s="1"/>
  <c r="AH100"/>
  <c r="B100" s="1"/>
  <c r="AH101"/>
  <c r="B101" s="1"/>
  <c r="AH102"/>
  <c r="B102" s="1"/>
  <c r="C103"/>
  <c r="D103"/>
  <c r="F103"/>
  <c r="G103"/>
  <c r="H103"/>
  <c r="I103"/>
  <c r="J103"/>
  <c r="K103"/>
  <c r="L103"/>
  <c r="M103"/>
  <c r="N103"/>
  <c r="O103"/>
  <c r="P103"/>
  <c r="Q103"/>
  <c r="R103"/>
  <c r="S103"/>
  <c r="T103"/>
  <c r="U103"/>
  <c r="V103"/>
  <c r="W103"/>
  <c r="X103"/>
  <c r="Y103"/>
  <c r="Z103"/>
  <c r="AA103"/>
  <c r="AB103"/>
  <c r="AC103"/>
  <c r="AE103"/>
  <c r="AF103"/>
  <c r="AG103"/>
  <c r="AH107"/>
  <c r="B107" s="1"/>
  <c r="AH108"/>
  <c r="B108" s="1"/>
  <c r="AH109"/>
  <c r="B109" s="1"/>
  <c r="AH110"/>
  <c r="B110" s="1"/>
  <c r="AH111"/>
  <c r="B111" s="1"/>
  <c r="AH112"/>
  <c r="B112" s="1"/>
  <c r="AH113"/>
  <c r="B113" s="1"/>
  <c r="AH114"/>
  <c r="B114" s="1"/>
  <c r="AH115"/>
  <c r="B115" s="1"/>
  <c r="AH116"/>
  <c r="B116" s="1"/>
  <c r="AH117"/>
  <c r="B117" s="1"/>
  <c r="AH118"/>
  <c r="B118" s="1"/>
  <c r="C119"/>
  <c r="D119"/>
  <c r="F119"/>
  <c r="G119"/>
  <c r="H119"/>
  <c r="I119"/>
  <c r="J119"/>
  <c r="K119"/>
  <c r="L119"/>
  <c r="M119"/>
  <c r="N119"/>
  <c r="O119"/>
  <c r="P119"/>
  <c r="Q119"/>
  <c r="R119"/>
  <c r="S119"/>
  <c r="T119"/>
  <c r="U119"/>
  <c r="V119"/>
  <c r="W119"/>
  <c r="X119"/>
  <c r="Y119"/>
  <c r="Z119"/>
  <c r="AA119"/>
  <c r="AB119"/>
  <c r="AC119"/>
  <c r="AE119"/>
  <c r="AF119"/>
  <c r="AG119"/>
  <c r="AH123"/>
  <c r="B123" s="1"/>
  <c r="AH124"/>
  <c r="B124" s="1"/>
  <c r="AH125"/>
  <c r="B125" s="1"/>
  <c r="AH126"/>
  <c r="B126" s="1"/>
  <c r="AH127"/>
  <c r="B127" s="1"/>
  <c r="AH128"/>
  <c r="B128" s="1"/>
  <c r="AH129"/>
  <c r="B129" s="1"/>
  <c r="B130"/>
  <c r="AH131"/>
  <c r="B131" s="1"/>
  <c r="AH132"/>
  <c r="B132" s="1"/>
  <c r="AH133"/>
  <c r="B133" s="1"/>
  <c r="AH134"/>
  <c r="B134" s="1"/>
  <c r="C135"/>
  <c r="D135"/>
  <c r="F135"/>
  <c r="G135"/>
  <c r="H135"/>
  <c r="I135"/>
  <c r="J135"/>
  <c r="K135"/>
  <c r="L135"/>
  <c r="M135"/>
  <c r="N135"/>
  <c r="O135"/>
  <c r="P135"/>
  <c r="Q135"/>
  <c r="R135"/>
  <c r="S135"/>
  <c r="T135"/>
  <c r="U135"/>
  <c r="V135"/>
  <c r="W135"/>
  <c r="X135"/>
  <c r="Y135"/>
  <c r="Z135"/>
  <c r="AA135"/>
  <c r="AB135"/>
  <c r="AC135"/>
  <c r="AE135"/>
  <c r="AF135"/>
  <c r="AG135"/>
  <c r="AH139"/>
  <c r="B139" s="1"/>
  <c r="AH140"/>
  <c r="B140" s="1"/>
  <c r="AH141"/>
  <c r="B141" s="1"/>
  <c r="AH142"/>
  <c r="B142" s="1"/>
  <c r="AH143"/>
  <c r="B143" s="1"/>
  <c r="AH144"/>
  <c r="B144" s="1"/>
  <c r="AH145"/>
  <c r="B145" s="1"/>
  <c r="AH146"/>
  <c r="B146" s="1"/>
  <c r="AH147"/>
  <c r="B147" s="1"/>
  <c r="AH148"/>
  <c r="B148" s="1"/>
  <c r="AH149"/>
  <c r="B149" s="1"/>
  <c r="AH150"/>
  <c r="B150" s="1"/>
  <c r="C151"/>
  <c r="D151"/>
  <c r="F151"/>
  <c r="G151"/>
  <c r="H151"/>
  <c r="I151"/>
  <c r="J151"/>
  <c r="K151"/>
  <c r="L151"/>
  <c r="M151"/>
  <c r="N151"/>
  <c r="O151"/>
  <c r="P151"/>
  <c r="Q151"/>
  <c r="R151"/>
  <c r="S151"/>
  <c r="T151"/>
  <c r="U151"/>
  <c r="V151"/>
  <c r="W151"/>
  <c r="X151"/>
  <c r="Y151"/>
  <c r="Z151"/>
  <c r="AA151"/>
  <c r="AB151"/>
  <c r="AC151"/>
  <c r="AE151"/>
  <c r="AF151"/>
  <c r="AG151"/>
  <c r="AH155"/>
  <c r="B155" s="1"/>
  <c r="AH156"/>
  <c r="B156" s="1"/>
  <c r="AH157"/>
  <c r="B157" s="1"/>
  <c r="AH158"/>
  <c r="B158" s="1"/>
  <c r="AH159"/>
  <c r="B159" s="1"/>
  <c r="AH160"/>
  <c r="B160" s="1"/>
  <c r="AH161"/>
  <c r="B161" s="1"/>
  <c r="AH162"/>
  <c r="B162" s="1"/>
  <c r="AH163"/>
  <c r="B163" s="1"/>
  <c r="AH164"/>
  <c r="B164" s="1"/>
  <c r="AH165"/>
  <c r="B165" s="1"/>
  <c r="AH166"/>
  <c r="B166" s="1"/>
  <c r="C167"/>
  <c r="D167"/>
  <c r="F167"/>
  <c r="G167"/>
  <c r="H167"/>
  <c r="I167"/>
  <c r="J167"/>
  <c r="K167"/>
  <c r="L167"/>
  <c r="M167"/>
  <c r="N167"/>
  <c r="O167"/>
  <c r="P167"/>
  <c r="Q167"/>
  <c r="R167"/>
  <c r="S167"/>
  <c r="T167"/>
  <c r="U167"/>
  <c r="V167"/>
  <c r="W167"/>
  <c r="X167"/>
  <c r="Y167"/>
  <c r="Z167"/>
  <c r="AA167"/>
  <c r="AB167"/>
  <c r="AC167"/>
  <c r="AE167"/>
  <c r="AF167"/>
  <c r="AG167"/>
  <c r="AH171"/>
  <c r="B171" s="1"/>
  <c r="AH172"/>
  <c r="B172" s="1"/>
  <c r="AH173"/>
  <c r="B173" s="1"/>
  <c r="AH174"/>
  <c r="B174" s="1"/>
  <c r="AH175"/>
  <c r="B175" s="1"/>
  <c r="AH176"/>
  <c r="B176" s="1"/>
  <c r="AH177"/>
  <c r="B177" s="1"/>
  <c r="AH178"/>
  <c r="B178" s="1"/>
  <c r="AH179"/>
  <c r="B179" s="1"/>
  <c r="AH180"/>
  <c r="B180" s="1"/>
  <c r="AH181"/>
  <c r="B181" s="1"/>
  <c r="AH182"/>
  <c r="B182" s="1"/>
  <c r="C183"/>
  <c r="D183"/>
  <c r="F183"/>
  <c r="G183"/>
  <c r="H183"/>
  <c r="I183"/>
  <c r="J183"/>
  <c r="K183"/>
  <c r="L183"/>
  <c r="M183"/>
  <c r="N183"/>
  <c r="O183"/>
  <c r="P183"/>
  <c r="Q183"/>
  <c r="R183"/>
  <c r="S183"/>
  <c r="T183"/>
  <c r="U183"/>
  <c r="V183"/>
  <c r="W183"/>
  <c r="X183"/>
  <c r="Y183"/>
  <c r="Z183"/>
  <c r="AA183"/>
  <c r="AB183"/>
  <c r="AC183"/>
  <c r="AE183"/>
  <c r="AF183"/>
  <c r="AG183"/>
  <c r="AH187"/>
  <c r="B187" s="1"/>
  <c r="AH188"/>
  <c r="B188" s="1"/>
  <c r="AH189"/>
  <c r="B189" s="1"/>
  <c r="AH190"/>
  <c r="B190" s="1"/>
  <c r="AH191"/>
  <c r="B191" s="1"/>
  <c r="AH192"/>
  <c r="B192" s="1"/>
  <c r="AH193"/>
  <c r="B193" s="1"/>
  <c r="AH194"/>
  <c r="B194" s="1"/>
  <c r="AH195"/>
  <c r="B195" s="1"/>
  <c r="AH196"/>
  <c r="B196" s="1"/>
  <c r="AH197"/>
  <c r="B197" s="1"/>
  <c r="AH198"/>
  <c r="B198" s="1"/>
  <c r="C199"/>
  <c r="D199"/>
  <c r="F199"/>
  <c r="G199"/>
  <c r="H199"/>
  <c r="I199"/>
  <c r="J199"/>
  <c r="K199"/>
  <c r="L199"/>
  <c r="M199"/>
  <c r="N199"/>
  <c r="O199"/>
  <c r="P199"/>
  <c r="Q199"/>
  <c r="R199"/>
  <c r="S199"/>
  <c r="T199"/>
  <c r="U199"/>
  <c r="V199"/>
  <c r="W199"/>
  <c r="X199"/>
  <c r="Y199"/>
  <c r="Z199"/>
  <c r="AA199"/>
  <c r="AB199"/>
  <c r="AC199"/>
  <c r="AE199"/>
  <c r="AF199"/>
  <c r="AG199"/>
  <c r="AH203"/>
  <c r="B203" s="1"/>
  <c r="AH204"/>
  <c r="B204" s="1"/>
  <c r="AH205"/>
  <c r="B205" s="1"/>
  <c r="AH206"/>
  <c r="B206" s="1"/>
  <c r="AH207"/>
  <c r="B207" s="1"/>
  <c r="AH208"/>
  <c r="B208" s="1"/>
  <c r="AH209"/>
  <c r="B209" s="1"/>
  <c r="AH210"/>
  <c r="B210" s="1"/>
  <c r="AH211"/>
  <c r="B211" s="1"/>
  <c r="AH212"/>
  <c r="B212" s="1"/>
  <c r="AH213"/>
  <c r="B213" s="1"/>
  <c r="AH214"/>
  <c r="B214" s="1"/>
  <c r="C215"/>
  <c r="D215"/>
  <c r="F215"/>
  <c r="G215"/>
  <c r="H215"/>
  <c r="I215"/>
  <c r="J215"/>
  <c r="K215"/>
  <c r="L215"/>
  <c r="M215"/>
  <c r="N215"/>
  <c r="O215"/>
  <c r="P215"/>
  <c r="Q215"/>
  <c r="R215"/>
  <c r="S215"/>
  <c r="T215"/>
  <c r="U215"/>
  <c r="V215"/>
  <c r="W215"/>
  <c r="X215"/>
  <c r="Y215"/>
  <c r="Z215"/>
  <c r="AA215"/>
  <c r="AB215"/>
  <c r="AC215"/>
  <c r="AE215"/>
  <c r="AF215"/>
  <c r="AG215"/>
  <c r="AH219"/>
  <c r="B219" s="1"/>
  <c r="AH220"/>
  <c r="B220" s="1"/>
  <c r="AH221"/>
  <c r="B221" s="1"/>
  <c r="AH222"/>
  <c r="B222" s="1"/>
  <c r="AH223"/>
  <c r="B223" s="1"/>
  <c r="AH224"/>
  <c r="B224" s="1"/>
  <c r="AH225"/>
  <c r="B225" s="1"/>
  <c r="AH226"/>
  <c r="B226" s="1"/>
  <c r="AH227"/>
  <c r="B227" s="1"/>
  <c r="AH228"/>
  <c r="B228" s="1"/>
  <c r="AH229"/>
  <c r="B229" s="1"/>
  <c r="AH230"/>
  <c r="B230" s="1"/>
  <c r="C231"/>
  <c r="D231"/>
  <c r="F231"/>
  <c r="G231"/>
  <c r="H231"/>
  <c r="I231"/>
  <c r="J231"/>
  <c r="K231"/>
  <c r="L231"/>
  <c r="M231"/>
  <c r="N231"/>
  <c r="O231"/>
  <c r="P231"/>
  <c r="Q231"/>
  <c r="R231"/>
  <c r="S231"/>
  <c r="T231"/>
  <c r="U231"/>
  <c r="V231"/>
  <c r="W231"/>
  <c r="X231"/>
  <c r="Y231"/>
  <c r="Z231"/>
  <c r="AA231"/>
  <c r="AB231"/>
  <c r="AC231"/>
  <c r="AE231"/>
  <c r="AF231"/>
  <c r="AG231"/>
  <c r="AH235"/>
  <c r="B235" s="1"/>
  <c r="AH236"/>
  <c r="B236" s="1"/>
  <c r="AH237"/>
  <c r="B237" s="1"/>
  <c r="AH238"/>
  <c r="B238" s="1"/>
  <c r="AH239"/>
  <c r="B239" s="1"/>
  <c r="AH240"/>
  <c r="B240" s="1"/>
  <c r="AH241"/>
  <c r="B241" s="1"/>
  <c r="AH242"/>
  <c r="B242" s="1"/>
  <c r="AH243"/>
  <c r="B243" s="1"/>
  <c r="AH244"/>
  <c r="B244" s="1"/>
  <c r="AH245"/>
  <c r="B245" s="1"/>
  <c r="AH246"/>
  <c r="B246" s="1"/>
  <c r="C247"/>
  <c r="D247"/>
  <c r="F247"/>
  <c r="G247"/>
  <c r="H247"/>
  <c r="I247"/>
  <c r="J247"/>
  <c r="K247"/>
  <c r="L247"/>
  <c r="M247"/>
  <c r="N247"/>
  <c r="O247"/>
  <c r="P247"/>
  <c r="Q247"/>
  <c r="R247"/>
  <c r="S247"/>
  <c r="T247"/>
  <c r="U247"/>
  <c r="V247"/>
  <c r="W247"/>
  <c r="X247"/>
  <c r="Y247"/>
  <c r="Z247"/>
  <c r="AA247"/>
  <c r="AB247"/>
  <c r="AC247"/>
  <c r="AE247"/>
  <c r="AF247"/>
  <c r="AG247"/>
  <c r="AH251"/>
  <c r="B251" s="1"/>
  <c r="AH252"/>
  <c r="B252" s="1"/>
  <c r="AH253"/>
  <c r="B253" s="1"/>
  <c r="AH254"/>
  <c r="B254" s="1"/>
  <c r="AH255"/>
  <c r="B255" s="1"/>
  <c r="F208" i="7380" s="1"/>
  <c r="AH256" i="32"/>
  <c r="B256" s="1"/>
  <c r="AH257"/>
  <c r="B257" s="1"/>
  <c r="AH258"/>
  <c r="B258" s="1"/>
  <c r="AH259"/>
  <c r="B259" s="1"/>
  <c r="AH260"/>
  <c r="B260" s="1"/>
  <c r="AH261"/>
  <c r="B261" s="1"/>
  <c r="AH262"/>
  <c r="B262" s="1"/>
  <c r="C263"/>
  <c r="D263"/>
  <c r="F263"/>
  <c r="G263"/>
  <c r="H263"/>
  <c r="I263"/>
  <c r="J263"/>
  <c r="K263"/>
  <c r="L263"/>
  <c r="M263"/>
  <c r="N263"/>
  <c r="O263"/>
  <c r="P263"/>
  <c r="Q263"/>
  <c r="R263"/>
  <c r="S263"/>
  <c r="T263"/>
  <c r="U263"/>
  <c r="V263"/>
  <c r="W263"/>
  <c r="X263"/>
  <c r="Y263"/>
  <c r="Z263"/>
  <c r="AA263"/>
  <c r="AB263"/>
  <c r="AC263"/>
  <c r="AE263"/>
  <c r="AF263"/>
  <c r="AG263"/>
  <c r="AH267"/>
  <c r="B267" s="1"/>
  <c r="AH268"/>
  <c r="B268" s="1"/>
  <c r="AH269"/>
  <c r="B269" s="1"/>
  <c r="AH270"/>
  <c r="B270" s="1"/>
  <c r="AH271"/>
  <c r="B271" s="1"/>
  <c r="AH272"/>
  <c r="B272" s="1"/>
  <c r="AH273"/>
  <c r="B273" s="1"/>
  <c r="AH274"/>
  <c r="B274" s="1"/>
  <c r="AH275"/>
  <c r="B275" s="1"/>
  <c r="AH276"/>
  <c r="B276" s="1"/>
  <c r="AH277"/>
  <c r="B277" s="1"/>
  <c r="AH278"/>
  <c r="B278" s="1"/>
  <c r="C279"/>
  <c r="D279"/>
  <c r="F279"/>
  <c r="G279"/>
  <c r="H279"/>
  <c r="I279"/>
  <c r="J279"/>
  <c r="K279"/>
  <c r="L279"/>
  <c r="M279"/>
  <c r="N279"/>
  <c r="O279"/>
  <c r="P279"/>
  <c r="Q279"/>
  <c r="R279"/>
  <c r="S279"/>
  <c r="T279"/>
  <c r="U279"/>
  <c r="V279"/>
  <c r="W279"/>
  <c r="X279"/>
  <c r="Y279"/>
  <c r="Z279"/>
  <c r="AA279"/>
  <c r="AB279"/>
  <c r="AC279"/>
  <c r="AE279"/>
  <c r="AF279"/>
  <c r="AG279"/>
  <c r="AH283"/>
  <c r="B283" s="1"/>
  <c r="AH284"/>
  <c r="B284" s="1"/>
  <c r="AH285"/>
  <c r="B285" s="1"/>
  <c r="AH286"/>
  <c r="B286" s="1"/>
  <c r="AH287"/>
  <c r="B287" s="1"/>
  <c r="AH288"/>
  <c r="B288" s="1"/>
  <c r="AH289"/>
  <c r="B289" s="1"/>
  <c r="AH290"/>
  <c r="B290" s="1"/>
  <c r="AH291"/>
  <c r="B291" s="1"/>
  <c r="AH292"/>
  <c r="B292" s="1"/>
  <c r="AH293"/>
  <c r="B293" s="1"/>
  <c r="AH294"/>
  <c r="B294" s="1"/>
  <c r="C295"/>
  <c r="D295"/>
  <c r="F295"/>
  <c r="G295"/>
  <c r="H295"/>
  <c r="I295"/>
  <c r="J295"/>
  <c r="K295"/>
  <c r="L295"/>
  <c r="M295"/>
  <c r="N295"/>
  <c r="O295"/>
  <c r="P295"/>
  <c r="Q295"/>
  <c r="R295"/>
  <c r="S295"/>
  <c r="T295"/>
  <c r="U295"/>
  <c r="V295"/>
  <c r="W295"/>
  <c r="X295"/>
  <c r="Y295"/>
  <c r="Z295"/>
  <c r="AA295"/>
  <c r="AB295"/>
  <c r="AC295"/>
  <c r="AE295"/>
  <c r="AF295"/>
  <c r="AG295"/>
  <c r="AH299"/>
  <c r="B299" s="1"/>
  <c r="AH300"/>
  <c r="B300" s="1"/>
  <c r="AH301"/>
  <c r="B301" s="1"/>
  <c r="AH302"/>
  <c r="B302" s="1"/>
  <c r="AH303"/>
  <c r="B303" s="1"/>
  <c r="AH304"/>
  <c r="B304" s="1"/>
  <c r="AH305"/>
  <c r="B305" s="1"/>
  <c r="AH306"/>
  <c r="B306" s="1"/>
  <c r="AH307"/>
  <c r="B307" s="1"/>
  <c r="AH308"/>
  <c r="B308" s="1"/>
  <c r="AH309"/>
  <c r="B309" s="1"/>
  <c r="AH310"/>
  <c r="B310" s="1"/>
  <c r="C311"/>
  <c r="D311"/>
  <c r="F311"/>
  <c r="G311"/>
  <c r="H311"/>
  <c r="I311"/>
  <c r="J311"/>
  <c r="K311"/>
  <c r="L311"/>
  <c r="M311"/>
  <c r="N311"/>
  <c r="O311"/>
  <c r="P311"/>
  <c r="Q311"/>
  <c r="R311"/>
  <c r="S311"/>
  <c r="T311"/>
  <c r="U311"/>
  <c r="V311"/>
  <c r="W311"/>
  <c r="X311"/>
  <c r="Y311"/>
  <c r="Z311"/>
  <c r="AA311"/>
  <c r="AB311"/>
  <c r="AC311"/>
  <c r="AE311"/>
  <c r="AF311"/>
  <c r="AG311"/>
  <c r="AH315"/>
  <c r="B315" s="1"/>
  <c r="AH316"/>
  <c r="B316" s="1"/>
  <c r="AH317"/>
  <c r="B317" s="1"/>
  <c r="AH318"/>
  <c r="B318" s="1"/>
  <c r="AH319"/>
  <c r="B319" s="1"/>
  <c r="AH320"/>
  <c r="B320" s="1"/>
  <c r="AH321"/>
  <c r="B321" s="1"/>
  <c r="AH322"/>
  <c r="B322" s="1"/>
  <c r="AH323"/>
  <c r="B323" s="1"/>
  <c r="AH324"/>
  <c r="B324" s="1"/>
  <c r="AH325"/>
  <c r="B325" s="1"/>
  <c r="AH326"/>
  <c r="B326" s="1"/>
  <c r="C327"/>
  <c r="D327"/>
  <c r="F327"/>
  <c r="G327"/>
  <c r="H327"/>
  <c r="I327"/>
  <c r="J327"/>
  <c r="K327"/>
  <c r="L327"/>
  <c r="M327"/>
  <c r="N327"/>
  <c r="O327"/>
  <c r="P327"/>
  <c r="Q327"/>
  <c r="R327"/>
  <c r="S327"/>
  <c r="T327"/>
  <c r="U327"/>
  <c r="V327"/>
  <c r="W327"/>
  <c r="X327"/>
  <c r="Y327"/>
  <c r="Z327"/>
  <c r="AA327"/>
  <c r="AB327"/>
  <c r="AC327"/>
  <c r="AE327"/>
  <c r="AF327"/>
  <c r="AG327"/>
  <c r="AH331"/>
  <c r="B331" s="1"/>
  <c r="AH332"/>
  <c r="B332" s="1"/>
  <c r="AH333"/>
  <c r="B333" s="1"/>
  <c r="AH334"/>
  <c r="B334" s="1"/>
  <c r="AH335"/>
  <c r="B335" s="1"/>
  <c r="AH336"/>
  <c r="B336" s="1"/>
  <c r="AH337"/>
  <c r="B337" s="1"/>
  <c r="AH338"/>
  <c r="B338" s="1"/>
  <c r="AH339"/>
  <c r="B339" s="1"/>
  <c r="AH340"/>
  <c r="B340" s="1"/>
  <c r="AH341"/>
  <c r="B341" s="1"/>
  <c r="AH342"/>
  <c r="B342" s="1"/>
  <c r="C343"/>
  <c r="D343"/>
  <c r="F343"/>
  <c r="G343"/>
  <c r="H343"/>
  <c r="I343"/>
  <c r="J343"/>
  <c r="K343"/>
  <c r="L343"/>
  <c r="M343"/>
  <c r="N343"/>
  <c r="O343"/>
  <c r="P343"/>
  <c r="Q343"/>
  <c r="R343"/>
  <c r="S343"/>
  <c r="T343"/>
  <c r="U343"/>
  <c r="V343"/>
  <c r="W343"/>
  <c r="X343"/>
  <c r="Y343"/>
  <c r="Z343"/>
  <c r="AA343"/>
  <c r="AB343"/>
  <c r="AC343"/>
  <c r="AE343"/>
  <c r="AF343"/>
  <c r="AG343"/>
  <c r="AH347"/>
  <c r="B347" s="1"/>
  <c r="AH348"/>
  <c r="B348" s="1"/>
  <c r="AH349"/>
  <c r="B349" s="1"/>
  <c r="AH350"/>
  <c r="B350" s="1"/>
  <c r="AH351"/>
  <c r="B351" s="1"/>
  <c r="AH352"/>
  <c r="B352" s="1"/>
  <c r="AH353"/>
  <c r="B353" s="1"/>
  <c r="AH354"/>
  <c r="B354" s="1"/>
  <c r="AH355"/>
  <c r="B355" s="1"/>
  <c r="AH356"/>
  <c r="B356" s="1"/>
  <c r="AH357"/>
  <c r="B357" s="1"/>
  <c r="AH358"/>
  <c r="B358" s="1"/>
  <c r="C359"/>
  <c r="D359"/>
  <c r="F359"/>
  <c r="G359"/>
  <c r="H359"/>
  <c r="I359"/>
  <c r="J359"/>
  <c r="K359"/>
  <c r="L359"/>
  <c r="M359"/>
  <c r="N359"/>
  <c r="O359"/>
  <c r="P359"/>
  <c r="Q359"/>
  <c r="R359"/>
  <c r="S359"/>
  <c r="T359"/>
  <c r="U359"/>
  <c r="V359"/>
  <c r="W359"/>
  <c r="X359"/>
  <c r="Y359"/>
  <c r="Z359"/>
  <c r="AA359"/>
  <c r="AB359"/>
  <c r="AC359"/>
  <c r="AE359"/>
  <c r="AF359"/>
  <c r="AG359"/>
  <c r="AH365"/>
  <c r="B365" s="1"/>
  <c r="AH366"/>
  <c r="B366" s="1"/>
  <c r="AH367"/>
  <c r="B367" s="1"/>
  <c r="AH368"/>
  <c r="B368" s="1"/>
  <c r="AH369"/>
  <c r="B369" s="1"/>
  <c r="AH370"/>
  <c r="B370" s="1"/>
  <c r="AH371"/>
  <c r="B371" s="1"/>
  <c r="AH372"/>
  <c r="B372" s="1"/>
  <c r="AH373"/>
  <c r="B373" s="1"/>
  <c r="AH374"/>
  <c r="B374" s="1"/>
  <c r="AH375"/>
  <c r="B375" s="1"/>
  <c r="AH376"/>
  <c r="B376" s="1"/>
  <c r="C377"/>
  <c r="D377"/>
  <c r="F377"/>
  <c r="G377"/>
  <c r="H377"/>
  <c r="I377"/>
  <c r="J377"/>
  <c r="K377"/>
  <c r="L377"/>
  <c r="M377"/>
  <c r="N377"/>
  <c r="O377"/>
  <c r="P377"/>
  <c r="Q377"/>
  <c r="R377"/>
  <c r="S377"/>
  <c r="T377"/>
  <c r="U377"/>
  <c r="V377"/>
  <c r="W377"/>
  <c r="X377"/>
  <c r="Y377"/>
  <c r="Z377"/>
  <c r="AA377"/>
  <c r="AB377"/>
  <c r="AC377"/>
  <c r="AE377"/>
  <c r="AF377"/>
  <c r="AG377"/>
  <c r="AH397"/>
  <c r="B397" s="1"/>
  <c r="AH398"/>
  <c r="B398" s="1"/>
  <c r="AH399"/>
  <c r="B399" s="1"/>
  <c r="AH400"/>
  <c r="B400" s="1"/>
  <c r="AH401"/>
  <c r="B401" s="1"/>
  <c r="AH402"/>
  <c r="B402" s="1"/>
  <c r="AH403"/>
  <c r="B403" s="1"/>
  <c r="AH404"/>
  <c r="B404" s="1"/>
  <c r="AH405"/>
  <c r="B405" s="1"/>
  <c r="AH406"/>
  <c r="B406" s="1"/>
  <c r="AH407"/>
  <c r="B407" s="1"/>
  <c r="AH408"/>
  <c r="B408" s="1"/>
  <c r="C409"/>
  <c r="D409"/>
  <c r="F409"/>
  <c r="G409"/>
  <c r="H409"/>
  <c r="I409"/>
  <c r="J409"/>
  <c r="K409"/>
  <c r="L409"/>
  <c r="M409"/>
  <c r="N409"/>
  <c r="O409"/>
  <c r="P409"/>
  <c r="Q409"/>
  <c r="R409"/>
  <c r="S409"/>
  <c r="T409"/>
  <c r="U409"/>
  <c r="V409"/>
  <c r="W409"/>
  <c r="X409"/>
  <c r="Y409"/>
  <c r="Z409"/>
  <c r="AA409"/>
  <c r="AB409"/>
  <c r="AC409"/>
  <c r="AE409"/>
  <c r="AF409"/>
  <c r="AG409"/>
  <c r="AH429"/>
  <c r="B429" s="1"/>
  <c r="AH430"/>
  <c r="B430" s="1"/>
  <c r="AH431"/>
  <c r="B431" s="1"/>
  <c r="AH432"/>
  <c r="B432" s="1"/>
  <c r="AH433"/>
  <c r="B433" s="1"/>
  <c r="AH434"/>
  <c r="B434" s="1"/>
  <c r="AH435"/>
  <c r="B435" s="1"/>
  <c r="AH436"/>
  <c r="B436" s="1"/>
  <c r="AH437"/>
  <c r="B437" s="1"/>
  <c r="AH438"/>
  <c r="B438" s="1"/>
  <c r="AH439"/>
  <c r="B439" s="1"/>
  <c r="AH440"/>
  <c r="B440" s="1"/>
  <c r="C441"/>
  <c r="D441"/>
  <c r="F441"/>
  <c r="G441"/>
  <c r="H441"/>
  <c r="I441"/>
  <c r="J441"/>
  <c r="K441"/>
  <c r="L441"/>
  <c r="M441"/>
  <c r="N441"/>
  <c r="O441"/>
  <c r="P441"/>
  <c r="Q441"/>
  <c r="R441"/>
  <c r="S441"/>
  <c r="T441"/>
  <c r="U441"/>
  <c r="V441"/>
  <c r="W441"/>
  <c r="X441"/>
  <c r="Y441"/>
  <c r="Z441"/>
  <c r="AA441"/>
  <c r="AB441"/>
  <c r="AC441"/>
  <c r="AE441"/>
  <c r="AF441"/>
  <c r="AG441"/>
  <c r="AH445"/>
  <c r="B445" s="1"/>
  <c r="AH446"/>
  <c r="B446" s="1"/>
  <c r="AH447"/>
  <c r="B447" s="1"/>
  <c r="AH448"/>
  <c r="B448" s="1"/>
  <c r="AH449"/>
  <c r="B449" s="1"/>
  <c r="AH450"/>
  <c r="B450" s="1"/>
  <c r="AH451"/>
  <c r="B451" s="1"/>
  <c r="AH452"/>
  <c r="B452" s="1"/>
  <c r="AH453"/>
  <c r="B453" s="1"/>
  <c r="AH454"/>
  <c r="B454" s="1"/>
  <c r="AH455"/>
  <c r="B455" s="1"/>
  <c r="AH456"/>
  <c r="B456" s="1"/>
  <c r="C457"/>
  <c r="D457"/>
  <c r="F457"/>
  <c r="G457"/>
  <c r="H457"/>
  <c r="I457"/>
  <c r="J457"/>
  <c r="K457"/>
  <c r="L457"/>
  <c r="M457"/>
  <c r="N457"/>
  <c r="O457"/>
  <c r="P457"/>
  <c r="Q457"/>
  <c r="R457"/>
  <c r="S457"/>
  <c r="T457"/>
  <c r="U457"/>
  <c r="V457"/>
  <c r="W457"/>
  <c r="X457"/>
  <c r="Y457"/>
  <c r="Z457"/>
  <c r="AA457"/>
  <c r="AB457"/>
  <c r="AC457"/>
  <c r="AE457"/>
  <c r="AF457"/>
  <c r="AG457"/>
  <c r="AH461"/>
  <c r="B461" s="1"/>
  <c r="AH462"/>
  <c r="B462" s="1"/>
  <c r="AH463"/>
  <c r="B463" s="1"/>
  <c r="AH464"/>
  <c r="B464" s="1"/>
  <c r="AH465"/>
  <c r="B465" s="1"/>
  <c r="AH466"/>
  <c r="B466" s="1"/>
  <c r="AH467"/>
  <c r="B467" s="1"/>
  <c r="AH468"/>
  <c r="B468" s="1"/>
  <c r="AH469"/>
  <c r="B469" s="1"/>
  <c r="AH470"/>
  <c r="B470" s="1"/>
  <c r="AH471"/>
  <c r="B471" s="1"/>
  <c r="AH472"/>
  <c r="B472" s="1"/>
  <c r="C473"/>
  <c r="D473"/>
  <c r="F473"/>
  <c r="G473"/>
  <c r="H473"/>
  <c r="I473"/>
  <c r="J473"/>
  <c r="K473"/>
  <c r="L473"/>
  <c r="M473"/>
  <c r="N473"/>
  <c r="O473"/>
  <c r="P473"/>
  <c r="Q473"/>
  <c r="R473"/>
  <c r="S473"/>
  <c r="T473"/>
  <c r="U473"/>
  <c r="V473"/>
  <c r="W473"/>
  <c r="X473"/>
  <c r="Y473"/>
  <c r="Z473"/>
  <c r="AA473"/>
  <c r="AB473"/>
  <c r="AC473"/>
  <c r="AE473"/>
  <c r="AF473"/>
  <c r="AG473"/>
  <c r="AH477"/>
  <c r="B477" s="1"/>
  <c r="AH478"/>
  <c r="B478" s="1"/>
  <c r="AH479"/>
  <c r="B479" s="1"/>
  <c r="AH480"/>
  <c r="B480" s="1"/>
  <c r="AH481"/>
  <c r="B481" s="1"/>
  <c r="AH482"/>
  <c r="B482" s="1"/>
  <c r="C489"/>
  <c r="D489"/>
  <c r="F489"/>
  <c r="G489"/>
  <c r="H489"/>
  <c r="I489"/>
  <c r="J489"/>
  <c r="K489"/>
  <c r="L489"/>
  <c r="M489"/>
  <c r="N489"/>
  <c r="O489"/>
  <c r="P489"/>
  <c r="Q489"/>
  <c r="R489"/>
  <c r="S489"/>
  <c r="T489"/>
  <c r="U489"/>
  <c r="V489"/>
  <c r="W489"/>
  <c r="X489"/>
  <c r="Y489"/>
  <c r="Z489"/>
  <c r="AA489"/>
  <c r="AB489"/>
  <c r="AC489"/>
  <c r="AE489"/>
  <c r="AF489"/>
  <c r="AG489"/>
  <c r="AH493"/>
  <c r="B493" s="1"/>
  <c r="AH494"/>
  <c r="B494" s="1"/>
  <c r="AH495"/>
  <c r="B495" s="1"/>
  <c r="AH496"/>
  <c r="B496" s="1"/>
  <c r="AH497"/>
  <c r="B497" s="1"/>
  <c r="AH498"/>
  <c r="B498" s="1"/>
  <c r="AH499"/>
  <c r="B499" s="1"/>
  <c r="AH500"/>
  <c r="B500" s="1"/>
  <c r="AH501"/>
  <c r="B501" s="1"/>
  <c r="AH502"/>
  <c r="B502" s="1"/>
  <c r="AH503"/>
  <c r="B503" s="1"/>
  <c r="AH504"/>
  <c r="B504" s="1"/>
  <c r="C505"/>
  <c r="D505"/>
  <c r="F505"/>
  <c r="G505"/>
  <c r="H505"/>
  <c r="I505"/>
  <c r="J505"/>
  <c r="K505"/>
  <c r="L505"/>
  <c r="M505"/>
  <c r="N505"/>
  <c r="O505"/>
  <c r="P505"/>
  <c r="Q505"/>
  <c r="R505"/>
  <c r="S505"/>
  <c r="T505"/>
  <c r="U505"/>
  <c r="V505"/>
  <c r="W505"/>
  <c r="X505"/>
  <c r="Y505"/>
  <c r="Z505"/>
  <c r="AA505"/>
  <c r="AB505"/>
  <c r="AC505"/>
  <c r="AE505"/>
  <c r="AF505"/>
  <c r="AG505"/>
  <c r="AH509"/>
  <c r="B509" s="1"/>
  <c r="AH510"/>
  <c r="B510" s="1"/>
  <c r="AH511"/>
  <c r="B511" s="1"/>
  <c r="AH512"/>
  <c r="B512" s="1"/>
  <c r="AH513"/>
  <c r="B513" s="1"/>
  <c r="AH514"/>
  <c r="B514" s="1"/>
  <c r="AH515"/>
  <c r="B515" s="1"/>
  <c r="AH516"/>
  <c r="B516" s="1"/>
  <c r="AH517"/>
  <c r="B517" s="1"/>
  <c r="AH518"/>
  <c r="B518" s="1"/>
  <c r="AH519"/>
  <c r="B519" s="1"/>
  <c r="AH520"/>
  <c r="B520" s="1"/>
  <c r="C521"/>
  <c r="D521"/>
  <c r="F521"/>
  <c r="G521"/>
  <c r="H521"/>
  <c r="I521"/>
  <c r="J521"/>
  <c r="K521"/>
  <c r="L521"/>
  <c r="M521"/>
  <c r="N521"/>
  <c r="O521"/>
  <c r="P521"/>
  <c r="Q521"/>
  <c r="R521"/>
  <c r="S521"/>
  <c r="T521"/>
  <c r="U521"/>
  <c r="V521"/>
  <c r="W521"/>
  <c r="X521"/>
  <c r="Y521"/>
  <c r="Z521"/>
  <c r="AA521"/>
  <c r="AB521"/>
  <c r="AC521"/>
  <c r="AE521"/>
  <c r="AF521"/>
  <c r="AG521"/>
  <c r="AH525"/>
  <c r="B525" s="1"/>
  <c r="AH526"/>
  <c r="B526" s="1"/>
  <c r="AH527"/>
  <c r="B527" s="1"/>
  <c r="AH528"/>
  <c r="B528" s="1"/>
  <c r="AH529"/>
  <c r="B529" s="1"/>
  <c r="AH530"/>
  <c r="B530" s="1"/>
  <c r="AH531"/>
  <c r="B531" s="1"/>
  <c r="AH532"/>
  <c r="B532" s="1"/>
  <c r="AH533"/>
  <c r="B533" s="1"/>
  <c r="AH534"/>
  <c r="B534" s="1"/>
  <c r="AH535"/>
  <c r="B535" s="1"/>
  <c r="AH536"/>
  <c r="B536" s="1"/>
  <c r="C537"/>
  <c r="D537"/>
  <c r="F537"/>
  <c r="G537"/>
  <c r="H537"/>
  <c r="I537"/>
  <c r="J537"/>
  <c r="K537"/>
  <c r="L537"/>
  <c r="M537"/>
  <c r="N537"/>
  <c r="O537"/>
  <c r="P537"/>
  <c r="Q537"/>
  <c r="R537"/>
  <c r="S537"/>
  <c r="T537"/>
  <c r="U537"/>
  <c r="V537"/>
  <c r="W537"/>
  <c r="X537"/>
  <c r="Y537"/>
  <c r="Z537"/>
  <c r="AA537"/>
  <c r="AB537"/>
  <c r="AC537"/>
  <c r="AE537"/>
  <c r="AF537"/>
  <c r="AG537"/>
  <c r="AH541"/>
  <c r="B541" s="1"/>
  <c r="AH542"/>
  <c r="B542" s="1"/>
  <c r="AH543"/>
  <c r="B543" s="1"/>
  <c r="AH544"/>
  <c r="B544" s="1"/>
  <c r="AH545"/>
  <c r="B545" s="1"/>
  <c r="AH546"/>
  <c r="B546" s="1"/>
  <c r="AH547"/>
  <c r="B547" s="1"/>
  <c r="AH548"/>
  <c r="B548" s="1"/>
  <c r="AH549"/>
  <c r="B549" s="1"/>
  <c r="AH550"/>
  <c r="B550" s="1"/>
  <c r="AH551"/>
  <c r="B551" s="1"/>
  <c r="AH552"/>
  <c r="B552" s="1"/>
  <c r="C553"/>
  <c r="D553"/>
  <c r="F553"/>
  <c r="G553"/>
  <c r="H553"/>
  <c r="I553"/>
  <c r="J553"/>
  <c r="K553"/>
  <c r="L553"/>
  <c r="M553"/>
  <c r="N553"/>
  <c r="O553"/>
  <c r="P553"/>
  <c r="Q553"/>
  <c r="R553"/>
  <c r="S553"/>
  <c r="T553"/>
  <c r="U553"/>
  <c r="V553"/>
  <c r="W553"/>
  <c r="X553"/>
  <c r="Y553"/>
  <c r="Z553"/>
  <c r="AA553"/>
  <c r="AB553"/>
  <c r="AC553"/>
  <c r="AE553"/>
  <c r="AF553"/>
  <c r="AG553"/>
  <c r="C10" i="7380"/>
  <c r="C15"/>
  <c r="C20"/>
  <c r="E27"/>
  <c r="E28" s="1"/>
  <c r="C28"/>
  <c r="C34"/>
  <c r="C40"/>
  <c r="G44"/>
  <c r="G45"/>
  <c r="G46"/>
  <c r="E112" s="1"/>
  <c r="G47"/>
  <c r="E113" s="1"/>
  <c r="G48"/>
  <c r="E114" s="1"/>
  <c r="G49"/>
  <c r="E115" s="1"/>
  <c r="G50"/>
  <c r="E116" s="1"/>
  <c r="G51"/>
  <c r="E117" s="1"/>
  <c r="G117" s="1"/>
  <c r="H117" s="1"/>
  <c r="G52"/>
  <c r="E118" s="1"/>
  <c r="G53"/>
  <c r="E119" s="1"/>
  <c r="G54"/>
  <c r="E120" s="1"/>
  <c r="G55"/>
  <c r="E121" s="1"/>
  <c r="G56"/>
  <c r="E122" s="1"/>
  <c r="G57"/>
  <c r="E123" s="1"/>
  <c r="G58"/>
  <c r="E124" s="1"/>
  <c r="G59"/>
  <c r="E125" s="1"/>
  <c r="G60"/>
  <c r="E126" s="1"/>
  <c r="G61"/>
  <c r="E127" s="1"/>
  <c r="G62"/>
  <c r="E128" s="1"/>
  <c r="G128" s="1"/>
  <c r="H128" s="1"/>
  <c r="G63"/>
  <c r="E129" s="1"/>
  <c r="G64"/>
  <c r="E130" s="1"/>
  <c r="G65"/>
  <c r="G66"/>
  <c r="E132" s="1"/>
  <c r="G67"/>
  <c r="G68"/>
  <c r="E134" s="1"/>
  <c r="G69"/>
  <c r="G70"/>
  <c r="E136" s="1"/>
  <c r="G71"/>
  <c r="G72"/>
  <c r="E138" s="1"/>
  <c r="G73"/>
  <c r="G74"/>
  <c r="E140" s="1"/>
  <c r="G75"/>
  <c r="G76"/>
  <c r="E142" s="1"/>
  <c r="G77"/>
  <c r="G78"/>
  <c r="G79"/>
  <c r="G80"/>
  <c r="E146" s="1"/>
  <c r="G81"/>
  <c r="G82"/>
  <c r="G83"/>
  <c r="E149" s="1"/>
  <c r="G84"/>
  <c r="E150" s="1"/>
  <c r="G85"/>
  <c r="E151" s="1"/>
  <c r="G86"/>
  <c r="E152" s="1"/>
  <c r="G152" s="1"/>
  <c r="H152" s="1"/>
  <c r="G87"/>
  <c r="E153" s="1"/>
  <c r="G153" s="1"/>
  <c r="H153" s="1"/>
  <c r="G88"/>
  <c r="E154" s="1"/>
  <c r="G89"/>
  <c r="G90"/>
  <c r="E156" s="1"/>
  <c r="G91"/>
  <c r="G92"/>
  <c r="E158" s="1"/>
  <c r="G93"/>
  <c r="E159" s="1"/>
  <c r="G159" s="1"/>
  <c r="H159" s="1"/>
  <c r="G94"/>
  <c r="E160" s="1"/>
  <c r="G95"/>
  <c r="E161" s="1"/>
  <c r="G96"/>
  <c r="E162" s="1"/>
  <c r="G97"/>
  <c r="G98"/>
  <c r="E164" s="1"/>
  <c r="G164" s="1"/>
  <c r="H164" s="1"/>
  <c r="G99"/>
  <c r="E165" s="1"/>
  <c r="G100"/>
  <c r="E166" s="1"/>
  <c r="G101"/>
  <c r="E167" s="1"/>
  <c r="G102"/>
  <c r="E168" s="1"/>
  <c r="G103"/>
  <c r="G104"/>
  <c r="E170" s="1"/>
  <c r="G71" i="60796"/>
  <c r="E195" i="7380"/>
  <c r="C195"/>
  <c r="C215"/>
  <c r="C235"/>
  <c r="E244"/>
  <c r="E245"/>
  <c r="E246"/>
  <c r="E248"/>
  <c r="E249"/>
  <c r="E250"/>
  <c r="E251"/>
  <c r="C267"/>
  <c r="B7" i="1024"/>
  <c r="AJ7" s="1"/>
  <c r="B8"/>
  <c r="AJ8" s="1"/>
  <c r="B9"/>
  <c r="AJ9" s="1"/>
  <c r="B11"/>
  <c r="AJ11" s="1"/>
  <c r="B12"/>
  <c r="AJ12" s="1"/>
  <c r="AH13"/>
  <c r="AH14"/>
  <c r="B14" s="1"/>
  <c r="AJ14" s="1"/>
  <c r="AH15"/>
  <c r="B15" s="1"/>
  <c r="AJ15" s="1"/>
  <c r="AH16"/>
  <c r="B16" s="1"/>
  <c r="AJ16" s="1"/>
  <c r="AH17"/>
  <c r="B17" s="1"/>
  <c r="AJ17" s="1"/>
  <c r="AH18"/>
  <c r="B18" s="1"/>
  <c r="AJ18" s="1"/>
  <c r="AH40"/>
  <c r="B40" s="1"/>
  <c r="AH41"/>
  <c r="B41" s="1"/>
  <c r="B52" s="1"/>
  <c r="AH42"/>
  <c r="B42" s="1"/>
  <c r="AH43"/>
  <c r="B43" s="1"/>
  <c r="AH44"/>
  <c r="B44" s="1"/>
  <c r="AH45"/>
  <c r="B45" s="1"/>
  <c r="AH46"/>
  <c r="B46" s="1"/>
  <c r="AH47"/>
  <c r="B47" s="1"/>
  <c r="AH48"/>
  <c r="B48" s="1"/>
  <c r="B49"/>
  <c r="AH89"/>
  <c r="B89" s="1"/>
  <c r="AH90"/>
  <c r="B90" s="1"/>
  <c r="AH91"/>
  <c r="B91" s="1"/>
  <c r="AH92"/>
  <c r="B92" s="1"/>
  <c r="AH93"/>
  <c r="B93" s="1"/>
  <c r="AH94"/>
  <c r="B94" s="1"/>
  <c r="AH95"/>
  <c r="B95" s="1"/>
  <c r="AH96"/>
  <c r="B96" s="1"/>
  <c r="AH97"/>
  <c r="B97" s="1"/>
  <c r="AH98"/>
  <c r="AH99"/>
  <c r="B99" s="1"/>
  <c r="AH100"/>
  <c r="B100" s="1"/>
  <c r="C101"/>
  <c r="D101"/>
  <c r="E101"/>
  <c r="F101"/>
  <c r="G101"/>
  <c r="H101"/>
  <c r="I101"/>
  <c r="J101"/>
  <c r="K101"/>
  <c r="L101"/>
  <c r="M101"/>
  <c r="N101"/>
  <c r="O101"/>
  <c r="P101"/>
  <c r="Q101"/>
  <c r="R101"/>
  <c r="S101"/>
  <c r="T101"/>
  <c r="U101"/>
  <c r="V101"/>
  <c r="W101"/>
  <c r="X101"/>
  <c r="Y101"/>
  <c r="Z101"/>
  <c r="AA101"/>
  <c r="AB101"/>
  <c r="AC101"/>
  <c r="AD101"/>
  <c r="AE101"/>
  <c r="AF101"/>
  <c r="AG101"/>
  <c r="AH138"/>
  <c r="B138" s="1"/>
  <c r="AH139"/>
  <c r="B139" s="1"/>
  <c r="B140"/>
  <c r="B141"/>
  <c r="AH142"/>
  <c r="B142" s="1"/>
  <c r="AH143"/>
  <c r="B143" s="1"/>
  <c r="AH144"/>
  <c r="B144" s="1"/>
  <c r="AH145"/>
  <c r="B145" s="1"/>
  <c r="AH146"/>
  <c r="B146" s="1"/>
  <c r="AH147"/>
  <c r="B147" s="1"/>
  <c r="AH148"/>
  <c r="B148" s="1"/>
  <c r="AH149"/>
  <c r="B149" s="1"/>
  <c r="C150"/>
  <c r="D150"/>
  <c r="E150"/>
  <c r="F150"/>
  <c r="G150"/>
  <c r="H150"/>
  <c r="I150"/>
  <c r="J150"/>
  <c r="K150"/>
  <c r="L150"/>
  <c r="M150"/>
  <c r="N150"/>
  <c r="O150"/>
  <c r="P150"/>
  <c r="Q150"/>
  <c r="R150"/>
  <c r="S150"/>
  <c r="T150"/>
  <c r="U150"/>
  <c r="V150"/>
  <c r="W150"/>
  <c r="X150"/>
  <c r="Y150"/>
  <c r="Z150"/>
  <c r="AA150"/>
  <c r="AB150"/>
  <c r="AC150"/>
  <c r="AD150"/>
  <c r="AE150"/>
  <c r="AF150"/>
  <c r="AG150"/>
  <c r="AH8" i="2316"/>
  <c r="B8" s="1"/>
  <c r="AH9"/>
  <c r="B9" s="1"/>
  <c r="AH10"/>
  <c r="B10" s="1"/>
  <c r="AH11"/>
  <c r="B11" s="1"/>
  <c r="AH12"/>
  <c r="B12" s="1"/>
  <c r="AH13"/>
  <c r="B13" s="1"/>
  <c r="AH14"/>
  <c r="B14" s="1"/>
  <c r="AH15"/>
  <c r="B15" s="1"/>
  <c r="AH16"/>
  <c r="B16" s="1"/>
  <c r="AH17"/>
  <c r="B17" s="1"/>
  <c r="AH18"/>
  <c r="B18" s="1"/>
  <c r="AH19"/>
  <c r="B19" s="1"/>
  <c r="C20"/>
  <c r="D20"/>
  <c r="E20"/>
  <c r="F20"/>
  <c r="G20"/>
  <c r="H20"/>
  <c r="I20"/>
  <c r="J20"/>
  <c r="K20"/>
  <c r="L20"/>
  <c r="M20"/>
  <c r="N20"/>
  <c r="O20"/>
  <c r="P20"/>
  <c r="Q20"/>
  <c r="R20"/>
  <c r="S20"/>
  <c r="T20"/>
  <c r="U20"/>
  <c r="V20"/>
  <c r="W20"/>
  <c r="X20"/>
  <c r="Y20"/>
  <c r="Z20"/>
  <c r="AA20"/>
  <c r="AB20"/>
  <c r="AC20"/>
  <c r="AD20"/>
  <c r="AE20"/>
  <c r="AF20"/>
  <c r="AG20"/>
  <c r="AH24"/>
  <c r="B24" s="1"/>
  <c r="AH25"/>
  <c r="B25" s="1"/>
  <c r="AH26"/>
  <c r="B26" s="1"/>
  <c r="AH27"/>
  <c r="B27" s="1"/>
  <c r="AH28"/>
  <c r="B28" s="1"/>
  <c r="AH29"/>
  <c r="B29" s="1"/>
  <c r="AH30"/>
  <c r="B30" s="1"/>
  <c r="B31"/>
  <c r="B32"/>
  <c r="AH33"/>
  <c r="B33" s="1"/>
  <c r="AH34"/>
  <c r="B34" s="1"/>
  <c r="AH35"/>
  <c r="B35" s="1"/>
  <c r="C36"/>
  <c r="D36"/>
  <c r="E36"/>
  <c r="F36"/>
  <c r="G36"/>
  <c r="H36"/>
  <c r="I36"/>
  <c r="J36"/>
  <c r="K36"/>
  <c r="L36"/>
  <c r="M36"/>
  <c r="N36"/>
  <c r="O36"/>
  <c r="P36"/>
  <c r="Q36"/>
  <c r="R36"/>
  <c r="S36"/>
  <c r="T36"/>
  <c r="U36"/>
  <c r="V36"/>
  <c r="W36"/>
  <c r="X36"/>
  <c r="Y36"/>
  <c r="Z36"/>
  <c r="AA36"/>
  <c r="AB36"/>
  <c r="AC36"/>
  <c r="AD36"/>
  <c r="AE36"/>
  <c r="AF36"/>
  <c r="AG36"/>
  <c r="AH40"/>
  <c r="B40" s="1"/>
  <c r="AH41"/>
  <c r="B41" s="1"/>
  <c r="AH42"/>
  <c r="B42" s="1"/>
  <c r="AH43"/>
  <c r="B43" s="1"/>
  <c r="AH44"/>
  <c r="B44" s="1"/>
  <c r="AH45"/>
  <c r="B45" s="1"/>
  <c r="AH46"/>
  <c r="B46" s="1"/>
  <c r="AH47"/>
  <c r="B47" s="1"/>
  <c r="AH48"/>
  <c r="B48" s="1"/>
  <c r="AH49"/>
  <c r="B49" s="1"/>
  <c r="AH50"/>
  <c r="B50" s="1"/>
  <c r="AH51"/>
  <c r="B51" s="1"/>
  <c r="C52"/>
  <c r="D52"/>
  <c r="F52"/>
  <c r="G52"/>
  <c r="H52"/>
  <c r="I52"/>
  <c r="J52"/>
  <c r="K52"/>
  <c r="L52"/>
  <c r="M52"/>
  <c r="N52"/>
  <c r="O52"/>
  <c r="P52"/>
  <c r="Q52"/>
  <c r="R52"/>
  <c r="S52"/>
  <c r="T52"/>
  <c r="U52"/>
  <c r="V52"/>
  <c r="W52"/>
  <c r="X52"/>
  <c r="Y52"/>
  <c r="Z52"/>
  <c r="AA52"/>
  <c r="AB52"/>
  <c r="AC52"/>
  <c r="AE52"/>
  <c r="AF52"/>
  <c r="AG52"/>
  <c r="AH58"/>
  <c r="B58" s="1"/>
  <c r="AH59"/>
  <c r="B59" s="1"/>
  <c r="AH60"/>
  <c r="B60" s="1"/>
  <c r="AH61"/>
  <c r="B61" s="1"/>
  <c r="AH62"/>
  <c r="B62" s="1"/>
  <c r="AH63"/>
  <c r="B63" s="1"/>
  <c r="AH64"/>
  <c r="B64" s="1"/>
  <c r="AH65"/>
  <c r="B65" s="1"/>
  <c r="AH66"/>
  <c r="B66" s="1"/>
  <c r="AH67"/>
  <c r="B67" s="1"/>
  <c r="AH68"/>
  <c r="B68" s="1"/>
  <c r="AH69"/>
  <c r="B69" s="1"/>
  <c r="C70"/>
  <c r="D70"/>
  <c r="F70"/>
  <c r="G70"/>
  <c r="H70"/>
  <c r="I70"/>
  <c r="J70"/>
  <c r="K70"/>
  <c r="L70"/>
  <c r="M70"/>
  <c r="N70"/>
  <c r="O70"/>
  <c r="P70"/>
  <c r="Q70"/>
  <c r="R70"/>
  <c r="S70"/>
  <c r="T70"/>
  <c r="U70"/>
  <c r="V70"/>
  <c r="W70"/>
  <c r="X70"/>
  <c r="Y70"/>
  <c r="Z70"/>
  <c r="AA70"/>
  <c r="AB70"/>
  <c r="AC70"/>
  <c r="AE70"/>
  <c r="AF70"/>
  <c r="AG70"/>
  <c r="AH74"/>
  <c r="B74" s="1"/>
  <c r="AH75"/>
  <c r="B75" s="1"/>
  <c r="AH76"/>
  <c r="B76" s="1"/>
  <c r="AH77"/>
  <c r="B77" s="1"/>
  <c r="AH78"/>
  <c r="B78" s="1"/>
  <c r="AH79"/>
  <c r="B79" s="1"/>
  <c r="AH80"/>
  <c r="B80" s="1"/>
  <c r="AH81"/>
  <c r="B81" s="1"/>
  <c r="AH82"/>
  <c r="B82" s="1"/>
  <c r="AH83"/>
  <c r="B83" s="1"/>
  <c r="AH84"/>
  <c r="B84" s="1"/>
  <c r="AH85"/>
  <c r="B85" s="1"/>
  <c r="C86"/>
  <c r="D86"/>
  <c r="F86"/>
  <c r="G86"/>
  <c r="H86"/>
  <c r="I86"/>
  <c r="J86"/>
  <c r="K86"/>
  <c r="L86"/>
  <c r="M86"/>
  <c r="N86"/>
  <c r="O86"/>
  <c r="P86"/>
  <c r="Q86"/>
  <c r="R86"/>
  <c r="S86"/>
  <c r="T86"/>
  <c r="U86"/>
  <c r="V86"/>
  <c r="W86"/>
  <c r="X86"/>
  <c r="Y86"/>
  <c r="Z86"/>
  <c r="AA86"/>
  <c r="AB86"/>
  <c r="AC86"/>
  <c r="AE86"/>
  <c r="AF86"/>
  <c r="AG86"/>
  <c r="AH91"/>
  <c r="B91" s="1"/>
  <c r="AH92"/>
  <c r="B92" s="1"/>
  <c r="AH93"/>
  <c r="B93" s="1"/>
  <c r="F38" i="1792" s="1"/>
  <c r="AH94" i="2316"/>
  <c r="B94" s="1"/>
  <c r="AH95"/>
  <c r="B95" s="1"/>
  <c r="AH96"/>
  <c r="B96" s="1"/>
  <c r="AH97"/>
  <c r="B97" s="1"/>
  <c r="AH98"/>
  <c r="B98" s="1"/>
  <c r="AH99"/>
  <c r="B99" s="1"/>
  <c r="AH100"/>
  <c r="B100" s="1"/>
  <c r="AH101"/>
  <c r="B101" s="1"/>
  <c r="F50" i="1792" s="1"/>
  <c r="AH102" i="2316"/>
  <c r="B102" s="1"/>
  <c r="C103"/>
  <c r="D103"/>
  <c r="E103"/>
  <c r="F103"/>
  <c r="G103"/>
  <c r="H103"/>
  <c r="I103"/>
  <c r="J103"/>
  <c r="K103"/>
  <c r="L103"/>
  <c r="M103"/>
  <c r="N103"/>
  <c r="O103"/>
  <c r="P103"/>
  <c r="Q103"/>
  <c r="R103"/>
  <c r="S103"/>
  <c r="T103"/>
  <c r="U103"/>
  <c r="V103"/>
  <c r="W103"/>
  <c r="X103"/>
  <c r="Y103"/>
  <c r="Z103"/>
  <c r="AA103"/>
  <c r="AB103"/>
  <c r="AC103"/>
  <c r="AD103"/>
  <c r="AE103"/>
  <c r="AF103"/>
  <c r="AG103"/>
  <c r="AH107"/>
  <c r="B107" s="1"/>
  <c r="AH108"/>
  <c r="B108" s="1"/>
  <c r="AH109"/>
  <c r="B109" s="1"/>
  <c r="AH110"/>
  <c r="B110" s="1"/>
  <c r="AH111"/>
  <c r="B111" s="1"/>
  <c r="AH112"/>
  <c r="B112" s="1"/>
  <c r="AH113"/>
  <c r="B113" s="1"/>
  <c r="AH114"/>
  <c r="B114" s="1"/>
  <c r="AH115"/>
  <c r="B115" s="1"/>
  <c r="AH116"/>
  <c r="AH117"/>
  <c r="B117" s="1"/>
  <c r="AH118"/>
  <c r="B118" s="1"/>
  <c r="C119"/>
  <c r="D119"/>
  <c r="E119"/>
  <c r="F119"/>
  <c r="G119"/>
  <c r="H119"/>
  <c r="I119"/>
  <c r="J119"/>
  <c r="K119"/>
  <c r="L119"/>
  <c r="M119"/>
  <c r="N119"/>
  <c r="O119"/>
  <c r="P119"/>
  <c r="Q119"/>
  <c r="R119"/>
  <c r="S119"/>
  <c r="T119"/>
  <c r="U119"/>
  <c r="V119"/>
  <c r="W119"/>
  <c r="X119"/>
  <c r="Y119"/>
  <c r="Z119"/>
  <c r="AA119"/>
  <c r="AB119"/>
  <c r="AC119"/>
  <c r="AD119"/>
  <c r="AE119"/>
  <c r="AF119"/>
  <c r="AG119"/>
  <c r="AH141"/>
  <c r="B141" s="1"/>
  <c r="F192" i="1792" s="1"/>
  <c r="AH142" i="2316"/>
  <c r="B142" s="1"/>
  <c r="AH143"/>
  <c r="B143" s="1"/>
  <c r="AH144"/>
  <c r="B144" s="1"/>
  <c r="AH145"/>
  <c r="B145" s="1"/>
  <c r="AH146"/>
  <c r="B146" s="1"/>
  <c r="AH147"/>
  <c r="B147" s="1"/>
  <c r="AH148"/>
  <c r="B148" s="1"/>
  <c r="AH149"/>
  <c r="B149" s="1"/>
  <c r="AH150"/>
  <c r="B150" s="1"/>
  <c r="AH151"/>
  <c r="B151" s="1"/>
  <c r="AH152"/>
  <c r="B152" s="1"/>
  <c r="C153"/>
  <c r="D153"/>
  <c r="F153"/>
  <c r="G153"/>
  <c r="H153"/>
  <c r="I153"/>
  <c r="J153"/>
  <c r="K153"/>
  <c r="L153"/>
  <c r="M153"/>
  <c r="N153"/>
  <c r="O153"/>
  <c r="P153"/>
  <c r="Q153"/>
  <c r="R153"/>
  <c r="S153"/>
  <c r="T153"/>
  <c r="U153"/>
  <c r="V153"/>
  <c r="W153"/>
  <c r="X153"/>
  <c r="Y153"/>
  <c r="Z153"/>
  <c r="AA153"/>
  <c r="AB153"/>
  <c r="AC153"/>
  <c r="AE153"/>
  <c r="AF153"/>
  <c r="AG153"/>
  <c r="AH157"/>
  <c r="B157" s="1"/>
  <c r="AH158"/>
  <c r="B158" s="1"/>
  <c r="AH159"/>
  <c r="B159" s="1"/>
  <c r="AH160"/>
  <c r="B160" s="1"/>
  <c r="AH161"/>
  <c r="B161" s="1"/>
  <c r="AH162"/>
  <c r="B162" s="1"/>
  <c r="AH163"/>
  <c r="B163" s="1"/>
  <c r="AH164"/>
  <c r="B164" s="1"/>
  <c r="AH165"/>
  <c r="B165" s="1"/>
  <c r="AH166"/>
  <c r="B166" s="1"/>
  <c r="AH167"/>
  <c r="B167" s="1"/>
  <c r="AH168"/>
  <c r="B168" s="1"/>
  <c r="C169"/>
  <c r="D169"/>
  <c r="F169"/>
  <c r="G169"/>
  <c r="H169"/>
  <c r="I169"/>
  <c r="J169"/>
  <c r="K169"/>
  <c r="L169"/>
  <c r="M169"/>
  <c r="N169"/>
  <c r="O169"/>
  <c r="P169"/>
  <c r="Q169"/>
  <c r="R169"/>
  <c r="S169"/>
  <c r="T169"/>
  <c r="U169"/>
  <c r="V169"/>
  <c r="W169"/>
  <c r="X169"/>
  <c r="Y169"/>
  <c r="Z169"/>
  <c r="AA169"/>
  <c r="AB169"/>
  <c r="AC169"/>
  <c r="AE169"/>
  <c r="AF169"/>
  <c r="AG169"/>
  <c r="AH173"/>
  <c r="B173" s="1"/>
  <c r="AH174"/>
  <c r="B174" s="1"/>
  <c r="AH175"/>
  <c r="B175" s="1"/>
  <c r="F195" i="1792" s="1"/>
  <c r="AH176" i="2316"/>
  <c r="B176" s="1"/>
  <c r="AH177"/>
  <c r="B177" s="1"/>
  <c r="AH178"/>
  <c r="B178" s="1"/>
  <c r="AH179"/>
  <c r="B179" s="1"/>
  <c r="AH180"/>
  <c r="B180" s="1"/>
  <c r="AH181"/>
  <c r="B181" s="1"/>
  <c r="AH182"/>
  <c r="B182" s="1"/>
  <c r="AH183"/>
  <c r="B183" s="1"/>
  <c r="AH184"/>
  <c r="B184" s="1"/>
  <c r="C185"/>
  <c r="D185"/>
  <c r="F185"/>
  <c r="G185"/>
  <c r="H185"/>
  <c r="I185"/>
  <c r="J185"/>
  <c r="K185"/>
  <c r="L185"/>
  <c r="M185"/>
  <c r="N185"/>
  <c r="O185"/>
  <c r="P185"/>
  <c r="Q185"/>
  <c r="R185"/>
  <c r="S185"/>
  <c r="T185"/>
  <c r="U185"/>
  <c r="V185"/>
  <c r="W185"/>
  <c r="X185"/>
  <c r="Y185"/>
  <c r="Z185"/>
  <c r="AA185"/>
  <c r="AB185"/>
  <c r="AC185"/>
  <c r="AE185"/>
  <c r="AF185"/>
  <c r="AG185"/>
  <c r="AH189"/>
  <c r="B189" s="1"/>
  <c r="AH190"/>
  <c r="B190" s="1"/>
  <c r="AH191"/>
  <c r="B191" s="1"/>
  <c r="AH192"/>
  <c r="B192" s="1"/>
  <c r="AH193"/>
  <c r="B193" s="1"/>
  <c r="AH194"/>
  <c r="B194" s="1"/>
  <c r="AH195"/>
  <c r="B195" s="1"/>
  <c r="AH196"/>
  <c r="B196" s="1"/>
  <c r="AH197"/>
  <c r="B197" s="1"/>
  <c r="AH198"/>
  <c r="B198" s="1"/>
  <c r="AH199"/>
  <c r="B199" s="1"/>
  <c r="AH200"/>
  <c r="B200" s="1"/>
  <c r="C201"/>
  <c r="D201"/>
  <c r="F201"/>
  <c r="G201"/>
  <c r="H201"/>
  <c r="I201"/>
  <c r="J201"/>
  <c r="K201"/>
  <c r="L201"/>
  <c r="M201"/>
  <c r="N201"/>
  <c r="O201"/>
  <c r="P201"/>
  <c r="Q201"/>
  <c r="R201"/>
  <c r="S201"/>
  <c r="T201"/>
  <c r="U201"/>
  <c r="V201"/>
  <c r="W201"/>
  <c r="X201"/>
  <c r="Y201"/>
  <c r="Z201"/>
  <c r="AA201"/>
  <c r="AB201"/>
  <c r="AC201"/>
  <c r="AE201"/>
  <c r="AF201"/>
  <c r="AG201"/>
  <c r="AH205"/>
  <c r="B205" s="1"/>
  <c r="F196" i="1792" s="1"/>
  <c r="AH206" i="2316"/>
  <c r="B206" s="1"/>
  <c r="AH207"/>
  <c r="B207" s="1"/>
  <c r="AH208"/>
  <c r="B208" s="1"/>
  <c r="AH209"/>
  <c r="B209" s="1"/>
  <c r="AH210"/>
  <c r="B210" s="1"/>
  <c r="AH211"/>
  <c r="B211" s="1"/>
  <c r="AH212"/>
  <c r="B212" s="1"/>
  <c r="AH213"/>
  <c r="B213" s="1"/>
  <c r="AH214"/>
  <c r="B214" s="1"/>
  <c r="AH215"/>
  <c r="B215" s="1"/>
  <c r="AH216"/>
  <c r="B216" s="1"/>
  <c r="C217"/>
  <c r="D217"/>
  <c r="F217"/>
  <c r="G217"/>
  <c r="H217"/>
  <c r="I217"/>
  <c r="J217"/>
  <c r="K217"/>
  <c r="L217"/>
  <c r="M217"/>
  <c r="N217"/>
  <c r="O217"/>
  <c r="P217"/>
  <c r="Q217"/>
  <c r="R217"/>
  <c r="S217"/>
  <c r="T217"/>
  <c r="U217"/>
  <c r="V217"/>
  <c r="W217"/>
  <c r="X217"/>
  <c r="Y217"/>
  <c r="Z217"/>
  <c r="AA217"/>
  <c r="AB217"/>
  <c r="AC217"/>
  <c r="AE217"/>
  <c r="AF217"/>
  <c r="AG217"/>
  <c r="AH221"/>
  <c r="B221" s="1"/>
  <c r="AH222"/>
  <c r="B222" s="1"/>
  <c r="AH223"/>
  <c r="B223" s="1"/>
  <c r="AH224"/>
  <c r="B224" s="1"/>
  <c r="AH225"/>
  <c r="B225" s="1"/>
  <c r="AH226"/>
  <c r="B226" s="1"/>
  <c r="AH227"/>
  <c r="B227" s="1"/>
  <c r="AH228"/>
  <c r="B228" s="1"/>
  <c r="AH229"/>
  <c r="B229" s="1"/>
  <c r="AH230"/>
  <c r="B230" s="1"/>
  <c r="AH231"/>
  <c r="B231" s="1"/>
  <c r="AH232"/>
  <c r="B232" s="1"/>
  <c r="C233"/>
  <c r="D233"/>
  <c r="F233"/>
  <c r="G233"/>
  <c r="H233"/>
  <c r="I233"/>
  <c r="J233"/>
  <c r="K233"/>
  <c r="L233"/>
  <c r="M233"/>
  <c r="N233"/>
  <c r="O233"/>
  <c r="P233"/>
  <c r="Q233"/>
  <c r="R233"/>
  <c r="S233"/>
  <c r="T233"/>
  <c r="U233"/>
  <c r="V233"/>
  <c r="W233"/>
  <c r="X233"/>
  <c r="Y233"/>
  <c r="Z233"/>
  <c r="AA233"/>
  <c r="AB233"/>
  <c r="AC233"/>
  <c r="AE233"/>
  <c r="AF233"/>
  <c r="AG233"/>
  <c r="AH237"/>
  <c r="B237" s="1"/>
  <c r="AH238"/>
  <c r="B238" s="1"/>
  <c r="AH239"/>
  <c r="B239" s="1"/>
  <c r="AH240"/>
  <c r="B240" s="1"/>
  <c r="AH241"/>
  <c r="B241" s="1"/>
  <c r="AH242"/>
  <c r="B242" s="1"/>
  <c r="AH243"/>
  <c r="B243" s="1"/>
  <c r="AH244"/>
  <c r="B244" s="1"/>
  <c r="AH245"/>
  <c r="B245" s="1"/>
  <c r="AH246"/>
  <c r="B246" s="1"/>
  <c r="AH247"/>
  <c r="B247" s="1"/>
  <c r="AH248"/>
  <c r="B248" s="1"/>
  <c r="C249"/>
  <c r="D249"/>
  <c r="F249"/>
  <c r="G249"/>
  <c r="H249"/>
  <c r="I249"/>
  <c r="J249"/>
  <c r="K249"/>
  <c r="L249"/>
  <c r="M249"/>
  <c r="N249"/>
  <c r="O249"/>
  <c r="P249"/>
  <c r="Q249"/>
  <c r="R249"/>
  <c r="S249"/>
  <c r="T249"/>
  <c r="U249"/>
  <c r="V249"/>
  <c r="W249"/>
  <c r="X249"/>
  <c r="Y249"/>
  <c r="Z249"/>
  <c r="AA249"/>
  <c r="AB249"/>
  <c r="AC249"/>
  <c r="AE249"/>
  <c r="AF249"/>
  <c r="AG249"/>
  <c r="AH253"/>
  <c r="B253" s="1"/>
  <c r="AH254"/>
  <c r="B254" s="1"/>
  <c r="AH255"/>
  <c r="B255" s="1"/>
  <c r="AH256"/>
  <c r="B256" s="1"/>
  <c r="AH257"/>
  <c r="B257" s="1"/>
  <c r="AH258"/>
  <c r="B258" s="1"/>
  <c r="AH259"/>
  <c r="B259" s="1"/>
  <c r="AH260"/>
  <c r="B260" s="1"/>
  <c r="AH261"/>
  <c r="B261" s="1"/>
  <c r="AH262"/>
  <c r="B262" s="1"/>
  <c r="AH263"/>
  <c r="B263" s="1"/>
  <c r="AH264"/>
  <c r="B264" s="1"/>
  <c r="C265"/>
  <c r="D265"/>
  <c r="F265"/>
  <c r="G265"/>
  <c r="H265"/>
  <c r="I265"/>
  <c r="J265"/>
  <c r="K265"/>
  <c r="L265"/>
  <c r="M265"/>
  <c r="N265"/>
  <c r="O265"/>
  <c r="P265"/>
  <c r="Q265"/>
  <c r="R265"/>
  <c r="S265"/>
  <c r="T265"/>
  <c r="U265"/>
  <c r="V265"/>
  <c r="W265"/>
  <c r="X265"/>
  <c r="Y265"/>
  <c r="Z265"/>
  <c r="AA265"/>
  <c r="AB265"/>
  <c r="AC265"/>
  <c r="AE265"/>
  <c r="AF265"/>
  <c r="AG265"/>
  <c r="AH269"/>
  <c r="B269" s="1"/>
  <c r="F200" i="1792" s="1"/>
  <c r="AH270" i="2316"/>
  <c r="B270" s="1"/>
  <c r="AH271"/>
  <c r="B271" s="1"/>
  <c r="AH272"/>
  <c r="B272" s="1"/>
  <c r="AH273"/>
  <c r="B273" s="1"/>
  <c r="AH274"/>
  <c r="B274" s="1"/>
  <c r="AH275"/>
  <c r="B275" s="1"/>
  <c r="AH276"/>
  <c r="B276" s="1"/>
  <c r="AH277"/>
  <c r="B277" s="1"/>
  <c r="AH278"/>
  <c r="B278" s="1"/>
  <c r="AH279"/>
  <c r="B279" s="1"/>
  <c r="AH280"/>
  <c r="B280" s="1"/>
  <c r="C281"/>
  <c r="D281"/>
  <c r="F281"/>
  <c r="G281"/>
  <c r="H281"/>
  <c r="I281"/>
  <c r="J281"/>
  <c r="K281"/>
  <c r="L281"/>
  <c r="M281"/>
  <c r="N281"/>
  <c r="O281"/>
  <c r="P281"/>
  <c r="Q281"/>
  <c r="R281"/>
  <c r="S281"/>
  <c r="T281"/>
  <c r="U281"/>
  <c r="V281"/>
  <c r="W281"/>
  <c r="X281"/>
  <c r="Y281"/>
  <c r="Z281"/>
  <c r="AA281"/>
  <c r="AB281"/>
  <c r="AC281"/>
  <c r="AE281"/>
  <c r="AF281"/>
  <c r="AG281"/>
  <c r="AH285"/>
  <c r="B285" s="1"/>
  <c r="F201" i="1792" s="1"/>
  <c r="AH286" i="2316"/>
  <c r="B286" s="1"/>
  <c r="AH287"/>
  <c r="B287" s="1"/>
  <c r="AH288"/>
  <c r="B288" s="1"/>
  <c r="AH289"/>
  <c r="B289" s="1"/>
  <c r="AH290"/>
  <c r="B290" s="1"/>
  <c r="AH291"/>
  <c r="B291" s="1"/>
  <c r="AH292"/>
  <c r="B292" s="1"/>
  <c r="AH293"/>
  <c r="B293" s="1"/>
  <c r="AH294"/>
  <c r="B294" s="1"/>
  <c r="AH295"/>
  <c r="B295" s="1"/>
  <c r="AH296"/>
  <c r="B296" s="1"/>
  <c r="C297"/>
  <c r="D297"/>
  <c r="F297"/>
  <c r="G297"/>
  <c r="H297"/>
  <c r="I297"/>
  <c r="J297"/>
  <c r="K297"/>
  <c r="L297"/>
  <c r="M297"/>
  <c r="N297"/>
  <c r="O297"/>
  <c r="P297"/>
  <c r="Q297"/>
  <c r="R297"/>
  <c r="S297"/>
  <c r="T297"/>
  <c r="U297"/>
  <c r="V297"/>
  <c r="W297"/>
  <c r="X297"/>
  <c r="Y297"/>
  <c r="Z297"/>
  <c r="AA297"/>
  <c r="AB297"/>
  <c r="AC297"/>
  <c r="AE297"/>
  <c r="AF297"/>
  <c r="AG297"/>
  <c r="AH301"/>
  <c r="B301" s="1"/>
  <c r="AH302"/>
  <c r="B302" s="1"/>
  <c r="AH303"/>
  <c r="B303" s="1"/>
  <c r="AH304"/>
  <c r="B304" s="1"/>
  <c r="AH305"/>
  <c r="B305" s="1"/>
  <c r="AH306"/>
  <c r="B306" s="1"/>
  <c r="AH307"/>
  <c r="B307" s="1"/>
  <c r="AH308"/>
  <c r="B308" s="1"/>
  <c r="AH309"/>
  <c r="B309" s="1"/>
  <c r="AH310"/>
  <c r="B310" s="1"/>
  <c r="AH311"/>
  <c r="B311" s="1"/>
  <c r="AH312"/>
  <c r="B312" s="1"/>
  <c r="C313"/>
  <c r="D313"/>
  <c r="F313"/>
  <c r="G313"/>
  <c r="H313"/>
  <c r="I313"/>
  <c r="J313"/>
  <c r="K313"/>
  <c r="L313"/>
  <c r="M313"/>
  <c r="N313"/>
  <c r="O313"/>
  <c r="P313"/>
  <c r="Q313"/>
  <c r="R313"/>
  <c r="S313"/>
  <c r="T313"/>
  <c r="U313"/>
  <c r="V313"/>
  <c r="W313"/>
  <c r="X313"/>
  <c r="Y313"/>
  <c r="Z313"/>
  <c r="AA313"/>
  <c r="AB313"/>
  <c r="AC313"/>
  <c r="AE313"/>
  <c r="AF313"/>
  <c r="AG313"/>
  <c r="AH317"/>
  <c r="B317" s="1"/>
  <c r="AH318"/>
  <c r="B318" s="1"/>
  <c r="F203" i="1792" s="1"/>
  <c r="AH319" i="2316"/>
  <c r="B319" s="1"/>
  <c r="AH320"/>
  <c r="B320" s="1"/>
  <c r="AH321"/>
  <c r="B321" s="1"/>
  <c r="AH322"/>
  <c r="B322" s="1"/>
  <c r="AH323"/>
  <c r="B323" s="1"/>
  <c r="AH324"/>
  <c r="B324" s="1"/>
  <c r="AH325"/>
  <c r="B325" s="1"/>
  <c r="AH326"/>
  <c r="B326" s="1"/>
  <c r="AH327"/>
  <c r="B327" s="1"/>
  <c r="AH328"/>
  <c r="B328" s="1"/>
  <c r="C329"/>
  <c r="D329"/>
  <c r="F329"/>
  <c r="G329"/>
  <c r="H329"/>
  <c r="I329"/>
  <c r="J329"/>
  <c r="K329"/>
  <c r="L329"/>
  <c r="M329"/>
  <c r="N329"/>
  <c r="O329"/>
  <c r="P329"/>
  <c r="Q329"/>
  <c r="R329"/>
  <c r="S329"/>
  <c r="T329"/>
  <c r="U329"/>
  <c r="V329"/>
  <c r="W329"/>
  <c r="X329"/>
  <c r="Y329"/>
  <c r="Z329"/>
  <c r="AA329"/>
  <c r="AB329"/>
  <c r="AC329"/>
  <c r="AE329"/>
  <c r="AF329"/>
  <c r="AG329"/>
  <c r="AH333"/>
  <c r="B333" s="1"/>
  <c r="F204" i="1792" s="1"/>
  <c r="AH334" i="2316"/>
  <c r="B334" s="1"/>
  <c r="AH335"/>
  <c r="B335" s="1"/>
  <c r="AH336"/>
  <c r="B336" s="1"/>
  <c r="AH337"/>
  <c r="B337" s="1"/>
  <c r="AH338"/>
  <c r="B338" s="1"/>
  <c r="AH339"/>
  <c r="B339" s="1"/>
  <c r="AH340"/>
  <c r="B340" s="1"/>
  <c r="AH341"/>
  <c r="B341" s="1"/>
  <c r="AH342"/>
  <c r="B342" s="1"/>
  <c r="AH343"/>
  <c r="B343" s="1"/>
  <c r="AH344"/>
  <c r="B344" s="1"/>
  <c r="C345"/>
  <c r="D345"/>
  <c r="F345"/>
  <c r="G345"/>
  <c r="H345"/>
  <c r="I345"/>
  <c r="J345"/>
  <c r="K345"/>
  <c r="L345"/>
  <c r="M345"/>
  <c r="N345"/>
  <c r="O345"/>
  <c r="P345"/>
  <c r="Q345"/>
  <c r="R345"/>
  <c r="S345"/>
  <c r="T345"/>
  <c r="U345"/>
  <c r="V345"/>
  <c r="W345"/>
  <c r="X345"/>
  <c r="Y345"/>
  <c r="Z345"/>
  <c r="AA345"/>
  <c r="AB345"/>
  <c r="AC345"/>
  <c r="AE345"/>
  <c r="AF345"/>
  <c r="AG345"/>
  <c r="AH349"/>
  <c r="B349" s="1"/>
  <c r="F205" i="1792" s="1"/>
  <c r="AH350" i="2316"/>
  <c r="B350" s="1"/>
  <c r="AH351"/>
  <c r="B351" s="1"/>
  <c r="AH352"/>
  <c r="B352" s="1"/>
  <c r="AH353"/>
  <c r="B353" s="1"/>
  <c r="AH354"/>
  <c r="B354" s="1"/>
  <c r="AH355"/>
  <c r="B355" s="1"/>
  <c r="AH356"/>
  <c r="B356" s="1"/>
  <c r="AH357"/>
  <c r="B357" s="1"/>
  <c r="AH358"/>
  <c r="B358" s="1"/>
  <c r="AH359"/>
  <c r="B359" s="1"/>
  <c r="AH360"/>
  <c r="B360" s="1"/>
  <c r="C361"/>
  <c r="D361"/>
  <c r="F361"/>
  <c r="G361"/>
  <c r="H361"/>
  <c r="I361"/>
  <c r="J361"/>
  <c r="K361"/>
  <c r="L361"/>
  <c r="M361"/>
  <c r="N361"/>
  <c r="O361"/>
  <c r="P361"/>
  <c r="Q361"/>
  <c r="R361"/>
  <c r="S361"/>
  <c r="T361"/>
  <c r="U361"/>
  <c r="V361"/>
  <c r="W361"/>
  <c r="X361"/>
  <c r="Y361"/>
  <c r="Z361"/>
  <c r="AA361"/>
  <c r="AB361"/>
  <c r="AC361"/>
  <c r="AE361"/>
  <c r="AF361"/>
  <c r="AG361"/>
  <c r="AH365"/>
  <c r="B365" s="1"/>
  <c r="AH366"/>
  <c r="B366" s="1"/>
  <c r="AH367"/>
  <c r="B367" s="1"/>
  <c r="AH368"/>
  <c r="B368" s="1"/>
  <c r="AH369"/>
  <c r="B369" s="1"/>
  <c r="AH370"/>
  <c r="B370" s="1"/>
  <c r="AH371"/>
  <c r="B371" s="1"/>
  <c r="AH372"/>
  <c r="B372" s="1"/>
  <c r="AH373"/>
  <c r="B373" s="1"/>
  <c r="AH374"/>
  <c r="B374" s="1"/>
  <c r="AH375"/>
  <c r="B375" s="1"/>
  <c r="AH376"/>
  <c r="B376" s="1"/>
  <c r="C377"/>
  <c r="D377"/>
  <c r="F377"/>
  <c r="G377"/>
  <c r="H377"/>
  <c r="I377"/>
  <c r="J377"/>
  <c r="K377"/>
  <c r="L377"/>
  <c r="M377"/>
  <c r="N377"/>
  <c r="O377"/>
  <c r="P377"/>
  <c r="Q377"/>
  <c r="R377"/>
  <c r="S377"/>
  <c r="T377"/>
  <c r="U377"/>
  <c r="V377"/>
  <c r="W377"/>
  <c r="X377"/>
  <c r="Y377"/>
  <c r="Z377"/>
  <c r="AA377"/>
  <c r="AB377"/>
  <c r="AC377"/>
  <c r="AE377"/>
  <c r="AF377"/>
  <c r="AG377"/>
  <c r="AH381"/>
  <c r="B381" s="1"/>
  <c r="AH382"/>
  <c r="B382" s="1"/>
  <c r="AH383"/>
  <c r="B383" s="1"/>
  <c r="AH384"/>
  <c r="B384" s="1"/>
  <c r="AH385"/>
  <c r="B385" s="1"/>
  <c r="AH386"/>
  <c r="B386" s="1"/>
  <c r="AH387"/>
  <c r="B387" s="1"/>
  <c r="AH388"/>
  <c r="B388" s="1"/>
  <c r="AH389"/>
  <c r="B389" s="1"/>
  <c r="AH390"/>
  <c r="B390" s="1"/>
  <c r="AH391"/>
  <c r="B391" s="1"/>
  <c r="AH392"/>
  <c r="B392" s="1"/>
  <c r="C393"/>
  <c r="D393"/>
  <c r="F393"/>
  <c r="G393"/>
  <c r="H393"/>
  <c r="I393"/>
  <c r="J393"/>
  <c r="K393"/>
  <c r="L393"/>
  <c r="M393"/>
  <c r="N393"/>
  <c r="O393"/>
  <c r="P393"/>
  <c r="Q393"/>
  <c r="R393"/>
  <c r="S393"/>
  <c r="T393"/>
  <c r="U393"/>
  <c r="V393"/>
  <c r="W393"/>
  <c r="X393"/>
  <c r="Y393"/>
  <c r="Z393"/>
  <c r="AA393"/>
  <c r="AB393"/>
  <c r="AC393"/>
  <c r="AE393"/>
  <c r="AF393"/>
  <c r="AG393"/>
  <c r="AH397"/>
  <c r="B397" s="1"/>
  <c r="AH398"/>
  <c r="B398" s="1"/>
  <c r="AH399"/>
  <c r="B399" s="1"/>
  <c r="AH400"/>
  <c r="B400" s="1"/>
  <c r="AH401"/>
  <c r="B401" s="1"/>
  <c r="AH402"/>
  <c r="B402" s="1"/>
  <c r="AH403"/>
  <c r="B403" s="1"/>
  <c r="AH404"/>
  <c r="B404" s="1"/>
  <c r="AH405"/>
  <c r="B405" s="1"/>
  <c r="AH406"/>
  <c r="B406" s="1"/>
  <c r="AH407"/>
  <c r="B407" s="1"/>
  <c r="AH408"/>
  <c r="B408" s="1"/>
  <c r="C409"/>
  <c r="D409"/>
  <c r="F409"/>
  <c r="G409"/>
  <c r="H409"/>
  <c r="I409"/>
  <c r="J409"/>
  <c r="K409"/>
  <c r="L409"/>
  <c r="M409"/>
  <c r="N409"/>
  <c r="O409"/>
  <c r="P409"/>
  <c r="Q409"/>
  <c r="R409"/>
  <c r="S409"/>
  <c r="T409"/>
  <c r="U409"/>
  <c r="V409"/>
  <c r="W409"/>
  <c r="X409"/>
  <c r="Y409"/>
  <c r="Z409"/>
  <c r="AA409"/>
  <c r="AB409"/>
  <c r="AC409"/>
  <c r="AE409"/>
  <c r="AF409"/>
  <c r="AG409"/>
  <c r="AH415"/>
  <c r="B415" s="1"/>
  <c r="AH416"/>
  <c r="B416" s="1"/>
  <c r="AH417"/>
  <c r="B417" s="1"/>
  <c r="AH418"/>
  <c r="B418" s="1"/>
  <c r="AH419"/>
  <c r="B419" s="1"/>
  <c r="AH420"/>
  <c r="B420" s="1"/>
  <c r="AH421"/>
  <c r="B421" s="1"/>
  <c r="AH422"/>
  <c r="B422" s="1"/>
  <c r="AH423"/>
  <c r="B423" s="1"/>
  <c r="AH424"/>
  <c r="B424" s="1"/>
  <c r="AH425"/>
  <c r="B425" s="1"/>
  <c r="AH426"/>
  <c r="B426" s="1"/>
  <c r="C427"/>
  <c r="D427"/>
  <c r="F427"/>
  <c r="G427"/>
  <c r="H427"/>
  <c r="I427"/>
  <c r="J427"/>
  <c r="K427"/>
  <c r="L427"/>
  <c r="M427"/>
  <c r="N427"/>
  <c r="O427"/>
  <c r="P427"/>
  <c r="Q427"/>
  <c r="R427"/>
  <c r="S427"/>
  <c r="T427"/>
  <c r="U427"/>
  <c r="V427"/>
  <c r="W427"/>
  <c r="X427"/>
  <c r="Y427"/>
  <c r="Z427"/>
  <c r="AA427"/>
  <c r="AB427"/>
  <c r="AC427"/>
  <c r="AE427"/>
  <c r="AF427"/>
  <c r="AG427"/>
  <c r="B447"/>
  <c r="B448"/>
  <c r="AH449"/>
  <c r="B449" s="1"/>
  <c r="AH450"/>
  <c r="B450" s="1"/>
  <c r="AH451"/>
  <c r="B451" s="1"/>
  <c r="AH452"/>
  <c r="B452" s="1"/>
  <c r="AH453"/>
  <c r="B453" s="1"/>
  <c r="AH454"/>
  <c r="B454" s="1"/>
  <c r="AH455"/>
  <c r="B455" s="1"/>
  <c r="AH456"/>
  <c r="B456" s="1"/>
  <c r="AH457"/>
  <c r="B457" s="1"/>
  <c r="AH458"/>
  <c r="B458" s="1"/>
  <c r="C459"/>
  <c r="D459"/>
  <c r="F459"/>
  <c r="G459"/>
  <c r="H459"/>
  <c r="I459"/>
  <c r="J459"/>
  <c r="K459"/>
  <c r="L459"/>
  <c r="M459"/>
  <c r="N459"/>
  <c r="O459"/>
  <c r="P459"/>
  <c r="Q459"/>
  <c r="R459"/>
  <c r="S459"/>
  <c r="T459"/>
  <c r="U459"/>
  <c r="V459"/>
  <c r="W459"/>
  <c r="X459"/>
  <c r="Y459"/>
  <c r="Z459"/>
  <c r="AA459"/>
  <c r="AB459"/>
  <c r="AC459"/>
  <c r="AE459"/>
  <c r="AF459"/>
  <c r="AG459"/>
  <c r="AH479"/>
  <c r="B479" s="1"/>
  <c r="AH480"/>
  <c r="B480" s="1"/>
  <c r="AH481"/>
  <c r="B481" s="1"/>
  <c r="AH482"/>
  <c r="B482" s="1"/>
  <c r="AH483"/>
  <c r="B483" s="1"/>
  <c r="AH484"/>
  <c r="B484" s="1"/>
  <c r="AH485"/>
  <c r="B485" s="1"/>
  <c r="AH486"/>
  <c r="B486" s="1"/>
  <c r="AH487"/>
  <c r="B487" s="1"/>
  <c r="AH488"/>
  <c r="B488" s="1"/>
  <c r="AH489"/>
  <c r="B489" s="1"/>
  <c r="AH490"/>
  <c r="B490" s="1"/>
  <c r="C491"/>
  <c r="D491"/>
  <c r="F491"/>
  <c r="G491"/>
  <c r="H491"/>
  <c r="I491"/>
  <c r="J491"/>
  <c r="K491"/>
  <c r="L491"/>
  <c r="M491"/>
  <c r="N491"/>
  <c r="O491"/>
  <c r="P491"/>
  <c r="Q491"/>
  <c r="R491"/>
  <c r="S491"/>
  <c r="T491"/>
  <c r="U491"/>
  <c r="V491"/>
  <c r="W491"/>
  <c r="X491"/>
  <c r="Y491"/>
  <c r="Z491"/>
  <c r="AA491"/>
  <c r="AB491"/>
  <c r="AC491"/>
  <c r="AE491"/>
  <c r="AF491"/>
  <c r="AG491"/>
  <c r="AH495"/>
  <c r="B495" s="1"/>
  <c r="AH496"/>
  <c r="B496" s="1"/>
  <c r="AH497"/>
  <c r="B497" s="1"/>
  <c r="AH498"/>
  <c r="B498" s="1"/>
  <c r="AH499"/>
  <c r="B499" s="1"/>
  <c r="AH500"/>
  <c r="B500" s="1"/>
  <c r="AH501"/>
  <c r="B501" s="1"/>
  <c r="AH502"/>
  <c r="B502" s="1"/>
  <c r="AH503"/>
  <c r="B503" s="1"/>
  <c r="AH504"/>
  <c r="B504" s="1"/>
  <c r="AH505"/>
  <c r="B505" s="1"/>
  <c r="AH506"/>
  <c r="B506" s="1"/>
  <c r="C507"/>
  <c r="D507"/>
  <c r="F507"/>
  <c r="G507"/>
  <c r="H507"/>
  <c r="I507"/>
  <c r="J507"/>
  <c r="K507"/>
  <c r="L507"/>
  <c r="M507"/>
  <c r="N507"/>
  <c r="O507"/>
  <c r="P507"/>
  <c r="Q507"/>
  <c r="R507"/>
  <c r="S507"/>
  <c r="T507"/>
  <c r="U507"/>
  <c r="V507"/>
  <c r="W507"/>
  <c r="X507"/>
  <c r="Y507"/>
  <c r="Z507"/>
  <c r="AA507"/>
  <c r="AB507"/>
  <c r="AC507"/>
  <c r="AE507"/>
  <c r="AF507"/>
  <c r="AG507"/>
  <c r="AH511"/>
  <c r="B511" s="1"/>
  <c r="AH512"/>
  <c r="B512" s="1"/>
  <c r="AH513"/>
  <c r="B513" s="1"/>
  <c r="AH514"/>
  <c r="B514" s="1"/>
  <c r="AH515"/>
  <c r="B515" s="1"/>
  <c r="AH516"/>
  <c r="B516" s="1"/>
  <c r="AH517"/>
  <c r="B517" s="1"/>
  <c r="AH518"/>
  <c r="B518" s="1"/>
  <c r="AH519"/>
  <c r="B519" s="1"/>
  <c r="AH520"/>
  <c r="B520" s="1"/>
  <c r="AH521"/>
  <c r="B521" s="1"/>
  <c r="AH522"/>
  <c r="B522" s="1"/>
  <c r="C523"/>
  <c r="D523"/>
  <c r="F523"/>
  <c r="G523"/>
  <c r="H523"/>
  <c r="I523"/>
  <c r="J523"/>
  <c r="K523"/>
  <c r="L523"/>
  <c r="M523"/>
  <c r="N523"/>
  <c r="O523"/>
  <c r="P523"/>
  <c r="Q523"/>
  <c r="R523"/>
  <c r="S523"/>
  <c r="T523"/>
  <c r="U523"/>
  <c r="V523"/>
  <c r="W523"/>
  <c r="X523"/>
  <c r="Y523"/>
  <c r="Z523"/>
  <c r="AA523"/>
  <c r="AB523"/>
  <c r="AC523"/>
  <c r="AE523"/>
  <c r="AF523"/>
  <c r="AG523"/>
  <c r="AH527"/>
  <c r="B527" s="1"/>
  <c r="AH528"/>
  <c r="B528" s="1"/>
  <c r="AH529"/>
  <c r="B529" s="1"/>
  <c r="AH530"/>
  <c r="B530" s="1"/>
  <c r="AH531"/>
  <c r="B531" s="1"/>
  <c r="AH532"/>
  <c r="B532" s="1"/>
  <c r="AH533"/>
  <c r="B533" s="1"/>
  <c r="AH534"/>
  <c r="B534" s="1"/>
  <c r="AH535"/>
  <c r="B535" s="1"/>
  <c r="AH536"/>
  <c r="B536" s="1"/>
  <c r="AH537"/>
  <c r="B537" s="1"/>
  <c r="AH538"/>
  <c r="B538" s="1"/>
  <c r="C539"/>
  <c r="D539"/>
  <c r="F539"/>
  <c r="G539"/>
  <c r="H539"/>
  <c r="I539"/>
  <c r="J539"/>
  <c r="K539"/>
  <c r="L539"/>
  <c r="M539"/>
  <c r="N539"/>
  <c r="O539"/>
  <c r="P539"/>
  <c r="Q539"/>
  <c r="R539"/>
  <c r="S539"/>
  <c r="T539"/>
  <c r="U539"/>
  <c r="V539"/>
  <c r="W539"/>
  <c r="X539"/>
  <c r="Y539"/>
  <c r="Z539"/>
  <c r="AA539"/>
  <c r="AB539"/>
  <c r="AC539"/>
  <c r="AE539"/>
  <c r="AF539"/>
  <c r="AG539"/>
  <c r="AH543"/>
  <c r="B543" s="1"/>
  <c r="AH544"/>
  <c r="B544" s="1"/>
  <c r="AH545"/>
  <c r="B545" s="1"/>
  <c r="AH546"/>
  <c r="B546" s="1"/>
  <c r="AH547"/>
  <c r="B547" s="1"/>
  <c r="AH548"/>
  <c r="B548" s="1"/>
  <c r="AH549"/>
  <c r="B549" s="1"/>
  <c r="AH550"/>
  <c r="B550" s="1"/>
  <c r="AH551"/>
  <c r="B551" s="1"/>
  <c r="AH552"/>
  <c r="B552" s="1"/>
  <c r="AH553"/>
  <c r="B553" s="1"/>
  <c r="AH554"/>
  <c r="B554" s="1"/>
  <c r="C555"/>
  <c r="D555"/>
  <c r="F555"/>
  <c r="G555"/>
  <c r="H555"/>
  <c r="I555"/>
  <c r="J555"/>
  <c r="K555"/>
  <c r="L555"/>
  <c r="M555"/>
  <c r="N555"/>
  <c r="O555"/>
  <c r="P555"/>
  <c r="Q555"/>
  <c r="R555"/>
  <c r="S555"/>
  <c r="T555"/>
  <c r="U555"/>
  <c r="V555"/>
  <c r="W555"/>
  <c r="X555"/>
  <c r="Y555"/>
  <c r="Z555"/>
  <c r="AA555"/>
  <c r="AB555"/>
  <c r="AC555"/>
  <c r="AE555"/>
  <c r="AF555"/>
  <c r="AG555"/>
  <c r="AH559"/>
  <c r="B559" s="1"/>
  <c r="AH560"/>
  <c r="B560" s="1"/>
  <c r="AH561"/>
  <c r="B561" s="1"/>
  <c r="AH562"/>
  <c r="B562" s="1"/>
  <c r="AH563"/>
  <c r="B563" s="1"/>
  <c r="AH564"/>
  <c r="B564" s="1"/>
  <c r="AH565"/>
  <c r="B565" s="1"/>
  <c r="AH566"/>
  <c r="B566" s="1"/>
  <c r="AH567"/>
  <c r="B567" s="1"/>
  <c r="AH568"/>
  <c r="B568" s="1"/>
  <c r="AH569"/>
  <c r="B569" s="1"/>
  <c r="AH570"/>
  <c r="B570" s="1"/>
  <c r="C571"/>
  <c r="D571"/>
  <c r="F571"/>
  <c r="G571"/>
  <c r="H571"/>
  <c r="I571"/>
  <c r="J571"/>
  <c r="K571"/>
  <c r="L571"/>
  <c r="M571"/>
  <c r="N571"/>
  <c r="O571"/>
  <c r="P571"/>
  <c r="Q571"/>
  <c r="R571"/>
  <c r="S571"/>
  <c r="T571"/>
  <c r="U571"/>
  <c r="V571"/>
  <c r="W571"/>
  <c r="X571"/>
  <c r="Y571"/>
  <c r="Z571"/>
  <c r="AA571"/>
  <c r="AB571"/>
  <c r="AC571"/>
  <c r="AE571"/>
  <c r="AF571"/>
  <c r="AG571"/>
  <c r="AH575"/>
  <c r="B575" s="1"/>
  <c r="AH576"/>
  <c r="B576" s="1"/>
  <c r="AH577"/>
  <c r="B577" s="1"/>
  <c r="AH578"/>
  <c r="B578" s="1"/>
  <c r="F263" i="1792" s="1"/>
  <c r="AH579" i="2316"/>
  <c r="B579" s="1"/>
  <c r="AH580"/>
  <c r="B580" s="1"/>
  <c r="AH581"/>
  <c r="B581" s="1"/>
  <c r="AH582"/>
  <c r="B582" s="1"/>
  <c r="AH583"/>
  <c r="B583" s="1"/>
  <c r="AH584"/>
  <c r="B584" s="1"/>
  <c r="AH585"/>
  <c r="B585" s="1"/>
  <c r="AH586"/>
  <c r="B586" s="1"/>
  <c r="C587"/>
  <c r="D587"/>
  <c r="F587"/>
  <c r="G587"/>
  <c r="H587"/>
  <c r="I587"/>
  <c r="J587"/>
  <c r="K587"/>
  <c r="L587"/>
  <c r="M587"/>
  <c r="N587"/>
  <c r="O587"/>
  <c r="P587"/>
  <c r="Q587"/>
  <c r="R587"/>
  <c r="S587"/>
  <c r="T587"/>
  <c r="U587"/>
  <c r="V587"/>
  <c r="W587"/>
  <c r="X587"/>
  <c r="Y587"/>
  <c r="Z587"/>
  <c r="AA587"/>
  <c r="AB587"/>
  <c r="AC587"/>
  <c r="AE587"/>
  <c r="AF587"/>
  <c r="AG587"/>
  <c r="AH591"/>
  <c r="B591" s="1"/>
  <c r="AH592"/>
  <c r="B592" s="1"/>
  <c r="AH593"/>
  <c r="B593" s="1"/>
  <c r="AH594"/>
  <c r="B594" s="1"/>
  <c r="AH595"/>
  <c r="B595" s="1"/>
  <c r="AH596"/>
  <c r="B596" s="1"/>
  <c r="AH597"/>
  <c r="B597" s="1"/>
  <c r="AH598"/>
  <c r="B598" s="1"/>
  <c r="AH599"/>
  <c r="B599" s="1"/>
  <c r="AH600"/>
  <c r="B600" s="1"/>
  <c r="AH601"/>
  <c r="B601" s="1"/>
  <c r="AH602"/>
  <c r="B602" s="1"/>
  <c r="C603"/>
  <c r="D603"/>
  <c r="F603"/>
  <c r="G603"/>
  <c r="H603"/>
  <c r="I603"/>
  <c r="J603"/>
  <c r="K603"/>
  <c r="L603"/>
  <c r="M603"/>
  <c r="N603"/>
  <c r="O603"/>
  <c r="P603"/>
  <c r="Q603"/>
  <c r="R603"/>
  <c r="S603"/>
  <c r="T603"/>
  <c r="V603"/>
  <c r="W603"/>
  <c r="X603"/>
  <c r="Y603"/>
  <c r="Z603"/>
  <c r="AA603"/>
  <c r="AB603"/>
  <c r="AC603"/>
  <c r="AE603"/>
  <c r="AF603"/>
  <c r="AG603"/>
  <c r="C16" i="1792"/>
  <c r="E16" s="1"/>
  <c r="C28"/>
  <c r="C33"/>
  <c r="E41"/>
  <c r="C41"/>
  <c r="C47"/>
  <c r="C53"/>
  <c r="G58"/>
  <c r="G59"/>
  <c r="J59"/>
  <c r="G60"/>
  <c r="J60"/>
  <c r="J61" s="1"/>
  <c r="J62" s="1"/>
  <c r="J63" s="1"/>
  <c r="J64" s="1"/>
  <c r="J65" s="1"/>
  <c r="J66" s="1"/>
  <c r="J67" s="1"/>
  <c r="J68" s="1"/>
  <c r="J69" s="1"/>
  <c r="J70" s="1"/>
  <c r="J71" s="1"/>
  <c r="J72" s="1"/>
  <c r="J73" s="1"/>
  <c r="J74" s="1"/>
  <c r="J75" s="1"/>
  <c r="J76" s="1"/>
  <c r="J77" s="1"/>
  <c r="J78" s="1"/>
  <c r="J79" s="1"/>
  <c r="J80" s="1"/>
  <c r="J81" s="1"/>
  <c r="J82" s="1"/>
  <c r="J83" s="1"/>
  <c r="J84" s="1"/>
  <c r="J85" s="1"/>
  <c r="J86" s="1"/>
  <c r="J87" s="1"/>
  <c r="J88" s="1"/>
  <c r="J89" s="1"/>
  <c r="J90" s="1"/>
  <c r="J91" s="1"/>
  <c r="J92" s="1"/>
  <c r="J93" s="1"/>
  <c r="J94" s="1"/>
  <c r="J95" s="1"/>
  <c r="J96" s="1"/>
  <c r="J97" s="1"/>
  <c r="J98" s="1"/>
  <c r="J99" s="1"/>
  <c r="J100" s="1"/>
  <c r="J101" s="1"/>
  <c r="J102" s="1"/>
  <c r="J103" s="1"/>
  <c r="J104" s="1"/>
  <c r="J105" s="1"/>
  <c r="J106" s="1"/>
  <c r="J107" s="1"/>
  <c r="J108" s="1"/>
  <c r="J109" s="1"/>
  <c r="J110" s="1"/>
  <c r="J111" s="1"/>
  <c r="J112" s="1"/>
  <c r="J113" s="1"/>
  <c r="J114" s="1"/>
  <c r="J115" s="1"/>
  <c r="J116" s="1"/>
  <c r="J117" s="1"/>
  <c r="J118" s="1"/>
  <c r="J119" s="1"/>
  <c r="G61"/>
  <c r="E127" s="1"/>
  <c r="G62"/>
  <c r="E128" s="1"/>
  <c r="G63"/>
  <c r="E129" s="1"/>
  <c r="G64"/>
  <c r="G65"/>
  <c r="E131" s="1"/>
  <c r="G66"/>
  <c r="E132" s="1"/>
  <c r="G67"/>
  <c r="E133" s="1"/>
  <c r="G68"/>
  <c r="E134" s="1"/>
  <c r="G69"/>
  <c r="E135" s="1"/>
  <c r="G70"/>
  <c r="G71"/>
  <c r="E137" s="1"/>
  <c r="G72"/>
  <c r="E138" s="1"/>
  <c r="G73"/>
  <c r="E139" s="1"/>
  <c r="G74"/>
  <c r="E140" s="1"/>
  <c r="G75"/>
  <c r="E141" s="1"/>
  <c r="G77"/>
  <c r="E143" s="1"/>
  <c r="G78"/>
  <c r="G79"/>
  <c r="G80"/>
  <c r="G81"/>
  <c r="E147" s="1"/>
  <c r="G82"/>
  <c r="E148" s="1"/>
  <c r="G83"/>
  <c r="E149" s="1"/>
  <c r="G84"/>
  <c r="E150" s="1"/>
  <c r="G85"/>
  <c r="E151" s="1"/>
  <c r="G86"/>
  <c r="E152" s="1"/>
  <c r="G87"/>
  <c r="E153" s="1"/>
  <c r="G153" s="1"/>
  <c r="G88"/>
  <c r="G89"/>
  <c r="E155" s="1"/>
  <c r="G90"/>
  <c r="E156" s="1"/>
  <c r="G91"/>
  <c r="E157" s="1"/>
  <c r="G92"/>
  <c r="E158" s="1"/>
  <c r="G93"/>
  <c r="G94"/>
  <c r="E160" s="1"/>
  <c r="G95"/>
  <c r="G96"/>
  <c r="G97"/>
  <c r="G98"/>
  <c r="G99"/>
  <c r="E165" s="1"/>
  <c r="G100"/>
  <c r="G101"/>
  <c r="G102"/>
  <c r="E168" s="1"/>
  <c r="G103"/>
  <c r="G104"/>
  <c r="G105"/>
  <c r="E171" s="1"/>
  <c r="G106"/>
  <c r="E172" s="1"/>
  <c r="G107"/>
  <c r="G108"/>
  <c r="G109"/>
  <c r="E175" s="1"/>
  <c r="G110"/>
  <c r="G111"/>
  <c r="G112"/>
  <c r="E178" s="1"/>
  <c r="G113"/>
  <c r="E179" s="1"/>
  <c r="G114"/>
  <c r="E180" s="1"/>
  <c r="G115"/>
  <c r="E181" s="1"/>
  <c r="G116"/>
  <c r="E182" s="1"/>
  <c r="G118"/>
  <c r="J125"/>
  <c r="J126" s="1"/>
  <c r="J127" s="1"/>
  <c r="J128" s="1"/>
  <c r="J129" s="1"/>
  <c r="J130" s="1"/>
  <c r="J131" s="1"/>
  <c r="J132" s="1"/>
  <c r="J133" s="1"/>
  <c r="J134" s="1"/>
  <c r="J135" s="1"/>
  <c r="J136" s="1"/>
  <c r="J137" s="1"/>
  <c r="J138" s="1"/>
  <c r="J139" s="1"/>
  <c r="J140" s="1"/>
  <c r="J141" s="1"/>
  <c r="J142" s="1"/>
  <c r="J143" s="1"/>
  <c r="J144" s="1"/>
  <c r="J145" s="1"/>
  <c r="J146" s="1"/>
  <c r="J147" s="1"/>
  <c r="J148" s="1"/>
  <c r="J149" s="1"/>
  <c r="J150" s="1"/>
  <c r="J151" s="1"/>
  <c r="J152" s="1"/>
  <c r="J153" s="1"/>
  <c r="J154" s="1"/>
  <c r="J155" s="1"/>
  <c r="J156" s="1"/>
  <c r="J157" s="1"/>
  <c r="J158" s="1"/>
  <c r="J159" s="1"/>
  <c r="J160" s="1"/>
  <c r="J161" s="1"/>
  <c r="J162" s="1"/>
  <c r="J163" s="1"/>
  <c r="J164" s="1"/>
  <c r="J165" s="1"/>
  <c r="J166" s="1"/>
  <c r="J167" s="1"/>
  <c r="J168" s="1"/>
  <c r="J169" s="1"/>
  <c r="J170" s="1"/>
  <c r="J171" s="1"/>
  <c r="J172" s="1"/>
  <c r="J173" s="1"/>
  <c r="J174" s="1"/>
  <c r="J175" s="1"/>
  <c r="J176" s="1"/>
  <c r="J177" s="1"/>
  <c r="J178" s="1"/>
  <c r="J179" s="1"/>
  <c r="J180" s="1"/>
  <c r="J181" s="1"/>
  <c r="J182" s="1"/>
  <c r="J183" s="1"/>
  <c r="J184" s="1"/>
  <c r="J185" s="1"/>
  <c r="F193"/>
  <c r="F197"/>
  <c r="F202"/>
  <c r="C209"/>
  <c r="C229"/>
  <c r="C249"/>
  <c r="E254"/>
  <c r="F258"/>
  <c r="C266"/>
  <c r="C281"/>
  <c r="C18" i="60796"/>
  <c r="C11" i="2" s="1"/>
  <c r="C21" i="60796"/>
  <c r="C12" i="2" s="1"/>
  <c r="F21" i="60796"/>
  <c r="C24"/>
  <c r="C13" i="2" s="1"/>
  <c r="F24" i="60796"/>
  <c r="C26"/>
  <c r="C14" i="2" s="1"/>
  <c r="F26" i="60796"/>
  <c r="C32"/>
  <c r="C16" i="2" s="1"/>
  <c r="F32" i="60796"/>
  <c r="C60"/>
  <c r="C30" i="2" s="1"/>
  <c r="C65" i="60796"/>
  <c r="C32" i="2" s="1"/>
  <c r="F65" i="60796"/>
  <c r="K65" s="1"/>
  <c r="C68"/>
  <c r="C33" i="2" s="1"/>
  <c r="F68" i="60796"/>
  <c r="C35" i="2"/>
  <c r="AH507" i="2316"/>
  <c r="H83" i="7380"/>
  <c r="G149"/>
  <c r="H149" s="1"/>
  <c r="G107"/>
  <c r="H107" s="1"/>
  <c r="B313" i="2819"/>
  <c r="B491"/>
  <c r="B329"/>
  <c r="G170" i="7380"/>
  <c r="H170" s="1"/>
  <c r="H104"/>
  <c r="F218" i="1792"/>
  <c r="I238" i="60804"/>
  <c r="B460" i="60805"/>
  <c r="E166" i="60801" s="1"/>
  <c r="H51" i="7380"/>
  <c r="F61" i="60801"/>
  <c r="F44" i="1792"/>
  <c r="H48" i="7380"/>
  <c r="G114"/>
  <c r="H114" s="1"/>
  <c r="K218" i="60804"/>
  <c r="E276"/>
  <c r="F276" s="1"/>
  <c r="K273" s="1"/>
  <c r="G275"/>
  <c r="G274"/>
  <c r="L4"/>
  <c r="B214" i="60805"/>
  <c r="E88" i="60801" s="1"/>
  <c r="H251"/>
  <c r="F255"/>
  <c r="AH153" i="2316"/>
  <c r="H93" i="7380"/>
  <c r="B35" i="60805"/>
  <c r="B37" s="1"/>
  <c r="B115" i="8194"/>
  <c r="B19"/>
  <c r="AQ75" i="60801"/>
  <c r="B509" i="60805" l="1"/>
  <c r="B409"/>
  <c r="B230"/>
  <c r="B109"/>
  <c r="AH103" i="2316"/>
  <c r="AH36"/>
  <c r="AH71" i="2819"/>
  <c r="F194" i="1792"/>
  <c r="AH443" i="2819"/>
  <c r="H178" i="60801"/>
  <c r="C55" i="60796"/>
  <c r="C54"/>
  <c r="C27" i="2" s="1"/>
  <c r="AH115" i="8194"/>
  <c r="B103" i="2316"/>
  <c r="H98" i="7380"/>
  <c r="H86"/>
  <c r="AH85" i="32"/>
  <c r="F199" i="1792"/>
  <c r="B182" i="60805"/>
  <c r="AH459" i="2819"/>
  <c r="AH20" i="2316"/>
  <c r="H87" i="7380"/>
  <c r="AH119" i="32"/>
  <c r="AH36"/>
  <c r="AH262" i="60805"/>
  <c r="AH51" i="516"/>
  <c r="AH247" i="32"/>
  <c r="AH167"/>
  <c r="AH537"/>
  <c r="G39" i="60796"/>
  <c r="AH87" i="2819"/>
  <c r="AH37"/>
  <c r="H258" i="1792"/>
  <c r="AH18" i="60806"/>
  <c r="AH295" i="32"/>
  <c r="F178" i="7380"/>
  <c r="F198"/>
  <c r="K71" i="60796"/>
  <c r="AH345" i="2316"/>
  <c r="G12" i="60796"/>
  <c r="F264" i="1792"/>
  <c r="H264" s="1"/>
  <c r="F260"/>
  <c r="H260" s="1"/>
  <c r="F280"/>
  <c r="F259"/>
  <c r="F262"/>
  <c r="F256"/>
  <c r="G256" s="1"/>
  <c r="E271" s="1"/>
  <c r="F208"/>
  <c r="G208" s="1"/>
  <c r="E228" s="1"/>
  <c r="F207"/>
  <c r="G207" s="1"/>
  <c r="E227" s="1"/>
  <c r="F206"/>
  <c r="H206" s="1"/>
  <c r="AH103" i="32"/>
  <c r="AH35" i="8194"/>
  <c r="B441" i="32"/>
  <c r="K24" i="60796"/>
  <c r="B36" i="2316"/>
  <c r="H62" i="7380"/>
  <c r="AH409" i="2316"/>
  <c r="AH329"/>
  <c r="AH411" i="2819"/>
  <c r="G37" i="60796"/>
  <c r="G263" i="1792"/>
  <c r="E278" s="1"/>
  <c r="H263"/>
  <c r="E111" i="7380"/>
  <c r="H45"/>
  <c r="AH491" i="2316"/>
  <c r="H110" i="1792"/>
  <c r="E176"/>
  <c r="H108"/>
  <c r="E174"/>
  <c r="G174" s="1"/>
  <c r="H174" s="1"/>
  <c r="H104"/>
  <c r="E170"/>
  <c r="H100"/>
  <c r="E166"/>
  <c r="H98"/>
  <c r="E164"/>
  <c r="H96"/>
  <c r="E162"/>
  <c r="G162" s="1"/>
  <c r="H162" s="1"/>
  <c r="H88"/>
  <c r="E154"/>
  <c r="G154" s="1"/>
  <c r="H154" s="1"/>
  <c r="H80"/>
  <c r="E146"/>
  <c r="G146" s="1"/>
  <c r="H146" s="1"/>
  <c r="H78"/>
  <c r="E144"/>
  <c r="G144" s="1"/>
  <c r="H144" s="1"/>
  <c r="H60"/>
  <c r="E126"/>
  <c r="H59"/>
  <c r="E125"/>
  <c r="G125" s="1"/>
  <c r="H125" s="1"/>
  <c r="H82" i="7380"/>
  <c r="E148"/>
  <c r="G148" s="1"/>
  <c r="H148" s="1"/>
  <c r="H78"/>
  <c r="E144"/>
  <c r="G144" s="1"/>
  <c r="H144" s="1"/>
  <c r="H44"/>
  <c r="E110"/>
  <c r="E184" i="1792"/>
  <c r="G184" s="1"/>
  <c r="H184" s="1"/>
  <c r="E177"/>
  <c r="G177" s="1"/>
  <c r="H177" s="1"/>
  <c r="H107"/>
  <c r="E173"/>
  <c r="H103"/>
  <c r="E169"/>
  <c r="G169" s="1"/>
  <c r="H169" s="1"/>
  <c r="H101"/>
  <c r="E167"/>
  <c r="H97"/>
  <c r="E163"/>
  <c r="H95"/>
  <c r="E161"/>
  <c r="G161" s="1"/>
  <c r="H161" s="1"/>
  <c r="H93"/>
  <c r="E159"/>
  <c r="G159" s="1"/>
  <c r="H159" s="1"/>
  <c r="H79"/>
  <c r="E145"/>
  <c r="G145" s="1"/>
  <c r="H145" s="1"/>
  <c r="H70"/>
  <c r="E136"/>
  <c r="G136" s="1"/>
  <c r="H136" s="1"/>
  <c r="H64"/>
  <c r="E130"/>
  <c r="G130" s="1"/>
  <c r="H130" s="1"/>
  <c r="H58"/>
  <c r="E124"/>
  <c r="H103" i="7380"/>
  <c r="E169"/>
  <c r="G169" s="1"/>
  <c r="H169" s="1"/>
  <c r="H97"/>
  <c r="E163"/>
  <c r="G163" s="1"/>
  <c r="H163" s="1"/>
  <c r="H91"/>
  <c r="E157"/>
  <c r="G157" s="1"/>
  <c r="H157" s="1"/>
  <c r="H89"/>
  <c r="E155"/>
  <c r="G155" s="1"/>
  <c r="H155" s="1"/>
  <c r="H81"/>
  <c r="E147"/>
  <c r="G147" s="1"/>
  <c r="H147" s="1"/>
  <c r="H79"/>
  <c r="E145"/>
  <c r="G145" s="1"/>
  <c r="H145" s="1"/>
  <c r="H77"/>
  <c r="E143"/>
  <c r="G143" s="1"/>
  <c r="H143" s="1"/>
  <c r="H75"/>
  <c r="E141"/>
  <c r="G141" s="1"/>
  <c r="H141" s="1"/>
  <c r="H73"/>
  <c r="E139"/>
  <c r="H71"/>
  <c r="E137"/>
  <c r="G137" s="1"/>
  <c r="H137" s="1"/>
  <c r="H69"/>
  <c r="E135"/>
  <c r="G135" s="1"/>
  <c r="H135" s="1"/>
  <c r="H67"/>
  <c r="E133"/>
  <c r="G133" s="1"/>
  <c r="H133" s="1"/>
  <c r="H65"/>
  <c r="E131"/>
  <c r="G131" s="1"/>
  <c r="H131" s="1"/>
  <c r="H117" i="1792"/>
  <c r="E183"/>
  <c r="AH539" i="2316"/>
  <c r="AH523"/>
  <c r="AH297"/>
  <c r="F51" i="1792"/>
  <c r="F53" s="1"/>
  <c r="G23" i="60796" s="1"/>
  <c r="F45" i="1792"/>
  <c r="F47" s="1"/>
  <c r="G22" i="60796" s="1"/>
  <c r="F39" i="1792"/>
  <c r="G39" s="1"/>
  <c r="E45" s="1"/>
  <c r="AH215" i="32"/>
  <c r="AH199"/>
  <c r="AH183"/>
  <c r="AH489"/>
  <c r="AH70" i="2316"/>
  <c r="AH19" i="1024"/>
  <c r="H80" i="7380"/>
  <c r="G146"/>
  <c r="H146" s="1"/>
  <c r="H54"/>
  <c r="G120"/>
  <c r="H120" s="1"/>
  <c r="G119"/>
  <c r="H119" s="1"/>
  <c r="H53"/>
  <c r="H50"/>
  <c r="G116"/>
  <c r="H116" s="1"/>
  <c r="H47"/>
  <c r="G113"/>
  <c r="H113" s="1"/>
  <c r="H70"/>
  <c r="G136"/>
  <c r="H136" s="1"/>
  <c r="F220" i="1792"/>
  <c r="F22"/>
  <c r="G22" s="1"/>
  <c r="H22" s="1"/>
  <c r="F21"/>
  <c r="F14"/>
  <c r="F8"/>
  <c r="G11" i="60796"/>
  <c r="K11" s="1"/>
  <c r="F194" i="7380"/>
  <c r="G194" s="1"/>
  <c r="E214" s="1"/>
  <c r="F192"/>
  <c r="G192" s="1"/>
  <c r="E212" s="1"/>
  <c r="F190"/>
  <c r="F188"/>
  <c r="F186"/>
  <c r="G186" s="1"/>
  <c r="E206" s="1"/>
  <c r="F185"/>
  <c r="F184"/>
  <c r="G184" s="1"/>
  <c r="F183"/>
  <c r="G183" s="1"/>
  <c r="F181"/>
  <c r="G181" s="1"/>
  <c r="E201" s="1"/>
  <c r="F180"/>
  <c r="G44" i="60796"/>
  <c r="G35"/>
  <c r="G58"/>
  <c r="K58" s="1"/>
  <c r="F9" i="1792"/>
  <c r="F7"/>
  <c r="F193" i="7380"/>
  <c r="G193" s="1"/>
  <c r="E213" s="1"/>
  <c r="F191"/>
  <c r="G191" s="1"/>
  <c r="E211" s="1"/>
  <c r="F189"/>
  <c r="F187"/>
  <c r="F182"/>
  <c r="G182" s="1"/>
  <c r="E202" s="1"/>
  <c r="F201"/>
  <c r="F179"/>
  <c r="G50" i="60796"/>
  <c r="G48"/>
  <c r="G46"/>
  <c r="G45"/>
  <c r="G38"/>
  <c r="P38" s="1"/>
  <c r="G36"/>
  <c r="G34"/>
  <c r="G56"/>
  <c r="K56" s="1"/>
  <c r="B444" i="60805"/>
  <c r="F160" i="60801" s="1"/>
  <c r="H160" s="1"/>
  <c r="H161" s="1"/>
  <c r="C42" i="2"/>
  <c r="F84" i="11565"/>
  <c r="F83"/>
  <c r="F78"/>
  <c r="F47"/>
  <c r="F37"/>
  <c r="F23"/>
  <c r="F9"/>
  <c r="F13"/>
  <c r="F85"/>
  <c r="F81"/>
  <c r="F48"/>
  <c r="F42"/>
  <c r="F38"/>
  <c r="F34"/>
  <c r="G34" s="1"/>
  <c r="F8"/>
  <c r="F86"/>
  <c r="F80"/>
  <c r="F49"/>
  <c r="F43"/>
  <c r="F39"/>
  <c r="F35"/>
  <c r="F7"/>
  <c r="F82"/>
  <c r="F95"/>
  <c r="F76"/>
  <c r="F50"/>
  <c r="F46"/>
  <c r="F45"/>
  <c r="F44"/>
  <c r="F40"/>
  <c r="F36"/>
  <c r="F22"/>
  <c r="G205" i="1792"/>
  <c r="E225" s="1"/>
  <c r="G203"/>
  <c r="E223" s="1"/>
  <c r="H111"/>
  <c r="H118"/>
  <c r="G38"/>
  <c r="F259" i="7380"/>
  <c r="F260"/>
  <c r="F213"/>
  <c r="F257"/>
  <c r="F225" i="1792"/>
  <c r="F219"/>
  <c r="F226"/>
  <c r="F215"/>
  <c r="F245"/>
  <c r="B361" i="2316"/>
  <c r="F227" i="1792"/>
  <c r="B18" i="60806"/>
  <c r="AH571" i="2316"/>
  <c r="F245" i="7380"/>
  <c r="J260" s="1"/>
  <c r="F244"/>
  <c r="F242"/>
  <c r="B443" i="2819"/>
  <c r="B263" i="32"/>
  <c r="F209" i="7380"/>
  <c r="F206"/>
  <c r="F205"/>
  <c r="B457" i="32"/>
  <c r="F233" i="7380"/>
  <c r="F204"/>
  <c r="F261"/>
  <c r="F220"/>
  <c r="H102"/>
  <c r="G168"/>
  <c r="H168" s="1"/>
  <c r="H66"/>
  <c r="G132"/>
  <c r="H132" s="1"/>
  <c r="H74"/>
  <c r="G140"/>
  <c r="H140" s="1"/>
  <c r="E252"/>
  <c r="B427" i="2316"/>
  <c r="F269" i="1792"/>
  <c r="F228"/>
  <c r="F222"/>
  <c r="B587" i="2316"/>
  <c r="F278" i="1792"/>
  <c r="J278" s="1"/>
  <c r="F273"/>
  <c r="J273" s="1"/>
  <c r="B491" i="2316"/>
  <c r="B377"/>
  <c r="F246" i="1792"/>
  <c r="F254"/>
  <c r="B281" i="2316"/>
  <c r="F221" i="1792"/>
  <c r="F216"/>
  <c r="F27"/>
  <c r="B539" i="2316"/>
  <c r="F274" i="1792"/>
  <c r="F276"/>
  <c r="B393" i="2316"/>
  <c r="F244" i="1792"/>
  <c r="H72"/>
  <c r="G138"/>
  <c r="H138" s="1"/>
  <c r="G258"/>
  <c r="E273" s="1"/>
  <c r="AH20" i="32"/>
  <c r="F198" i="1792"/>
  <c r="G198" s="1"/>
  <c r="E218" s="1"/>
  <c r="B249" i="2316"/>
  <c r="B201"/>
  <c r="F235" i="1792"/>
  <c r="F264" i="7380"/>
  <c r="B521" i="32"/>
  <c r="H109" i="1792"/>
  <c r="G175"/>
  <c r="H175" s="1"/>
  <c r="F279"/>
  <c r="B603" i="2316"/>
  <c r="B571"/>
  <c r="F275" i="1792"/>
  <c r="F277"/>
  <c r="B523" i="2316"/>
  <c r="F271" i="1792"/>
  <c r="B459" i="2316"/>
  <c r="F224" i="1792"/>
  <c r="B345" i="2316"/>
  <c r="F223" i="1792"/>
  <c r="B329" i="2316"/>
  <c r="F239" i="1792"/>
  <c r="B265" i="2316"/>
  <c r="F214" i="1792"/>
  <c r="B185" i="2316"/>
  <c r="H88" i="7380"/>
  <c r="G154"/>
  <c r="H154" s="1"/>
  <c r="H60"/>
  <c r="G126"/>
  <c r="H126" s="1"/>
  <c r="F263"/>
  <c r="B505" i="32"/>
  <c r="B151"/>
  <c r="F221" i="7380"/>
  <c r="B313" i="2316"/>
  <c r="F233" i="1792"/>
  <c r="F255" i="7380"/>
  <c r="AH603" i="2316"/>
  <c r="B409"/>
  <c r="F39" i="7380"/>
  <c r="F33"/>
  <c r="F31"/>
  <c r="F99" i="11565"/>
  <c r="B539" i="2819"/>
  <c r="F94" i="11565"/>
  <c r="F90"/>
  <c r="B379" i="2819"/>
  <c r="F28" i="11565"/>
  <c r="B169" i="2316"/>
  <c r="G18" i="60796"/>
  <c r="K18" s="1"/>
  <c r="E10" i="7380"/>
  <c r="F27"/>
  <c r="F37"/>
  <c r="F25"/>
  <c r="G25" s="1"/>
  <c r="E31" s="1"/>
  <c r="F100" i="11565"/>
  <c r="F97"/>
  <c r="F92"/>
  <c r="F27"/>
  <c r="F15"/>
  <c r="AH21" i="2819"/>
  <c r="B34" i="514"/>
  <c r="C6" i="1"/>
  <c r="C10"/>
  <c r="G61" i="60796"/>
  <c r="B35" i="516"/>
  <c r="G59" i="60796"/>
  <c r="F70" i="11565"/>
  <c r="AH361" i="2819"/>
  <c r="F69" i="11565"/>
  <c r="AH345" i="2819"/>
  <c r="F68" i="11565"/>
  <c r="AH329" i="2819"/>
  <c r="F67" i="11565"/>
  <c r="AH313" i="2819"/>
  <c r="F66" i="11565"/>
  <c r="B297" i="2819"/>
  <c r="AH297"/>
  <c r="B265"/>
  <c r="F57" i="11565"/>
  <c r="F56"/>
  <c r="F96"/>
  <c r="F98"/>
  <c r="AH539" i="2819"/>
  <c r="AH523"/>
  <c r="AH507"/>
  <c r="AH491"/>
  <c r="B475"/>
  <c r="AH475"/>
  <c r="AH379"/>
  <c r="F65" i="11565"/>
  <c r="B281" i="2819"/>
  <c r="AH281"/>
  <c r="F64" i="11565"/>
  <c r="AH265" i="2819"/>
  <c r="F63" i="11565"/>
  <c r="AH249" i="2819"/>
  <c r="F62" i="11565"/>
  <c r="B233" i="2819"/>
  <c r="AH233"/>
  <c r="F61" i="11565"/>
  <c r="AH217" i="2819"/>
  <c r="B205"/>
  <c r="F41" i="11565" s="1"/>
  <c r="J61" s="1"/>
  <c r="F60"/>
  <c r="AH201" i="2819"/>
  <c r="F59" i="11565"/>
  <c r="AH185" i="2819"/>
  <c r="B121"/>
  <c r="F58" i="11565"/>
  <c r="AH121" i="2819"/>
  <c r="F55" i="11565"/>
  <c r="F54"/>
  <c r="B185" i="2819"/>
  <c r="B169"/>
  <c r="AH169"/>
  <c r="AH153"/>
  <c r="AH137"/>
  <c r="AH105"/>
  <c r="F14" i="11565"/>
  <c r="G51" i="60796"/>
  <c r="G49"/>
  <c r="G47"/>
  <c r="AH553" i="32"/>
  <c r="F265" i="7380"/>
  <c r="AH521" i="32"/>
  <c r="F247" i="7380"/>
  <c r="B473" i="32"/>
  <c r="AH473"/>
  <c r="AH457"/>
  <c r="AH409"/>
  <c r="AH377"/>
  <c r="AH231"/>
  <c r="B231"/>
  <c r="B279"/>
  <c r="B343"/>
  <c r="AH359"/>
  <c r="AH343"/>
  <c r="F212" i="7380"/>
  <c r="AH327" i="32"/>
  <c r="AH279"/>
  <c r="AH263"/>
  <c r="G185" i="7380"/>
  <c r="E205" s="1"/>
  <c r="B215" i="32"/>
  <c r="F203" i="7380"/>
  <c r="AH151" i="32"/>
  <c r="F200" i="7380"/>
  <c r="B135" i="32"/>
  <c r="AH53"/>
  <c r="I71" i="60796"/>
  <c r="F72" s="1"/>
  <c r="AH427" i="2316"/>
  <c r="AH393"/>
  <c r="AH377"/>
  <c r="AH361"/>
  <c r="AH313"/>
  <c r="AH281"/>
  <c r="AH265"/>
  <c r="AH249"/>
  <c r="AH233"/>
  <c r="AH201"/>
  <c r="AH185"/>
  <c r="AH169"/>
  <c r="F212" i="1792"/>
  <c r="AH86" i="2316"/>
  <c r="C7" i="1"/>
  <c r="C9"/>
  <c r="C5"/>
  <c r="AH52" i="2316"/>
  <c r="H68" i="1792"/>
  <c r="G134"/>
  <c r="H134" s="1"/>
  <c r="G204"/>
  <c r="G202"/>
  <c r="G200"/>
  <c r="G201"/>
  <c r="E221" s="1"/>
  <c r="G199"/>
  <c r="H89"/>
  <c r="G155"/>
  <c r="H155" s="1"/>
  <c r="H85"/>
  <c r="G151"/>
  <c r="H151" s="1"/>
  <c r="H81"/>
  <c r="G147"/>
  <c r="H147" s="1"/>
  <c r="H102"/>
  <c r="G168"/>
  <c r="H168" s="1"/>
  <c r="H94"/>
  <c r="G160"/>
  <c r="H82"/>
  <c r="G148"/>
  <c r="H148" s="1"/>
  <c r="H92"/>
  <c r="H84"/>
  <c r="G150"/>
  <c r="H150" s="1"/>
  <c r="H66"/>
  <c r="G132"/>
  <c r="H132" s="1"/>
  <c r="H74"/>
  <c r="G140"/>
  <c r="H140" s="1"/>
  <c r="H105"/>
  <c r="G171"/>
  <c r="H171" s="1"/>
  <c r="H90"/>
  <c r="G156"/>
  <c r="H156" s="1"/>
  <c r="H86"/>
  <c r="G152"/>
  <c r="H152" s="1"/>
  <c r="H99"/>
  <c r="G165"/>
  <c r="H165" s="1"/>
  <c r="H91"/>
  <c r="G157"/>
  <c r="H157" s="1"/>
  <c r="H87"/>
  <c r="H153"/>
  <c r="H83"/>
  <c r="G149"/>
  <c r="H149" s="1"/>
  <c r="H62"/>
  <c r="G128"/>
  <c r="H128" s="1"/>
  <c r="C11" i="1"/>
  <c r="G83" i="60796"/>
  <c r="AH19" i="516"/>
  <c r="G60" i="60796"/>
  <c r="K60" s="1"/>
  <c r="G57"/>
  <c r="B13" i="1024"/>
  <c r="AJ13" s="1"/>
  <c r="G8" i="60796" s="1"/>
  <c r="B10" i="1024"/>
  <c r="AJ10" s="1"/>
  <c r="G7" i="60796" s="1"/>
  <c r="B51" i="516"/>
  <c r="G28" i="60796"/>
  <c r="G26"/>
  <c r="K26" s="1"/>
  <c r="I24"/>
  <c r="F25" s="1"/>
  <c r="AH101" i="1024"/>
  <c r="B98"/>
  <c r="B101" s="1"/>
  <c r="G19" i="60796"/>
  <c r="AH147" i="8194"/>
  <c r="AH131"/>
  <c r="AH99"/>
  <c r="AH51"/>
  <c r="AH555" i="2316"/>
  <c r="E209" i="1792"/>
  <c r="G197"/>
  <c r="E217" s="1"/>
  <c r="G195"/>
  <c r="E215" s="1"/>
  <c r="G193"/>
  <c r="E213" s="1"/>
  <c r="G196"/>
  <c r="G194"/>
  <c r="E214" s="1"/>
  <c r="G192"/>
  <c r="B492" i="60805"/>
  <c r="E290" i="60801" s="1"/>
  <c r="E291" s="1"/>
  <c r="B16" i="60805"/>
  <c r="H236" i="60801"/>
  <c r="G236"/>
  <c r="B19" i="516"/>
  <c r="B51" i="8194"/>
  <c r="B71" i="2819"/>
  <c r="AH50" i="514"/>
  <c r="B45"/>
  <c r="B50" s="1"/>
  <c r="F266" i="7380"/>
  <c r="F251"/>
  <c r="B553" i="32"/>
  <c r="F250" i="7380"/>
  <c r="B537" i="32"/>
  <c r="AH505"/>
  <c r="AH441"/>
  <c r="B409"/>
  <c r="B377"/>
  <c r="F240" i="7380"/>
  <c r="J255" s="1"/>
  <c r="F214"/>
  <c r="B359" i="32"/>
  <c r="F211" i="7380"/>
  <c r="F210"/>
  <c r="B247" i="32"/>
  <c r="F207" i="7380"/>
  <c r="F202"/>
  <c r="AH135" i="32"/>
  <c r="F199" i="7380"/>
  <c r="G178"/>
  <c r="B85" i="32"/>
  <c r="F9" i="7380"/>
  <c r="G9" s="1"/>
  <c r="B36" i="32"/>
  <c r="F19" i="7380"/>
  <c r="G8"/>
  <c r="F13"/>
  <c r="H72"/>
  <c r="G138"/>
  <c r="H138" s="1"/>
  <c r="H90"/>
  <c r="G156"/>
  <c r="H156" s="1"/>
  <c r="H76"/>
  <c r="G142"/>
  <c r="H142" s="1"/>
  <c r="G122"/>
  <c r="H122" s="1"/>
  <c r="H56"/>
  <c r="H95"/>
  <c r="G161"/>
  <c r="H161" s="1"/>
  <c r="H84"/>
  <c r="G150"/>
  <c r="H150" s="1"/>
  <c r="H64"/>
  <c r="G130"/>
  <c r="H130" s="1"/>
  <c r="G123"/>
  <c r="H123" s="1"/>
  <c r="H57"/>
  <c r="H100"/>
  <c r="G166"/>
  <c r="H166" s="1"/>
  <c r="H68"/>
  <c r="G134"/>
  <c r="H134" s="1"/>
  <c r="H58"/>
  <c r="G124"/>
  <c r="H124" s="1"/>
  <c r="AH150" i="1024"/>
  <c r="B150"/>
  <c r="G27" i="60796"/>
  <c r="AH36" i="1024"/>
  <c r="AH587" i="2316"/>
  <c r="B555"/>
  <c r="F265" i="1792"/>
  <c r="F261"/>
  <c r="J276" s="1"/>
  <c r="B507" i="2316"/>
  <c r="AH459"/>
  <c r="B297"/>
  <c r="F241" i="1792"/>
  <c r="AH119" i="2316"/>
  <c r="G40" i="1792"/>
  <c r="E46" s="1"/>
  <c r="F26"/>
  <c r="H106"/>
  <c r="G172"/>
  <c r="H172" s="1"/>
  <c r="H71"/>
  <c r="G137"/>
  <c r="H137" s="1"/>
  <c r="H63"/>
  <c r="G129"/>
  <c r="H129" s="1"/>
  <c r="G143"/>
  <c r="H143" s="1"/>
  <c r="H77"/>
  <c r="H73"/>
  <c r="G139"/>
  <c r="H139" s="1"/>
  <c r="H65"/>
  <c r="G131"/>
  <c r="H131" s="1"/>
  <c r="G141"/>
  <c r="H141" s="1"/>
  <c r="H75"/>
  <c r="H67"/>
  <c r="G133"/>
  <c r="H133" s="1"/>
  <c r="H69"/>
  <c r="G135"/>
  <c r="H135" s="1"/>
  <c r="H61"/>
  <c r="G127"/>
  <c r="H127" s="1"/>
  <c r="G167"/>
  <c r="H167" s="1"/>
  <c r="I73" i="60796"/>
  <c r="F74" s="1"/>
  <c r="K74" s="1"/>
  <c r="E105" i="60801"/>
  <c r="F104"/>
  <c r="F105" s="1"/>
  <c r="E110"/>
  <c r="F109"/>
  <c r="F110" s="1"/>
  <c r="F262" i="7380"/>
  <c r="B489" i="32"/>
  <c r="H92" i="7380"/>
  <c r="G158"/>
  <c r="H158" s="1"/>
  <c r="F232"/>
  <c r="B327" i="32"/>
  <c r="F226" i="7380"/>
  <c r="F224"/>
  <c r="B199" i="32"/>
  <c r="F223" i="7380"/>
  <c r="B183" i="32"/>
  <c r="B119"/>
  <c r="F219" i="7380"/>
  <c r="B53" i="32"/>
  <c r="F248" i="1792"/>
  <c r="F243"/>
  <c r="B233" i="2316"/>
  <c r="F237" i="1792"/>
  <c r="F32"/>
  <c r="B86" i="2316"/>
  <c r="F31" i="1792"/>
  <c r="B70" i="2316"/>
  <c r="B52"/>
  <c r="F15" i="1792"/>
  <c r="AH19" i="8194"/>
  <c r="G178" i="60801"/>
  <c r="H255"/>
  <c r="AH217" i="2316"/>
  <c r="F236" i="1792"/>
  <c r="B217" i="2316"/>
  <c r="B103" i="32"/>
  <c r="F218" i="7380"/>
  <c r="F232" i="1792"/>
  <c r="B153" i="2316"/>
  <c r="G164" i="1792"/>
  <c r="H164" s="1"/>
  <c r="G176"/>
  <c r="H176" s="1"/>
  <c r="G183"/>
  <c r="H183" s="1"/>
  <c r="G173"/>
  <c r="H173" s="1"/>
  <c r="G170"/>
  <c r="H170" s="1"/>
  <c r="G166"/>
  <c r="H166" s="1"/>
  <c r="G163"/>
  <c r="H163" s="1"/>
  <c r="G126"/>
  <c r="H126" s="1"/>
  <c r="B99" i="8194"/>
  <c r="B35"/>
  <c r="B131"/>
  <c r="B21" i="2819"/>
  <c r="F18" i="7380"/>
  <c r="B20" i="32"/>
  <c r="C236" i="7380"/>
  <c r="AH278" i="60805"/>
  <c r="F63" i="60801"/>
  <c r="G63" s="1"/>
  <c r="L238" i="60804"/>
  <c r="L22"/>
  <c r="I22"/>
  <c r="G160" i="60801"/>
  <c r="G161" s="1"/>
  <c r="B53" i="2819"/>
  <c r="B37"/>
  <c r="B20" i="2316"/>
  <c r="G255" i="60801"/>
  <c r="AH311" i="32"/>
  <c r="F231" i="7380"/>
  <c r="B311" i="32"/>
  <c r="B295"/>
  <c r="F230" i="7380"/>
  <c r="B167" i="32"/>
  <c r="F222" i="7380"/>
  <c r="I65" i="60796"/>
  <c r="F66" s="1"/>
  <c r="G112" i="7380"/>
  <c r="H112" s="1"/>
  <c r="H46"/>
  <c r="G276" i="60804"/>
  <c r="G72" i="60796"/>
  <c r="G61" i="60801"/>
  <c r="E62" s="1"/>
  <c r="G62" s="1"/>
  <c r="E12"/>
  <c r="F12" s="1"/>
  <c r="F14" s="1"/>
  <c r="E137"/>
  <c r="F88"/>
  <c r="F90" s="1"/>
  <c r="E95"/>
  <c r="H166"/>
  <c r="H167" s="1"/>
  <c r="F167"/>
  <c r="B166" i="60805"/>
  <c r="E80" i="60801"/>
  <c r="F80" s="1"/>
  <c r="E79"/>
  <c r="F79" s="1"/>
  <c r="B150" i="60805"/>
  <c r="B375"/>
  <c r="E48" i="60801" s="1"/>
  <c r="F48" s="1"/>
  <c r="F50" s="1"/>
  <c r="B127" i="60805"/>
  <c r="F210" i="60801" s="1"/>
  <c r="F211" s="1"/>
  <c r="B262" i="60805"/>
  <c r="E99" i="60801" s="1"/>
  <c r="E100" s="1"/>
  <c r="E82"/>
  <c r="B198" i="60805"/>
  <c r="F70" i="60801"/>
  <c r="F71" s="1"/>
  <c r="G71" s="1"/>
  <c r="B356" i="60805"/>
  <c r="B392"/>
  <c r="E54" i="60801" s="1"/>
  <c r="E56" s="1"/>
  <c r="B328" i="60805"/>
  <c r="E43" i="60801" s="1"/>
  <c r="F43" s="1"/>
  <c r="B311" i="60805"/>
  <c r="E42" i="60801" s="1"/>
  <c r="B246" i="60805"/>
  <c r="E115" i="60801" s="1"/>
  <c r="F115" s="1"/>
  <c r="F116" s="1"/>
  <c r="B428" i="60805"/>
  <c r="H197" i="1792"/>
  <c r="H193"/>
  <c r="H204"/>
  <c r="H202"/>
  <c r="H200"/>
  <c r="H196"/>
  <c r="H194"/>
  <c r="H192"/>
  <c r="H207"/>
  <c r="H205"/>
  <c r="H203"/>
  <c r="H201"/>
  <c r="H199"/>
  <c r="G166" i="60801"/>
  <c r="G167" s="1"/>
  <c r="E167"/>
  <c r="G181" i="1792"/>
  <c r="H181" s="1"/>
  <c r="H115"/>
  <c r="G179"/>
  <c r="H179" s="1"/>
  <c r="H113"/>
  <c r="G182"/>
  <c r="H182" s="1"/>
  <c r="H116"/>
  <c r="H114"/>
  <c r="G180"/>
  <c r="H180" s="1"/>
  <c r="G178"/>
  <c r="H178" s="1"/>
  <c r="H112"/>
  <c r="G167" i="7380"/>
  <c r="H167" s="1"/>
  <c r="H101"/>
  <c r="H96"/>
  <c r="G162"/>
  <c r="H162" s="1"/>
  <c r="H59"/>
  <c r="G125"/>
  <c r="H125" s="1"/>
  <c r="H52"/>
  <c r="G118"/>
  <c r="H118" s="1"/>
  <c r="H49"/>
  <c r="G115"/>
  <c r="H115" s="1"/>
  <c r="F240" i="1792"/>
  <c r="F217"/>
  <c r="F248" i="7380"/>
  <c r="F246"/>
  <c r="J261" s="1"/>
  <c r="F234"/>
  <c r="F229"/>
  <c r="G180"/>
  <c r="E200" s="1"/>
  <c r="G165"/>
  <c r="H165" s="1"/>
  <c r="H99"/>
  <c r="G160"/>
  <c r="H160" s="1"/>
  <c r="H94"/>
  <c r="G151"/>
  <c r="H151" s="1"/>
  <c r="H85"/>
  <c r="G129"/>
  <c r="H129" s="1"/>
  <c r="H63"/>
  <c r="H61"/>
  <c r="G127"/>
  <c r="H127" s="1"/>
  <c r="H55"/>
  <c r="G121"/>
  <c r="H121" s="1"/>
  <c r="E266" i="1792"/>
  <c r="H195"/>
  <c r="F247"/>
  <c r="F242"/>
  <c r="F238"/>
  <c r="F213"/>
  <c r="F13"/>
  <c r="F249" i="7380"/>
  <c r="F228"/>
  <c r="F227"/>
  <c r="F225"/>
  <c r="F14"/>
  <c r="B105" i="2819"/>
  <c r="B119" i="2316"/>
  <c r="B201" i="2819"/>
  <c r="B137"/>
  <c r="B87"/>
  <c r="B147" i="8194"/>
  <c r="AH35" i="516"/>
  <c r="B344" i="60805"/>
  <c r="B53"/>
  <c r="B278"/>
  <c r="E44" i="1792" l="1"/>
  <c r="G44" s="1"/>
  <c r="E50" s="1"/>
  <c r="G50" s="1"/>
  <c r="H38"/>
  <c r="H139" i="7380"/>
  <c r="G139"/>
  <c r="J279" i="1792"/>
  <c r="P36" i="60796"/>
  <c r="K34"/>
  <c r="P34"/>
  <c r="K38"/>
  <c r="K50"/>
  <c r="P50"/>
  <c r="K44"/>
  <c r="P44"/>
  <c r="K48"/>
  <c r="P48"/>
  <c r="K46"/>
  <c r="P46"/>
  <c r="J257" i="7380"/>
  <c r="J264"/>
  <c r="J263"/>
  <c r="H208" i="1792"/>
  <c r="F161" i="60801"/>
  <c r="J269" i="1792"/>
  <c r="G290" i="60801"/>
  <c r="G291" s="1"/>
  <c r="G260" i="1792"/>
  <c r="E275" s="1"/>
  <c r="H275" s="1"/>
  <c r="F99" i="60801"/>
  <c r="F100" s="1"/>
  <c r="J64" i="11565"/>
  <c r="L90"/>
  <c r="J55"/>
  <c r="L94"/>
  <c r="J58"/>
  <c r="L99"/>
  <c r="J57"/>
  <c r="L98"/>
  <c r="J280" i="1792"/>
  <c r="G251" i="7380"/>
  <c r="E266" s="1"/>
  <c r="G266" s="1"/>
  <c r="J266"/>
  <c r="G247"/>
  <c r="E262" s="1"/>
  <c r="H262" s="1"/>
  <c r="J262"/>
  <c r="H259" i="1792"/>
  <c r="J274"/>
  <c r="J60" i="11565"/>
  <c r="J70"/>
  <c r="J69"/>
  <c r="J54"/>
  <c r="L95"/>
  <c r="L97"/>
  <c r="G262" i="1792"/>
  <c r="E277" s="1"/>
  <c r="G277" s="1"/>
  <c r="J277"/>
  <c r="J56" i="11565"/>
  <c r="J66"/>
  <c r="L96"/>
  <c r="J63"/>
  <c r="J68"/>
  <c r="L92"/>
  <c r="H256" i="1792"/>
  <c r="J271"/>
  <c r="J259" i="7380"/>
  <c r="J65" i="11565"/>
  <c r="J59"/>
  <c r="L100"/>
  <c r="J62"/>
  <c r="J67"/>
  <c r="J275" i="1792"/>
  <c r="F267" i="7380"/>
  <c r="G80" i="60796" s="1"/>
  <c r="J265" i="7380"/>
  <c r="G206" i="1792"/>
  <c r="E226" s="1"/>
  <c r="G226" s="1"/>
  <c r="H247" i="7380"/>
  <c r="G264" i="1792"/>
  <c r="E279" s="1"/>
  <c r="G279" s="1"/>
  <c r="H262"/>
  <c r="G278"/>
  <c r="H225"/>
  <c r="G259"/>
  <c r="E274" s="1"/>
  <c r="G274" s="1"/>
  <c r="K36" i="60796"/>
  <c r="K7"/>
  <c r="I18"/>
  <c r="F19" s="1"/>
  <c r="K19" s="1"/>
  <c r="K83"/>
  <c r="G225" i="1792"/>
  <c r="E245" s="1"/>
  <c r="G245" s="1"/>
  <c r="H228"/>
  <c r="G228"/>
  <c r="E248" s="1"/>
  <c r="G248" s="1"/>
  <c r="H223"/>
  <c r="H271"/>
  <c r="I66" i="60796"/>
  <c r="F67" s="1"/>
  <c r="K67" s="1"/>
  <c r="K66"/>
  <c r="K72"/>
  <c r="E173" i="7380"/>
  <c r="G124" i="1792"/>
  <c r="H124" s="1"/>
  <c r="H160"/>
  <c r="G265"/>
  <c r="E280" s="1"/>
  <c r="H280" s="1"/>
  <c r="H265"/>
  <c r="H278"/>
  <c r="G261"/>
  <c r="E276" s="1"/>
  <c r="H276" s="1"/>
  <c r="H261"/>
  <c r="G254"/>
  <c r="E269" s="1"/>
  <c r="H269" s="1"/>
  <c r="H254"/>
  <c r="H273"/>
  <c r="H25" i="7380"/>
  <c r="F41" i="1792"/>
  <c r="G21" i="60796" s="1"/>
  <c r="K21" s="1"/>
  <c r="H39" i="1792"/>
  <c r="G45"/>
  <c r="E51" s="1"/>
  <c r="G51" s="1"/>
  <c r="H51" s="1"/>
  <c r="H38" i="60796"/>
  <c r="L38" s="1"/>
  <c r="G158" i="1792"/>
  <c r="G110" i="7380"/>
  <c r="H110" s="1"/>
  <c r="H251"/>
  <c r="I11" i="60796"/>
  <c r="F12" s="1"/>
  <c r="H11"/>
  <c r="L11" s="1"/>
  <c r="H9" i="7380"/>
  <c r="E14"/>
  <c r="G14" s="1"/>
  <c r="E219" i="1792"/>
  <c r="H219" s="1"/>
  <c r="E220"/>
  <c r="H220" s="1"/>
  <c r="I44" i="60796"/>
  <c r="F45" s="1"/>
  <c r="I45" s="1"/>
  <c r="H44"/>
  <c r="G21" i="1792"/>
  <c r="F23"/>
  <c r="G23" s="1"/>
  <c r="F10"/>
  <c r="G13" i="60796" s="1"/>
  <c r="H8" i="7380"/>
  <c r="E13"/>
  <c r="G13" s="1"/>
  <c r="E18" s="1"/>
  <c r="E222" i="1792"/>
  <c r="H222" s="1"/>
  <c r="I36" i="60796"/>
  <c r="F37" s="1"/>
  <c r="K37" s="1"/>
  <c r="H36"/>
  <c r="H45"/>
  <c r="J45" s="1"/>
  <c r="E27" i="1792"/>
  <c r="G27" s="1"/>
  <c r="H37" i="60796"/>
  <c r="H46"/>
  <c r="D23" i="2" s="1"/>
  <c r="H50" i="60796"/>
  <c r="L50" s="1"/>
  <c r="H49"/>
  <c r="J49" s="1"/>
  <c r="I26"/>
  <c r="F27" s="1"/>
  <c r="I27" s="1"/>
  <c r="F28" s="1"/>
  <c r="K28" s="1"/>
  <c r="E224" i="1792"/>
  <c r="H224" s="1"/>
  <c r="E216"/>
  <c r="H216" s="1"/>
  <c r="E212"/>
  <c r="G212" s="1"/>
  <c r="E232" s="1"/>
  <c r="G190" i="7380"/>
  <c r="E210" s="1"/>
  <c r="G210" s="1"/>
  <c r="E230" s="1"/>
  <c r="G189"/>
  <c r="E209" s="1"/>
  <c r="G209" s="1"/>
  <c r="E229" s="1"/>
  <c r="G188"/>
  <c r="E208" s="1"/>
  <c r="G208" s="1"/>
  <c r="E228" s="1"/>
  <c r="G187"/>
  <c r="E207" s="1"/>
  <c r="G207" s="1"/>
  <c r="E227" s="1"/>
  <c r="H47" i="60796"/>
  <c r="J47" s="1"/>
  <c r="H57"/>
  <c r="H56"/>
  <c r="H59"/>
  <c r="H58"/>
  <c r="H48"/>
  <c r="D24" i="2" s="1"/>
  <c r="F29" i="11565"/>
  <c r="G43" i="60796" s="1"/>
  <c r="H184" i="7380"/>
  <c r="E204"/>
  <c r="G204" s="1"/>
  <c r="E203"/>
  <c r="G203" s="1"/>
  <c r="E198"/>
  <c r="G198" s="1"/>
  <c r="H178"/>
  <c r="G227" i="1792"/>
  <c r="E247" s="1"/>
  <c r="H247" s="1"/>
  <c r="F16"/>
  <c r="G14" i="60796" s="1"/>
  <c r="G221" i="1792"/>
  <c r="G42" i="11565"/>
  <c r="F28" i="7380"/>
  <c r="G68" i="60796" s="1"/>
  <c r="K68" s="1"/>
  <c r="F28" i="1792"/>
  <c r="G16" i="60796" s="1"/>
  <c r="H266" i="7380"/>
  <c r="H183"/>
  <c r="F20"/>
  <c r="H40" i="1792"/>
  <c r="G46"/>
  <c r="H221"/>
  <c r="F281"/>
  <c r="G33" i="60796" s="1"/>
  <c r="G223" i="1792"/>
  <c r="H227"/>
  <c r="H226"/>
  <c r="G214"/>
  <c r="H215"/>
  <c r="G215"/>
  <c r="G273"/>
  <c r="G9"/>
  <c r="E15" s="1"/>
  <c r="G15" s="1"/>
  <c r="H15" s="1"/>
  <c r="H35" i="60796"/>
  <c r="H34"/>
  <c r="D17" i="2" s="1"/>
  <c r="G218" i="1792"/>
  <c r="H218"/>
  <c r="H214"/>
  <c r="I48" i="60796"/>
  <c r="F49" s="1"/>
  <c r="I49" s="1"/>
  <c r="G242" i="7380"/>
  <c r="E257" s="1"/>
  <c r="H242"/>
  <c r="G43" i="11565"/>
  <c r="G47"/>
  <c r="F87"/>
  <c r="F16"/>
  <c r="G41" i="60796" s="1"/>
  <c r="G78" i="11565"/>
  <c r="H78" s="1"/>
  <c r="F24"/>
  <c r="G42" i="60796" s="1"/>
  <c r="G271" i="1792"/>
  <c r="H194" i="7380"/>
  <c r="G214"/>
  <c r="E234" s="1"/>
  <c r="G25" i="60796"/>
  <c r="H198" i="1792"/>
  <c r="F209"/>
  <c r="C8" i="1"/>
  <c r="G44" i="11565"/>
  <c r="G45"/>
  <c r="B217" i="2819"/>
  <c r="G38" i="11565"/>
  <c r="H38" s="1"/>
  <c r="F51"/>
  <c r="G52" i="60796" s="1"/>
  <c r="G39" i="11565"/>
  <c r="H39" s="1"/>
  <c r="I46" i="60796"/>
  <c r="F47" s="1"/>
  <c r="K47" s="1"/>
  <c r="F10" i="11565"/>
  <c r="G40" i="60796" s="1"/>
  <c r="H185" i="7380"/>
  <c r="G205"/>
  <c r="E225" s="1"/>
  <c r="H71" i="60796"/>
  <c r="L71" s="1"/>
  <c r="I72"/>
  <c r="G8" i="1792"/>
  <c r="H8" s="1"/>
  <c r="G35" i="11565"/>
  <c r="H35" s="1"/>
  <c r="G37"/>
  <c r="H37" s="1"/>
  <c r="G7"/>
  <c r="G7" i="1792"/>
  <c r="E10"/>
  <c r="H217"/>
  <c r="H44"/>
  <c r="I60" i="60796"/>
  <c r="F61" s="1"/>
  <c r="I61" s="1"/>
  <c r="I58"/>
  <c r="F59" s="1"/>
  <c r="K59" s="1"/>
  <c r="I83"/>
  <c r="H83"/>
  <c r="H81"/>
  <c r="I81"/>
  <c r="F82" s="1"/>
  <c r="K82" s="1"/>
  <c r="H26"/>
  <c r="B19" i="1024"/>
  <c r="AJ19" s="1"/>
  <c r="I50" i="60796"/>
  <c r="F51" s="1"/>
  <c r="K51" s="1"/>
  <c r="I34"/>
  <c r="F35" s="1"/>
  <c r="I35" s="1"/>
  <c r="G20"/>
  <c r="I38"/>
  <c r="H73"/>
  <c r="I74"/>
  <c r="F75" s="1"/>
  <c r="K75" s="1"/>
  <c r="H250" i="7380"/>
  <c r="G250"/>
  <c r="E265" s="1"/>
  <c r="H240"/>
  <c r="G240"/>
  <c r="E255" s="1"/>
  <c r="F215"/>
  <c r="F10"/>
  <c r="G62" i="60796" s="1"/>
  <c r="K62" s="1"/>
  <c r="F266" i="1792"/>
  <c r="F33"/>
  <c r="E50" i="60801"/>
  <c r="H210"/>
  <c r="H211" s="1"/>
  <c r="H60" i="60796"/>
  <c r="B18" i="60805"/>
  <c r="E5" i="60801"/>
  <c r="E120"/>
  <c r="F120" s="1"/>
  <c r="F121" s="1"/>
  <c r="F54"/>
  <c r="F56" s="1"/>
  <c r="G70"/>
  <c r="AP75"/>
  <c r="F82"/>
  <c r="F83" s="1"/>
  <c r="E83"/>
  <c r="F42"/>
  <c r="F44" s="1"/>
  <c r="E44"/>
  <c r="F235" i="7380"/>
  <c r="H192"/>
  <c r="G212"/>
  <c r="E232" s="1"/>
  <c r="B55" i="60805"/>
  <c r="E20" i="60801"/>
  <c r="F101" i="11565"/>
  <c r="F40" i="7380"/>
  <c r="G70" i="60796" s="1"/>
  <c r="H181" i="7380"/>
  <c r="G201"/>
  <c r="E221" s="1"/>
  <c r="H191"/>
  <c r="G211"/>
  <c r="E231" s="1"/>
  <c r="H193"/>
  <c r="G213"/>
  <c r="E233" s="1"/>
  <c r="H244"/>
  <c r="G244"/>
  <c r="E259" s="1"/>
  <c r="G249"/>
  <c r="E264" s="1"/>
  <c r="H249"/>
  <c r="F34"/>
  <c r="G69" i="60796" s="1"/>
  <c r="G31" i="7380"/>
  <c r="H182"/>
  <c r="G202"/>
  <c r="E222" s="1"/>
  <c r="H246"/>
  <c r="G246"/>
  <c r="E261" s="1"/>
  <c r="G111"/>
  <c r="G27"/>
  <c r="E33" s="1"/>
  <c r="G33" s="1"/>
  <c r="F15"/>
  <c r="G63" i="60796" s="1"/>
  <c r="G217" i="1792"/>
  <c r="E237" s="1"/>
  <c r="F249"/>
  <c r="F71" i="11565"/>
  <c r="G76" i="1792"/>
  <c r="E142" s="1"/>
  <c r="E187" s="1"/>
  <c r="H121"/>
  <c r="G179" i="7380"/>
  <c r="E199" s="1"/>
  <c r="F195"/>
  <c r="G76" i="60796" s="1"/>
  <c r="F252" i="7380"/>
  <c r="G79" i="60796" s="1"/>
  <c r="K79" s="1"/>
  <c r="H245" i="7380"/>
  <c r="G245"/>
  <c r="E260" s="1"/>
  <c r="G213" i="1792"/>
  <c r="E233" s="1"/>
  <c r="F229"/>
  <c r="G30" i="60796" s="1"/>
  <c r="H213" i="1792"/>
  <c r="H65" i="60796"/>
  <c r="H180" i="7380"/>
  <c r="G200"/>
  <c r="E220" s="1"/>
  <c r="H186"/>
  <c r="G206"/>
  <c r="E226" s="1"/>
  <c r="G248"/>
  <c r="E263" s="1"/>
  <c r="H248"/>
  <c r="H50" i="1792" l="1"/>
  <c r="G275"/>
  <c r="H279"/>
  <c r="G262" i="7380"/>
  <c r="P40" i="60796"/>
  <c r="K52"/>
  <c r="P42"/>
  <c r="H277" i="1792"/>
  <c r="I19" i="60796"/>
  <c r="F20" s="1"/>
  <c r="K20" s="1"/>
  <c r="K25"/>
  <c r="J281" i="1792"/>
  <c r="J267" i="7380"/>
  <c r="L101" i="11565"/>
  <c r="J71"/>
  <c r="F268" i="7380"/>
  <c r="G269" i="1792"/>
  <c r="H274"/>
  <c r="K40" i="60796"/>
  <c r="K13"/>
  <c r="K42"/>
  <c r="K76"/>
  <c r="H248" i="1792"/>
  <c r="G247"/>
  <c r="G220"/>
  <c r="E240" s="1"/>
  <c r="G240" s="1"/>
  <c r="I67" i="60796"/>
  <c r="J11"/>
  <c r="H188" i="7380"/>
  <c r="K35" i="60796"/>
  <c r="K61"/>
  <c r="K49"/>
  <c r="K27"/>
  <c r="I12"/>
  <c r="K12"/>
  <c r="K45"/>
  <c r="H190" i="7380"/>
  <c r="G41" i="1792"/>
  <c r="E47" s="1"/>
  <c r="G47" s="1"/>
  <c r="E53" s="1"/>
  <c r="G53" s="1"/>
  <c r="G219"/>
  <c r="E65" i="11565"/>
  <c r="G65" s="1"/>
  <c r="H65" s="1"/>
  <c r="H45"/>
  <c r="E67"/>
  <c r="G67" s="1"/>
  <c r="H67" s="1"/>
  <c r="H47"/>
  <c r="E62"/>
  <c r="G62" s="1"/>
  <c r="H62" s="1"/>
  <c r="H42"/>
  <c r="E64"/>
  <c r="G64" s="1"/>
  <c r="H64" s="1"/>
  <c r="H44"/>
  <c r="E63"/>
  <c r="G63" s="1"/>
  <c r="H63" s="1"/>
  <c r="H43"/>
  <c r="E13"/>
  <c r="H7"/>
  <c r="G28" i="7380"/>
  <c r="E34" s="1"/>
  <c r="G34" s="1"/>
  <c r="E40" s="1"/>
  <c r="G40" s="1"/>
  <c r="D19" i="2"/>
  <c r="F19" s="1"/>
  <c r="G222" i="1792"/>
  <c r="E242" s="1"/>
  <c r="H212"/>
  <c r="H187" i="7380"/>
  <c r="J48" i="60796"/>
  <c r="D8" i="2"/>
  <c r="E8" s="1"/>
  <c r="G224" i="1792"/>
  <c r="E244" s="1"/>
  <c r="H244" s="1"/>
  <c r="H45"/>
  <c r="J38" i="60796"/>
  <c r="G15"/>
  <c r="H158" i="1792"/>
  <c r="L46" i="60796"/>
  <c r="E19" i="7380"/>
  <c r="G19" s="1"/>
  <c r="H19" s="1"/>
  <c r="E57" i="11565"/>
  <c r="G57" s="1"/>
  <c r="H57" s="1"/>
  <c r="E59"/>
  <c r="G59" s="1"/>
  <c r="H59" s="1"/>
  <c r="E58"/>
  <c r="G58" s="1"/>
  <c r="H58" s="1"/>
  <c r="E32" i="1792"/>
  <c r="G32" s="1"/>
  <c r="H32" s="1"/>
  <c r="J37" i="60796"/>
  <c r="L37"/>
  <c r="E26" i="1792"/>
  <c r="G26" s="1"/>
  <c r="E31" s="1"/>
  <c r="G31" s="1"/>
  <c r="H31" s="1"/>
  <c r="H21"/>
  <c r="E55" i="11565"/>
  <c r="G55" s="1"/>
  <c r="H55" s="1"/>
  <c r="E238" i="1792"/>
  <c r="H238" s="1"/>
  <c r="E235"/>
  <c r="G235" s="1"/>
  <c r="E234"/>
  <c r="H234" s="1"/>
  <c r="E243"/>
  <c r="G243" s="1"/>
  <c r="E239"/>
  <c r="H239" s="1"/>
  <c r="E246"/>
  <c r="H246" s="1"/>
  <c r="D18" i="2"/>
  <c r="E18" s="1"/>
  <c r="J36" i="60796"/>
  <c r="L36"/>
  <c r="I37"/>
  <c r="D22" i="2"/>
  <c r="L44" i="60796"/>
  <c r="J44"/>
  <c r="H189" i="7380"/>
  <c r="L48" i="60796"/>
  <c r="L47"/>
  <c r="D25" i="2"/>
  <c r="F25" s="1"/>
  <c r="J46" i="60796"/>
  <c r="J50"/>
  <c r="L49"/>
  <c r="I25"/>
  <c r="H245" i="1792"/>
  <c r="E241"/>
  <c r="H241" s="1"/>
  <c r="E229"/>
  <c r="G229" s="1"/>
  <c r="G216"/>
  <c r="E236" s="1"/>
  <c r="G232"/>
  <c r="H232"/>
  <c r="J59" i="60796"/>
  <c r="L59"/>
  <c r="L57"/>
  <c r="J57"/>
  <c r="D28" i="2"/>
  <c r="J56" i="60796"/>
  <c r="L56"/>
  <c r="L58"/>
  <c r="D29" i="2"/>
  <c r="F29" s="1"/>
  <c r="J58" i="60796"/>
  <c r="F39"/>
  <c r="G87" i="11565"/>
  <c r="G54" i="60796"/>
  <c r="E224" i="7380"/>
  <c r="G224" s="1"/>
  <c r="H224" s="1"/>
  <c r="H203"/>
  <c r="E223"/>
  <c r="E218"/>
  <c r="G218" s="1"/>
  <c r="H218" s="1"/>
  <c r="H198"/>
  <c r="H46" i="1792"/>
  <c r="E52"/>
  <c r="G52" s="1"/>
  <c r="H52" s="1"/>
  <c r="H43" i="60796"/>
  <c r="L43" s="1"/>
  <c r="H41"/>
  <c r="J41" s="1"/>
  <c r="I42"/>
  <c r="F43" s="1"/>
  <c r="K43" s="1"/>
  <c r="H42"/>
  <c r="H33" i="7380"/>
  <c r="E39"/>
  <c r="G39" s="1"/>
  <c r="H39" s="1"/>
  <c r="H24" i="60796"/>
  <c r="D13" i="2" s="1"/>
  <c r="G64" i="60796"/>
  <c r="G234" i="7380"/>
  <c r="H234" s="1"/>
  <c r="H214"/>
  <c r="H9" i="1792"/>
  <c r="E28"/>
  <c r="G28" s="1"/>
  <c r="E33" s="1"/>
  <c r="G33" s="1"/>
  <c r="G238"/>
  <c r="H27"/>
  <c r="E14"/>
  <c r="G14" s="1"/>
  <c r="H14" s="1"/>
  <c r="I40" i="60796"/>
  <c r="F41" s="1"/>
  <c r="K41" s="1"/>
  <c r="H40"/>
  <c r="H39"/>
  <c r="H51"/>
  <c r="L35"/>
  <c r="J35"/>
  <c r="L34"/>
  <c r="J34"/>
  <c r="H7"/>
  <c r="D6" i="2" s="1"/>
  <c r="F7"/>
  <c r="G257" i="7380"/>
  <c r="H257"/>
  <c r="G259"/>
  <c r="H259"/>
  <c r="D34" i="2"/>
  <c r="E34" s="1"/>
  <c r="J71" i="60796"/>
  <c r="J26"/>
  <c r="D14" i="2"/>
  <c r="F14" s="1"/>
  <c r="I62" i="60796"/>
  <c r="F63" s="1"/>
  <c r="I63" s="1"/>
  <c r="F64" s="1"/>
  <c r="G29"/>
  <c r="K29" s="1"/>
  <c r="G209" i="1792"/>
  <c r="D35" i="2"/>
  <c r="F35" s="1"/>
  <c r="D32"/>
  <c r="E32" s="1"/>
  <c r="L83" i="60796"/>
  <c r="D38" i="2"/>
  <c r="F38" s="1"/>
  <c r="D30"/>
  <c r="F30" s="1"/>
  <c r="G46" i="11565"/>
  <c r="G55" i="60796"/>
  <c r="G53"/>
  <c r="P52" s="1"/>
  <c r="I47"/>
  <c r="H79"/>
  <c r="I79"/>
  <c r="F80" s="1"/>
  <c r="K80" s="1"/>
  <c r="H204" i="7380"/>
  <c r="G225"/>
  <c r="H225" s="1"/>
  <c r="H205"/>
  <c r="G78" i="60796"/>
  <c r="G77"/>
  <c r="I76"/>
  <c r="F77" s="1"/>
  <c r="G16" i="1792"/>
  <c r="G32" i="60796"/>
  <c r="K32" s="1"/>
  <c r="G31"/>
  <c r="I59"/>
  <c r="G17"/>
  <c r="G80" i="11565"/>
  <c r="H80" s="1"/>
  <c r="G76"/>
  <c r="E90" s="1"/>
  <c r="G81"/>
  <c r="G82"/>
  <c r="G23"/>
  <c r="E28" s="1"/>
  <c r="E10"/>
  <c r="G10" s="1"/>
  <c r="G9"/>
  <c r="G8"/>
  <c r="G10" i="1792"/>
  <c r="H7"/>
  <c r="E13"/>
  <c r="G13" s="1"/>
  <c r="H13" s="1"/>
  <c r="L26" i="60796"/>
  <c r="J83"/>
  <c r="D39" i="2"/>
  <c r="F24"/>
  <c r="L81" i="60796"/>
  <c r="J81"/>
  <c r="I82"/>
  <c r="E17" i="2"/>
  <c r="I56" i="60796"/>
  <c r="F57" s="1"/>
  <c r="K57" s="1"/>
  <c r="I20"/>
  <c r="I7"/>
  <c r="F8" s="1"/>
  <c r="K8" s="1"/>
  <c r="I28"/>
  <c r="H18"/>
  <c r="D11" i="2" s="1"/>
  <c r="E23"/>
  <c r="F23"/>
  <c r="I51" i="60796"/>
  <c r="I75"/>
  <c r="F17" i="2"/>
  <c r="H21" i="60796"/>
  <c r="D12" i="2" s="1"/>
  <c r="I21" i="60796"/>
  <c r="F22" s="1"/>
  <c r="K22" s="1"/>
  <c r="L73"/>
  <c r="J73"/>
  <c r="H265" i="7380"/>
  <c r="G265"/>
  <c r="G255"/>
  <c r="H255"/>
  <c r="H14"/>
  <c r="G10"/>
  <c r="E15" s="1"/>
  <c r="G15" s="1"/>
  <c r="E20" s="1"/>
  <c r="G20" s="1"/>
  <c r="G18"/>
  <c r="H18" s="1"/>
  <c r="H13"/>
  <c r="G266" i="1792"/>
  <c r="E281" s="1"/>
  <c r="G281" s="1"/>
  <c r="G280"/>
  <c r="G276"/>
  <c r="G173" i="7380"/>
  <c r="H173" s="1"/>
  <c r="H111"/>
  <c r="E24" i="2"/>
  <c r="J60" i="60796"/>
  <c r="L60"/>
  <c r="F5" i="60801"/>
  <c r="F7" s="1"/>
  <c r="E7"/>
  <c r="H209" i="7380"/>
  <c r="G229"/>
  <c r="H229" s="1"/>
  <c r="H206"/>
  <c r="H200"/>
  <c r="G220"/>
  <c r="H220" s="1"/>
  <c r="G260"/>
  <c r="H260"/>
  <c r="G252"/>
  <c r="E267" s="1"/>
  <c r="G267" s="1"/>
  <c r="H179"/>
  <c r="H76" i="1792"/>
  <c r="H27" i="7380"/>
  <c r="G233"/>
  <c r="H233" s="1"/>
  <c r="H213"/>
  <c r="H211"/>
  <c r="G231"/>
  <c r="H231" s="1"/>
  <c r="H201"/>
  <c r="G221"/>
  <c r="H221" s="1"/>
  <c r="G263"/>
  <c r="H263"/>
  <c r="J65" i="60796"/>
  <c r="L65"/>
  <c r="H233" i="1792"/>
  <c r="G233"/>
  <c r="H210" i="7380"/>
  <c r="G230"/>
  <c r="H230" s="1"/>
  <c r="H208"/>
  <c r="G228"/>
  <c r="H228" s="1"/>
  <c r="G195"/>
  <c r="I68" i="60796"/>
  <c r="F69" s="1"/>
  <c r="H68"/>
  <c r="C44" i="2"/>
  <c r="G237" i="1792"/>
  <c r="H237"/>
  <c r="H261" i="7380"/>
  <c r="G261"/>
  <c r="H207"/>
  <c r="G227"/>
  <c r="H227" s="1"/>
  <c r="H202"/>
  <c r="G222"/>
  <c r="H222" s="1"/>
  <c r="H31"/>
  <c r="E37"/>
  <c r="G37" s="1"/>
  <c r="H37" s="1"/>
  <c r="H264"/>
  <c r="G264"/>
  <c r="F20" i="60801"/>
  <c r="H212" i="7380"/>
  <c r="G232"/>
  <c r="H232" s="1"/>
  <c r="G223" l="1"/>
  <c r="H223" s="1"/>
  <c r="H53" i="1792"/>
  <c r="P54" i="60796"/>
  <c r="P55" s="1"/>
  <c r="G13" i="11565"/>
  <c r="H13" s="1"/>
  <c r="G84" i="60796"/>
  <c r="K54"/>
  <c r="G234" i="1792"/>
  <c r="H243"/>
  <c r="K77" i="60796"/>
  <c r="F8" i="2"/>
  <c r="K63" i="60796"/>
  <c r="I15"/>
  <c r="F16" s="1"/>
  <c r="K15"/>
  <c r="K64"/>
  <c r="I39"/>
  <c r="K39"/>
  <c r="I69"/>
  <c r="F70" s="1"/>
  <c r="K69"/>
  <c r="H14"/>
  <c r="J14" s="1"/>
  <c r="H26" i="1792"/>
  <c r="H235"/>
  <c r="G241"/>
  <c r="E14" i="11565"/>
  <c r="G14" s="1"/>
  <c r="H14" s="1"/>
  <c r="H8"/>
  <c r="E54"/>
  <c r="G54" s="1"/>
  <c r="H54" s="1"/>
  <c r="H34"/>
  <c r="E96"/>
  <c r="G96" s="1"/>
  <c r="H96" s="1"/>
  <c r="H82"/>
  <c r="G90"/>
  <c r="H76"/>
  <c r="G28"/>
  <c r="H28" s="1"/>
  <c r="H23"/>
  <c r="E95"/>
  <c r="G95" s="1"/>
  <c r="H95" s="1"/>
  <c r="H81"/>
  <c r="E66"/>
  <c r="G66" s="1"/>
  <c r="H66" s="1"/>
  <c r="H46"/>
  <c r="E15"/>
  <c r="G15" s="1"/>
  <c r="H15" s="1"/>
  <c r="H9"/>
  <c r="H242" i="1792"/>
  <c r="G242"/>
  <c r="F18" i="2"/>
  <c r="G246" i="1792"/>
  <c r="G239"/>
  <c r="H240"/>
  <c r="E25" i="2"/>
  <c r="E29"/>
  <c r="I8" i="60796"/>
  <c r="G244" i="1792"/>
  <c r="G236"/>
  <c r="H236"/>
  <c r="E249"/>
  <c r="G249" s="1"/>
  <c r="H54" i="60796"/>
  <c r="J43"/>
  <c r="H52"/>
  <c r="L52" s="1"/>
  <c r="L41"/>
  <c r="D21" i="2"/>
  <c r="F21" s="1"/>
  <c r="J42" i="60796"/>
  <c r="L42"/>
  <c r="H53"/>
  <c r="I43"/>
  <c r="H62"/>
  <c r="D31" i="2" s="1"/>
  <c r="I64" i="60796"/>
  <c r="L24"/>
  <c r="J24"/>
  <c r="H13"/>
  <c r="H12"/>
  <c r="J12" s="1"/>
  <c r="I13"/>
  <c r="F14" s="1"/>
  <c r="K14" s="1"/>
  <c r="F32" i="2"/>
  <c r="I41" i="60796"/>
  <c r="L40"/>
  <c r="D20" i="2"/>
  <c r="J40" i="60796"/>
  <c r="J39"/>
  <c r="L39"/>
  <c r="J51"/>
  <c r="L51"/>
  <c r="H55"/>
  <c r="E38" i="2"/>
  <c r="F34"/>
  <c r="E35"/>
  <c r="D9" i="1"/>
  <c r="E30" i="2"/>
  <c r="J7" i="60796"/>
  <c r="L7"/>
  <c r="I22"/>
  <c r="F23" s="1"/>
  <c r="K23" s="1"/>
  <c r="E7" i="2"/>
  <c r="E19"/>
  <c r="E92" i="11565"/>
  <c r="E94"/>
  <c r="G94" s="1"/>
  <c r="H94" s="1"/>
  <c r="I29" i="60796"/>
  <c r="F30" s="1"/>
  <c r="K30" s="1"/>
  <c r="E13" i="2"/>
  <c r="F13"/>
  <c r="D5" i="1"/>
  <c r="D11"/>
  <c r="F11" s="1"/>
  <c r="I54" i="60796"/>
  <c r="F55" s="1"/>
  <c r="K55" s="1"/>
  <c r="G41" i="11565"/>
  <c r="I52" i="60796"/>
  <c r="F53" s="1"/>
  <c r="K53" s="1"/>
  <c r="D37" i="2"/>
  <c r="L79" i="60796"/>
  <c r="J79"/>
  <c r="I80"/>
  <c r="H76"/>
  <c r="D36" i="2" s="1"/>
  <c r="I77" i="60796"/>
  <c r="F78" s="1"/>
  <c r="K78" s="1"/>
  <c r="D33" i="2"/>
  <c r="F33" s="1"/>
  <c r="H32" i="60796"/>
  <c r="I32"/>
  <c r="F33" s="1"/>
  <c r="K33" s="1"/>
  <c r="H29"/>
  <c r="D15" i="2" s="1"/>
  <c r="E14"/>
  <c r="D7" i="1"/>
  <c r="F11" i="2"/>
  <c r="E11"/>
  <c r="E39"/>
  <c r="H15" i="60796"/>
  <c r="D10" i="2" s="1"/>
  <c r="G86" i="11565"/>
  <c r="G48"/>
  <c r="G36"/>
  <c r="E51"/>
  <c r="G51" s="1"/>
  <c r="G49"/>
  <c r="G40"/>
  <c r="G50"/>
  <c r="E24"/>
  <c r="G24" s="1"/>
  <c r="G22"/>
  <c r="E27" s="1"/>
  <c r="E29" s="1"/>
  <c r="D13" i="1"/>
  <c r="E13" s="1"/>
  <c r="F39" i="2"/>
  <c r="E22"/>
  <c r="F28"/>
  <c r="E6"/>
  <c r="F6"/>
  <c r="E28"/>
  <c r="I57" i="60796"/>
  <c r="F22" i="2"/>
  <c r="J21" i="60796"/>
  <c r="E12" i="2"/>
  <c r="J18" i="60796"/>
  <c r="L18"/>
  <c r="L21"/>
  <c r="G226" i="7380"/>
  <c r="H226" s="1"/>
  <c r="F22" i="60801"/>
  <c r="E37" s="1"/>
  <c r="F37" s="1"/>
  <c r="L68" i="60796"/>
  <c r="J68"/>
  <c r="G142" i="1792"/>
  <c r="G187" s="1"/>
  <c r="G199" i="7380"/>
  <c r="E219" s="1"/>
  <c r="E215"/>
  <c r="G215" s="1"/>
  <c r="E16" i="11565" l="1"/>
  <c r="G16" s="1"/>
  <c r="H90"/>
  <c r="I16" i="60796"/>
  <c r="F17" s="1"/>
  <c r="K16"/>
  <c r="I70"/>
  <c r="K70"/>
  <c r="G27" i="11565"/>
  <c r="H27" s="1"/>
  <c r="H22"/>
  <c r="E60"/>
  <c r="G60" s="1"/>
  <c r="H60" s="1"/>
  <c r="H40"/>
  <c r="E68"/>
  <c r="H48"/>
  <c r="E61"/>
  <c r="H41"/>
  <c r="E70"/>
  <c r="G70" s="1"/>
  <c r="H70" s="1"/>
  <c r="H50"/>
  <c r="E69"/>
  <c r="G69" s="1"/>
  <c r="H69" s="1"/>
  <c r="H49"/>
  <c r="E56"/>
  <c r="G56" s="1"/>
  <c r="H56" s="1"/>
  <c r="H36"/>
  <c r="E100"/>
  <c r="G100" s="1"/>
  <c r="H100" s="1"/>
  <c r="H86"/>
  <c r="J62" i="60796"/>
  <c r="L62"/>
  <c r="D26" i="2"/>
  <c r="E26" s="1"/>
  <c r="J52" i="60796"/>
  <c r="E21" i="2"/>
  <c r="L53" i="60796"/>
  <c r="J53"/>
  <c r="D9" i="2"/>
  <c r="J13" i="60796"/>
  <c r="L13"/>
  <c r="I14"/>
  <c r="J55"/>
  <c r="L55"/>
  <c r="L54"/>
  <c r="D27" i="2"/>
  <c r="E27" s="1"/>
  <c r="J54" i="60796"/>
  <c r="I33"/>
  <c r="E33" i="2"/>
  <c r="I30" i="60796"/>
  <c r="F31" s="1"/>
  <c r="K31" s="1"/>
  <c r="I23"/>
  <c r="G92" i="11565"/>
  <c r="H92" s="1"/>
  <c r="J32" i="60796"/>
  <c r="D16" i="2"/>
  <c r="F16" s="1"/>
  <c r="E31"/>
  <c r="F31"/>
  <c r="I55" i="60796"/>
  <c r="G61" i="11565"/>
  <c r="H61" s="1"/>
  <c r="I53" i="60796"/>
  <c r="E37" i="2"/>
  <c r="F37"/>
  <c r="L76" i="60796"/>
  <c r="J76"/>
  <c r="I78"/>
  <c r="E36" i="2"/>
  <c r="F36"/>
  <c r="D10" i="1"/>
  <c r="L32" i="60796"/>
  <c r="J29"/>
  <c r="L29"/>
  <c r="F10" i="2"/>
  <c r="E10"/>
  <c r="F5" i="1"/>
  <c r="L15" i="60796"/>
  <c r="J15"/>
  <c r="G68" i="11565"/>
  <c r="H68" s="1"/>
  <c r="H187" i="1792"/>
  <c r="H142"/>
  <c r="F7" i="1"/>
  <c r="F13"/>
  <c r="E5"/>
  <c r="E11"/>
  <c r="F12" i="2"/>
  <c r="H199" i="7380"/>
  <c r="G29" i="11565" l="1"/>
  <c r="E71"/>
  <c r="G71" s="1"/>
  <c r="I17" i="60796"/>
  <c r="K17"/>
  <c r="F26" i="2"/>
  <c r="E16"/>
  <c r="F27"/>
  <c r="E9"/>
  <c r="D42"/>
  <c r="F9"/>
  <c r="D8" i="1"/>
  <c r="F8" s="1"/>
  <c r="I31" i="60796"/>
  <c r="F20" i="2"/>
  <c r="E20"/>
  <c r="D6" i="1"/>
  <c r="E6" s="1"/>
  <c r="F15" i="2"/>
  <c r="E15"/>
  <c r="G85" i="11565"/>
  <c r="G83"/>
  <c r="G84"/>
  <c r="E7" i="1"/>
  <c r="E235" i="7380"/>
  <c r="G235" s="1"/>
  <c r="G219"/>
  <c r="H219" s="1"/>
  <c r="F9" i="1"/>
  <c r="E9"/>
  <c r="F10"/>
  <c r="E10"/>
  <c r="E97" i="11565" l="1"/>
  <c r="H83"/>
  <c r="E98"/>
  <c r="G98" s="1"/>
  <c r="H98" s="1"/>
  <c r="H84"/>
  <c r="E99"/>
  <c r="G99" s="1"/>
  <c r="H99" s="1"/>
  <c r="H85"/>
  <c r="E42" i="2"/>
  <c r="E8" i="1"/>
  <c r="F6"/>
  <c r="D43" i="2"/>
  <c r="G97" i="11565" l="1"/>
  <c r="G102" s="1"/>
  <c r="E101"/>
  <c r="G101" s="1"/>
  <c r="H101" s="1"/>
  <c r="H97" l="1"/>
</calcChain>
</file>

<file path=xl/comments1.xml><?xml version="1.0" encoding="utf-8"?>
<comments xmlns="http://schemas.openxmlformats.org/spreadsheetml/2006/main">
  <authors>
    <author>elemus</author>
    <author>ENORERO</author>
  </authors>
  <commentList>
    <comment ref="C7" authorId="0">
      <text>
        <r>
          <rPr>
            <b/>
            <sz val="8"/>
            <color indexed="81"/>
            <rFont val="Tahoma"/>
            <family val="2"/>
          </rPr>
          <t>e</t>
        </r>
        <r>
          <rPr>
            <b/>
            <sz val="8"/>
            <color indexed="10"/>
            <rFont val="Tahoma"/>
            <family val="2"/>
          </rPr>
          <t>lemus:</t>
        </r>
        <r>
          <rPr>
            <sz val="8"/>
            <color indexed="10"/>
            <rFont val="Tahoma"/>
            <family val="2"/>
          </rPr>
          <t xml:space="preserve">
SUSCEPTIBLE DE RECIBIR CUOTA DE IMPREVISTOS
8050 TONS????</t>
        </r>
      </text>
    </comment>
    <comment ref="E7" authorId="0">
      <text>
        <r>
          <rPr>
            <b/>
            <sz val="16"/>
            <color indexed="81"/>
            <rFont val="Tahoma"/>
            <family val="2"/>
          </rPr>
          <t>elemus:</t>
        </r>
        <r>
          <rPr>
            <sz val="16"/>
            <color indexed="81"/>
            <rFont val="Tahoma"/>
            <family val="2"/>
          </rPr>
          <t xml:space="preserve">
por resolucion 448 del 15 05 2013
se modifica la cuota de anchoveta XV - I regioes desde  
ene jun 62848 a 72848
jul dic 20949 a 10949
por resolucion 1198 del 18 115 2013
se modifica la cuota de anchoveta XV - I regiones desde  
ene jun 72848 a 74009
jul dic 10949 a 11124</t>
        </r>
      </text>
    </comment>
    <comment ref="E8" authorId="0">
      <text>
        <r>
          <rPr>
            <b/>
            <sz val="16"/>
            <color indexed="81"/>
            <rFont val="Tahoma"/>
            <family val="2"/>
          </rPr>
          <t>elemus:</t>
        </r>
        <r>
          <rPr>
            <sz val="16"/>
            <color indexed="81"/>
            <rFont val="Tahoma"/>
            <family val="2"/>
          </rPr>
          <t xml:space="preserve">
por resolucion 2694 del 01 10 2013
se modifica cuota original, activando cuota de </t>
        </r>
        <r>
          <rPr>
            <b/>
            <sz val="16"/>
            <color indexed="81"/>
            <rFont val="Tahoma"/>
            <family val="2"/>
          </rPr>
          <t>imprevistos</t>
        </r>
        <r>
          <rPr>
            <sz val="16"/>
            <color indexed="81"/>
            <rFont val="Tahoma"/>
            <family val="2"/>
          </rPr>
          <t xml:space="preserve"> para </t>
        </r>
        <r>
          <rPr>
            <b/>
            <sz val="16"/>
            <color indexed="81"/>
            <rFont val="Tahoma"/>
            <family val="2"/>
          </rPr>
          <t>la XV</t>
        </r>
        <r>
          <rPr>
            <sz val="16"/>
            <color indexed="81"/>
            <rFont val="Tahoma"/>
            <family val="2"/>
          </rPr>
          <t xml:space="preserve"> correspondiente a </t>
        </r>
        <r>
          <rPr>
            <b/>
            <sz val="16"/>
            <color indexed="81"/>
            <rFont val="Tahoma"/>
            <family val="2"/>
          </rPr>
          <t>8.050</t>
        </r>
        <r>
          <rPr>
            <sz val="16"/>
            <color indexed="81"/>
            <rFont val="Tahoma"/>
            <family val="2"/>
          </rPr>
          <t xml:space="preserve"> toneladas las que se sumaran a 10.949 asignadas para el periodo jul dic
</t>
        </r>
      </text>
    </comment>
    <comment ref="E9" authorId="0">
      <text>
        <r>
          <rPr>
            <b/>
            <sz val="16"/>
            <color indexed="81"/>
            <rFont val="Tahoma"/>
            <family val="2"/>
          </rPr>
          <t>elemus:</t>
        </r>
        <r>
          <rPr>
            <sz val="16"/>
            <color indexed="81"/>
            <rFont val="Tahoma"/>
            <family val="2"/>
          </rPr>
          <t xml:space="preserve">
por resolucion 1198 del 18 115 2013
se modifica la cuota de anchoveta II region desde  
ene jun 23738 a 24137
jul dic 7913 a 8046
</t>
        </r>
      </text>
    </comment>
    <comment ref="E34" authorId="0">
      <text>
        <r>
          <rPr>
            <b/>
            <sz val="16"/>
            <color indexed="81"/>
            <rFont val="Tahoma"/>
            <family val="2"/>
          </rPr>
          <t>elemus:
modifica DE 427 del 29 04 2013, valor de cuotas jurel en amarillo
modifica DE 846 del 26 08 2013, valor de cuotas jurel en amarillo</t>
        </r>
      </text>
    </comment>
    <comment ref="C38" authorId="0">
      <text>
        <r>
          <rPr>
            <b/>
            <sz val="8"/>
            <color indexed="81"/>
            <rFont val="Tahoma"/>
            <family val="2"/>
          </rPr>
          <t>e</t>
        </r>
        <r>
          <rPr>
            <b/>
            <sz val="8"/>
            <color indexed="10"/>
            <rFont val="Tahoma"/>
            <family val="2"/>
          </rPr>
          <t>lemus:</t>
        </r>
        <r>
          <rPr>
            <sz val="8"/>
            <color indexed="10"/>
            <rFont val="Tahoma"/>
            <family val="2"/>
          </rPr>
          <t xml:space="preserve">
SUSCEPTIBLE DE RECIBIR CUOTA DE IMPREVISTOS
1249 TONS
</t>
        </r>
      </text>
    </comment>
    <comment ref="C40" authorId="0">
      <text>
        <r>
          <rPr>
            <b/>
            <sz val="8"/>
            <color indexed="81"/>
            <rFont val="Tahoma"/>
            <family val="2"/>
          </rPr>
          <t>e</t>
        </r>
        <r>
          <rPr>
            <b/>
            <sz val="8"/>
            <color indexed="10"/>
            <rFont val="Tahoma"/>
            <family val="2"/>
          </rPr>
          <t>lemus:</t>
        </r>
        <r>
          <rPr>
            <sz val="8"/>
            <color indexed="10"/>
            <rFont val="Tahoma"/>
            <family val="2"/>
          </rPr>
          <t xml:space="preserve">
SUSCEPTIBLE DE RECIBIR CUOTA DE IMPREVISTOS
1249 TONS
</t>
        </r>
      </text>
    </comment>
    <comment ref="E40" authorId="0">
      <text>
        <r>
          <rPr>
            <b/>
            <sz val="16"/>
            <color indexed="81"/>
            <rFont val="Tahoma"/>
            <family val="2"/>
          </rPr>
          <t>elemus:</t>
        </r>
        <r>
          <rPr>
            <sz val="20"/>
            <color indexed="81"/>
            <rFont val="Tahoma"/>
            <family val="2"/>
          </rPr>
          <t xml:space="preserve">
modificado por re 1895 26 07 2013 aumento por cuota de imprevistos desde 4958 a 5076….
Por reol 2565 del 11 09 2013 se modificacuota global jurel IV</t>
        </r>
      </text>
    </comment>
    <comment ref="C42" authorId="0">
      <text>
        <r>
          <rPr>
            <b/>
            <sz val="8"/>
            <color indexed="81"/>
            <rFont val="Tahoma"/>
            <family val="2"/>
          </rPr>
          <t>elemus:</t>
        </r>
        <r>
          <rPr>
            <sz val="8"/>
            <color indexed="81"/>
            <rFont val="Tahoma"/>
            <family val="2"/>
          </rPr>
          <t xml:space="preserve">
POR RES 1687   01 07 13 
MODIFICA CUOTA desde 2193
A 1043  tons PRIMER PERIODO, QUEDANDO IGUAL EL SEGUNDO PERÍODO</t>
        </r>
      </text>
    </comment>
    <comment ref="E42" authorId="0">
      <text>
        <r>
          <rPr>
            <b/>
            <sz val="16"/>
            <color indexed="81"/>
            <rFont val="Tahoma"/>
            <family val="2"/>
          </rPr>
          <t>elemus:</t>
        </r>
        <r>
          <rPr>
            <sz val="20"/>
            <color indexed="81"/>
            <rFont val="Tahoma"/>
            <family val="2"/>
          </rPr>
          <t xml:space="preserve">
Por reol 2564 del 11 09 2013 se modificacuota global jurel V</t>
        </r>
      </text>
    </comment>
    <comment ref="E52" authorId="0">
      <text>
        <r>
          <rPr>
            <b/>
            <sz val="18"/>
            <color indexed="81"/>
            <rFont val="Tahoma"/>
            <family val="2"/>
          </rPr>
          <t>elemus:</t>
        </r>
        <r>
          <rPr>
            <sz val="18"/>
            <color indexed="81"/>
            <rFont val="Tahoma"/>
            <family val="2"/>
          </rPr>
          <t xml:space="preserve">
POR RESOL 2563 DEL 11 09 2013 
SE MODIFICA DISTRIBUCION DE CUOTA ARTES JUREL
Por Resol.  2988 del 30 11 2013, se modifica valor primer periodo de Acerval desde 236,499 a 7,799 por cesion a industrial, lo que afecta el valor presentado como cuota asignada
</t>
        </r>
        <r>
          <rPr>
            <sz val="8"/>
            <color indexed="81"/>
            <rFont val="Tahoma"/>
            <family val="2"/>
          </rPr>
          <t xml:space="preserve">
</t>
        </r>
      </text>
    </comment>
    <comment ref="E55" authorId="0">
      <text>
        <r>
          <rPr>
            <b/>
            <sz val="16"/>
            <color indexed="81"/>
            <rFont val="Tahoma"/>
            <family val="2"/>
          </rPr>
          <t>elemus:</t>
        </r>
        <r>
          <rPr>
            <sz val="16"/>
            <color indexed="81"/>
            <rFont val="Tahoma"/>
            <family val="2"/>
          </rPr>
          <t xml:space="preserve">
POR RESOLUCION 2560 11 09 2013 </t>
        </r>
        <r>
          <rPr>
            <sz val="12"/>
            <color indexed="81"/>
            <rFont val="Tahoma"/>
            <family val="2"/>
          </rPr>
          <t>(OJO QUE ESTA RESOLUCIÓN NOS LLEGA DESDE LA SUBPESCA EL 06 12 2013)</t>
        </r>
        <r>
          <rPr>
            <sz val="16"/>
            <color indexed="81"/>
            <rFont val="Tahoma"/>
            <family val="2"/>
          </rPr>
          <t>, SE MODIFICA COMPLETA LA ESTRUCTURA DE VALORES DE CUOTA JUREL X</t>
        </r>
      </text>
    </comment>
    <comment ref="E56" authorId="0">
      <text>
        <r>
          <rPr>
            <b/>
            <sz val="16"/>
            <color indexed="81"/>
            <rFont val="Tahoma"/>
            <family val="2"/>
          </rPr>
          <t>elemus:</t>
        </r>
        <r>
          <rPr>
            <sz val="16"/>
            <color indexed="81"/>
            <rFont val="Tahoma"/>
            <family val="2"/>
          </rPr>
          <t xml:space="preserve">
por resolucion 1198 del 18 11 2013
se modifica la cuota de Sardina española XV - I region desde  
ene jun 377 a 388
jul dic 126 a 130
</t>
        </r>
      </text>
    </comment>
    <comment ref="E58" authorId="0">
      <text>
        <r>
          <rPr>
            <b/>
            <sz val="16"/>
            <color indexed="81"/>
            <rFont val="Tahoma"/>
            <family val="2"/>
          </rPr>
          <t>elemus:</t>
        </r>
        <r>
          <rPr>
            <sz val="16"/>
            <color indexed="81"/>
            <rFont val="Tahoma"/>
            <family val="2"/>
          </rPr>
          <t xml:space="preserve">
por resolucion 1198 del 18 11 2013
se modifica la cuota de Sardina española II region desde  
ene jun 1430 a 1472
jul dic 477 a 490
</t>
        </r>
      </text>
    </comment>
    <comment ref="C62" authorId="0">
      <text>
        <r>
          <rPr>
            <b/>
            <sz val="8"/>
            <color indexed="81"/>
            <rFont val="Tahoma"/>
            <family val="2"/>
          </rPr>
          <t>e</t>
        </r>
        <r>
          <rPr>
            <b/>
            <sz val="8"/>
            <color indexed="10"/>
            <rFont val="Tahoma"/>
            <family val="2"/>
          </rPr>
          <t>lemus:</t>
        </r>
        <r>
          <rPr>
            <sz val="8"/>
            <color indexed="10"/>
            <rFont val="Tahoma"/>
            <family val="2"/>
          </rPr>
          <t xml:space="preserve">
SUSCEPTIBLE DE RECIBIR CUOTA DE IMPREVISTOS
3298 TONS
</t>
        </r>
      </text>
    </comment>
    <comment ref="C73" authorId="0">
      <text>
        <r>
          <rPr>
            <b/>
            <sz val="8"/>
            <color indexed="81"/>
            <rFont val="Tahoma"/>
            <family val="2"/>
          </rPr>
          <t>e</t>
        </r>
        <r>
          <rPr>
            <b/>
            <sz val="8"/>
            <color indexed="10"/>
            <rFont val="Tahoma"/>
            <family val="2"/>
          </rPr>
          <t>lemus:</t>
        </r>
        <r>
          <rPr>
            <sz val="8"/>
            <color indexed="10"/>
            <rFont val="Tahoma"/>
            <family val="2"/>
          </rPr>
          <t xml:space="preserve">
SUSCEPTIBLE DE RECIBIR CUOTA DE IMPREVISTOS
2752 TONS
</t>
        </r>
      </text>
    </comment>
    <comment ref="E75" authorId="0">
      <text>
        <r>
          <rPr>
            <b/>
            <sz val="16"/>
            <color indexed="81"/>
            <rFont val="Tahoma"/>
            <family val="2"/>
          </rPr>
          <t>elemus:</t>
        </r>
        <r>
          <rPr>
            <sz val="16"/>
            <color indexed="81"/>
            <rFont val="Tahoma"/>
            <family val="2"/>
          </rPr>
          <t xml:space="preserve">
por resolucion 3135 del 14 11 2013
se modifica cuota original, activando cuota de </t>
        </r>
        <r>
          <rPr>
            <b/>
            <sz val="16"/>
            <color indexed="81"/>
            <rFont val="Tahoma"/>
            <family val="2"/>
          </rPr>
          <t>imprevistos</t>
        </r>
        <r>
          <rPr>
            <sz val="16"/>
            <color indexed="81"/>
            <rFont val="Tahoma"/>
            <family val="2"/>
          </rPr>
          <t xml:space="preserve"> para </t>
        </r>
        <r>
          <rPr>
            <b/>
            <sz val="16"/>
            <color indexed="81"/>
            <rFont val="Tahoma"/>
            <family val="2"/>
          </rPr>
          <t>la IX</t>
        </r>
        <r>
          <rPr>
            <sz val="16"/>
            <color indexed="81"/>
            <rFont val="Tahoma"/>
            <family val="2"/>
          </rPr>
          <t xml:space="preserve"> correspondiente a </t>
        </r>
        <r>
          <rPr>
            <b/>
            <sz val="16"/>
            <color indexed="81"/>
            <rFont val="Tahoma"/>
            <family val="2"/>
          </rPr>
          <t>2.752</t>
        </r>
        <r>
          <rPr>
            <sz val="16"/>
            <color indexed="81"/>
            <rFont val="Tahoma"/>
            <family val="2"/>
          </rPr>
          <t xml:space="preserve"> toneladas las que se sumaran a 269 asignadas para el periodo Sep dic, quedando en 3021
</t>
        </r>
      </text>
    </comment>
    <comment ref="C81" authorId="0">
      <text>
        <r>
          <rPr>
            <b/>
            <sz val="12"/>
            <color indexed="81"/>
            <rFont val="Tahoma"/>
            <family val="2"/>
          </rPr>
          <t>elemus:</t>
        </r>
        <r>
          <rPr>
            <sz val="12"/>
            <color indexed="81"/>
            <rFont val="Tahoma"/>
            <family val="2"/>
          </rPr>
          <t xml:space="preserve">
DE 1341 31 12 12
12440   8708Ene-jun y 3732jul-dic
modificada por DE 181 06 02 2013 a 17000 (14724enejun; 1636jundic; 300 FA; 340 inv)
Modifica por DE Nº746 25 07 2013 desde 14724 a 17000 enero junio; y desde 1636 a 4360 jul dic (340 investigacion y 300 de FAcomp. que quedan igual)
AL 29 07 2013 QUEDA FALTANDO LA RESOL QUE DISTRIBUYE ENTRE LOS RAE</t>
        </r>
      </text>
    </comment>
    <comment ref="E83" authorId="1">
      <text>
        <r>
          <rPr>
            <b/>
            <sz val="12"/>
            <color indexed="81"/>
            <rFont val="Tahoma"/>
            <family val="2"/>
          </rPr>
          <t>elemus
mas 80 de investigación
Por resolución 832 del 21 08 2013 se modifica cuota global de sardina austral desde 4000 (3920+80 de investigación) a 7000. (Ojo que esta reol nunca la mando C. Soto y nos enteramos ahora el 12 12 2013).</t>
        </r>
      </text>
    </comment>
  </commentList>
</comments>
</file>

<file path=xl/comments2.xml><?xml version="1.0" encoding="utf-8"?>
<comments xmlns="http://schemas.openxmlformats.org/spreadsheetml/2006/main">
  <authors>
    <author>elemus</author>
    <author>enorero</author>
  </authors>
  <commentList>
    <comment ref="A59" authorId="0">
      <text>
        <r>
          <rPr>
            <b/>
            <sz val="16"/>
            <color indexed="81"/>
            <rFont val="Tahoma"/>
            <family val="2"/>
          </rPr>
          <t xml:space="preserve">ELEMUS
res Ex 03 del 16 04 2013
cede desde siparmar coronel a Agrepar biobio
90 tons de anchoveta y 410 de sardina 
quedando 
</t>
        </r>
      </text>
    </comment>
    <comment ref="A60" authorId="0">
      <text>
        <r>
          <rPr>
            <b/>
            <sz val="16"/>
            <color indexed="81"/>
            <rFont val="Tahoma"/>
            <family val="2"/>
          </rPr>
          <t>elemus:</t>
        </r>
        <r>
          <rPr>
            <sz val="16"/>
            <color indexed="81"/>
            <rFont val="Tahoma"/>
            <family val="2"/>
          </rPr>
          <t xml:space="preserve">
cuota de ene ago 695
cuota sept dic 37
fauna acom 394
modificada por R ex 580 art 9
Por cesion resol ex 3453 del 10 12 13
se modifica cuota primer periodo desde 695 a 405 quedando igua el segundo periodo y Facomp</t>
        </r>
      </text>
    </comment>
    <comment ref="A65" authorId="0">
      <text>
        <r>
          <rPr>
            <b/>
            <sz val="14"/>
            <color indexed="81"/>
            <rFont val="Tahoma"/>
            <family val="2"/>
          </rPr>
          <t>elemus:</t>
        </r>
        <r>
          <rPr>
            <sz val="14"/>
            <color indexed="81"/>
            <rFont val="Tahoma"/>
            <family val="2"/>
          </rPr>
          <t xml:space="preserve">
Por resol ex Nº 09   26 07 2013  sparhital cede 100 ton de anchoveta a arpropelar primer periodo quedando iguales los segundos periodos y las FA
sparhital desde 264 a 164
arpropelar desde 1055 a 1155</t>
        </r>
      </text>
    </comment>
    <comment ref="C66" authorId="0">
      <text>
        <r>
          <rPr>
            <b/>
            <sz val="8"/>
            <color indexed="81"/>
            <rFont val="Tahoma"/>
            <family val="2"/>
          </rPr>
          <t>elemus:</t>
        </r>
        <r>
          <rPr>
            <sz val="8"/>
            <color indexed="81"/>
            <rFont val="Tahoma"/>
            <family val="2"/>
          </rPr>
          <t xml:space="preserve">
494 a 294
</t>
        </r>
      </text>
    </comment>
    <comment ref="A67" authorId="0">
      <text>
        <r>
          <rPr>
            <b/>
            <sz val="14"/>
            <color indexed="81"/>
            <rFont val="Arial"/>
            <family val="2"/>
          </rPr>
          <t>elemus:</t>
        </r>
        <r>
          <rPr>
            <sz val="14"/>
            <color indexed="81"/>
            <rFont val="Arial"/>
            <family val="2"/>
          </rPr>
          <t xml:space="preserve">
POR RES 07 del 18 07 07 13 se modifica cuota para el primer periodos, 
DESDE 86 TONS A 11 primer periodo, SEGUNDO PERÍODO y FA quedan igual
 75 ton a tres naves (socoroma, candelaria y candelaria II)</t>
        </r>
      </text>
    </comment>
    <comment ref="A82" authorId="0">
      <text>
        <r>
          <rPr>
            <b/>
            <sz val="14"/>
            <color indexed="81"/>
            <rFont val="Arial"/>
            <family val="2"/>
          </rPr>
          <t>elemus:</t>
        </r>
        <r>
          <rPr>
            <sz val="14"/>
            <color indexed="81"/>
            <rFont val="Arial"/>
            <family val="2"/>
          </rPr>
          <t xml:space="preserve">
POR RES 10 del 15 10 07 13 se modifica cuota para el primer periodos, 
DESDE 156 TONS A 6 primer periodo, SEGUNDO PERÍODO y FA quedan igual
 100 t a gianpiero
50 t a don claudio
</t>
        </r>
      </text>
    </comment>
    <comment ref="A94" authorId="0">
      <text>
        <r>
          <rPr>
            <b/>
            <sz val="14"/>
            <color indexed="81"/>
            <rFont val="Arial"/>
            <family val="2"/>
          </rPr>
          <t>elemus:</t>
        </r>
        <r>
          <rPr>
            <sz val="14"/>
            <color indexed="81"/>
            <rFont val="Arial"/>
            <family val="2"/>
          </rPr>
          <t xml:space="preserve">
Por resol ex Nº 1897   26 07 2013  STI CALETA TUMBES THNO cede 500 ton de anchoveta a dos armadores artesanales de la XIV
250 a Rio valdivia y 250 a Nabor, primer periodo quedando iguales los segundos periodos y las FA
pasando de 1873 a 1373 tons ene ago</t>
        </r>
      </text>
    </comment>
    <comment ref="C94" authorId="0">
      <text>
        <r>
          <rPr>
            <b/>
            <sz val="22"/>
            <color indexed="81"/>
            <rFont val="Tahoma"/>
            <family val="2"/>
          </rPr>
          <t>elemus:</t>
        </r>
        <r>
          <rPr>
            <sz val="22"/>
            <color indexed="81"/>
            <rFont val="Tahoma"/>
            <family val="2"/>
          </rPr>
          <t xml:space="preserve">
modifica según res 01 del 28 03 2013 desde 1923 a 1873 50 ton anchoveta
Por res 2533 del 09 09 2013
STI Tubes cede 600 tons de anchoveta a STI Cerqueros de Valdivia quedando:
desde 1373 a 773 primer periodo
segundo periodo igual
fauna acompañante desde 1090 a 874
</t>
        </r>
      </text>
    </comment>
    <comment ref="A95" authorId="0">
      <text>
        <r>
          <rPr>
            <b/>
            <sz val="14"/>
            <color indexed="81"/>
            <rFont val="Arial"/>
            <family val="2"/>
          </rPr>
          <t>elemus:</t>
        </r>
        <r>
          <rPr>
            <sz val="14"/>
            <color indexed="81"/>
            <rFont val="Arial"/>
            <family val="2"/>
          </rPr>
          <t xml:space="preserve">
POR RES 06 05 07 13 se modifica cuota para los dos periodos y FA, 
DESDE 314 TONS A 264 primer periodo, SEGUNDO PERÍODO y FA quedan igual
Por resol ex Nº 09   26 07 2013  sparhital cede 100 ton de anchoveta a arpropelar primer periodo quedando iguales los segundos periodos y las FA
sparhital desde 264 a 164
arpropelar desde 1055 a 1155</t>
        </r>
      </text>
    </comment>
    <comment ref="A98" authorId="0">
      <text>
        <r>
          <rPr>
            <b/>
            <sz val="14"/>
            <color indexed="81"/>
            <rFont val="Arial"/>
            <family val="2"/>
          </rPr>
          <t>elemus:</t>
        </r>
        <r>
          <rPr>
            <sz val="14"/>
            <color indexed="81"/>
            <rFont val="Arial"/>
            <family val="2"/>
          </rPr>
          <t xml:space="preserve">
POR RES 1066 23 04 13 CESION A EMBARCACION BUENA FE II DE LA VII, DE 231 TONS DE ANCHOVETA, DESDE 259 A 28 PRIMER PERIODO QUEDANDO IGUAL EL SEGUNDO PERÍODO
POR RES 1269 22 05 13 se modifica cuota para los dos periodos y FA, 
DESDE 259 TONS A 316 primer periodo, DESDE 14 A 17 SEGUNDO PERÍODO y desde 147 a 180 la FA</t>
        </r>
      </text>
    </comment>
    <comment ref="A99" authorId="0">
      <text>
        <r>
          <rPr>
            <b/>
            <sz val="14"/>
            <color indexed="81"/>
            <rFont val="Arial"/>
            <family val="2"/>
          </rPr>
          <t>elemus:</t>
        </r>
        <r>
          <rPr>
            <sz val="14"/>
            <color indexed="81"/>
            <rFont val="Arial"/>
            <family val="2"/>
          </rPr>
          <t xml:space="preserve">
POR RES 05 24 04 13 
CESION A EMBARCACION  RIO LOA I DE LA VIII, DE 2 TONS DE ANCHOVETA, DESDE 1448 A 1446 PRIMER PERIODO QUEDANDO IGUAL EL SEGUNDO PERÍODO
</t>
        </r>
      </text>
    </comment>
    <comment ref="C99" authorId="0">
      <text>
        <r>
          <rPr>
            <b/>
            <sz val="14"/>
            <color indexed="81"/>
            <rFont val="Tahoma"/>
            <family val="2"/>
          </rPr>
          <t>elemus:</t>
        </r>
        <r>
          <rPr>
            <sz val="14"/>
            <color indexed="81"/>
            <rFont val="Tahoma"/>
            <family val="2"/>
          </rPr>
          <t xml:space="preserve">
modifica según res 879 del 01 04 2013 
Anchoveta
desde 1280a 1448 ton ene ago
desde 67 a 76  spt dic
</t>
        </r>
      </text>
    </comment>
    <comment ref="A109" authorId="0">
      <text>
        <r>
          <rPr>
            <b/>
            <sz val="14"/>
            <color indexed="81"/>
            <rFont val="Tahoma"/>
            <family val="2"/>
          </rPr>
          <t>elemus:</t>
        </r>
        <r>
          <rPr>
            <sz val="14"/>
            <color indexed="81"/>
            <rFont val="Tahoma"/>
            <family val="2"/>
          </rPr>
          <t xml:space="preserve">
Por reson Ex 708 15 03 2013, se modifica cuota por traspaso a "Margarita del Mar" de la VII R. Era de 432 tons y queda en 352 tons.
</t>
        </r>
      </text>
    </comment>
    <comment ref="A114" authorId="0">
      <text>
        <r>
          <rPr>
            <b/>
            <sz val="14"/>
            <color indexed="81"/>
            <rFont val="Arial"/>
            <family val="2"/>
          </rPr>
          <t>elemus:</t>
        </r>
        <r>
          <rPr>
            <sz val="14"/>
            <color indexed="81"/>
            <rFont val="Arial"/>
            <family val="2"/>
          </rPr>
          <t xml:space="preserve">
POR RES 1067 23 04 13 CESION A EMBARCACION 
MARGARITA DEL MAR 200 TON DE ANCHOVETA Y A LA NAVE BUENA FE II 240, AMBAS DE LA VII, DESDE 1145 A 705 PRIMER PERIODO, QUEDANDO IGUAL EL SEGUNDO PERÍODO
</t>
        </r>
      </text>
    </comment>
    <comment ref="A115" authorId="0">
      <text>
        <r>
          <rPr>
            <b/>
            <sz val="16"/>
            <color indexed="81"/>
            <rFont val="Tahoma"/>
            <family val="2"/>
          </rPr>
          <t>elemus:</t>
        </r>
        <r>
          <rPr>
            <sz val="16"/>
            <color indexed="81"/>
            <rFont val="Tahoma"/>
            <family val="2"/>
          </rPr>
          <t xml:space="preserve">
Por cesion resol ex 3454 del 10 12 13
se cede 526,054 ton a armador industrial, se modifica cuota primer periodo desde 1582 a 1138,946, quedando el segundo en cero. Ademas se cede 575,335 ton al mismo armador industrial, desde la cuota de fauna acompañante desde 897 a 321,665 ton </t>
        </r>
      </text>
    </comment>
    <comment ref="A126" authorId="0">
      <text>
        <r>
          <rPr>
            <b/>
            <sz val="16"/>
            <color indexed="81"/>
            <rFont val="Tahoma"/>
            <family val="2"/>
          </rPr>
          <t>elemus:</t>
        </r>
        <r>
          <rPr>
            <sz val="16"/>
            <color indexed="81"/>
            <rFont val="Tahoma"/>
            <family val="2"/>
          </rPr>
          <t xml:space="preserve">
cuota de ene ago 695
cuota sept dic 37
fauna acom 394
modificada por R ex 580 art 9
</t>
        </r>
      </text>
    </comment>
    <comment ref="B181" authorId="1">
      <text>
        <r>
          <rPr>
            <b/>
            <sz val="14"/>
            <color indexed="81"/>
            <rFont val="Tahoma"/>
            <family val="2"/>
          </rPr>
          <t>Enorero:</t>
        </r>
        <r>
          <rPr>
            <sz val="14"/>
            <color indexed="81"/>
            <rFont val="Tahoma"/>
            <family val="2"/>
          </rPr>
          <t xml:space="preserve">
Rels. 3545 de 20/12/2012 Rectificatoria de la 3454 del 10/12/2013 por erro en la totalidad de las cuotas cedidas en en la fauna acompañante.</t>
        </r>
      </text>
    </comment>
    <comment ref="A192" authorId="0">
      <text>
        <r>
          <rPr>
            <b/>
            <sz val="14"/>
            <color indexed="81"/>
            <rFont val="Arial"/>
            <family val="2"/>
          </rPr>
          <t>elemus:</t>
        </r>
        <r>
          <rPr>
            <sz val="14"/>
            <color indexed="81"/>
            <rFont val="Arial"/>
            <family val="2"/>
          </rPr>
          <t xml:space="preserve">
POR RES 1812 18 07 13 
CESION APEVA A ACERVAL
200 TON DE ANCHOVETA 
ACERVAL RECIBE DESDE 2197,710 A 2397,71 PRIMER PERIODO, QUEDANDO IGUAL EL SEGUNDO PERÍODO
APEVAL CEDE DESDE 573,075 A 373,075 PRIMER PERIODO, QUEDANDO IGUAL EL SEGUNDO PERÍODO</t>
        </r>
      </text>
    </comment>
    <comment ref="A204" authorId="0">
      <text>
        <r>
          <rPr>
            <b/>
            <sz val="14"/>
            <color indexed="81"/>
            <rFont val="Arial"/>
            <family val="2"/>
          </rPr>
          <t>elemus:</t>
        </r>
        <r>
          <rPr>
            <sz val="14"/>
            <color indexed="81"/>
            <rFont val="Arial"/>
            <family val="2"/>
          </rPr>
          <t xml:space="preserve">
POR RES 1812 18 07 13 
CESION APEVA A ACERVAL
200 TON DE ANCHOVETA 
ACERVAL RECIBE DESDE 2197,710 A 2397,71 PRIMER PERIODO, QUEDANDO IGUAL EL SEGUNDO PERÍODO
APEVAL CEDE DESDE 573,075 A 373,075 PRIMER PERIODO, QUEDANDO IGUAL EL SEGUNDO PERÍODO</t>
        </r>
      </text>
    </comment>
    <comment ref="A216" authorId="0">
      <text>
        <r>
          <rPr>
            <b/>
            <sz val="20"/>
            <color indexed="81"/>
            <rFont val="Tahoma"/>
            <family val="2"/>
          </rPr>
          <t>elemus:</t>
        </r>
        <r>
          <rPr>
            <sz val="20"/>
            <color indexed="81"/>
            <rFont val="Tahoma"/>
            <family val="2"/>
          </rPr>
          <t xml:space="preserve">
Por res 2533 del 09 09 2013
STI Tubes cede 600 tons de anchoveta a STI Cerqueros de Valdivia quedando:
igual el primer periodo
segundo periodo desde 185,465 a 785,465 
igual segundo periodo</t>
        </r>
      </text>
    </comment>
  </commentList>
</comments>
</file>

<file path=xl/comments3.xml><?xml version="1.0" encoding="utf-8"?>
<comments xmlns="http://schemas.openxmlformats.org/spreadsheetml/2006/main">
  <authors>
    <author>falbornoz</author>
  </authors>
  <commentList>
    <comment ref="F126" authorId="0">
      <text>
        <r>
          <rPr>
            <b/>
            <sz val="14"/>
            <color indexed="81"/>
            <rFont val="Tahoma"/>
            <family val="2"/>
          </rPr>
          <t>falbornoz:</t>
        </r>
        <r>
          <rPr>
            <sz val="14"/>
            <color indexed="81"/>
            <rFont val="Tahoma"/>
            <family val="2"/>
          </rPr>
          <t xml:space="preserve">
informacion que esta siendo validada con la VIII ya que puede haber un error en la digitación</t>
        </r>
      </text>
    </comment>
  </commentList>
</comments>
</file>

<file path=xl/comments4.xml><?xml version="1.0" encoding="utf-8"?>
<comments xmlns="http://schemas.openxmlformats.org/spreadsheetml/2006/main">
  <authors>
    <author>elemus</author>
    <author>enorero</author>
  </authors>
  <commentList>
    <comment ref="A46" authorId="0">
      <text>
        <r>
          <rPr>
            <sz val="16"/>
            <color indexed="81"/>
            <rFont val="Tahoma"/>
            <family val="2"/>
          </rPr>
          <t>elemus:
cuota de ene ago 5396
cuota sept dic 284
fauna acom 5680
modificada por R ex 580 art 9
Por cesion resol Ex 3453 10 12 2013 se modifica cuota primer periodo desde 5396 hasta 2926, quedando igual el segundo periodo</t>
        </r>
      </text>
    </comment>
    <comment ref="A52" authorId="0">
      <text>
        <r>
          <rPr>
            <b/>
            <sz val="8"/>
            <color indexed="81"/>
            <rFont val="Tahoma"/>
            <family val="2"/>
          </rPr>
          <t>elemus:</t>
        </r>
        <r>
          <rPr>
            <sz val="8"/>
            <color indexed="81"/>
            <rFont val="Tahoma"/>
            <family val="2"/>
          </rPr>
          <t xml:space="preserve">
desde 3833 a 1233
</t>
        </r>
      </text>
    </comment>
    <comment ref="A53" authorId="0">
      <text>
        <r>
          <rPr>
            <b/>
            <sz val="14"/>
            <color indexed="81"/>
            <rFont val="Arial"/>
            <family val="2"/>
          </rPr>
          <t>elemus:</t>
        </r>
        <r>
          <rPr>
            <sz val="14"/>
            <color indexed="81"/>
            <rFont val="Arial"/>
            <family val="2"/>
          </rPr>
          <t xml:space="preserve">
POR RES 07 del 18 07 07 13 se modifica cuota para el primer periodos, 
DESDE 670 TONS A 470 primer periodo, SEGUNDO PERÍODO y FA quedan igual
 200 ton a siparmar</t>
        </r>
      </text>
    </comment>
    <comment ref="A66" authorId="0">
      <text>
        <r>
          <rPr>
            <b/>
            <sz val="14"/>
            <color indexed="81"/>
            <rFont val="Arial"/>
            <family val="2"/>
          </rPr>
          <t>elemus:</t>
        </r>
        <r>
          <rPr>
            <sz val="14"/>
            <color indexed="81"/>
            <rFont val="Arial"/>
            <family val="2"/>
          </rPr>
          <t xml:space="preserve">
POR RES 07 del 18 07 07 13 se modifica cuota para el primer periodos, 
DESDE 4512 TONS A 4712 primer periodo, SEGUNDO PERÍODO y FA quedan igual
 200 ton desde infiernillo 98-8</t>
        </r>
      </text>
    </comment>
    <comment ref="A68" authorId="0">
      <text>
        <r>
          <rPr>
            <b/>
            <sz val="14"/>
            <color indexed="81"/>
            <rFont val="Arial"/>
            <family val="2"/>
          </rPr>
          <t>elemus:</t>
        </r>
        <r>
          <rPr>
            <sz val="14"/>
            <color indexed="81"/>
            <rFont val="Arial"/>
            <family val="2"/>
          </rPr>
          <t xml:space="preserve">
POR RES 10 del 15 10 13 se modifica cuota para el primer periodo, 
DESDE 1211 TONS A 661 primer periodo, SEGUNDO PERÍODO quedan igual
 200 ton a Gianpiero
350 t a Don Claudio</t>
        </r>
      </text>
    </comment>
    <comment ref="A81" authorId="0">
      <text>
        <r>
          <rPr>
            <b/>
            <sz val="14"/>
            <color indexed="81"/>
            <rFont val="Arial"/>
            <family val="2"/>
          </rPr>
          <t>elemus:</t>
        </r>
        <r>
          <rPr>
            <sz val="14"/>
            <color indexed="81"/>
            <rFont val="Arial"/>
            <family val="2"/>
          </rPr>
          <t xml:space="preserve">
POR RES 1065 23 04 13 CESION A EMBARCACION LINARES DE LA IX, DE 680 TONS DE SARDINA COMUN, DESDE 2435 A 1755 PRIMER PERIODO QUEDANDO IGUAL EL SEGUNDO PERÍODO
</t>
        </r>
      </text>
    </comment>
    <comment ref="A84" authorId="0">
      <text>
        <r>
          <rPr>
            <b/>
            <sz val="14"/>
            <color indexed="81"/>
            <rFont val="Arial"/>
            <family val="2"/>
          </rPr>
          <t>elemus:</t>
        </r>
        <r>
          <rPr>
            <sz val="14"/>
            <color indexed="81"/>
            <rFont val="Arial"/>
            <family val="2"/>
          </rPr>
          <t xml:space="preserve">
POR RES 1066 23 04 13 CESION A EMBARCACION LINARES DE LA IX, DE 450 TONS DE SARDINA, DESDE 2009 A 1559 PRIMER PERIODO, QUEDANDO IGUAL EL SEGUNDO PERÍODO
POR RES 1269 22 05 13 se modifica cuota para los dos periodos, 
DESDE 1559 TONS A 2005 primer periodo, DESDE 106 A 129 SEGUNDO PERÍODO
POR RES 1324 24 05 13 
se modifica cuota para los dos periodos, 
DESDE 2005 TONS A 959 primer periodo, DESDE 129 A 106 SEGUNDO PERÍODO
POR RES 1440 05 06 13 
se modifica rectificando la cuota para los dos periodos, DESDE 959 t a 1405 t primer periodo, DESDE 106  a 129 en el SEGUNDO PERÍODO
</t>
        </r>
      </text>
    </comment>
    <comment ref="A85" authorId="0">
      <text>
        <r>
          <rPr>
            <b/>
            <sz val="14"/>
            <color indexed="81"/>
            <rFont val="Arial"/>
            <family val="2"/>
          </rPr>
          <t>elemus:</t>
        </r>
        <r>
          <rPr>
            <sz val="14"/>
            <color indexed="81"/>
            <rFont val="Arial"/>
            <family val="2"/>
          </rPr>
          <t xml:space="preserve">
POR RES 05 24 04 13 
CESION A EMBARCACION  RIO LOA I DE LA VIII, DE 198 TONS DE S COMUN, DESDE 11241 A 11043 PRIMER PERIODO, QUEDANDO IGUAL EL SEGUNDO PERÍODO
</t>
        </r>
      </text>
    </comment>
    <comment ref="C85" authorId="0">
      <text>
        <r>
          <rPr>
            <b/>
            <sz val="14"/>
            <color indexed="81"/>
            <rFont val="Tahoma"/>
            <family val="2"/>
          </rPr>
          <t>elemus:</t>
        </r>
        <r>
          <rPr>
            <sz val="14"/>
            <color indexed="81"/>
            <rFont val="Tahoma"/>
            <family val="2"/>
          </rPr>
          <t xml:space="preserve">
modifica según res 879 del 01 04 2013 
S. comun
desde 9938 a 11241 ton ene ago
desde 523 a 592  spt dic
</t>
        </r>
      </text>
    </comment>
    <comment ref="C90" authorId="1">
      <text>
        <r>
          <rPr>
            <b/>
            <sz val="8"/>
            <color indexed="81"/>
            <rFont val="Tahoma"/>
            <family val="2"/>
          </rPr>
          <t xml:space="preserve">enorero:
</t>
        </r>
        <r>
          <rPr>
            <sz val="18"/>
            <color indexed="81"/>
            <rFont val="Tahoma"/>
            <family val="2"/>
          </rPr>
          <t xml:space="preserve">
Reles.  N° 3765 del 30-12-2013 cesiona 300 ton a Industrial  a pesquera Landes SA. </t>
        </r>
      </text>
    </comment>
    <comment ref="C92" authorId="0">
      <text>
        <r>
          <rPr>
            <b/>
            <sz val="14"/>
            <color indexed="81"/>
            <rFont val="Tahoma"/>
            <family val="2"/>
          </rPr>
          <t xml:space="preserve">
elemus:</t>
        </r>
        <r>
          <rPr>
            <sz val="14"/>
            <color indexed="81"/>
            <rFont val="Tahoma"/>
            <family val="2"/>
          </rPr>
          <t xml:space="preserve">
modifica según res 02 del 02 04 2013 
S. comun
desde 4047 a 3647 ton ene ago
</t>
        </r>
      </text>
    </comment>
    <comment ref="A95" authorId="0">
      <text>
        <r>
          <rPr>
            <b/>
            <sz val="14"/>
            <color indexed="81"/>
            <rFont val="Tahoma"/>
            <family val="2"/>
          </rPr>
          <t>elemus:</t>
        </r>
        <r>
          <rPr>
            <sz val="14"/>
            <color indexed="81"/>
            <rFont val="Tahoma"/>
            <family val="2"/>
          </rPr>
          <t xml:space="preserve">
Por reson Ex 708 15 03 2013, se modifica cuota por traspaso a "Margarita del Mar" de la VII R. Era de 3353 tons y queda en 2633 tons.
Por rels. EX. N° 11 del 29/10/2013 cede a SIPARBUN 1200 tons. misma región.</t>
        </r>
      </text>
    </comment>
    <comment ref="A96" authorId="0">
      <text>
        <r>
          <rPr>
            <b/>
            <sz val="14"/>
            <color indexed="81"/>
            <rFont val="Arial"/>
            <family val="2"/>
          </rPr>
          <t>elemus:</t>
        </r>
        <r>
          <rPr>
            <sz val="14"/>
            <color indexed="81"/>
            <rFont val="Arial"/>
            <family val="2"/>
          </rPr>
          <t xml:space="preserve">
POR RES 1215 
13 05 13 
CESION A ACERVAL VALDIVIA
1400 TON DE SARDINA COMUN
DESDE 6478 A 5078 PRIMER PERIODO, QUEDANDO IGUAL EL SEGUNDO PERÍODO
</t>
        </r>
      </text>
    </comment>
    <comment ref="A100" authorId="0">
      <text>
        <r>
          <rPr>
            <b/>
            <sz val="14"/>
            <color indexed="81"/>
            <rFont val="Arial"/>
            <family val="2"/>
          </rPr>
          <t>elemus:</t>
        </r>
        <r>
          <rPr>
            <sz val="14"/>
            <color indexed="81"/>
            <rFont val="Arial"/>
            <family val="2"/>
          </rPr>
          <t xml:space="preserve">
POR RES 1067 23 04 13 CESION A EMBARCACION 
MARGARITA DEL MAR 800 TON DE SARDINA COMUN
 Y A LA NAVE LINARES 1050, AMBAS DE LA VII, DESDE 9182 A 7332 PRIMER PERIODO, QUEDANDO IGUAL EL SEGUNDO PERÍODO
POR RES 1898 26 07 13 CESION A EMBARCACIONES
RIO VALDIVIAB 600 TON DE SARDINA COMUN Y A LA NAVE NABOR 600 TONS, AMBAS DE LA XIV, DESDE 7332 A 6132  PRIMER PERIODO, QUEDANDO IGUAL EL SEGUNDO PERÍODO
RECIBE TRASPASO DE 1200 TONS. SEGUN RESL. N° 11 DEL 29/11/2013 DESDE SRS. TOMÉ QUICHUITO.</t>
        </r>
      </text>
    </comment>
    <comment ref="A101" authorId="0">
      <text>
        <r>
          <rPr>
            <b/>
            <sz val="22"/>
            <color indexed="81"/>
            <rFont val="Tahoma"/>
            <family val="2"/>
          </rPr>
          <t>elemus:</t>
        </r>
        <r>
          <rPr>
            <sz val="22"/>
            <color indexed="81"/>
            <rFont val="Tahoma"/>
            <family val="2"/>
          </rPr>
          <t xml:space="preserve">
por res 3454 del 10 12 2013 cede 9070,702 (entre ambos periodos, quedando el primer en 3860,298
el segundo periodo pasa de 647 a 0
</t>
        </r>
      </text>
    </comment>
    <comment ref="C106" authorId="0">
      <text>
        <r>
          <rPr>
            <b/>
            <sz val="8"/>
            <color indexed="81"/>
            <rFont val="Tahoma"/>
            <family val="2"/>
          </rPr>
          <t>elemus:</t>
        </r>
        <r>
          <rPr>
            <sz val="8"/>
            <color indexed="81"/>
            <rFont val="Tahoma"/>
            <family val="2"/>
          </rPr>
          <t xml:space="preserve">
desde 8198 a 23999
</t>
        </r>
      </text>
    </comment>
    <comment ref="A112" authorId="0">
      <text>
        <r>
          <rPr>
            <sz val="16"/>
            <color indexed="81"/>
            <rFont val="Tahoma"/>
            <family val="2"/>
          </rPr>
          <t>elemus:
cuota de ene ago 5396
cuota sept dic 284
fauna acom 5680
modificada por R ex 580 art 9</t>
        </r>
      </text>
    </comment>
    <comment ref="A178" authorId="0">
      <text>
        <r>
          <rPr>
            <b/>
            <sz val="8"/>
            <color indexed="81"/>
            <rFont val="Tahoma"/>
            <family val="2"/>
          </rPr>
          <t xml:space="preserve">ELEMUS
Res 974 11042013
de Apeval a Acerval, 500 tons 
desde 4414 a 3914 y 16927 a 17127
</t>
        </r>
      </text>
    </comment>
    <comment ref="A198" authorId="0">
      <text>
        <r>
          <rPr>
            <b/>
            <sz val="14"/>
            <color indexed="81"/>
            <rFont val="Arial"/>
            <family val="2"/>
          </rPr>
          <t>elemus:</t>
        </r>
        <r>
          <rPr>
            <sz val="14"/>
            <color indexed="81"/>
            <rFont val="Arial"/>
            <family val="2"/>
          </rPr>
          <t xml:space="preserve">
POR RES 1215 
13 05 13 
CESION A ACERVAL VALDIVIA DESDE ASPAS THNO.
1400 TON DE SARDINA COMUN
DESDE 1992 A 3392 SEGUNDO PERIODOPERIODO, QUEDANDO IGUALES EL PRIMER Y TERCER PERÍODO.
</t>
        </r>
      </text>
    </comment>
    <comment ref="A247" authorId="0">
      <text>
        <r>
          <rPr>
            <b/>
            <sz val="14"/>
            <color indexed="81"/>
            <rFont val="Arial"/>
            <family val="2"/>
          </rPr>
          <t>elemus:</t>
        </r>
        <r>
          <rPr>
            <sz val="14"/>
            <color indexed="81"/>
            <rFont val="Arial"/>
            <family val="2"/>
          </rPr>
          <t xml:space="preserve">
POR RES 1221 
16 05 13 
CESION A NATALY Y ANTARES III  DE LA X
600 TON DE SARDINA COMUN
DESDE 2330,930 A 1730,930
QUEDANDO IGUAL SEGUNDO PERÍODO.
</t>
        </r>
      </text>
    </comment>
  </commentList>
</comments>
</file>

<file path=xl/comments5.xml><?xml version="1.0" encoding="utf-8"?>
<comments xmlns="http://schemas.openxmlformats.org/spreadsheetml/2006/main">
  <authors>
    <author>falbornoz</author>
  </authors>
  <commentList>
    <comment ref="F76" authorId="0">
      <text>
        <r>
          <rPr>
            <b/>
            <sz val="8"/>
            <color indexed="81"/>
            <rFont val="Tahoma"/>
            <family val="2"/>
          </rPr>
          <t>falbornoz:</t>
        </r>
        <r>
          <rPr>
            <sz val="8"/>
            <color indexed="81"/>
            <rFont val="Tahoma"/>
            <family val="2"/>
          </rPr>
          <t xml:space="preserve">
INFORMACION QUE ESTA SIENDO VALIDADA CON LA VIII
</t>
        </r>
      </text>
    </comment>
    <comment ref="G76" authorId="0">
      <text>
        <r>
          <rPr>
            <b/>
            <sz val="8"/>
            <color indexed="81"/>
            <rFont val="Tahoma"/>
            <family val="2"/>
          </rPr>
          <t>falbornoz:</t>
        </r>
        <r>
          <rPr>
            <sz val="8"/>
            <color indexed="81"/>
            <rFont val="Tahoma"/>
            <family val="2"/>
          </rPr>
          <t xml:space="preserve">
DESEMBARQUE BOTE PEQUEÑO (FAUNA ACOMP)
</t>
        </r>
      </text>
    </comment>
  </commentList>
</comments>
</file>

<file path=xl/comments6.xml><?xml version="1.0" encoding="utf-8"?>
<comments xmlns="http://schemas.openxmlformats.org/spreadsheetml/2006/main">
  <authors>
    <author>ENORERO</author>
    <author>elemus</author>
    <author>enorero</author>
  </authors>
  <commentList>
    <comment ref="C6" authorId="0">
      <text>
        <r>
          <rPr>
            <b/>
            <sz val="18"/>
            <color indexed="81"/>
            <rFont val="Tahoma"/>
            <family val="2"/>
          </rPr>
          <t>ELEMUS:</t>
        </r>
        <r>
          <rPr>
            <sz val="18"/>
            <color indexed="81"/>
            <rFont val="Tahoma"/>
            <family val="2"/>
          </rPr>
          <t xml:space="preserve">
ultima modificación RE. EX. 1214 
13 05 2013
disminuye todos los valores en los dos períodos
Por resol 2565 del 11 09 2013 se modifica la distribucion de la cuopta global jurel IV 
</t>
        </r>
        <r>
          <rPr>
            <sz val="8"/>
            <color indexed="81"/>
            <rFont val="Tahoma"/>
            <family val="2"/>
          </rPr>
          <t xml:space="preserve">
</t>
        </r>
      </text>
    </comment>
    <comment ref="C9" authorId="0">
      <text>
        <r>
          <rPr>
            <b/>
            <sz val="18"/>
            <color indexed="81"/>
            <rFont val="Tahoma"/>
            <family val="2"/>
          </rPr>
          <t>ELEMUS:</t>
        </r>
        <r>
          <rPr>
            <sz val="18"/>
            <color indexed="81"/>
            <rFont val="Tahoma"/>
            <family val="2"/>
          </rPr>
          <t xml:space="preserve">
Por modificación RE. EX. 1895 26 07 2013
se activa la cuota de imprevistos para jurel IV region adicionando 118 tons a la cuota residual primer periodo, desde 470 tons a 588 tons </t>
        </r>
        <r>
          <rPr>
            <sz val="8"/>
            <color indexed="81"/>
            <rFont val="Tahoma"/>
            <family val="2"/>
          </rPr>
          <t xml:space="preserve">
</t>
        </r>
      </text>
    </comment>
    <comment ref="A22" authorId="1">
      <text>
        <r>
          <rPr>
            <b/>
            <sz val="20"/>
            <color indexed="81"/>
            <rFont val="Arial"/>
            <family val="2"/>
          </rPr>
          <t>elemus:</t>
        </r>
        <r>
          <rPr>
            <sz val="20"/>
            <color indexed="81"/>
            <rFont val="Arial"/>
            <family val="2"/>
          </rPr>
          <t xml:space="preserve">
POR RES 1213 13 05 13 
MODIFICA CUOTA
A 2193 PRIMER PERIODO, QUEDANDO IGUAL EL SEGUNDO PERÍODO
BOLSON QUEDA EN 141 Y 7
POR RES 1687   01 07 13 
MODIFICA CUOTA desde 2193
A 1043  tons PRIMER PERIODO, QUEDANDO IGUAL EL SEGUNDO PERÍODO
por resol 2564 del 11 09 2013 se modifica cuota global jurel V
</t>
        </r>
      </text>
    </comment>
    <comment ref="C33" authorId="0">
      <text>
        <r>
          <rPr>
            <b/>
            <sz val="22"/>
            <color indexed="81"/>
            <rFont val="Tahoma"/>
            <family val="2"/>
          </rPr>
          <t>ELEMUS:</t>
        </r>
        <r>
          <rPr>
            <sz val="22"/>
            <color indexed="81"/>
            <rFont val="Tahoma"/>
            <family val="2"/>
          </rPr>
          <t xml:space="preserve">
Ultima modificación RE. EX. 1212 13 05 2013
disminuye todos los valores en los dos períodos 
Por Resol.  2563 del 11 09 2013, se modifican valores primer y segundo periodo para todas las organizaciones</t>
        </r>
        <r>
          <rPr>
            <sz val="18"/>
            <color indexed="81"/>
            <rFont val="Tahoma"/>
            <family val="2"/>
          </rPr>
          <t xml:space="preserve">
</t>
        </r>
      </text>
    </comment>
    <comment ref="A34" authorId="1">
      <text>
        <r>
          <rPr>
            <b/>
            <sz val="14"/>
            <color indexed="81"/>
            <rFont val="Tahoma"/>
            <family val="2"/>
          </rPr>
          <t>elemus:</t>
        </r>
        <r>
          <rPr>
            <sz val="14"/>
            <color indexed="81"/>
            <rFont val="Tahoma"/>
            <family val="2"/>
          </rPr>
          <t xml:space="preserve">
Por resol 2988 30 10 2013
modifica desde 236,499 a 7,799 primer periodo quedando igual el segundo periodo, 
cede a Landes 228,7 tons</t>
        </r>
      </text>
    </comment>
    <comment ref="C34" authorId="0">
      <text>
        <r>
          <rPr>
            <b/>
            <sz val="22"/>
            <color indexed="81"/>
            <rFont val="Tahoma"/>
            <family val="2"/>
          </rPr>
          <t>ELEMUS:</t>
        </r>
        <r>
          <rPr>
            <sz val="22"/>
            <color indexed="81"/>
            <rFont val="Tahoma"/>
            <family val="2"/>
          </rPr>
          <t xml:space="preserve">
Por Resol.  2988 del 30 11 2013, se modifica valor primer periodo desde 236,499 a 7,799 por cesion a industrial</t>
        </r>
      </text>
    </comment>
    <comment ref="A46" authorId="1">
      <text>
        <r>
          <rPr>
            <b/>
            <sz val="14"/>
            <color indexed="81"/>
            <rFont val="Tahoma"/>
            <family val="2"/>
          </rPr>
          <t>elemus:</t>
        </r>
        <r>
          <rPr>
            <sz val="14"/>
            <color indexed="81"/>
            <rFont val="Tahoma"/>
            <family val="2"/>
          </rPr>
          <t xml:space="preserve">
Por resol 1742 10 07 2013
modifica desde 137,082 a cero primer periodo y desde 7,066 a cero 2º periodo, 
cede a STI caldera III R 144,148 tons</t>
        </r>
      </text>
    </comment>
    <comment ref="A75" authorId="1">
      <text>
        <r>
          <rPr>
            <b/>
            <sz val="16"/>
            <color indexed="81"/>
            <rFont val="Tahoma"/>
            <family val="2"/>
          </rPr>
          <t>elemus:</t>
        </r>
        <r>
          <rPr>
            <sz val="16"/>
            <color indexed="81"/>
            <rFont val="Tahoma"/>
            <family val="2"/>
          </rPr>
          <t xml:space="preserve">
CAMBIO DE CUOTAS PRIMER Y SEGUNDO PERIODO SEGÚN RESOLUCION 1064 23 04 2013</t>
        </r>
      </text>
    </comment>
    <comment ref="A77" authorId="1">
      <text>
        <r>
          <rPr>
            <b/>
            <sz val="14"/>
            <color indexed="81"/>
            <rFont val="Arial"/>
            <family val="2"/>
          </rPr>
          <t>elemus:</t>
        </r>
        <r>
          <rPr>
            <sz val="14"/>
            <color indexed="81"/>
            <rFont val="Arial"/>
            <family val="2"/>
          </rPr>
          <t xml:space="preserve">
POR RES 1133 03 05 13 
CESION A INDUSTRIAL (orizon-corpesca)
478 TON DE JUREL, DESDE 512,477 A 61,339 PRIMER PERIODO, 
DESDE 26,862 A 0 SEGUNDO PERIODO
</t>
        </r>
      </text>
    </comment>
    <comment ref="A78" authorId="1">
      <text>
        <r>
          <rPr>
            <b/>
            <sz val="14"/>
            <color indexed="81"/>
            <rFont val="Arial"/>
            <family val="2"/>
          </rPr>
          <t>elemus:</t>
        </r>
        <r>
          <rPr>
            <sz val="14"/>
            <color indexed="81"/>
            <rFont val="Arial"/>
            <family val="2"/>
          </rPr>
          <t xml:space="preserve">
POR RES 1203 10 05 13 
CESION A INDUSTRIAL 
1800 TON DE JUREL, DESDE 1836,316 A 38,316 PRIMER PERIODO, QUEDANDO IGUAL EL SEGUNDO PERÍODO
</t>
        </r>
      </text>
    </comment>
    <comment ref="A79" authorId="1">
      <text>
        <r>
          <rPr>
            <b/>
            <sz val="14"/>
            <color indexed="81"/>
            <rFont val="Arial"/>
            <family val="2"/>
          </rPr>
          <t>elemus:</t>
        </r>
        <r>
          <rPr>
            <sz val="14"/>
            <color indexed="81"/>
            <rFont val="Arial"/>
            <family val="2"/>
          </rPr>
          <t xml:space="preserve">
POR RES 1080 24 04 13 CESION A INDUCTRIAL 
1100 TON DE JUREL, DESDE 1244,447 A 144.447 PRIMER PERIODO, QUEDANDO IGUAL EL SEGUNDO PERÍODO
</t>
        </r>
      </text>
    </comment>
    <comment ref="D79" authorId="2">
      <text>
        <r>
          <rPr>
            <b/>
            <sz val="8"/>
            <color indexed="81"/>
            <rFont val="Tahoma"/>
            <family val="2"/>
          </rPr>
          <t>enorero:</t>
        </r>
        <r>
          <rPr>
            <sz val="8"/>
            <color indexed="81"/>
            <rFont val="Tahoma"/>
            <family val="2"/>
          </rPr>
          <t xml:space="preserve">
resl. 3483 del 13-12-2013 traspasa a Industrial 156,749 tons. 1er período.</t>
        </r>
      </text>
    </comment>
    <comment ref="C89" authorId="1">
      <text>
        <r>
          <rPr>
            <b/>
            <sz val="16"/>
            <color indexed="81"/>
            <rFont val="Tahoma"/>
            <family val="2"/>
          </rPr>
          <t>elemus:</t>
        </r>
        <r>
          <rPr>
            <sz val="16"/>
            <color indexed="81"/>
            <rFont val="Tahoma"/>
            <family val="2"/>
          </rPr>
          <t xml:space="preserve">
POR RESOLUCION 2560 11 09 2013 </t>
        </r>
        <r>
          <rPr>
            <sz val="12"/>
            <color indexed="81"/>
            <rFont val="Tahoma"/>
            <family val="2"/>
          </rPr>
          <t>(OJO QUE ESTA RESOLUCIÓN NOS LLEGA DESDE LA SUBPESCA EL 06 12 2013)</t>
        </r>
        <r>
          <rPr>
            <sz val="16"/>
            <color indexed="81"/>
            <rFont val="Tahoma"/>
            <family val="2"/>
          </rPr>
          <t>, SE MODIFICA COMPLETA LA ESTRUCTURA DE VALORES DE CUOTA JUREL X, AUMENTANDO EN 85 TONS APROX</t>
        </r>
      </text>
    </comment>
    <comment ref="D93" authorId="2">
      <text>
        <r>
          <rPr>
            <b/>
            <sz val="8"/>
            <color indexed="81"/>
            <rFont val="Tahoma"/>
            <family val="2"/>
          </rPr>
          <t>enorero:</t>
        </r>
        <r>
          <rPr>
            <sz val="8"/>
            <color indexed="81"/>
            <rFont val="Tahoma"/>
            <family val="2"/>
          </rPr>
          <t xml:space="preserve">
resl. 3483 del 13-12-2013 traspasa a Industrial 43,251 tons. 2do  período.</t>
        </r>
      </text>
    </comment>
  </commentList>
</comments>
</file>

<file path=xl/comments7.xml><?xml version="1.0" encoding="utf-8"?>
<comments xmlns="http://schemas.openxmlformats.org/spreadsheetml/2006/main">
  <authors>
    <author>elemus</author>
  </authors>
  <commentList>
    <comment ref="L482" authorId="0">
      <text>
        <r>
          <rPr>
            <b/>
            <sz val="8"/>
            <color indexed="81"/>
            <rFont val="Tahoma"/>
            <family val="2"/>
          </rPr>
          <t>elemus:</t>
        </r>
        <r>
          <rPr>
            <sz val="8"/>
            <color indexed="81"/>
            <rFont val="Tahoma"/>
            <family val="2"/>
          </rPr>
          <t xml:space="preserve">
dato aparecio en diciembre
</t>
        </r>
      </text>
    </comment>
  </commentList>
</comments>
</file>

<file path=xl/comments8.xml><?xml version="1.0" encoding="utf-8"?>
<comments xmlns="http://schemas.openxmlformats.org/spreadsheetml/2006/main">
  <authors>
    <author>ENORERO</author>
    <author>elemus</author>
  </authors>
  <commentList>
    <comment ref="C119" authorId="0">
      <text>
        <r>
          <rPr>
            <b/>
            <sz val="12"/>
            <color indexed="81"/>
            <rFont val="Tahoma"/>
            <family val="2"/>
          </rPr>
          <t xml:space="preserve">ELEMUS
</t>
        </r>
        <r>
          <rPr>
            <sz val="12"/>
            <color indexed="81"/>
            <rFont val="Tahoma"/>
            <family val="2"/>
          </rPr>
          <t xml:space="preserve">
datos aportados por la regional como desembarque del período enero septiembre
</t>
        </r>
      </text>
    </comment>
    <comment ref="X120" authorId="1">
      <text>
        <r>
          <rPr>
            <b/>
            <sz val="14"/>
            <color indexed="81"/>
            <rFont val="Tahoma"/>
            <family val="2"/>
          </rPr>
          <t>elemus:</t>
        </r>
        <r>
          <rPr>
            <sz val="14"/>
            <color indexed="81"/>
            <rFont val="Tahoma"/>
            <family val="2"/>
          </rPr>
          <t xml:space="preserve">
según informe del 22 02 2013</t>
        </r>
        <r>
          <rPr>
            <sz val="8"/>
            <color indexed="81"/>
            <rFont val="Tahoma"/>
            <family val="2"/>
          </rPr>
          <t xml:space="preserve">
</t>
        </r>
      </text>
    </comment>
    <comment ref="J121" authorId="0">
      <text>
        <r>
          <rPr>
            <b/>
            <sz val="12"/>
            <color indexed="81"/>
            <rFont val="Tahoma"/>
            <family val="2"/>
          </rPr>
          <t xml:space="preserve">ELEMUS
</t>
        </r>
        <r>
          <rPr>
            <sz val="12"/>
            <color indexed="81"/>
            <rFont val="Tahoma"/>
            <family val="2"/>
          </rPr>
          <t xml:space="preserve">
datos aportados por la regional como desembarque del período enero septiembre
</t>
        </r>
      </text>
    </comment>
    <comment ref="AA121" authorId="1">
      <text>
        <r>
          <rPr>
            <b/>
            <sz val="12"/>
            <color indexed="81"/>
            <rFont val="Tahoma"/>
            <family val="2"/>
          </rPr>
          <t>elemus:</t>
        </r>
        <r>
          <rPr>
            <sz val="12"/>
            <color indexed="81"/>
            <rFont val="Tahoma"/>
            <family val="2"/>
          </rPr>
          <t xml:space="preserve">
según inorme del 25 03 2013</t>
        </r>
      </text>
    </comment>
    <comment ref="C122" authorId="1">
      <text>
        <r>
          <rPr>
            <b/>
            <sz val="8"/>
            <color indexed="81"/>
            <rFont val="Tahoma"/>
            <family val="2"/>
          </rPr>
          <t>elemus:</t>
        </r>
        <r>
          <rPr>
            <sz val="8"/>
            <color indexed="81"/>
            <rFont val="Tahoma"/>
            <family val="2"/>
          </rPr>
          <t xml:space="preserve">
fecha de informe </t>
        </r>
      </text>
    </comment>
    <comment ref="C127" authorId="1">
      <text>
        <r>
          <rPr>
            <b/>
            <sz val="8"/>
            <color indexed="81"/>
            <rFont val="Tahoma"/>
            <family val="2"/>
          </rPr>
          <t>elemus:</t>
        </r>
        <r>
          <rPr>
            <sz val="8"/>
            <color indexed="81"/>
            <rFont val="Tahoma"/>
            <family val="2"/>
          </rPr>
          <t xml:space="preserve">
fecha de informe </t>
        </r>
      </text>
    </comment>
  </commentList>
</comments>
</file>

<file path=xl/comments9.xml><?xml version="1.0" encoding="utf-8"?>
<comments xmlns="http://schemas.openxmlformats.org/spreadsheetml/2006/main">
  <authors>
    <author>elemus</author>
  </authors>
  <commentList>
    <comment ref="C39" authorId="0">
      <text>
        <r>
          <rPr>
            <b/>
            <sz val="8"/>
            <color indexed="81"/>
            <rFont val="Tahoma"/>
            <family val="2"/>
          </rPr>
          <t>elemus:</t>
        </r>
        <r>
          <rPr>
            <sz val="8"/>
            <color indexed="81"/>
            <rFont val="Tahoma"/>
            <family val="2"/>
          </rPr>
          <t xml:space="preserve">
según info de la IV
</t>
        </r>
      </text>
    </comment>
    <comment ref="C56" authorId="0">
      <text>
        <r>
          <rPr>
            <b/>
            <sz val="8"/>
            <color indexed="81"/>
            <rFont val="Tahoma"/>
            <family val="2"/>
          </rPr>
          <t>elemus:</t>
        </r>
        <r>
          <rPr>
            <sz val="8"/>
            <color indexed="81"/>
            <rFont val="Tahoma"/>
            <family val="2"/>
          </rPr>
          <t xml:space="preserve">
según info de la IV
</t>
        </r>
      </text>
    </comment>
  </commentList>
</comments>
</file>

<file path=xl/comments10.xml><?xml version="1.0" encoding="utf-8"?>
<comments xmlns="http://schemas.openxmlformats.org/spreadsheetml/2006/main">
  <authors>
    <author>elemus</author>
    <author>enorero</author>
  </authors>
  <commentList>
    <comment ref="I3" authorId="0">
      <text>
        <r>
          <rPr>
            <b/>
            <sz val="8"/>
            <color indexed="81"/>
            <rFont val="Tahoma"/>
            <family val="2"/>
          </rPr>
          <t>elemus:</t>
        </r>
        <r>
          <rPr>
            <sz val="8"/>
            <color indexed="81"/>
            <rFont val="Tahoma"/>
            <family val="2"/>
          </rPr>
          <t xml:space="preserve">
Las cuotas fueron modificadas el 30 07 2013.
por Resol 1940</t>
        </r>
      </text>
    </comment>
    <comment ref="C10" authorId="0">
      <text>
        <r>
          <rPr>
            <b/>
            <sz val="16"/>
            <color indexed="81"/>
            <rFont val="Tahoma"/>
            <family val="2"/>
          </rPr>
          <t xml:space="preserve">elemus:
por resol ex 2410 del 29 08 2013
percecal recibe 132 tons distribuidas como:
Enero junio: desde 2721 a 2755
julio diciembre: desde 698 a 796
</t>
        </r>
        <r>
          <rPr>
            <sz val="16"/>
            <color indexed="81"/>
            <rFont val="Tahoma"/>
            <family val="2"/>
          </rPr>
          <t xml:space="preserve">
</t>
        </r>
      </text>
    </comment>
    <comment ref="C12" authorId="0">
      <text>
        <r>
          <rPr>
            <b/>
            <sz val="14"/>
            <color indexed="81"/>
            <rFont val="Tahoma"/>
            <family val="2"/>
          </rPr>
          <t>elemus:</t>
        </r>
        <r>
          <rPr>
            <sz val="14"/>
            <color indexed="81"/>
            <rFont val="Tahoma"/>
            <family val="2"/>
          </rPr>
          <t xml:space="preserve">
de 181 06 02 2013
Por resol 1940 del 30 07 2013 modifica cuotas RAE desde 14724 a 17000 enero junio; y desde 1636 a 4360 jul dic (340 investigacion y 300 de FAcomp. que quedan igual)</t>
        </r>
      </text>
    </comment>
    <comment ref="C15" authorId="0">
      <text>
        <r>
          <rPr>
            <b/>
            <sz val="16"/>
            <color indexed="81"/>
            <rFont val="Tahoma"/>
            <family val="2"/>
          </rPr>
          <t xml:space="preserve">elemus:
por resol ex 2410 del 29 08 2013
desde 132,784 tons a 0 para el periodo jul dic a percecal
Rels. 3137 del 14 nov. de 2013 aumenta en 6,46 tons.
</t>
        </r>
        <r>
          <rPr>
            <sz val="16"/>
            <color indexed="81"/>
            <rFont val="Tahoma"/>
            <family val="2"/>
          </rPr>
          <t xml:space="preserve">
</t>
        </r>
      </text>
    </comment>
    <comment ref="C16" authorId="1">
      <text>
        <r>
          <rPr>
            <b/>
            <sz val="8"/>
            <color indexed="81"/>
            <rFont val="Tahoma"/>
            <family val="2"/>
          </rPr>
          <t>enorero:</t>
        </r>
        <r>
          <rPr>
            <sz val="8"/>
            <color indexed="81"/>
            <rFont val="Tahoma"/>
            <family val="2"/>
          </rPr>
          <t xml:space="preserve">
</t>
        </r>
        <r>
          <rPr>
            <sz val="14"/>
            <color indexed="81"/>
            <rFont val="Tahoma"/>
            <family val="2"/>
          </rPr>
          <t>Rels. 3137 del 14 nov. de 2013 aumenta en 38,59 tons.</t>
        </r>
      </text>
    </comment>
    <comment ref="C17" authorId="1">
      <text>
        <r>
          <rPr>
            <b/>
            <sz val="8"/>
            <color indexed="81"/>
            <rFont val="Tahoma"/>
            <family val="2"/>
          </rPr>
          <t>enorero:</t>
        </r>
        <r>
          <rPr>
            <sz val="8"/>
            <color indexed="81"/>
            <rFont val="Tahoma"/>
            <family val="2"/>
          </rPr>
          <t xml:space="preserve">
</t>
        </r>
        <r>
          <rPr>
            <sz val="12"/>
            <color indexed="81"/>
            <rFont val="Tahoma"/>
            <family val="2"/>
          </rPr>
          <t>Rels. 3137 del 14 nov. de 2013 aumenta en 76,64 tons.</t>
        </r>
      </text>
    </comment>
    <comment ref="C18" authorId="1">
      <text>
        <r>
          <rPr>
            <b/>
            <sz val="8"/>
            <color indexed="81"/>
            <rFont val="Tahoma"/>
            <family val="2"/>
          </rPr>
          <t>enorero:</t>
        </r>
        <r>
          <rPr>
            <sz val="8"/>
            <color indexed="81"/>
            <rFont val="Tahoma"/>
            <family val="2"/>
          </rPr>
          <t xml:space="preserve">
</t>
        </r>
        <r>
          <rPr>
            <sz val="12"/>
            <color indexed="81"/>
            <rFont val="Tahoma"/>
            <family val="2"/>
          </rPr>
          <t>Rels. 3137 del 14 nov. de 2013 aumenta en 24,77 tons.</t>
        </r>
      </text>
    </comment>
    <comment ref="C19" authorId="1">
      <text>
        <r>
          <rPr>
            <b/>
            <sz val="8"/>
            <color indexed="81"/>
            <rFont val="Tahoma"/>
            <family val="2"/>
          </rPr>
          <t>enorero:</t>
        </r>
        <r>
          <rPr>
            <sz val="8"/>
            <color indexed="81"/>
            <rFont val="Tahoma"/>
            <family val="2"/>
          </rPr>
          <t xml:space="preserve">
</t>
        </r>
        <r>
          <rPr>
            <sz val="12"/>
            <color indexed="81"/>
            <rFont val="Tahoma"/>
            <family val="2"/>
          </rPr>
          <t>Rels. 3137 del 14 nov. de 2013 aumenta en 32,37 tons.</t>
        </r>
      </text>
    </comment>
    <comment ref="C20" authorId="1">
      <text>
        <r>
          <rPr>
            <b/>
            <sz val="8"/>
            <color indexed="81"/>
            <rFont val="Tahoma"/>
            <family val="2"/>
          </rPr>
          <t>enorero:</t>
        </r>
        <r>
          <rPr>
            <sz val="8"/>
            <color indexed="81"/>
            <rFont val="Tahoma"/>
            <family val="2"/>
          </rPr>
          <t xml:space="preserve">
</t>
        </r>
        <r>
          <rPr>
            <sz val="14"/>
            <color indexed="81"/>
            <rFont val="Tahoma"/>
            <family val="2"/>
          </rPr>
          <t>Rels. 3137 del 14 nov. de 2013 aumenta en 29,49
 tons.</t>
        </r>
      </text>
    </comment>
    <comment ref="C21" authorId="1">
      <text>
        <r>
          <rPr>
            <b/>
            <sz val="8"/>
            <color indexed="81"/>
            <rFont val="Tahoma"/>
            <family val="2"/>
          </rPr>
          <t>enorero:</t>
        </r>
        <r>
          <rPr>
            <sz val="8"/>
            <color indexed="81"/>
            <rFont val="Tahoma"/>
            <family val="2"/>
          </rPr>
          <t xml:space="preserve">
</t>
        </r>
        <r>
          <rPr>
            <sz val="14"/>
            <color indexed="81"/>
            <rFont val="Tahoma"/>
            <family val="2"/>
          </rPr>
          <t>Rels. 3137 del 14 nov. de 2013 aumenta en 49,50 tons.</t>
        </r>
      </text>
    </comment>
    <comment ref="C22" authorId="1">
      <text>
        <r>
          <rPr>
            <b/>
            <sz val="8"/>
            <color indexed="81"/>
            <rFont val="Tahoma"/>
            <family val="2"/>
          </rPr>
          <t>enorero:</t>
        </r>
        <r>
          <rPr>
            <sz val="8"/>
            <color indexed="81"/>
            <rFont val="Tahoma"/>
            <family val="2"/>
          </rPr>
          <t xml:space="preserve">
</t>
        </r>
        <r>
          <rPr>
            <sz val="12"/>
            <color indexed="81"/>
            <rFont val="Tahoma"/>
            <family val="2"/>
          </rPr>
          <t>Rels. 3137 del 14 nov. de 2013 aumenta en 51,93 tons.</t>
        </r>
      </text>
    </comment>
  </commentList>
</comments>
</file>

<file path=xl/comments11.xml><?xml version="1.0" encoding="utf-8"?>
<comments xmlns="http://schemas.openxmlformats.org/spreadsheetml/2006/main">
  <authors>
    <author>ENORERO</author>
    <author>asilva</author>
  </authors>
  <commentList>
    <comment ref="Q27" authorId="0">
      <text>
        <r>
          <rPr>
            <b/>
            <sz val="8"/>
            <color indexed="81"/>
            <rFont val="Tahoma"/>
            <family val="2"/>
          </rPr>
          <t>ENORERO:</t>
        </r>
        <r>
          <rPr>
            <sz val="8"/>
            <color indexed="81"/>
            <rFont val="Tahoma"/>
            <family val="2"/>
          </rPr>
          <t xml:space="preserve">
decreto 35/2013
</t>
        </r>
      </text>
    </comment>
    <comment ref="E157" authorId="1">
      <text>
        <r>
          <rPr>
            <b/>
            <sz val="10"/>
            <color indexed="81"/>
            <rFont val="Tahoma"/>
            <family val="2"/>
          </rPr>
          <t>asilva:</t>
        </r>
        <r>
          <rPr>
            <sz val="10"/>
            <color indexed="81"/>
            <rFont val="Tahoma"/>
            <family val="2"/>
          </rPr>
          <t xml:space="preserve">
decia 29,4</t>
        </r>
      </text>
    </comment>
    <comment ref="E158" authorId="1">
      <text>
        <r>
          <rPr>
            <b/>
            <sz val="10"/>
            <color indexed="81"/>
            <rFont val="Tahoma"/>
            <family val="2"/>
          </rPr>
          <t>asilva:</t>
        </r>
        <r>
          <rPr>
            <sz val="10"/>
            <color indexed="81"/>
            <rFont val="Tahoma"/>
            <family val="2"/>
          </rPr>
          <t xml:space="preserve">
decia 22,64</t>
        </r>
      </text>
    </comment>
  </commentList>
</comments>
</file>

<file path=xl/comments12.xml><?xml version="1.0" encoding="utf-8"?>
<comments xmlns="http://schemas.openxmlformats.org/spreadsheetml/2006/main">
  <authors>
    <author>ENORERO</author>
  </authors>
  <commentList>
    <comment ref="A77" authorId="0">
      <text>
        <r>
          <rPr>
            <b/>
            <sz val="8"/>
            <color indexed="81"/>
            <rFont val="Tahoma"/>
            <family val="2"/>
          </rPr>
          <t>ENORERO:</t>
        </r>
        <r>
          <rPr>
            <sz val="8"/>
            <color indexed="81"/>
            <rFont val="Tahoma"/>
            <family val="2"/>
          </rPr>
          <t xml:space="preserve">
resl N° 693 del 23-03-2012 traspaso de industrial
</t>
        </r>
      </text>
    </comment>
    <comment ref="A86" authorId="0">
      <text>
        <r>
          <rPr>
            <b/>
            <sz val="8"/>
            <color indexed="81"/>
            <rFont val="Tahoma"/>
            <family val="2"/>
          </rPr>
          <t>ENORERO:</t>
        </r>
        <r>
          <rPr>
            <sz val="8"/>
            <color indexed="81"/>
            <rFont val="Tahoma"/>
            <family val="2"/>
          </rPr>
          <t xml:space="preserve">
resl. Ex. 698 del 27-03-2012, MAS RESL. EX. N° 1225/2012 AGREGA EMB. GAROTA II
</t>
        </r>
      </text>
    </comment>
  </commentList>
</comments>
</file>

<file path=xl/comments13.xml><?xml version="1.0" encoding="utf-8"?>
<comments xmlns="http://schemas.openxmlformats.org/spreadsheetml/2006/main">
  <authors>
    <author>elemus</author>
    <author>enorero</author>
  </authors>
  <commentList>
    <comment ref="A21" authorId="0">
      <text>
        <r>
          <rPr>
            <sz val="16"/>
            <color indexed="81"/>
            <rFont val="Tahoma"/>
            <family val="2"/>
          </rPr>
          <t>elemus:
fauna acom 394
modificada por R ex 580 art 9</t>
        </r>
      </text>
    </comment>
    <comment ref="C55" authorId="0">
      <text>
        <r>
          <rPr>
            <b/>
            <sz val="16"/>
            <color indexed="81"/>
            <rFont val="Tahoma"/>
            <family val="2"/>
          </rPr>
          <t>elemus:</t>
        </r>
        <r>
          <rPr>
            <sz val="16"/>
            <color indexed="81"/>
            <rFont val="Tahoma"/>
            <family val="2"/>
          </rPr>
          <t xml:space="preserve">
Por res 2533 del 09 09 2013
STI Tubes cede 600 tons de anchoveta a STI Cerqueros de Valdivia quedando:
fauna acompañante desde 1090 a 874</t>
        </r>
      </text>
    </comment>
    <comment ref="C58" authorId="0">
      <text>
        <r>
          <rPr>
            <b/>
            <sz val="8"/>
            <color indexed="81"/>
            <rFont val="Tahoma"/>
            <family val="2"/>
          </rPr>
          <t>elemus:</t>
        </r>
        <r>
          <rPr>
            <sz val="8"/>
            <color indexed="81"/>
            <rFont val="Tahoma"/>
            <family val="2"/>
          </rPr>
          <t xml:space="preserve">
modifica anchovet FA desde 725 a 820 ton
según res 879 01 04 2013
</t>
        </r>
      </text>
    </comment>
    <comment ref="A59" authorId="0">
      <text>
        <r>
          <rPr>
            <b/>
            <sz val="14"/>
            <color indexed="81"/>
            <rFont val="Arial"/>
            <family val="2"/>
          </rPr>
          <t>elemus:</t>
        </r>
        <r>
          <rPr>
            <sz val="14"/>
            <color indexed="81"/>
            <rFont val="Arial"/>
            <family val="2"/>
          </rPr>
          <t xml:space="preserve">
POR RES 1269 22 05 13 se modifica cuota para los dos periodos y FA, 
DESDE 259 TONS A 316 primer periodo, DESDE 14 A 17 SEGUNDO PERÍODO y desde 147 a 180 la FA</t>
        </r>
      </text>
    </comment>
    <comment ref="C76" authorId="1">
      <text>
        <r>
          <rPr>
            <b/>
            <sz val="8"/>
            <color indexed="81"/>
            <rFont val="Tahoma"/>
            <family val="2"/>
          </rPr>
          <t>enorero:</t>
        </r>
        <r>
          <rPr>
            <sz val="8"/>
            <color indexed="81"/>
            <rFont val="Tahoma"/>
            <family val="2"/>
          </rPr>
          <t xml:space="preserve">
</t>
        </r>
        <r>
          <rPr>
            <sz val="14"/>
            <color indexed="81"/>
            <rFont val="Tahoma"/>
            <family val="2"/>
          </rPr>
          <t>Cuota queda con 321,665 tons. según resl. N° 3454 de fecha 10/12/2013, rectificada por Resl N° 3545 de fecha 20/12/2012 , la cual rectificó la suma total de Fauna mas objetivo, para este sindicato..
Edo. Norero C:</t>
        </r>
      </text>
    </comment>
  </commentList>
</comments>
</file>

<file path=xl/comments14.xml><?xml version="1.0" encoding="utf-8"?>
<comments xmlns="http://schemas.openxmlformats.org/spreadsheetml/2006/main">
  <authors>
    <author>elemus</author>
  </authors>
  <commentList>
    <comment ref="C10" authorId="0">
      <text>
        <r>
          <rPr>
            <b/>
            <sz val="8"/>
            <color indexed="81"/>
            <rFont val="Tahoma"/>
            <family val="2"/>
          </rPr>
          <t>elemus:</t>
        </r>
        <r>
          <rPr>
            <sz val="8"/>
            <color indexed="81"/>
            <rFont val="Tahoma"/>
            <family val="2"/>
          </rPr>
          <t xml:space="preserve">
Por resol 579 19 06 2013
se modifica la cuota y la fauna acompañante
a dos zonas
XV - II 2
III - X 327</t>
        </r>
      </text>
    </comment>
  </commentList>
</comments>
</file>

<file path=xl/comments15.xml><?xml version="1.0" encoding="utf-8"?>
<comments xmlns="http://schemas.openxmlformats.org/spreadsheetml/2006/main">
  <authors>
    <author>elemus</author>
  </authors>
  <commentList>
    <comment ref="CY70" authorId="0">
      <text>
        <r>
          <rPr>
            <b/>
            <sz val="14"/>
            <color indexed="81"/>
            <rFont val="Tahoma"/>
            <family val="2"/>
          </rPr>
          <t>elemus:</t>
        </r>
        <r>
          <rPr>
            <sz val="14"/>
            <color indexed="81"/>
            <rFont val="Tahoma"/>
            <family val="2"/>
          </rPr>
          <t xml:space="preserve">
según reporte de la IV R, sobre toda la nacion
reportada al 05 03 2013
</t>
        </r>
      </text>
    </comment>
  </commentList>
</comments>
</file>

<file path=xl/comments16.xml><?xml version="1.0" encoding="utf-8"?>
<comments xmlns="http://schemas.openxmlformats.org/spreadsheetml/2006/main">
  <authors>
    <author>elemus</author>
  </authors>
  <commentList>
    <comment ref="N25" authorId="0">
      <text>
        <r>
          <rPr>
            <b/>
            <sz val="14"/>
            <color indexed="81"/>
            <rFont val="Arial"/>
            <family val="2"/>
          </rPr>
          <t xml:space="preserve">Elemus
según informacion prporcionada por la VIII region
</t>
        </r>
      </text>
    </comment>
    <comment ref="AW432" authorId="0">
      <text>
        <r>
          <rPr>
            <b/>
            <sz val="14"/>
            <color indexed="81"/>
            <rFont val="Arial"/>
            <family val="2"/>
          </rPr>
          <t xml:space="preserve">Elemus
según informacion prporcionada por la VIII region
</t>
        </r>
      </text>
    </comment>
  </commentList>
</comments>
</file>

<file path=xl/sharedStrings.xml><?xml version="1.0" encoding="utf-8"?>
<sst xmlns="http://schemas.openxmlformats.org/spreadsheetml/2006/main" count="21649" uniqueCount="1407">
  <si>
    <t>Recurso</t>
  </si>
  <si>
    <t>Unidad de pesquería</t>
  </si>
  <si>
    <t>Cuota Global (t)</t>
  </si>
  <si>
    <t>Desembarque total (t)</t>
  </si>
  <si>
    <t>Saldo total (t)</t>
  </si>
  <si>
    <t>Jurel</t>
  </si>
  <si>
    <t>III</t>
  </si>
  <si>
    <t>VIII</t>
  </si>
  <si>
    <t>Anchoveta</t>
  </si>
  <si>
    <t>Sardina común</t>
  </si>
  <si>
    <t>X</t>
  </si>
  <si>
    <t>II</t>
  </si>
  <si>
    <t>IX</t>
  </si>
  <si>
    <t>XI</t>
  </si>
  <si>
    <t>Sardina española</t>
  </si>
  <si>
    <t>XV y I</t>
  </si>
  <si>
    <t>III - IV</t>
  </si>
  <si>
    <t>VI</t>
  </si>
  <si>
    <t>VII</t>
  </si>
  <si>
    <t>Cuota (t)</t>
  </si>
  <si>
    <t>Desembarque (t)</t>
  </si>
  <si>
    <t>Saldo (t)</t>
  </si>
  <si>
    <t>Saldo %</t>
  </si>
  <si>
    <t>Fecha de Cierre</t>
  </si>
  <si>
    <t>Unidad de Pesquería</t>
  </si>
  <si>
    <t>Período</t>
  </si>
  <si>
    <t>Asignada</t>
  </si>
  <si>
    <t>Efectiva</t>
  </si>
  <si>
    <t>Global</t>
  </si>
  <si>
    <t>Jul - Dic</t>
  </si>
  <si>
    <t>Ene - Oct</t>
  </si>
  <si>
    <t>Nov - Dic</t>
  </si>
  <si>
    <t>Ene-Abr</t>
  </si>
  <si>
    <t>May-Ago</t>
  </si>
  <si>
    <t>Sep-Dic</t>
  </si>
  <si>
    <t>Ene- Ago</t>
  </si>
  <si>
    <t>Sep - Dic</t>
  </si>
  <si>
    <r>
      <t xml:space="preserve">X </t>
    </r>
    <r>
      <rPr>
        <sz val="8"/>
        <rFont val="@Arial Unicode MS"/>
        <family val="2"/>
      </rPr>
      <t>(RAE por Org)</t>
    </r>
  </si>
  <si>
    <t>Ene-Jun</t>
  </si>
  <si>
    <t>Jul-Dic</t>
  </si>
  <si>
    <t>JUREL</t>
  </si>
  <si>
    <t>Oct-Dic</t>
  </si>
  <si>
    <t>Nov-Dic</t>
  </si>
  <si>
    <t>Ene- Abr</t>
  </si>
  <si>
    <t>May - Ago</t>
  </si>
  <si>
    <t>Ene- Jun</t>
  </si>
  <si>
    <t>V  Región, de Valparaíso</t>
  </si>
  <si>
    <t>Organización</t>
  </si>
  <si>
    <t>Periodo</t>
  </si>
  <si>
    <t>Cuota asignada (t)</t>
  </si>
  <si>
    <t>Cuota efectiva (t)</t>
  </si>
  <si>
    <t>%</t>
  </si>
  <si>
    <t>Total</t>
  </si>
  <si>
    <t>VIII Región, del Bio Bio</t>
  </si>
  <si>
    <t>Ene-Ago</t>
  </si>
  <si>
    <t>XIV Región, de Los Ríos</t>
  </si>
  <si>
    <t>ACERVAL., R.A.G. 207-10</t>
  </si>
  <si>
    <t>ACER., R.A.G. 3793 de 2007</t>
  </si>
  <si>
    <t>ARMAPES., R.A.G. 264-10</t>
  </si>
  <si>
    <t>Sind. Pesc. Art. Y Arm. Cerqueros de Valdivia. R.S.U. 10.02.0409</t>
  </si>
  <si>
    <t>Cuota bolsón o residual</t>
  </si>
  <si>
    <t>X Región, de Los Lagos</t>
  </si>
  <si>
    <t>ASARCECHI., R.A.G. 3532</t>
  </si>
  <si>
    <t>AQUEPESCA., R.A.G.270-10</t>
  </si>
  <si>
    <t>SIPESRAYEN., R.A.G.10.01.0870</t>
  </si>
  <si>
    <t>Sind. Pesc. Art. Caleta San Rafael., R.S.U.10.01.0573</t>
  </si>
  <si>
    <t>V REGION</t>
  </si>
  <si>
    <t>Desembarque</t>
  </si>
  <si>
    <t>Saldo</t>
  </si>
  <si>
    <t>VI Región, de O'higgins</t>
  </si>
  <si>
    <t>VII Región, del Maule</t>
  </si>
  <si>
    <t>XV y I Región, Arica e Iquique</t>
  </si>
  <si>
    <t>Mes</t>
  </si>
  <si>
    <t>Total mes</t>
  </si>
  <si>
    <t>TOTAL</t>
  </si>
  <si>
    <t>Enero</t>
  </si>
  <si>
    <t>Febrero</t>
  </si>
  <si>
    <t>Marzo</t>
  </si>
  <si>
    <t>Abril</t>
  </si>
  <si>
    <t>Mayo</t>
  </si>
  <si>
    <t>Junio</t>
  </si>
  <si>
    <t>Julio</t>
  </si>
  <si>
    <t>Agosto</t>
  </si>
  <si>
    <t>Septiembre</t>
  </si>
  <si>
    <t>Octubre</t>
  </si>
  <si>
    <t>Noviembre</t>
  </si>
  <si>
    <t>Diciembre</t>
  </si>
  <si>
    <t>II Región, de Antofasta</t>
  </si>
  <si>
    <t>III Región, de Atacama</t>
  </si>
  <si>
    <t>IX Región, de la Araucanía</t>
  </si>
  <si>
    <t>V Región A.G. Armadores artesanales del Puerto de San Antonio R.A.G. N° 2510</t>
  </si>
  <si>
    <t>Región</t>
  </si>
  <si>
    <t>Veda</t>
  </si>
  <si>
    <t>Cuota Residual</t>
  </si>
  <si>
    <t>III y IV Regiones, de Atacama y Coquimbo</t>
  </si>
  <si>
    <t>V región</t>
  </si>
  <si>
    <t>A.G. Armadores Artesanales San Antonio R.A.G. 2510</t>
  </si>
  <si>
    <t>Pescadores artesanales no afiliados</t>
  </si>
  <si>
    <t>Sind. Arm. y Trip. de la Isla de Chiloé, R.S.U.10.04.0214</t>
  </si>
  <si>
    <t>Sind. Ind. Corcovado.R.S.U.10.16.0040</t>
  </si>
  <si>
    <t>Sind.Comuna de Quellón.R.S.U.10.16.0010</t>
  </si>
  <si>
    <t>% consumido 2011</t>
  </si>
  <si>
    <t>STI. Artesanales de Amargo R.S.U.14.01.0105</t>
  </si>
  <si>
    <t>STI. Caleta de Los Molinos R.S.U.14.01.0136</t>
  </si>
  <si>
    <t>STI. Gente de Mar R.S.U.14.01.0266</t>
  </si>
  <si>
    <t>STI. Pescadores Artesanales de Bonifacio R.S.U.14.01.0140</t>
  </si>
  <si>
    <t>STI. Pescadores Artesanales de Corral R.S.U.14.01.0115</t>
  </si>
  <si>
    <t>STI. Balneario de Niebla R.S.U.14.01.0127</t>
  </si>
  <si>
    <t>STI. Caleta Tres Espino Niebla R.S.U.14.01.0270</t>
  </si>
  <si>
    <t>STI. Artesanales Históricos de Valdivia R.S.U.14.01.0514</t>
  </si>
  <si>
    <t>SALDO</t>
  </si>
  <si>
    <t>VEDA</t>
  </si>
  <si>
    <t>veda</t>
  </si>
  <si>
    <t>IV  Región, de Coquimbo</t>
  </si>
  <si>
    <t>A.G. de pescadores Art.  Y Buzos Marisc. De Coquimbo IV Región</t>
  </si>
  <si>
    <t xml:space="preserve">Cuota Residual  - Bolson </t>
  </si>
  <si>
    <t>Cooperativa de Armadores Cerqueros IV Región</t>
  </si>
  <si>
    <t>IV REGIÓN</t>
  </si>
  <si>
    <t>Cooperativa de Armadores Cerqueros IV región</t>
  </si>
  <si>
    <t xml:space="preserve">Cuota residual - Bolson </t>
  </si>
  <si>
    <t>A.G. de pescadores Artesanales y Buzos Mariscadores de Coquimbo - IV Región</t>
  </si>
  <si>
    <t>IV Región</t>
  </si>
  <si>
    <t>% consumido 2012</t>
  </si>
  <si>
    <t>Sind. Trab. Indp. Y Ram Afn. PERCERCAL R.S.U. 10.01.0948</t>
  </si>
  <si>
    <t>Cuota Bolsón o Residual</t>
  </si>
  <si>
    <t>APEVAL AG. R.A.G N° 29-14</t>
  </si>
  <si>
    <t>ACERMAR A.G. R.A.G. N ° 4205</t>
  </si>
  <si>
    <t>S.T.I. Buz. Y Pesc. De MEHUÍN N° 1 R.S.U. 14.03.0021</t>
  </si>
  <si>
    <t>S.T.I. Buz. Y Pesc. De MEHUÍN N° 2 R.S.U. 14.03.0090</t>
  </si>
  <si>
    <t>S.T.I. Buz. Y Marisc.  De MEHUÍN N° 2 R.S.U. 14.03.0090</t>
  </si>
  <si>
    <t xml:space="preserve"> </t>
  </si>
  <si>
    <t>Cerrada</t>
  </si>
  <si>
    <t>XIV</t>
  </si>
  <si>
    <t>VIII región</t>
  </si>
  <si>
    <t>Embarcación</t>
  </si>
  <si>
    <t>cierre</t>
  </si>
  <si>
    <t>RPA</t>
  </si>
  <si>
    <t>Tons. Traspaso</t>
  </si>
  <si>
    <t>cierres</t>
  </si>
  <si>
    <t>III  región</t>
  </si>
  <si>
    <t>Nómina de embac.</t>
  </si>
  <si>
    <t>jurel</t>
  </si>
  <si>
    <t>Todos los inscritos</t>
  </si>
  <si>
    <t>MONICA BELEN</t>
  </si>
  <si>
    <t>ENZO NICOLAS</t>
  </si>
  <si>
    <t>Resl. Ex. N° 606/2012</t>
  </si>
  <si>
    <t>TOTALES REGIONALES</t>
  </si>
  <si>
    <t>IV región de Industrial a Artesanal</t>
  </si>
  <si>
    <t>Enero  cotubre</t>
  </si>
  <si>
    <t>Cuota</t>
  </si>
  <si>
    <t>Cuota residual  Esl menor o igual 8 Mtrs.</t>
  </si>
  <si>
    <t>Cuota residual eslora mayor a 8 Mtrs.</t>
  </si>
  <si>
    <t>Coop. Arm. Cer. De la IV reg.</t>
  </si>
  <si>
    <t>AG. Pesc. Art. Y Buz. Marisc. Coquimbo</t>
  </si>
  <si>
    <t>A.G. pesc. Art. Y Buzos Marisc. Ce Coquimbo IV Reg.</t>
  </si>
  <si>
    <t>Asignado</t>
  </si>
  <si>
    <t>Capturado</t>
  </si>
  <si>
    <t>SALDOS</t>
  </si>
  <si>
    <t>N° Resol Ex</t>
  </si>
  <si>
    <t>Fecha</t>
  </si>
  <si>
    <t>Mat</t>
  </si>
  <si>
    <t>Sardina Común</t>
  </si>
  <si>
    <t>Sardinac C</t>
  </si>
  <si>
    <t>BRENDA ESMERALDA</t>
  </si>
  <si>
    <t>DON JORGE</t>
  </si>
  <si>
    <t>MAR DE BERING</t>
  </si>
  <si>
    <t>SANTA KEILA</t>
  </si>
  <si>
    <t>HERLIBET</t>
  </si>
  <si>
    <t>BENJAMIN I</t>
  </si>
  <si>
    <t>PALMI II</t>
  </si>
  <si>
    <t>IGNACIO S</t>
  </si>
  <si>
    <t>Cuota residual Mayor 8 metrros.</t>
  </si>
  <si>
    <t>DON CLAUDIO</t>
  </si>
  <si>
    <t xml:space="preserve">BUENA FE </t>
  </si>
  <si>
    <t>Enero  octubre</t>
  </si>
  <si>
    <t>DON PEDRO I</t>
  </si>
  <si>
    <t>DOÑA GLADYS II</t>
  </si>
  <si>
    <t>DON BETO III</t>
  </si>
  <si>
    <t>MARLEN JORGE</t>
  </si>
  <si>
    <t>DON MATEO</t>
  </si>
  <si>
    <t>DON BASILIO</t>
  </si>
  <si>
    <t>TRASPASO DE ASIGNACION A EMBARCACION QUE INDICA</t>
  </si>
  <si>
    <t>DEBORA I</t>
  </si>
  <si>
    <t>Cierres</t>
  </si>
  <si>
    <t>TRASPASOS</t>
  </si>
  <si>
    <t>TRAPASOS</t>
  </si>
  <si>
    <t>VII Región, deL Maule</t>
  </si>
  <si>
    <t>STI:.de Pescadores "Pelágicos del Maule" Constitución, R.S.U. N° 07050150</t>
  </si>
  <si>
    <t>STI. De Pesc. Pelagícos del Maule, Constitución RSU. N° 07050150</t>
  </si>
  <si>
    <t>AARON</t>
  </si>
  <si>
    <t>DON JORGE LUIS M</t>
  </si>
  <si>
    <t>DON GUILLERMO I</t>
  </si>
  <si>
    <t>traspasos</t>
  </si>
  <si>
    <t>DON JOSE I</t>
  </si>
  <si>
    <t>2904</t>
  </si>
  <si>
    <t>LA JIBIA</t>
  </si>
  <si>
    <t xml:space="preserve"> Saldo %</t>
  </si>
  <si>
    <t>ANGELA VALENTINA</t>
  </si>
  <si>
    <t>CONDOR IV</t>
  </si>
  <si>
    <t>DON ELISEO</t>
  </si>
  <si>
    <t>ELOISA II</t>
  </si>
  <si>
    <t>EMELINDA</t>
  </si>
  <si>
    <t>ISAAC</t>
  </si>
  <si>
    <t>MAGDALENA III</t>
  </si>
  <si>
    <t>RIO JORDAN V</t>
  </si>
  <si>
    <t>DON MARCIAL</t>
  </si>
  <si>
    <t>GAVIOTA</t>
  </si>
  <si>
    <t>DON ESTEBAN</t>
  </si>
  <si>
    <t>MATIAS</t>
  </si>
  <si>
    <t>FRANSISCO JAVIER</t>
  </si>
  <si>
    <t>LUCAS I</t>
  </si>
  <si>
    <t>DON JAIRO</t>
  </si>
  <si>
    <t>JOEL I</t>
  </si>
  <si>
    <t>LA NOVIA DEL MAR</t>
  </si>
  <si>
    <t>ANSELMO I</t>
  </si>
  <si>
    <t>DON LUIS ALBERTO</t>
  </si>
  <si>
    <t>DON MIGUEL</t>
  </si>
  <si>
    <t>DON MIGUEL II</t>
  </si>
  <si>
    <t>DONCELLA II</t>
  </si>
  <si>
    <t>CRISTIAN GUILLERMO</t>
  </si>
  <si>
    <t>BARLOVENTO</t>
  </si>
  <si>
    <t>DON FEÑA</t>
  </si>
  <si>
    <t>RODRIGO I</t>
  </si>
  <si>
    <t>TOTALES</t>
  </si>
  <si>
    <t>1487</t>
  </si>
  <si>
    <t>IMPUTACION LMC</t>
  </si>
  <si>
    <t>Resol</t>
  </si>
  <si>
    <t>Rpa</t>
  </si>
  <si>
    <t>Nm_Nave</t>
  </si>
  <si>
    <t>Asignado Anchoveta</t>
  </si>
  <si>
    <t>Asignado Sardina C</t>
  </si>
  <si>
    <t>Capturado Sardina C</t>
  </si>
  <si>
    <t>Saldo Anchoveta</t>
  </si>
  <si>
    <t>Saldo Sardina C</t>
  </si>
  <si>
    <t>MAR SEGUNDO</t>
  </si>
  <si>
    <t>MAR PRIMERO</t>
  </si>
  <si>
    <t>SIXTO ABRAHAM I</t>
  </si>
  <si>
    <t>EBEN EZER III</t>
  </si>
  <si>
    <t>ANTUCO I</t>
  </si>
  <si>
    <t>MARTIN RENATO</t>
  </si>
  <si>
    <t>Limite</t>
  </si>
  <si>
    <t>CESION VIII A  VII REGIÓN</t>
  </si>
  <si>
    <t>MARGARITA DEL MAR</t>
  </si>
  <si>
    <t>Traspaso Industrial a Artesanal</t>
  </si>
  <si>
    <t>traspaso</t>
  </si>
  <si>
    <t>A G  de Productores Pelágicos Artesanales de las Caletas de Talcahuano y San Vicente de la VIII Región GEMAR A.G., Registro de Asociaciones Gremiales 464-8</t>
  </si>
  <si>
    <t>S.T.I. de la Pesca Artesanal, Armadores Artesanales Pelágicos, Pesc Art propiamente tales y actividades Conexas de Caleta San Vicente "Sindicato Tsunami", Registro Sindical Único 08.05.0428</t>
  </si>
  <si>
    <t>BILL</t>
  </si>
  <si>
    <t>CAPELLO</t>
  </si>
  <si>
    <t>CONCEPCION</t>
  </si>
  <si>
    <t>CONSTITUCION</t>
  </si>
  <si>
    <t>DOMENICA</t>
  </si>
  <si>
    <t>DON HERNAN M</t>
  </si>
  <si>
    <t>EL YEYE</t>
  </si>
  <si>
    <t>MACEDONIA I</t>
  </si>
  <si>
    <t>PUNTA MAULE</t>
  </si>
  <si>
    <t>RIO LOA I</t>
  </si>
  <si>
    <t>SILOE</t>
  </si>
  <si>
    <t>SIXTO ABRAHAM</t>
  </si>
  <si>
    <t>VERONICA ALEJANDRA</t>
  </si>
  <si>
    <t>YOLANDA S</t>
  </si>
  <si>
    <t>total:</t>
  </si>
  <si>
    <t>XI dif. Cuota real</t>
  </si>
  <si>
    <t>EMBARCACION</t>
  </si>
  <si>
    <t>ANCHOVETA</t>
  </si>
  <si>
    <t>CONSTlTUCION</t>
  </si>
  <si>
    <t>DON BORNEY</t>
  </si>
  <si>
    <t>EBEN EZER II</t>
  </si>
  <si>
    <t>LlNARES</t>
  </si>
  <si>
    <t>TRASPASO IND-ART  XIV REGIÓN  RESL. 1462</t>
  </si>
  <si>
    <t>DESEMBARQUE</t>
  </si>
  <si>
    <t>SARDINA COMUN</t>
  </si>
  <si>
    <t>CIERRES</t>
  </si>
  <si>
    <t>TRASPASO IND-ART  VII REGIÓN  RESL. 1462</t>
  </si>
  <si>
    <t>Traspazo Anchoveta  XV - I industrial a artesanal Resol 1397/2012</t>
  </si>
  <si>
    <t>Cuota Nov-Dic</t>
  </si>
  <si>
    <t>Resl. Ex. 1410/2012</t>
  </si>
  <si>
    <t>Resl. Ex. N° 1493/2012</t>
  </si>
  <si>
    <t>Embarcaciones Res. 698/2012 Cuota Anchoveta Y 1225/2012 AGREGA EMB.</t>
  </si>
  <si>
    <t>Traspazo Sardina Común  XIV desde la VIII región resl. 1666/2012</t>
  </si>
  <si>
    <t>Traspazo Anchoveta  XV - I industrial a artesanal Resol 1695/2012</t>
  </si>
  <si>
    <t>Resl. N° 1695/2012</t>
  </si>
  <si>
    <t>XV y I  regiones</t>
  </si>
  <si>
    <t>TRASPASO IND-ART  IX REGIÓN  RESL. 1672/2012</t>
  </si>
  <si>
    <t>RIO TOLTEN I</t>
  </si>
  <si>
    <t>RIO QUEULE I</t>
  </si>
  <si>
    <t>CUOTA ASIGNADA</t>
  </si>
  <si>
    <t>ORKA</t>
  </si>
  <si>
    <t>RIO VALDIVIA</t>
  </si>
  <si>
    <t>BENJAMIN</t>
  </si>
  <si>
    <t xml:space="preserve">NABOR I </t>
  </si>
  <si>
    <t>NICOLAS</t>
  </si>
  <si>
    <t>MARGOT MARIA IV</t>
  </si>
  <si>
    <t>DON ULMES</t>
  </si>
  <si>
    <t>SAMARITANO I</t>
  </si>
  <si>
    <t>FELIPE N</t>
  </si>
  <si>
    <t xml:space="preserve">YO CLAUDIO </t>
  </si>
  <si>
    <t>CARMENCHA</t>
  </si>
  <si>
    <t>TRASPASO IND-ART  XIV REGIÓN  RESL. 1673/2012</t>
  </si>
  <si>
    <t>LINARES</t>
  </si>
  <si>
    <t>VICTOR GUILLERMO</t>
  </si>
  <si>
    <t>RIVEIRA</t>
  </si>
  <si>
    <t>DON JAIME</t>
  </si>
  <si>
    <t>LONQUIMAY</t>
  </si>
  <si>
    <t>LAGO RANCO</t>
  </si>
  <si>
    <t>EDGARDITO I</t>
  </si>
  <si>
    <t>DON NENE</t>
  </si>
  <si>
    <t>JOSUE</t>
  </si>
  <si>
    <t xml:space="preserve">MARIA ISABEL </t>
  </si>
  <si>
    <t>DON JULIAN</t>
  </si>
  <si>
    <t>MARCO POLO</t>
  </si>
  <si>
    <t>DON JUAN I</t>
  </si>
  <si>
    <t>LINCE</t>
  </si>
  <si>
    <t>CESION VIII A  XIV REGIÓN</t>
  </si>
  <si>
    <t>Cuota residual Menor -  Menor 8 metros.</t>
  </si>
  <si>
    <t>todo inscrito esp.</t>
  </si>
  <si>
    <t>TRASPASO</t>
  </si>
  <si>
    <t>Traspasos III región</t>
  </si>
  <si>
    <t>Cuota traspaso Industrial a Artesanal III resl. 606/2012 Nómina</t>
  </si>
  <si>
    <t>Cuota traspaso Industrial a Artesanal III resl. 606/2012 T.Inscrtos</t>
  </si>
  <si>
    <t>Cuota traspaso Industrial a Artesanal III resl. 1410/2012 T.Inscrtos</t>
  </si>
  <si>
    <t>Cuota traspaso Industrial a Artesanal III resl. 1493/2012 T.Inscrtos</t>
  </si>
  <si>
    <t>Resl. Ex. N° 1226/2012</t>
  </si>
  <si>
    <t>Cuota traspaso Industrial a Artesanal III resl. 1226/2012 NÓMINA</t>
  </si>
  <si>
    <t>CESION ENTRE ORGANIZACIONES RAE DE SARDINA COMUN Y ANCHOVETA VIII REGION</t>
  </si>
  <si>
    <t>ENTRE VIII REGION</t>
  </si>
  <si>
    <t>GIANPIERO</t>
  </si>
  <si>
    <t>XIV Región</t>
  </si>
  <si>
    <t>JOSE LEONARDO</t>
  </si>
  <si>
    <t>Nómina Embarcacionmes   ( en total)</t>
  </si>
  <si>
    <t>XI región</t>
  </si>
  <si>
    <t>CIERRE</t>
  </si>
  <si>
    <t>Sardina Austral</t>
  </si>
  <si>
    <t>TRASPASO IND-ART  VII REGIÓN  RESL. 1489</t>
  </si>
  <si>
    <t>BUENA FE III</t>
  </si>
  <si>
    <t>DON HUMBERTO M</t>
  </si>
  <si>
    <t>DON PATRICIO I</t>
  </si>
  <si>
    <t>OON PEDRO M</t>
  </si>
  <si>
    <t>DON RUBEN</t>
  </si>
  <si>
    <t>LOS VILOS</t>
  </si>
  <si>
    <t>NAGASAKI</t>
  </si>
  <si>
    <t>PAULINA</t>
  </si>
  <si>
    <t>POSEIDON II</t>
  </si>
  <si>
    <t>TOME</t>
  </si>
  <si>
    <t>Armadores de Artesanales IV región (nómina)</t>
  </si>
  <si>
    <t>Nómina Embarcacionmes   ( 14 embarcaciones)</t>
  </si>
  <si>
    <t>MARIA JESUS</t>
  </si>
  <si>
    <t>TOTAL CAPTURADO</t>
  </si>
  <si>
    <t>Fauna acompañante</t>
  </si>
  <si>
    <t>BACALADILLO O MOTE</t>
  </si>
  <si>
    <t>MACHUELO O TRITRE</t>
  </si>
  <si>
    <t>PAMPANITO</t>
  </si>
  <si>
    <t>Cesión Sindicatos desde la V reg. A la VII Zona Norte 1</t>
  </si>
  <si>
    <t>Resl. 2075/2012</t>
  </si>
  <si>
    <t>resl 698/2012</t>
  </si>
  <si>
    <t>Rels. 1395/2012 Jurel</t>
  </si>
  <si>
    <t>Jul-Ago</t>
  </si>
  <si>
    <t>Nov-Dic.</t>
  </si>
  <si>
    <t>Imputación Decreto Exento N° 669/2012</t>
  </si>
  <si>
    <t>Consumo VIII Región</t>
  </si>
  <si>
    <t>DON RENATO</t>
  </si>
  <si>
    <t>CAPITO I</t>
  </si>
  <si>
    <t>SOCOROMA II</t>
  </si>
  <si>
    <t>CANDELARIA</t>
  </si>
  <si>
    <t>ANCHOVETA  RELS.   1970/2012</t>
  </si>
  <si>
    <t xml:space="preserve">Coop. Arm. Cerqueros. De la IV reg. </t>
  </si>
  <si>
    <t>MASTER</t>
  </si>
  <si>
    <t xml:space="preserve">PAULINA M </t>
  </si>
  <si>
    <t xml:space="preserve">JORGE HERMAN M </t>
  </si>
  <si>
    <t>RIO BIO BIO</t>
  </si>
  <si>
    <t>JUAN MARCELO</t>
  </si>
  <si>
    <t>DON  CHUNDO</t>
  </si>
  <si>
    <t>SEBASTIAN II</t>
  </si>
  <si>
    <t>MAR MEDITERRANEO</t>
  </si>
  <si>
    <t>MAR DE GALILEA</t>
  </si>
  <si>
    <t>LAUCA</t>
  </si>
  <si>
    <t>PEHUENCHE</t>
  </si>
  <si>
    <t>ACHERNAR</t>
  </si>
  <si>
    <t xml:space="preserve">ANTARES V </t>
  </si>
  <si>
    <t>DON BRUNO</t>
  </si>
  <si>
    <t>GLACIAR I</t>
  </si>
  <si>
    <t xml:space="preserve">HURACAN I </t>
  </si>
  <si>
    <t>LA VICTORIA</t>
  </si>
  <si>
    <t>FLORINDA INES</t>
  </si>
  <si>
    <t>MAS SEGUNDO</t>
  </si>
  <si>
    <t>DON GOYO</t>
  </si>
  <si>
    <t>MARGARITA DEL MAR   ANCHOVETA        RESOL 1489/2012</t>
  </si>
  <si>
    <t>MARGARITA DEL MAR SARDINA COMUN RESL. 1489/2012</t>
  </si>
  <si>
    <t>IV región de Industrial a Artesanal  693/2012  JUREL</t>
  </si>
  <si>
    <t>ANCHOVETA Y SARDINA COMUN  RES. 698/2012</t>
  </si>
  <si>
    <t>IV región de Industrial a Artesanal  1970/2012 ANCHOVETA</t>
  </si>
  <si>
    <t>IV región de Industrial a Artesanal  1395/2012  JUREL</t>
  </si>
  <si>
    <t>Traspasos Desde la VII A LA VIII REGIÓN</t>
  </si>
  <si>
    <t xml:space="preserve">JOEL I </t>
  </si>
  <si>
    <t xml:space="preserve">TRASPASO IND-ART  XIV REGIÓN  RESL. 2537/2012 desde la VIII región </t>
  </si>
  <si>
    <t>Acuario III RPA 954796</t>
  </si>
  <si>
    <t>CHUMINGO</t>
  </si>
  <si>
    <t>VERÓNICA ALEJANDRA</t>
  </si>
  <si>
    <t>JOSÉ LEONARDO</t>
  </si>
  <si>
    <t>CUOTA</t>
  </si>
  <si>
    <t>CUOTA EFECTIVA</t>
  </si>
  <si>
    <t xml:space="preserve">Veda </t>
  </si>
  <si>
    <t>III  región  lmc.</t>
  </si>
  <si>
    <t>C. efectiva</t>
  </si>
  <si>
    <t>.</t>
  </si>
  <si>
    <t>Cuota traspaso Industrial a Artesanal III resl. 1799/2012 NÓMINA</t>
  </si>
  <si>
    <t>DON ENRI</t>
  </si>
  <si>
    <t>PAOLA I</t>
  </si>
  <si>
    <t>DON LUCHO</t>
  </si>
  <si>
    <t>DOÑA FLORINDA</t>
  </si>
  <si>
    <t>DANIEL</t>
  </si>
  <si>
    <t>DOÑA MARGARITA</t>
  </si>
  <si>
    <t>Nómina de embac. 1ER.   PERÍODO ENE-OCT.</t>
  </si>
  <si>
    <t>Nómina de embac. 2DO.  PERÍODO NOV-DIC.</t>
  </si>
  <si>
    <t>Resl. Ex. N° 1799/2012</t>
  </si>
  <si>
    <t>Nómina de embac. 1ER.   PERÍODO ENE-OCT</t>
  </si>
  <si>
    <t>Nómina de embac. 2DO.  PERÍODO NOV-DIC</t>
  </si>
  <si>
    <t>Cooperativa LTDA. GEVIMAR Lota,  Reg. Rol. 4465</t>
  </si>
  <si>
    <t>Don Robert</t>
  </si>
  <si>
    <t>Don Eliseo</t>
  </si>
  <si>
    <t>Angela Valentina</t>
  </si>
  <si>
    <t>Isaac</t>
  </si>
  <si>
    <t>Ricardo I</t>
  </si>
  <si>
    <t>Tio Chito</t>
  </si>
  <si>
    <t>Moises</t>
  </si>
  <si>
    <t>Albita Melania</t>
  </si>
  <si>
    <t>Maria Bristela</t>
  </si>
  <si>
    <t>Don Angel</t>
  </si>
  <si>
    <t>Rio Jordan V</t>
  </si>
  <si>
    <t>Don Marcial</t>
  </si>
  <si>
    <t>Francisco Javier</t>
  </si>
  <si>
    <t>Don Jairo</t>
  </si>
  <si>
    <t>La Novia del Mar</t>
  </si>
  <si>
    <t>Don Luis Alberto</t>
  </si>
  <si>
    <t>Don Miguel</t>
  </si>
  <si>
    <t>Doncella II</t>
  </si>
  <si>
    <t>Matias</t>
  </si>
  <si>
    <t>Rels. 2838/2012 ANCHOVETA</t>
  </si>
  <si>
    <t>IV región de Industrial a Artesanal  2838/2012 ANCHOVETA</t>
  </si>
  <si>
    <t>1er per.</t>
  </si>
  <si>
    <t>2do per.</t>
  </si>
  <si>
    <t>dif.</t>
  </si>
  <si>
    <t>1er per</t>
  </si>
  <si>
    <t>1ER PERÍODO</t>
  </si>
  <si>
    <t>2DO PERÍODO</t>
  </si>
  <si>
    <t>3ER PERÍODO</t>
  </si>
  <si>
    <t>Fauna Acompañante</t>
  </si>
  <si>
    <t>DON SAMUEL II</t>
  </si>
  <si>
    <t>ISAAC M</t>
  </si>
  <si>
    <t>CAMILA ANTONELLA</t>
  </si>
  <si>
    <t>GAVILAN III</t>
  </si>
  <si>
    <t>DON ANSELMO II</t>
  </si>
  <si>
    <t>RODRIGO</t>
  </si>
  <si>
    <t>DON SIXTO</t>
  </si>
  <si>
    <t>GALEON II</t>
  </si>
  <si>
    <t>ESTRELLA DE DAVID</t>
  </si>
  <si>
    <t>RUBY FRANCISCA</t>
  </si>
  <si>
    <t>2136 modf. 2690</t>
  </si>
  <si>
    <t>A G  de Pescadores y Armadores Artesanales Pelágicos de la Región del Bío Bío, PESCA MAR A.G., Registro de Asociaciones Gremiales 450-8</t>
  </si>
  <si>
    <t>trespaso</t>
  </si>
  <si>
    <t>TRASPASO IND-ART  XIV REGIÓN  RESL. 2878/2012</t>
  </si>
  <si>
    <t>Avutarda</t>
  </si>
  <si>
    <t>Esperanza IV</t>
  </si>
  <si>
    <t>TRASPASO IND-ART  XIV REGIÓN  RESL. 2881/2012</t>
  </si>
  <si>
    <t>AGUILA REAL</t>
  </si>
  <si>
    <t>EBENEZER II</t>
  </si>
  <si>
    <t>CLAUDIO I</t>
  </si>
  <si>
    <t>PUNTA BRAVA</t>
  </si>
  <si>
    <t>Traspazo Anchoveta  XV - I industrial a artesanal Resol 2883/2012</t>
  </si>
  <si>
    <t>Grupo de embarcaciones</t>
  </si>
  <si>
    <t>Resl. N° 2883/2012</t>
  </si>
  <si>
    <t xml:space="preserve">DON JOAQUIN </t>
  </si>
  <si>
    <t xml:space="preserve">SAMARITANO </t>
  </si>
  <si>
    <t xml:space="preserve">Amparito I </t>
  </si>
  <si>
    <t>Glopara I</t>
  </si>
  <si>
    <t>TRASPASO IND-ART  VIII a la XIV REGIÓN  RESL. 2925/2012</t>
  </si>
  <si>
    <t>ACUARIO III</t>
  </si>
  <si>
    <t>cuota</t>
  </si>
  <si>
    <t>saldo</t>
  </si>
  <si>
    <t>RICARDO I  es conpatida con la VIII                  RESOL 2794</t>
  </si>
  <si>
    <t>resl. 2794 pesca en la VIII</t>
  </si>
  <si>
    <t>TRASPASO IND-ART  V a la VII REGIÓN  RESL. 2794/2012</t>
  </si>
  <si>
    <t>TRASPASO IND-ART  IV REGIÓN  RESL. 2961/2012 LANGOSTINO COLORADO</t>
  </si>
  <si>
    <t>L. COLORADO</t>
  </si>
  <si>
    <t>CUNSUMO</t>
  </si>
  <si>
    <t>BONI MAURI</t>
  </si>
  <si>
    <t>CHAFIC I</t>
  </si>
  <si>
    <t>PUNTA TALCA</t>
  </si>
  <si>
    <t>TRAUWUN I</t>
  </si>
  <si>
    <t>TRASPASO IND-ART  IV REGIÓN  RESL. 2960/2012 LANGOSTINO COLORADO</t>
  </si>
  <si>
    <t>ROLANDO</t>
  </si>
  <si>
    <t>YO CLAUDIO</t>
  </si>
  <si>
    <t>SAMARITANO.</t>
  </si>
  <si>
    <t>DON JOAQUIN</t>
  </si>
  <si>
    <t>TRASPASO IND-ART  XIV REGIÓN  RESL. 2980/2012  SARDINA COMUN</t>
  </si>
  <si>
    <t>CHFIC I</t>
  </si>
  <si>
    <t>IV región de Industrial a Artesanal  3054/2022  LANGOSTINO COLORADO IND-ART</t>
  </si>
  <si>
    <t>NAVE</t>
  </si>
  <si>
    <t>Resl. N° 3068/2012</t>
  </si>
  <si>
    <t>TRASPASO IND-ART  IX REGIÓN  RESL. 3038/2012</t>
  </si>
  <si>
    <t>TRASPASO IND-ART  IV REGIÓN  RESL. 3057/2012 CAMARON NAILON</t>
  </si>
  <si>
    <t>IV región de Industrial a Artesanal  3058/2012 ANCHOVETA</t>
  </si>
  <si>
    <t>CESION VIII A  IX REGIÓN</t>
  </si>
  <si>
    <t>Resl. N° 1397/2012</t>
  </si>
  <si>
    <t>Traspazo Anchoveta  XV - I industrial a artesanal Resol 3068/2012</t>
  </si>
  <si>
    <t xml:space="preserve">consumo total </t>
  </si>
  <si>
    <t>2° periodo</t>
  </si>
  <si>
    <t>total anual</t>
  </si>
  <si>
    <t>anual</t>
  </si>
  <si>
    <t>Capturado Anchoveta</t>
  </si>
  <si>
    <t>Períodos V a X regiones Y TONELADAS ANCHOVETA</t>
  </si>
  <si>
    <t>MARGARITA DEL MAR ANCHOVETA RESOL 1462/2012</t>
  </si>
  <si>
    <t>MARGARITA DEL MAR SARDINA COMUN RES 1462/2012</t>
  </si>
  <si>
    <t>DELTA</t>
  </si>
  <si>
    <t>ANTARES V</t>
  </si>
  <si>
    <t>HURACAN I</t>
  </si>
  <si>
    <t>correlativo</t>
  </si>
  <si>
    <t>capturado</t>
  </si>
  <si>
    <r>
      <rPr>
        <b/>
        <sz val="11"/>
        <rFont val="Arial"/>
        <family val="2"/>
      </rPr>
      <t xml:space="preserve">JUREL </t>
    </r>
    <r>
      <rPr>
        <b/>
        <sz val="8"/>
        <rFont val="Arial"/>
        <family val="2"/>
      </rPr>
      <t>TRASPADO DE INDUSTRIAL  RESL. 693/2012</t>
    </r>
  </si>
  <si>
    <t>Rels. 3058/2012 ANCHOVETA</t>
  </si>
  <si>
    <t>Sardina</t>
  </si>
  <si>
    <t>delta</t>
  </si>
  <si>
    <t>oct dic informado</t>
  </si>
  <si>
    <t>nuestro</t>
  </si>
  <si>
    <t>Cesión Sindicatos desde la IV reg. A la V Zona Norte</t>
  </si>
  <si>
    <t>Resl. 3184/ 06 12 2012</t>
  </si>
  <si>
    <t>Asc. Arm. Art de la Décima Región., R.A.G.156-10 ARGAMAR</t>
  </si>
  <si>
    <t>Sind. Pesc. Art. Caleta SAN RAFAEL, R.S.U.10.01.0573</t>
  </si>
  <si>
    <t>Sind.Comuna de QUELLON R.S.U.10.16.0010</t>
  </si>
  <si>
    <t>Sind. Ind. CORCOVADO R.S.U.10.16.400</t>
  </si>
  <si>
    <t>Sind. Arm. y Trip. de la Isla de Chiloé, R.S.U.10.04.0214 SATICH</t>
  </si>
  <si>
    <t>Sind. Pesc. Art. Y Arm. Cerqueros de Valdivia. R.S.U. 10.02.0409 SIPACERVAL</t>
  </si>
  <si>
    <t>LOS REPORTA LA XIV</t>
  </si>
  <si>
    <t>NATALY</t>
  </si>
  <si>
    <t>ANTARES III</t>
  </si>
  <si>
    <t>CESIÓN ART-ART  X a la IX REGIÓN  RESL. 3214/ 11 12 2012</t>
  </si>
  <si>
    <t>sardina total</t>
  </si>
  <si>
    <t>Traspazo Sardina Común  XIV desde la VIII región resl. 2537</t>
  </si>
  <si>
    <t xml:space="preserve">              </t>
  </si>
  <si>
    <t>Nómina Embarcacionmes   BOLSON</t>
  </si>
  <si>
    <t>IV región de Industrial a Artesanal  3310/2012  JUREL</t>
  </si>
  <si>
    <t>EMB. ENTRE 8.1 A 12 METRSO</t>
  </si>
  <si>
    <t>Nómina Embarcacionmes   31 EN OTAL CERCOPESCA</t>
  </si>
  <si>
    <t>EL ACUARIO I</t>
  </si>
  <si>
    <t>Traspazo Anchoveta  XV - I industrial a artesanal Resol 3385/2012</t>
  </si>
  <si>
    <t>Resl. N° 3385/2012</t>
  </si>
  <si>
    <t>IV Región de Coquimbo</t>
  </si>
  <si>
    <t>V Región de Valparaíso</t>
  </si>
  <si>
    <t xml:space="preserve">VIII Región, del Bio Bio </t>
  </si>
  <si>
    <t>XIV Región, de los Ríos</t>
  </si>
  <si>
    <t>X Región, de la Los Lagos</t>
  </si>
  <si>
    <t>IV Región, de Coquimbo</t>
  </si>
  <si>
    <t>V Región, de Valparaiso</t>
  </si>
  <si>
    <t>VII Región, de Maule</t>
  </si>
  <si>
    <t>VIII Región, del BioBio</t>
  </si>
  <si>
    <t>X Región, de los Lagos</t>
  </si>
  <si>
    <t>% consumido 2013</t>
  </si>
  <si>
    <t>V Región, de Valparaíso</t>
  </si>
  <si>
    <t>Resumen por Periodo Cuota Artesanal 2013</t>
  </si>
  <si>
    <t>Resumen Global Cuotas Artesanales 2013</t>
  </si>
  <si>
    <t>Resumen Artesanal por unidad de pesquería, 2013</t>
  </si>
  <si>
    <t>Resumen RAE Anchoveta 2013</t>
  </si>
  <si>
    <t>RAE Anchoveta 2013</t>
  </si>
  <si>
    <t>Anchoveta 2013</t>
  </si>
  <si>
    <t>Resumen RAE Sardina común 2013</t>
  </si>
  <si>
    <t>RAE Sardina común 2013</t>
  </si>
  <si>
    <t>Sardina común 2013</t>
  </si>
  <si>
    <t>Resumen RAE Jurel 2013</t>
  </si>
  <si>
    <t>RAE Jurel 2013</t>
  </si>
  <si>
    <t>Jurel 2013</t>
  </si>
  <si>
    <t>Sardina española 2013</t>
  </si>
  <si>
    <t>Sardina austral 2013</t>
  </si>
  <si>
    <t>RAE</t>
  </si>
  <si>
    <t>NACIONAL</t>
  </si>
  <si>
    <t>IV (RAE por Org)</t>
  </si>
  <si>
    <t>V (RAE por Org)</t>
  </si>
  <si>
    <t>VIII (RAE por Org)</t>
  </si>
  <si>
    <t>V (RAE por ORG)</t>
  </si>
  <si>
    <t>VII (RAE por ORG)</t>
  </si>
  <si>
    <t>VIII (RAE por ORG)</t>
  </si>
  <si>
    <t>XIV (RAE por Org)</t>
  </si>
  <si>
    <t>X (RAE por ORG)</t>
  </si>
  <si>
    <t>XIV (RAE por ORG)</t>
  </si>
  <si>
    <t>Abr-Oct</t>
  </si>
  <si>
    <t>Abr-Sep</t>
  </si>
  <si>
    <t>IV RAE</t>
  </si>
  <si>
    <t>V RAE</t>
  </si>
  <si>
    <t>VII RAE</t>
  </si>
  <si>
    <t>VIII RAE</t>
  </si>
  <si>
    <t>XIV RAE</t>
  </si>
  <si>
    <t>X RAE</t>
  </si>
  <si>
    <t xml:space="preserve">VII (RAE por Org) </t>
  </si>
  <si>
    <t>X (RAE por Org)</t>
  </si>
  <si>
    <t>Ene-Dic</t>
  </si>
  <si>
    <t>ASOGFER AG. R.A.G. 310-10</t>
  </si>
  <si>
    <t>ASOGPESCA ANCUD AG.  R.A.G. 4266</t>
  </si>
  <si>
    <t>ASOGFER AG. 310-10</t>
  </si>
  <si>
    <t>ASOGPESCA ANCUD AG. 4266</t>
  </si>
  <si>
    <t>ASOGPESCA ANCUD AG. RAG. 4266</t>
  </si>
  <si>
    <t>ATENCIÓN</t>
  </si>
  <si>
    <t>X Región, de Los Lagos Sardina austral Resl. 205/2013</t>
  </si>
  <si>
    <t>III Region de Atacama</t>
  </si>
  <si>
    <t>IV Region de Coquimbo</t>
  </si>
  <si>
    <t>Asc. Arm. Art de la Décima Región., R.A.G.156-10 AGARMAR</t>
  </si>
  <si>
    <t>resumen anchoveta como fauna acompañante</t>
  </si>
  <si>
    <t>Ene - Jun</t>
  </si>
  <si>
    <t>Ene - oct</t>
  </si>
  <si>
    <t>Ene - Sep</t>
  </si>
  <si>
    <t>Ene-Oct</t>
  </si>
  <si>
    <t>Ene -Sep</t>
  </si>
  <si>
    <t>STI. AGUA LIMPIA RSU. N° 07050118</t>
  </si>
  <si>
    <t>Traspasos</t>
  </si>
  <si>
    <t>Ene-Sep</t>
  </si>
  <si>
    <t>ASOGPESCA ANCUD AG. RAG. 4266, RSU 10,04,0214</t>
  </si>
  <si>
    <r>
      <t xml:space="preserve">Sind. Arm. y Trip. de la Isla de Chiloé, R.S.U.10.04.0214 </t>
    </r>
    <r>
      <rPr>
        <sz val="10"/>
        <color rgb="FFFF0000"/>
        <rFont val="@Arial Unicode MS"/>
      </rPr>
      <t>SATICH</t>
    </r>
  </si>
  <si>
    <t>11 02 2013</t>
  </si>
  <si>
    <t>23/01/2013   23 02 2013</t>
  </si>
  <si>
    <t>Sardina austral</t>
  </si>
  <si>
    <t>Jul - Sep</t>
  </si>
  <si>
    <t>X región</t>
  </si>
  <si>
    <t>V a X</t>
  </si>
  <si>
    <t>III a IV</t>
  </si>
  <si>
    <t>XV a II</t>
  </si>
  <si>
    <t>XV a X</t>
  </si>
  <si>
    <t>FAUNA ACOMPAÑANTE</t>
  </si>
  <si>
    <t>Resumen</t>
  </si>
  <si>
    <t>Solo X  región</t>
  </si>
  <si>
    <t>Resumen III a IV</t>
  </si>
  <si>
    <t>Sardina Española 2013</t>
  </si>
  <si>
    <t>Resumen XV a II</t>
  </si>
  <si>
    <t>Resumen Global</t>
  </si>
  <si>
    <t>Resumen V a X</t>
  </si>
  <si>
    <t>Sardina Comun 2013</t>
  </si>
  <si>
    <t>Resumen global</t>
  </si>
  <si>
    <t>XIV región</t>
  </si>
  <si>
    <t>IX región</t>
  </si>
  <si>
    <t>VII región</t>
  </si>
  <si>
    <t>VI región</t>
  </si>
  <si>
    <t>IV región</t>
  </si>
  <si>
    <t>III región</t>
  </si>
  <si>
    <t>II región</t>
  </si>
  <si>
    <t>I región</t>
  </si>
  <si>
    <t>XV región</t>
  </si>
  <si>
    <t>Jurel 2013 XV a X</t>
  </si>
  <si>
    <t>ç</t>
  </si>
  <si>
    <t>total año</t>
  </si>
  <si>
    <t>Agrupación de Armadores y Pescadores Pelágicos de Caleta Tubul, Registro de Organización Comunitaria Funcional 478-2007</t>
  </si>
  <si>
    <t>Agrupación Gremial de Productores Pelágicos, Armadores Artesanales de Talcahuano, Región del Bío Bío AGREPAR BIO BIO A.G., R.A.G.  N° 468-8</t>
  </si>
  <si>
    <t>Asociación de Armadores, Pescadores Artesanales y Actividades Afines de la Octava Región, Asociación Gremial ARPESCA A.G., R.A.G.  429-8</t>
  </si>
  <si>
    <t>A.G. Armadores Artesanales Pelágico Coronel-Lota del Bío Bío, ARPES BIO BIO A.G., R.A.G.  445-8</t>
  </si>
  <si>
    <t>A.G. Armadores y Pescadores Artesanales, SIARPAR A.G., R.A.G.  448-8</t>
  </si>
  <si>
    <t>A.G. de Armadores Artesanales - ARMAR A.G., R.A.G.  384-8</t>
  </si>
  <si>
    <t>A.G. de Armadores Artesanales y Productores Pelágicos de la Caleta el Morro de Talcahuano - AGEMAPAR, R.A.G.  376-8</t>
  </si>
  <si>
    <t>A.G. de Armadores y Productores Pelágicos Artesanales de la Octava Región - ARPROPELAR A.G., R.A.G.  353-8</t>
  </si>
  <si>
    <t>A.G. de Pequeños Armadores, Pescadores y Tripulantes - ITALMAR A.G., R.A.G.  392-8</t>
  </si>
  <si>
    <t>A.G. de Pescadores Artesanales de caleta INFIERNILLO, R.A.G.  98-8</t>
  </si>
  <si>
    <t>A.G. de Pescadores Artesanales de Coronel, R.A.G.  5-08</t>
  </si>
  <si>
    <t>A.G. de Pescadores Artesanales de Lota - A.G. APESCA Lota, R.A.G.  428-8</t>
  </si>
  <si>
    <t>A.G. de Pescadores Artesanales de San Vicente – Talcahuano, R.A.G.  18-8</t>
  </si>
  <si>
    <t>A.G. de Pescadores Artesanales, VIII Región- AGREPESCA A.G., R.A.G.  N° 396-8</t>
  </si>
  <si>
    <t>A.G. de Pescadores y Armadores Artesanales Pelágicos de la Región del Bío Bío, PESCA MAR A.G., R.A.G.  450-8</t>
  </si>
  <si>
    <t>A.G. de Productores Pelágicos Artesanales de las Caletas de Talcahuano y San Vicente de la VIII Región GEMAR A.G., R.A.G.  464-8</t>
  </si>
  <si>
    <t>A.G. Productores Pelágicos, Armadores Artesanales de la Comuna de Coronel, VIII Región, ARPESCA A.G., R.A.G.  447-8</t>
  </si>
  <si>
    <t>Cooperativa de Pescadores Pelilleros Isla Santa María Ltda., Registro de Cooperativa Rol 1826</t>
  </si>
  <si>
    <t>Cooperativa de Pescadores y Armadores Artesanales de Lota o GEVIMAR, Registro de Cooperativa Rol 4465</t>
  </si>
  <si>
    <t>Sindicato de Pescadores Artesanales Lo Rojas y Caletas Anexas del Golfo de Arauco , R.S.U.  08.07.0307</t>
  </si>
  <si>
    <t>Sindicato de Pescadores Artesanales y Armadores Artesanales de la Octava Región, SPAADA SD, R.S.U.  08.05.0339</t>
  </si>
  <si>
    <t>Sindicato de Pescadores Artesanales, Armadores Pelágicos y Actividades Conexas de la Caleta Vegas de Coliumo, R.S.U.  08.06.0113</t>
  </si>
  <si>
    <t>Sindicato de Pescadores y Armadores Artesanales del Mar, SIPARMAR, R.S.U.  08.05.0399</t>
  </si>
  <si>
    <t>Sindicato de Pescadores y Trabajadores Independientes "Brisas del Mar", R.S.U.  08.04.0115</t>
  </si>
  <si>
    <t>S.T.I.  Armadores Pescadores Artesanales Buzos Mariscadores, Algueros Acuicultores y Actividades Conexas de la Región del Bío Bío (PESCA BIO BIO), R.S.U.  08.05.0532</t>
  </si>
  <si>
    <t>S.T.I.  Armadores Pescadores del Mar "SIARPEMAR", R.S.U.  08.05.0459.</t>
  </si>
  <si>
    <t>S.T.I.  Armadores, Pescadores y Ramos Afines de la Pesca Artesanal de la Región del  Bio-Bio, SARPAR BIO-BIO, R.S.U.  08.05.0378</t>
  </si>
  <si>
    <t>S.T.I.  Armadores, Pescadores y Ramos Afines de la Pesca Artesanal Lo Rojas "SITRAL", R.S.U.  08.07.0322</t>
  </si>
  <si>
    <t>S.T.I.  de Armadores y Pescadores Artesanales y Ramas afines, R.S.U.  08.05.0512</t>
  </si>
  <si>
    <t>S.T.I.  de Buzos asistentes, Armadores, Pescadores Artesanales Hermandad de la Costa, R.S.U.  08.05.0404</t>
  </si>
  <si>
    <t>S.T.I.  de la Pesca Artesanal, Armadores Artesanales Pelágicos Actividades Afines y Actividades Conexas de la Comuna de Talcahuano, MAR AZUL,  R.S.U.  08.05.0434</t>
  </si>
  <si>
    <t>S.T.I.  de la Pesca Artesanal, Armadores Artesanales Pelágicos, Pescadores Artesanales propiamente tales y actividades Conexas de Caleta San Vicente "Sindicato Tsunami", R.S.U.  08.05.0428</t>
  </si>
  <si>
    <t>S.T.I.  de Pescadores Artesanales Caleta Lo Rojas, R.S.U.  08.07.0287.</t>
  </si>
  <si>
    <t>S.T.I.  de Pescadores Artesanales Merluceros y Afines de Caleta Lo Rojas, R.S.U.  08.07.0227</t>
  </si>
  <si>
    <t>S.T.I.  de Pescadores Artesanales, Armadores Artesanales Pelágicos Actividades Afines y Actividades Conexas de la Caleta de San Vicente de la Comuna de Talcahuano, SIPARMARCEA, R.S.U.  08.05.0430</t>
  </si>
  <si>
    <t>S.T.I.  Pescadores Armadores y Ramos Afines de la Pesca Artesanal, APAT, R.S.U.  08.05.0380</t>
  </si>
  <si>
    <t>S.T.I.  Pescadores Artesanales de Caleta Tumbes - Talcahuano, R.S.U.  08.05.0057</t>
  </si>
  <si>
    <t>S.T.I.  Pescadores Artesanales Históricos de Talcahuano, SPARHITAL, R.S.U.  08.05.0382</t>
  </si>
  <si>
    <t>S.T.I.  Pescadores Artesanales Península de Tumbes, R.S.U.  08.05.0391</t>
  </si>
  <si>
    <t>S.T.I.  Pescadores Artesanales, Armadores y Actividades Conexas Tome Los Bagres, R.S.U.  08.06.0024</t>
  </si>
  <si>
    <t>S.T.I.  Pescadores Artesanales, Armadores, Patrones y Tripulantes de Pesca Artesanal y Actividades Conexas de la Caleta Cocholgüe de la Comuna de Tomé VIII Región, R.S.U.  08.0601.06.</t>
  </si>
  <si>
    <t>S.T.I.  Pescadores Artesanales, Buzos Mariscadores y Actividades Conexas del Puerto de Coronel de la VIII Región y del Golfo de Arauco, R.S.U.  08.07.0183</t>
  </si>
  <si>
    <t>S.T.I.  Pescadores Artesanales, Lancheros, Acuicultores y Actividades Conexas de Caleta Lota Bajo, R.S.U.  08.07.0106</t>
  </si>
  <si>
    <t>S.T.I.  Pescadores de la Caleta Cocholgüe, R.S.U.  08.06.0023</t>
  </si>
  <si>
    <t>S.T.I.  Pescadores de la Caleta Coliumo, R.S.U.  08.06.0027</t>
  </si>
  <si>
    <t>S.T.I.  Pescadores y Armadores y Ramos Afines de la Pesca Artesanal, SIPARMA - LOTA, R.S.U.  08.07.0306</t>
  </si>
  <si>
    <t>S.T.I.  Pescadores, Armadores Artesanales Buzos, Acuicultores y Ramos Afines de la Pesca Artesanal Comuna de Talcahuano, R.S.U.  08.05.0487.</t>
  </si>
  <si>
    <t>S.T.I.  Pescadores, Armadores y Ramas Afines de la Pesca Artesanal de Coronel SIPESMAFESA, R.S.U.  08.07.0332</t>
  </si>
  <si>
    <t>S.T.I.  Pescadores, Armadores y Ramos Afines de la Pesca Artesanal de Coronel, SIPARMAR CORONEL , R.S.U.  08.07.0271</t>
  </si>
  <si>
    <t>S.T.I.  Pescadores, Armadores y Ramos Afines SIPEAYRAS de Lota, R.S.U.  08.07.0296</t>
  </si>
  <si>
    <t>S.T.I. , Armadores, Buzos acuicultores y ramos afines de la pesca artesanal "SIPEARBUCOR" R.S.U.  08.07.0376</t>
  </si>
  <si>
    <t>S.T.I. , Ayudantes de Buzos, Pescadores Artesanales y Algueras y Actividades Conexas de las Caletas Tomé y Quichiuto, R.S.U.  08.06.0043</t>
  </si>
  <si>
    <t>S.T.I. , Pescadores Artesanales, Armadores Artesanales Pelágicos, Patrones y Tripulantes de Pesca Artesanal y Actividades Conexas de la Común de Talcahuano " ASPAS", R.S.U.  08.05.0474</t>
  </si>
  <si>
    <t>S.T.I. , Pescadores Artesanales, Armadores Artesanales, "Rio Maipo" de la Caleta de San Vicente de la Comuna de Talcahuano; R.S.U.  08.05.0488.</t>
  </si>
  <si>
    <t>S.T.I. , Pescadores Artesanales, Armadores Artesanales, Buzos Mariscadores y Recolectores de Orilla Isla Santa Maria Puerto Sur, R.S.U.  08.07.0364.</t>
  </si>
  <si>
    <t>S.T.I. , Pescadores de la Pesca Artesanal, Armadores Artesanales y Actividades Conexas de la Caleta de Lota VIII Región (SIPAR GENTE DE MAR), R.S.U.  08.07.0326</t>
  </si>
  <si>
    <t>Sindicato de Trabajadores Pescadores y Armadores Artesanales Independientes, Buzos Mariscadores  y Actividades Anexas de Talcahuano, SIPARBUM, R.S.U.  08.05.0424</t>
  </si>
  <si>
    <t>Sindicato Independiente de Armadores y Pescadores Artesanales Afines, SARPE, R.S.U.  08.05.0398</t>
  </si>
  <si>
    <t>Sindicato Independiente de Pequeños Armadores Artesanales de Cerco y Otras Actividades Afines de Coronel y Lota, R.S.U.  08.07.0373</t>
  </si>
  <si>
    <t>Sindicato Independiente de Pescadores Artesanales, Tripulantes Artesanales de Cerco y Ramos Afines de la Comuna de Lota, R.S.U.  08.07.0220</t>
  </si>
  <si>
    <t>Embarcaciones tipo bote sin historia real de desembarque</t>
  </si>
  <si>
    <t>insertar aquí</t>
  </si>
  <si>
    <t>desembarque</t>
  </si>
  <si>
    <t>I PERIODO</t>
  </si>
  <si>
    <t>Sardina C</t>
  </si>
  <si>
    <t>Embarcaciones Tipo Bote</t>
  </si>
  <si>
    <t>Sin historial real de desembarque</t>
  </si>
  <si>
    <t>Máximo 250 toneladas</t>
  </si>
  <si>
    <t>Nr_Folio</t>
  </si>
  <si>
    <t>Nr_Matricula</t>
  </si>
  <si>
    <t>Nr_Eslora</t>
  </si>
  <si>
    <t>S.Común</t>
  </si>
  <si>
    <t>SAGITARIO</t>
  </si>
  <si>
    <t>cerrada 13.03.13 Sagitario</t>
  </si>
  <si>
    <t>MIRASOL</t>
  </si>
  <si>
    <t>ver operación</t>
  </si>
  <si>
    <t>YANIRA II</t>
  </si>
  <si>
    <t>MAR ROJO</t>
  </si>
  <si>
    <t>SALOMON I</t>
  </si>
  <si>
    <t>DIEGO BENJAMIN</t>
  </si>
  <si>
    <t>ADMIEL</t>
  </si>
  <si>
    <t>DON PETER I</t>
  </si>
  <si>
    <t>EL LINCO II</t>
  </si>
  <si>
    <t>ALEXANDER I</t>
  </si>
  <si>
    <t>CALEUCHE I</t>
  </si>
  <si>
    <t>HALCON III</t>
  </si>
  <si>
    <t>LUIS ELIAS</t>
  </si>
  <si>
    <t>ODISEO</t>
  </si>
  <si>
    <t>DON ANDRES II</t>
  </si>
  <si>
    <t>YENNY VALESKA II</t>
  </si>
  <si>
    <t>FELIPE ANTONIO</t>
  </si>
  <si>
    <t>TUNINA</t>
  </si>
  <si>
    <t>J.CARLITOS</t>
  </si>
  <si>
    <t>BENDICION II</t>
  </si>
  <si>
    <t>HENRY</t>
  </si>
  <si>
    <t>RENACER</t>
  </si>
  <si>
    <t>DON DANIEL I</t>
  </si>
  <si>
    <t>MI JESUS</t>
  </si>
  <si>
    <t>YENIFER</t>
  </si>
  <si>
    <t xml:space="preserve">JOHANA </t>
  </si>
  <si>
    <t>ESPERANZA EN DIOS</t>
  </si>
  <si>
    <t>JOSEFA ANTONIA</t>
  </si>
  <si>
    <t>LADY ALASKA</t>
  </si>
  <si>
    <t>PATY</t>
  </si>
  <si>
    <t>ANA ROSA</t>
  </si>
  <si>
    <t>DON PASCUAL V</t>
  </si>
  <si>
    <t>EMILIANO</t>
  </si>
  <si>
    <t>GEDEON II</t>
  </si>
  <si>
    <t>DON ALONSO</t>
  </si>
  <si>
    <t>PISCIS II</t>
  </si>
  <si>
    <t>DOÑA ISABEL</t>
  </si>
  <si>
    <t>BELLA MARINA</t>
  </si>
  <si>
    <t>NIÑO DEL VALLE</t>
  </si>
  <si>
    <t xml:space="preserve">DON MATI </t>
  </si>
  <si>
    <t>KATHERINE III</t>
  </si>
  <si>
    <t>MARAZUL</t>
  </si>
  <si>
    <t>EL CHOLA I</t>
  </si>
  <si>
    <t>EDEN III</t>
  </si>
  <si>
    <t>ERWIN</t>
  </si>
  <si>
    <t>GETSEMANI II</t>
  </si>
  <si>
    <t>DON ENRIQUE</t>
  </si>
  <si>
    <t>GEORGE MICHAEL</t>
  </si>
  <si>
    <t>REY DEL PACIFICO</t>
  </si>
  <si>
    <t>SERGIO II</t>
  </si>
  <si>
    <t>LORETO I</t>
  </si>
  <si>
    <t>JOHANI</t>
  </si>
  <si>
    <t>LUZ DEL SUR</t>
  </si>
  <si>
    <t>PITUCO</t>
  </si>
  <si>
    <t>TITITO</t>
  </si>
  <si>
    <t>OCEANO I</t>
  </si>
  <si>
    <t>DON PABLO</t>
  </si>
  <si>
    <t>DON PEDRO 2°</t>
  </si>
  <si>
    <t>CUPIDO</t>
  </si>
  <si>
    <t>RIO GHION</t>
  </si>
  <si>
    <t>DON JOSE L I</t>
  </si>
  <si>
    <t>CALIPSO</t>
  </si>
  <si>
    <t>NORTINA</t>
  </si>
  <si>
    <t>JUAN ALEXI</t>
  </si>
  <si>
    <t>SOL NACIENTE</t>
  </si>
  <si>
    <t>RAYO II</t>
  </si>
  <si>
    <t>CHICO RISSO</t>
  </si>
  <si>
    <t>ENEAS I</t>
  </si>
  <si>
    <t>OMEGA</t>
  </si>
  <si>
    <t>KARLITA ALONDRA</t>
  </si>
  <si>
    <t>YELCHO II</t>
  </si>
  <si>
    <t>YOHANA II</t>
  </si>
  <si>
    <t>CHILEDONIA 8.8</t>
  </si>
  <si>
    <t>DON DANILO I</t>
  </si>
  <si>
    <t>CANSAO CHICO I</t>
  </si>
  <si>
    <t>MARION I</t>
  </si>
  <si>
    <t>OCEANIC</t>
  </si>
  <si>
    <t>ADONIS</t>
  </si>
  <si>
    <t>LERITO M</t>
  </si>
  <si>
    <t>DON IGNACIO</t>
  </si>
  <si>
    <t>KALAFQUEN</t>
  </si>
  <si>
    <t>LA DONCELLA I</t>
  </si>
  <si>
    <t>MAC GIVER</t>
  </si>
  <si>
    <t>LIDER</t>
  </si>
  <si>
    <t>JUAN ANSELMO</t>
  </si>
  <si>
    <t>EL MAR GRANDE II</t>
  </si>
  <si>
    <t>RIO NILO III</t>
  </si>
  <si>
    <t>CARLOS MALO</t>
  </si>
  <si>
    <t>MARIA JOSE</t>
  </si>
  <si>
    <t>DON BRAYAN II</t>
  </si>
  <si>
    <t>FERNANDO ALONSO</t>
  </si>
  <si>
    <t>VENCEDOR</t>
  </si>
  <si>
    <t>DON JACOB</t>
  </si>
  <si>
    <t>MAIRA ALEJANDRA</t>
  </si>
  <si>
    <t>DON ISAIAS</t>
  </si>
  <si>
    <t>RIO NILO V</t>
  </si>
  <si>
    <t>DON MARCE</t>
  </si>
  <si>
    <t>LISET I</t>
  </si>
  <si>
    <t>FRANCO ANTONIO</t>
  </si>
  <si>
    <t>EL GAVILAN II</t>
  </si>
  <si>
    <t>LUIS DAVID</t>
  </si>
  <si>
    <t>EL BUCANERO I</t>
  </si>
  <si>
    <t>SANTA VERONICA</t>
  </si>
  <si>
    <t>NEPTUNO II</t>
  </si>
  <si>
    <t>JOSE MARIA II</t>
  </si>
  <si>
    <t>DON DIEGO I</t>
  </si>
  <si>
    <t>EL LAUTARO</t>
  </si>
  <si>
    <t>MARCELITO I</t>
  </si>
  <si>
    <t>STA ELENA</t>
  </si>
  <si>
    <t>GISEL</t>
  </si>
  <si>
    <t>DAVID</t>
  </si>
  <si>
    <t>EL LIDER</t>
  </si>
  <si>
    <t>EL CHAVA</t>
  </si>
  <si>
    <t>VICTOR RENE II</t>
  </si>
  <si>
    <t>SANTA CARMEN</t>
  </si>
  <si>
    <t>HUMBERTITO I</t>
  </si>
  <si>
    <t>PIOLIN</t>
  </si>
  <si>
    <t>LAGO VERDE</t>
  </si>
  <si>
    <t>HIMAN II</t>
  </si>
  <si>
    <t>SCORPION II</t>
  </si>
  <si>
    <t>PATY II</t>
  </si>
  <si>
    <t>INSIGNIA I</t>
  </si>
  <si>
    <t>BENJAMIN II</t>
  </si>
  <si>
    <t>ALEJANDRO I</t>
  </si>
  <si>
    <t>PAOLITA</t>
  </si>
  <si>
    <t>JONAS I</t>
  </si>
  <si>
    <t>ALONDRA</t>
  </si>
  <si>
    <t>MICKY</t>
  </si>
  <si>
    <t>JHONATAN</t>
  </si>
  <si>
    <t>ARIEL II</t>
  </si>
  <si>
    <t>JONNATHAN I</t>
  </si>
  <si>
    <t>DON FERNANDO I</t>
  </si>
  <si>
    <t>QUILANTAHUE</t>
  </si>
  <si>
    <t>DANIEL JOSUE</t>
  </si>
  <si>
    <t>SUCUPIRA I</t>
  </si>
  <si>
    <t>DAVID ELIAS</t>
  </si>
  <si>
    <t>DON CHINDO</t>
  </si>
  <si>
    <t>AYLINE I</t>
  </si>
  <si>
    <t>DEPREDADOR</t>
  </si>
  <si>
    <t>TATA BEÑO</t>
  </si>
  <si>
    <t>OLGUITA</t>
  </si>
  <si>
    <t>CRISTIAN DANIEL</t>
  </si>
  <si>
    <t>MARISAN IV</t>
  </si>
  <si>
    <t>PAULA</t>
  </si>
  <si>
    <t>MARBELLA ALEJANDRA</t>
  </si>
  <si>
    <t>JEAN KEVIN</t>
  </si>
  <si>
    <t>REBUSCA II</t>
  </si>
  <si>
    <t>HALLEY</t>
  </si>
  <si>
    <t>ACORAZADO</t>
  </si>
  <si>
    <t>DON AGUSTIN</t>
  </si>
  <si>
    <t>MOAB</t>
  </si>
  <si>
    <t>TATIANA</t>
  </si>
  <si>
    <t xml:space="preserve">EL INDOMABLE </t>
  </si>
  <si>
    <t>ADELAIDE</t>
  </si>
  <si>
    <t>RIO MAR III</t>
  </si>
  <si>
    <t>FCO. ALEJANDRO</t>
  </si>
  <si>
    <t>BEATRIZ</t>
  </si>
  <si>
    <t>SOL DEL PACIFICO</t>
  </si>
  <si>
    <t>MAR ROJO I</t>
  </si>
  <si>
    <t>EL RENACER I</t>
  </si>
  <si>
    <t>ALONSO S</t>
  </si>
  <si>
    <t>ARRECIFE</t>
  </si>
  <si>
    <t>PERLA NEGRA 3</t>
  </si>
  <si>
    <t>FABIANA II</t>
  </si>
  <si>
    <t>FLORITA I</t>
  </si>
  <si>
    <t>PUMA</t>
  </si>
  <si>
    <t>CLAUDIO DARIO</t>
  </si>
  <si>
    <t>DELFIN</t>
  </si>
  <si>
    <t>MOVIDIK</t>
  </si>
  <si>
    <t>ALBORADA IV</t>
  </si>
  <si>
    <t>PEREGRINO I</t>
  </si>
  <si>
    <t>MAICOL</t>
  </si>
  <si>
    <t>LINEA AZUL II</t>
  </si>
  <si>
    <t>EXCALIBUR</t>
  </si>
  <si>
    <t>MONSERRAT</t>
  </si>
  <si>
    <t>PAMELA</t>
  </si>
  <si>
    <t>DON RODRIGO</t>
  </si>
  <si>
    <t>JERUSALEM III</t>
  </si>
  <si>
    <t>LUIS FROILAN</t>
  </si>
  <si>
    <t>TROTAMAR</t>
  </si>
  <si>
    <t>cerrada 15.03.13 Mirasol</t>
  </si>
  <si>
    <t>sin la VIII</t>
  </si>
  <si>
    <t>cerrada 18.03.13 Mar Rojo</t>
  </si>
  <si>
    <t>BOUNTY</t>
  </si>
  <si>
    <t>ESKALIBUR I</t>
  </si>
  <si>
    <t>MAR Y CIELO</t>
  </si>
  <si>
    <t>CONY I</t>
  </si>
  <si>
    <t>Margarita del Mar</t>
  </si>
  <si>
    <t>según res 708 del 15 03 2013</t>
  </si>
  <si>
    <t>MAREA ROJA</t>
  </si>
  <si>
    <t>EL TIRANO</t>
  </si>
  <si>
    <t>DON IVAN</t>
  </si>
  <si>
    <t>SALDOS Anchoveta</t>
  </si>
  <si>
    <t>SALDOS S.Comun</t>
  </si>
  <si>
    <t>Cierra 19 03 2013</t>
  </si>
  <si>
    <t>cierra al 21 03 2013</t>
  </si>
  <si>
    <t>DON JORGE III</t>
  </si>
  <si>
    <t>el 25 03 2013 informa 10,039 mas</t>
  </si>
  <si>
    <t>KAREN V</t>
  </si>
  <si>
    <t>CESION INDUSTRIAL-ARTESANAL UNIDADES DE PESQUERÍA ANCHOVETA-SARDINA COMUN V-X REGIONES</t>
  </si>
  <si>
    <t xml:space="preserve">con desembarques al día   </t>
  </si>
  <si>
    <t>Capturado  Anchoveta</t>
  </si>
  <si>
    <t>DON BETO IV</t>
  </si>
  <si>
    <t>Ojo: Asignado es el total de ambas embarcaciones. Ojo para el cierre</t>
  </si>
  <si>
    <t>MARIELA III</t>
  </si>
  <si>
    <t>BLANCA ESTELA</t>
  </si>
  <si>
    <t>19 03 2013</t>
  </si>
  <si>
    <t>SANTA PATRICIA</t>
  </si>
  <si>
    <t>Magdalena III</t>
  </si>
  <si>
    <t>según Res Ex 01 del 28 03 2013</t>
  </si>
  <si>
    <t>VENTISQUERO</t>
  </si>
  <si>
    <t>DON CESAR</t>
  </si>
  <si>
    <t>DOÑA GABRIELA II</t>
  </si>
  <si>
    <t>según res 858 del 01 04 2013</t>
  </si>
  <si>
    <t>Res 830 27 03 2013</t>
  </si>
  <si>
    <t>Res 824 del 2603 2013</t>
  </si>
  <si>
    <t>Don Jose I</t>
  </si>
  <si>
    <t>según Res Ex 02 del 02 04 2013</t>
  </si>
  <si>
    <t xml:space="preserve">insertar aca </t>
  </si>
  <si>
    <t>A</t>
  </si>
  <si>
    <t>CAMILA IGNACIA</t>
  </si>
  <si>
    <t>ULISES II</t>
  </si>
  <si>
    <t>BELEN III</t>
  </si>
  <si>
    <t>Estado</t>
  </si>
  <si>
    <t>280</t>
  </si>
  <si>
    <t>EDEN I</t>
  </si>
  <si>
    <t>2790</t>
  </si>
  <si>
    <t>MARIA BRISTELA</t>
  </si>
  <si>
    <t>750</t>
  </si>
  <si>
    <t>MAR DE LIGURIA</t>
  </si>
  <si>
    <t>1954</t>
  </si>
  <si>
    <t>1434</t>
  </si>
  <si>
    <t>1718</t>
  </si>
  <si>
    <t>CRISTIAN MARCELO</t>
  </si>
  <si>
    <t>17 04 2013</t>
  </si>
  <si>
    <t>18 04 2013</t>
  </si>
  <si>
    <t>anchoveta como Fauna Acompañante</t>
  </si>
  <si>
    <t>23 04 2013</t>
  </si>
  <si>
    <t>RIO TOLTEN</t>
  </si>
  <si>
    <t>según Res Ex 1050 del 23 04 2013</t>
  </si>
  <si>
    <t>CESION IND A IX</t>
  </si>
  <si>
    <t xml:space="preserve">CESION IND ARTES III REGION SIT DE CALDERA </t>
  </si>
  <si>
    <t>RESOL 1051 DEL 23 04 2013</t>
  </si>
  <si>
    <t>DON BENITO II</t>
  </si>
  <si>
    <t xml:space="preserve">CHUBASCO I </t>
  </si>
  <si>
    <t>CONCANMAR I</t>
  </si>
  <si>
    <t>DON JOSE EDGARDO</t>
  </si>
  <si>
    <t>DON JOSE MIGUEL</t>
  </si>
  <si>
    <t>EL CID</t>
  </si>
  <si>
    <t>GUILLERMO I</t>
  </si>
  <si>
    <t>KALI</t>
  </si>
  <si>
    <t>MARIA I</t>
  </si>
  <si>
    <t>OSO YOGUI</t>
  </si>
  <si>
    <t>PIONERO</t>
  </si>
  <si>
    <t>PUNTA PUCHICUY</t>
  </si>
  <si>
    <t>RICARDO ENRIQUE</t>
  </si>
  <si>
    <t>RAQUEL I</t>
  </si>
  <si>
    <t>FORTUNA IV</t>
  </si>
  <si>
    <t>FORTUNA V</t>
  </si>
  <si>
    <t>XOLOT</t>
  </si>
  <si>
    <t>SOFIA MAGDALENA</t>
  </si>
  <si>
    <t>CYNTIA VERONICA</t>
  </si>
  <si>
    <t>FRANCISCA</t>
  </si>
  <si>
    <t>DON PANCRACIO</t>
  </si>
  <si>
    <t>JUANITA</t>
  </si>
  <si>
    <t>ROCIO II</t>
  </si>
  <si>
    <t>LA RAQUEL</t>
  </si>
  <si>
    <t>ESTRELLA III</t>
  </si>
  <si>
    <t>DINASTIA</t>
  </si>
  <si>
    <t>VIRGO</t>
  </si>
  <si>
    <t>TRINIDAD</t>
  </si>
  <si>
    <t>LONQUIMAY 2</t>
  </si>
  <si>
    <t>ELSA ALEJANDRA I</t>
  </si>
  <si>
    <t>SANTA CATALINA II</t>
  </si>
  <si>
    <t>cuota antigua</t>
  </si>
  <si>
    <t>según Res Ex 1065 del 23 04 2013</t>
  </si>
  <si>
    <t>CESION IND A ARTESANAL</t>
  </si>
  <si>
    <t>según Res Ex 1066 del 23 04 2013</t>
  </si>
  <si>
    <t>desde SIPAHITAL VIII</t>
  </si>
  <si>
    <t>desde STI DE COCHOLGUE DE TOME 08060106 VIII</t>
  </si>
  <si>
    <t>según res 1067 del 23 04 2013</t>
  </si>
  <si>
    <t>BUENA FE II</t>
  </si>
  <si>
    <t>según Res Ex 1067 del 23 04 2013</t>
  </si>
  <si>
    <t>desde STI SIPARBUM VIII</t>
  </si>
  <si>
    <t>CESION ART A ARTESANAL</t>
  </si>
  <si>
    <t>CESION  ART A ARTESANAL</t>
  </si>
  <si>
    <t>desde SIPARBUM VIII</t>
  </si>
  <si>
    <t>RESOL 1079 DEL 24 04 2013</t>
  </si>
  <si>
    <t>según Res Ex 05 del 24 04 2013</t>
  </si>
  <si>
    <t>desde STI PUERTO CORONEL Y GOLFO DE ARAUCO 08070183 VIII</t>
  </si>
  <si>
    <t>jurel x</t>
  </si>
  <si>
    <t>periodo 1</t>
  </si>
  <si>
    <t>periodo 2</t>
  </si>
  <si>
    <t>por res 548 del 22 02 2013</t>
  </si>
  <si>
    <t>RIO JORDAN</t>
  </si>
  <si>
    <t>RICARDO I</t>
  </si>
  <si>
    <t>según Res Ex 1084 del 26 04 2013</t>
  </si>
  <si>
    <t>desde IND A ART VII</t>
  </si>
  <si>
    <t>según Res Ex 1163 del 09 05 2013 / desde Camanchaca pesca sur</t>
  </si>
  <si>
    <t>CONCEPCIÓN</t>
  </si>
  <si>
    <t>XIV REGION</t>
  </si>
  <si>
    <t>VII REGION</t>
  </si>
  <si>
    <t>DOÑA CARMELA</t>
  </si>
  <si>
    <t>IX REGION</t>
  </si>
  <si>
    <r>
      <t>Sind. Pesc. Art. Y Arm. Cerqueros de Valdivia</t>
    </r>
    <r>
      <rPr>
        <sz val="10"/>
        <color rgb="FFFF0000"/>
        <rFont val="@Arial Unicode MS"/>
      </rPr>
      <t>. R.S.U. 14.01.0330</t>
    </r>
  </si>
  <si>
    <t>EL PISTOLERO II</t>
  </si>
  <si>
    <t>según res 1221 del 16 05 2013</t>
  </si>
  <si>
    <t>ANTARES</t>
  </si>
  <si>
    <t xml:space="preserve">STI DE CALDERA IIIR </t>
  </si>
  <si>
    <t>según Res Ex 1079 del 24 04 2013</t>
  </si>
  <si>
    <t>desde BLUMAR Y PESQUERA BAHIA CALDERA</t>
  </si>
  <si>
    <t>SALDOS JUREL</t>
  </si>
  <si>
    <t>Asignado JUREL</t>
  </si>
  <si>
    <t>Capturado  JUREL</t>
  </si>
  <si>
    <t>Saldo JUREL</t>
  </si>
  <si>
    <t>CESION DESDE BLUMAR A ARMADORES ART DE LA XIV</t>
  </si>
  <si>
    <t>RESOL 1228 DEL 17 05 2013</t>
  </si>
  <si>
    <t>ANCHOVETA Y S COMUN</t>
  </si>
  <si>
    <t>Asignado anchoveta</t>
  </si>
  <si>
    <t>Capturado  anchoveta</t>
  </si>
  <si>
    <t>Saldo anchoveta</t>
  </si>
  <si>
    <t>Asignado s comun</t>
  </si>
  <si>
    <t>Capturado  s comun</t>
  </si>
  <si>
    <t>Saldo s comun</t>
  </si>
  <si>
    <t>SAMARITANO</t>
  </si>
  <si>
    <t>NABOR I</t>
  </si>
  <si>
    <t>DOL ULMES</t>
  </si>
  <si>
    <t>DON HECTOR I</t>
  </si>
  <si>
    <t>DOL JOAQUIN</t>
  </si>
  <si>
    <t>20 05 2013</t>
  </si>
  <si>
    <t>DESDE SIPESRAYEN a naves de la IX R</t>
  </si>
  <si>
    <t>a armador de la VIII</t>
  </si>
  <si>
    <t>desde la VIII a la VII</t>
  </si>
  <si>
    <t xml:space="preserve">a la VII </t>
  </si>
  <si>
    <t>a la IX</t>
  </si>
  <si>
    <t xml:space="preserve">resol 941 09 04 2013, </t>
  </si>
  <si>
    <t>desde alimar y otros a armadores de la VIII</t>
  </si>
  <si>
    <t>ORG de la VIII  a Arm de la VIII</t>
  </si>
  <si>
    <t>desde pesquera centro sur y otros a armadores de la VIII</t>
  </si>
  <si>
    <t>ROBINSON CRUSOE</t>
  </si>
  <si>
    <t>según Res Ex 1324 del 24 04 2013</t>
  </si>
  <si>
    <t>ANITA II</t>
  </si>
  <si>
    <t xml:space="preserve">CESION IND A ARTES IV REGION  </t>
  </si>
  <si>
    <t>RESOL 1346 DEL 29 05 2013</t>
  </si>
  <si>
    <t>ANCHOVETA Y SARDINA ESPAÑOLA</t>
  </si>
  <si>
    <t>Asignado S. Española</t>
  </si>
  <si>
    <t>Capturado  S. Española</t>
  </si>
  <si>
    <t>Saldo S. Española</t>
  </si>
  <si>
    <t>ATENEA II</t>
  </si>
  <si>
    <t>DELFIN 2000</t>
  </si>
  <si>
    <t>DON TOMAS</t>
  </si>
  <si>
    <t>DON VICTORINO</t>
  </si>
  <si>
    <t>DOÑA OLGA I</t>
  </si>
  <si>
    <t>GAROTA</t>
  </si>
  <si>
    <t>GAROTA I</t>
  </si>
  <si>
    <t>GAROTA I I</t>
  </si>
  <si>
    <t>GEPE I</t>
  </si>
  <si>
    <t>LORENA I</t>
  </si>
  <si>
    <t xml:space="preserve">MARIA PABLA </t>
  </si>
  <si>
    <t>MARIA SOLEDAD II</t>
  </si>
  <si>
    <t>MARIA BERNARDA II</t>
  </si>
  <si>
    <t>NERON</t>
  </si>
  <si>
    <t>NIEBLA</t>
  </si>
  <si>
    <t>SANDY III</t>
  </si>
  <si>
    <t>XYPHIAS</t>
  </si>
  <si>
    <t>S</t>
  </si>
  <si>
    <t>ORG de la XIV  a Arm de la XIV</t>
  </si>
  <si>
    <t>DON EDUARDO</t>
  </si>
  <si>
    <t>ERIKA I</t>
  </si>
  <si>
    <t>17 06 2013</t>
  </si>
  <si>
    <t>01 07 2013</t>
  </si>
  <si>
    <t>según Res Ex 06 del 05 07 2013</t>
  </si>
  <si>
    <t>desde STI SIPAHITAL THNO 08050382 VIII</t>
  </si>
  <si>
    <t>a la VIII</t>
  </si>
  <si>
    <t>según Res Ex 1731 del 09-07-2013</t>
  </si>
  <si>
    <t>VII Reg.</t>
  </si>
  <si>
    <t>CESION VIII A  VII y IX REGIÓN</t>
  </si>
  <si>
    <t>A.G.</t>
  </si>
  <si>
    <t>ACERVAL</t>
  </si>
  <si>
    <t>207-10</t>
  </si>
  <si>
    <t>CESION ENTRE ORGANIZACIÓN RAE VIII REGIÓN A EMBARCACION</t>
  </si>
  <si>
    <t>10-07-20113</t>
  </si>
  <si>
    <t>revisión</t>
  </si>
  <si>
    <t>DON MIGUEL ANGEL</t>
  </si>
  <si>
    <t>BRENDA STEFANY</t>
  </si>
  <si>
    <t>PISCIS</t>
  </si>
  <si>
    <t>Socoroma</t>
  </si>
  <si>
    <t>Candelaria</t>
  </si>
  <si>
    <t>Candelaria II</t>
  </si>
  <si>
    <t xml:space="preserve">CESION Artesanal a  Artesanal  VIII REGION  </t>
  </si>
  <si>
    <t>RESOL 07 DEL 18 07 2013</t>
  </si>
  <si>
    <t>según res 1803 del 17 07 2013</t>
  </si>
  <si>
    <t>desde la IND A ART VIII</t>
  </si>
  <si>
    <t>SOCOROMA</t>
  </si>
  <si>
    <t>CANDELARIA II</t>
  </si>
  <si>
    <t>ESLOVENIA</t>
  </si>
  <si>
    <t>24 07 2013</t>
  </si>
  <si>
    <t>según Res Ex 1898 del 26 07 2013</t>
  </si>
  <si>
    <t>NABOR</t>
  </si>
  <si>
    <t>a la XIV</t>
  </si>
  <si>
    <t>según Res Ex 1897 del 26 07 2013</t>
  </si>
  <si>
    <t>desde STI CALETA TUMBES THNO VIII</t>
  </si>
  <si>
    <t>STI CALDERA IIIR</t>
  </si>
  <si>
    <t>según Res Ex 1742 del 10-07-2013</t>
  </si>
  <si>
    <t>desde APEVAL XIV R A ART III</t>
  </si>
  <si>
    <t>ok</t>
  </si>
  <si>
    <t>Atencion</t>
  </si>
  <si>
    <t>Atención</t>
  </si>
  <si>
    <t xml:space="preserve">SARDINA AUSTRAL   NO AFILIADOS </t>
  </si>
  <si>
    <t>NOMBRE</t>
  </si>
  <si>
    <t xml:space="preserve"> %cuota </t>
  </si>
  <si>
    <t>cuota  ton</t>
  </si>
  <si>
    <t>NELLY II</t>
  </si>
  <si>
    <t>IMPERIO AUSTRAL</t>
  </si>
  <si>
    <t>ALEJANDRA IV</t>
  </si>
  <si>
    <t>CONNY</t>
  </si>
  <si>
    <t>CABO TAMAR II</t>
  </si>
  <si>
    <t>DON ARIEL</t>
  </si>
  <si>
    <t>FAMA II</t>
  </si>
  <si>
    <t>TORMENTA</t>
  </si>
  <si>
    <t>ALEXIS</t>
  </si>
  <si>
    <t>KOKALECA II</t>
  </si>
  <si>
    <t>atencion</t>
  </si>
  <si>
    <t>anchoveta cerrada el 04 004 2013</t>
  </si>
  <si>
    <t>21 03 2013</t>
  </si>
  <si>
    <t>se abre cuota a partir del 14 02 2013 (25 03 2013)</t>
  </si>
  <si>
    <t>cerrada 25.03.13 Don Peter I</t>
  </si>
  <si>
    <t>se vuelve a cerrar el 28 03 2013</t>
  </si>
  <si>
    <t>26 03 2013</t>
  </si>
  <si>
    <t>27 03 2013</t>
  </si>
  <si>
    <t>08 04 2013</t>
  </si>
  <si>
    <t>09 04 2013</t>
  </si>
  <si>
    <t>17 05 2013</t>
  </si>
  <si>
    <t>08 07 2013</t>
  </si>
  <si>
    <t>09 04 2013 y 02 08 2013</t>
  </si>
  <si>
    <t>07 08 2013</t>
  </si>
  <si>
    <t>Llega redistribucion de cuota</t>
  </si>
  <si>
    <t>cerrara 03 09 2013</t>
  </si>
  <si>
    <t>cerro 05 09 2013 primer periodo</t>
  </si>
  <si>
    <t>09 05 2013 (luego habra aumento de cuota)</t>
  </si>
  <si>
    <t>Sept</t>
  </si>
  <si>
    <t>octubre</t>
  </si>
  <si>
    <t>2,8</t>
  </si>
  <si>
    <t>1,7</t>
  </si>
  <si>
    <t>XV Región IMPREVISTOS</t>
  </si>
  <si>
    <t>Suma global mas imprevistos</t>
  </si>
  <si>
    <t>cuota imprevistos</t>
  </si>
  <si>
    <t>0,78</t>
  </si>
  <si>
    <t>según Res Ex 10 del 15 10 2013</t>
  </si>
  <si>
    <t>desde STI PESCA BIOBIO  08050532 VIII</t>
  </si>
  <si>
    <t>0,3</t>
  </si>
  <si>
    <t>CECIONARIO</t>
  </si>
  <si>
    <t>ARMADORES Y NAVES RESOL 2793 (Tabla adjunta)</t>
  </si>
  <si>
    <t>22-10-2013 se hicieron unos ajustes antes de la apertura</t>
  </si>
  <si>
    <t>E.Norero C.</t>
  </si>
  <si>
    <t>antiguo valor</t>
  </si>
  <si>
    <t>CESION IND ARTES XV a II</t>
  </si>
  <si>
    <t>RESOL 2793 DE octbre</t>
  </si>
  <si>
    <t>ok¡</t>
  </si>
  <si>
    <t>Esto es XV y I Regiones</t>
  </si>
  <si>
    <t>Diferencia</t>
  </si>
  <si>
    <t>I</t>
  </si>
  <si>
    <t>ALBORADA III</t>
  </si>
  <si>
    <t>DON SEBASTIAN</t>
  </si>
  <si>
    <t>JOAQLUC PAUMARIG</t>
  </si>
  <si>
    <t>RESOL 2908 DEL 25 10 2013</t>
  </si>
  <si>
    <t>PETROHUE I</t>
  </si>
  <si>
    <t>PETROHUE II</t>
  </si>
  <si>
    <t>PETROHUE III</t>
  </si>
  <si>
    <t>IKE II</t>
  </si>
  <si>
    <t>ELVA S</t>
  </si>
  <si>
    <t>TRITON II</t>
  </si>
  <si>
    <t xml:space="preserve">CESION IND A ARTES XV - I REGIONES  </t>
  </si>
  <si>
    <t>KASSANDRA I</t>
  </si>
  <si>
    <t>SIRENITA II</t>
  </si>
  <si>
    <t>CUOTA DE IMPREVISTOS  RES EX 3135 14 11 2013</t>
  </si>
  <si>
    <t>GLOBAL + IMPREVISTOS</t>
  </si>
  <si>
    <t>0,030</t>
  </si>
  <si>
    <t>Cierre anual 27 11 2013</t>
  </si>
  <si>
    <t>cerrado</t>
  </si>
  <si>
    <t>Tabla pasada</t>
  </si>
  <si>
    <t>Tabla de esta semana</t>
  </si>
  <si>
    <t>(Tabla pasada menos Tabla esta semana)</t>
  </si>
  <si>
    <t>ROSITA I</t>
  </si>
  <si>
    <t>ARMADOR RPA EMBARCACJON</t>
  </si>
  <si>
    <t>1 CARLOS RODRIGUEZ CARRASCO 952008 ABRAHAM</t>
  </si>
  <si>
    <t>2 OLEGARIO DELGADO CUELLO 18005 ALBORADA 11</t>
  </si>
  <si>
    <t>3 ITALO PROFUMO AMAYA 913436 AMADEUS 1</t>
  </si>
  <si>
    <t>4 ANDRES DE LA VEGA PROESTAKIS 913587 ARKHOS 1</t>
  </si>
  <si>
    <t>5 JOSE DE LA VEGA BUSTAMANTE 913564 ARKHOS 11</t>
  </si>
  <si>
    <t>6 ANDRES DE LA VEGA BUSTAMANTE 913581 ARKHOS 111</t>
  </si>
  <si>
    <t>7 SERGIO GUARACHE GOMEZ 914209 BUCANERO</t>
  </si>
  <si>
    <t>8 MARIANO VELIZ VELIZ 952324 BUENAVENTURA</t>
  </si>
  <si>
    <t>9 FRANCISCO HERNANDEZ PALACIOS 953602 CHONE</t>
  </si>
  <si>
    <t>10 LAUTARO MORALES MARINO 901006 CORSARIO</t>
  </si>
  <si>
    <t>11 CRISTIAN NUÑEZ CONTRERAS 923247 DESIDERIO ROJAS</t>
  </si>
  <si>
    <t>12 JOSE ROJAS CHACANA 913572 DON FRUCTOSO</t>
  </si>
  <si>
    <t>13 ARTURO HURTADO AHUMADA 801 DON UBALDO H.Q.</t>
  </si>
  <si>
    <t>14 IRIALDO GARCIA FLORES 913352 DOÑA PILAR 11</t>
  </si>
  <si>
    <t>15 ANTONIO CORTEZ MEZA 913594 GRACIAS A DIOS 1</t>
  </si>
  <si>
    <t>16 JUAN AMARlO PLAZA 957522 GRACIAS A DIOS 11</t>
  </si>
  <si>
    <t>17 EUGENIO JARA ESPINOZA 913575 GRACIAS A DIOS IV</t>
  </si>
  <si>
    <t>18 JUAN FRANULOVICH PEÑA 913590 GRINGO PABLO 11</t>
  </si>
  <si>
    <t>19 VICENTE SAAVEORA ALCAYAGA 952021 GUAJACHE 11</t>
  </si>
  <si>
    <t>20 VICTOR AGUIRRE ALFARO 914178 IKEI</t>
  </si>
  <si>
    <t>21 ARTURO MOLINA FOCACCI 954327 IKE 11</t>
  </si>
  <si>
    <t>22 ERNESTO ROJAS CHACANA 915509 ISAURA</t>
  </si>
  <si>
    <t>23 ERNESTO DELGADO CUELLO 926096 ISAURA 1</t>
  </si>
  <si>
    <t>24 GERMAN MOYA GARCIA 956524 JJ</t>
  </si>
  <si>
    <t>25 JORGE ZAVALA LIRA 954126 KAIROS</t>
  </si>
  <si>
    <t>26 MARIANO VELIZ ARA VENA 953852 KAWESKAR</t>
  </si>
  <si>
    <t>27 CESAR MARAMBIO CASTRO 955856 LOBO DE AFUERA IV</t>
  </si>
  <si>
    <t>28 SO C. PESQ. LITORAL L TOA. 901054 LORETO 111</t>
  </si>
  <si>
    <t>29 VICENTE SAAVEDRA MUÑOZ 914128 PELICANO</t>
  </si>
  <si>
    <t>30 JOSE GUTIERREZ PAREDES 959983 ELVAS</t>
  </si>
  <si>
    <t>31 SYLVIA SANDOVAL AYCA 914124 PETROHUE 1</t>
  </si>
  <si>
    <t>32 MARIBETT MOLINA SANDOVAL 914125 PETROHUE 11</t>
  </si>
  <si>
    <t>33 LUIS SIERRA RAMIREZ 914147 PETROHUE 111</t>
  </si>
  <si>
    <t>34 YORSE CEBALLOS LAY 923159 SANTIAGO</t>
  </si>
  <si>
    <t>35 LUIS SANDOVAL MERY 952277 SHALON 11</t>
  </si>
  <si>
    <t>36 HECTOR LEON CARVAJAL 952279 TUAREG 1</t>
  </si>
  <si>
    <t>37 ERNESTO BOSSO LOPEZ 35115 VALENCIA</t>
  </si>
  <si>
    <t>38 ARTURO MOLINA FOCACCI 913577 TRITON 11</t>
  </si>
  <si>
    <t>39 MANUEL SALAMANCA SOTOMAYOR 960140 MARCELO RODOLFO</t>
  </si>
  <si>
    <t>40 FRANCISCO STROZZI GONZALEZ 957461 ODISEO</t>
  </si>
  <si>
    <t>41 ANTONIO CORTEZ MEZA 956794 ABEL</t>
  </si>
  <si>
    <t>42 JUAN ANTONIO DELGADO CUELLO 960535 CHARLY</t>
  </si>
  <si>
    <t>43 GUILLERMO AY ALA PIZARRO 914071 PATO LILE</t>
  </si>
  <si>
    <t>-- -</t>
  </si>
  <si>
    <t>RESOL 3352 DE 03 12 2013</t>
  </si>
  <si>
    <t>0,330</t>
  </si>
  <si>
    <t>al 23-12-2013</t>
  </si>
  <si>
    <t>al 23.12.2013</t>
  </si>
  <si>
    <t>OK¡</t>
  </si>
  <si>
    <t>atención</t>
  </si>
  <si>
    <t>ANTONELLA II</t>
  </si>
  <si>
    <t>cerrada</t>
  </si>
  <si>
    <t>ODISEA</t>
  </si>
  <si>
    <t>PAOLA V</t>
  </si>
  <si>
    <t>PHOENIX</t>
  </si>
  <si>
    <t>Cerrada 4/12</t>
  </si>
  <si>
    <t>VIENTOS DEL MAR IV</t>
  </si>
  <si>
    <t>CESIONES ( Resol Ex. N° 708 y 01) + medida precautoria celenia I</t>
  </si>
  <si>
    <t>CESIONES ( Resol Ex. N° 708 y 01) + Medida precautoria Celenia I</t>
  </si>
  <si>
    <t>ENZO NICOLAS I</t>
  </si>
  <si>
    <t xml:space="preserve">JUAN JESUS </t>
  </si>
  <si>
    <t>SALVADOR 3</t>
  </si>
  <si>
    <t>DON MILLIN II</t>
  </si>
  <si>
    <t>JAVIERA H</t>
  </si>
  <si>
    <t>CRISTY PILAR</t>
  </si>
  <si>
    <t>FORTUNA</t>
  </si>
  <si>
    <t>MARTINA I</t>
  </si>
  <si>
    <t>6,850</t>
  </si>
  <si>
    <t>0,045</t>
  </si>
  <si>
    <t>Cd_Region</t>
  </si>
  <si>
    <t>Cd_Especie</t>
  </si>
  <si>
    <t>SumaDeNr_Toneladas</t>
  </si>
  <si>
    <t>Cd_Estado</t>
  </si>
  <si>
    <t>AÑO</t>
  </si>
  <si>
    <t>Cd_Zona</t>
  </si>
  <si>
    <t>XV I</t>
  </si>
  <si>
    <t>IV</t>
  </si>
  <si>
    <t>V</t>
  </si>
  <si>
    <t>Jurel Nacional Artesanal</t>
  </si>
  <si>
    <t>reporte al 14 01 2014</t>
  </si>
  <si>
    <t>SE BORRA ESTE DATO DE MARZO 7</t>
  </si>
  <si>
    <t>SE BORRA DATO DEL 09 12 2013</t>
  </si>
  <si>
    <t>15 de enero 2014</t>
  </si>
  <si>
    <t>15 de enero  2014</t>
  </si>
  <si>
    <t>0,39*</t>
  </si>
  <si>
    <t>0,52*</t>
  </si>
  <si>
    <t>0,569*</t>
  </si>
  <si>
    <t>0,45*</t>
  </si>
  <si>
    <t>5,312*</t>
  </si>
  <si>
    <t>0,247*</t>
  </si>
  <si>
    <t>(=0,658+1,994)</t>
  </si>
  <si>
    <t>1,398*</t>
  </si>
  <si>
    <t>0,409*</t>
  </si>
  <si>
    <t>1,964*</t>
  </si>
  <si>
    <t>0,63*</t>
  </si>
  <si>
    <t>0,311*</t>
  </si>
  <si>
    <t>1,481*</t>
  </si>
  <si>
    <t>1,188*</t>
  </si>
  <si>
    <t>0,552*</t>
  </si>
  <si>
    <t>1,723*</t>
  </si>
  <si>
    <t>0,384*</t>
  </si>
  <si>
    <t>0,475*</t>
  </si>
  <si>
    <t>1,365*</t>
  </si>
  <si>
    <t>1,735*</t>
  </si>
  <si>
    <t>0,342*</t>
  </si>
  <si>
    <t>3,63*</t>
  </si>
  <si>
    <t>0,28*</t>
  </si>
  <si>
    <t>1,31*</t>
  </si>
  <si>
    <t>4,573*</t>
  </si>
  <si>
    <t>1,343*</t>
  </si>
  <si>
    <t>5,706*</t>
  </si>
  <si>
    <t>0,995*</t>
  </si>
  <si>
    <t>1,259*</t>
  </si>
  <si>
    <t>0,749*</t>
  </si>
  <si>
    <t>(=1,22+0,49)</t>
  </si>
  <si>
    <t>1,949*</t>
  </si>
  <si>
    <t>1,9*</t>
  </si>
  <si>
    <t>2,171*</t>
  </si>
  <si>
    <t>2,408*</t>
  </si>
  <si>
    <t>1,254*</t>
  </si>
  <si>
    <t>3,551*</t>
  </si>
  <si>
    <t>2,181*</t>
  </si>
  <si>
    <t>5,234*</t>
  </si>
  <si>
    <t>0,481*</t>
  </si>
  <si>
    <t>2,136*</t>
  </si>
  <si>
    <t>0,239*</t>
  </si>
  <si>
    <t>0,837*</t>
  </si>
  <si>
    <t>0,326*</t>
  </si>
  <si>
    <t>0,236*</t>
  </si>
  <si>
    <t>1,021*</t>
  </si>
  <si>
    <t>1,606*</t>
  </si>
  <si>
    <t>0,652*</t>
  </si>
  <si>
    <t>1,349*</t>
  </si>
  <si>
    <t>3,14*</t>
  </si>
  <si>
    <t>2,325*</t>
  </si>
  <si>
    <t>4,865*</t>
  </si>
  <si>
    <t>0,263*</t>
  </si>
  <si>
    <t>0,3*</t>
  </si>
  <si>
    <t>0,346*</t>
  </si>
  <si>
    <t>1,743*</t>
  </si>
  <si>
    <t>0,766*</t>
  </si>
  <si>
    <t>2,943*</t>
  </si>
  <si>
    <t>2,697*</t>
  </si>
  <si>
    <t>1,719*</t>
  </si>
  <si>
    <t>3,449*</t>
  </si>
  <si>
    <t>0,366*</t>
  </si>
  <si>
    <t>0,599*</t>
  </si>
  <si>
    <t>0,745*</t>
  </si>
  <si>
    <t>0,371*</t>
  </si>
  <si>
    <t>2,6773*</t>
  </si>
  <si>
    <t>1,578*</t>
  </si>
  <si>
    <t>1,984*</t>
  </si>
  <si>
    <t>3,162*</t>
  </si>
  <si>
    <t>4,413*</t>
  </si>
  <si>
    <t>1,149*</t>
  </si>
  <si>
    <t>0,426*</t>
  </si>
  <si>
    <t>1,55*</t>
  </si>
  <si>
    <t>0,71*</t>
  </si>
  <si>
    <t>1,18*</t>
  </si>
  <si>
    <t>1,168*</t>
  </si>
  <si>
    <t>0,913*</t>
  </si>
  <si>
    <t>0,432*</t>
  </si>
  <si>
    <t>1,612*</t>
  </si>
  <si>
    <t>0,49*</t>
  </si>
  <si>
    <t>1,067*</t>
  </si>
  <si>
    <t>0,769*</t>
  </si>
  <si>
    <t>0,082*</t>
  </si>
  <si>
    <t>0,646*</t>
  </si>
  <si>
    <t>0,255*</t>
  </si>
  <si>
    <t>2,96*</t>
  </si>
  <si>
    <t>1,883*</t>
  </si>
  <si>
    <t>0,23*</t>
  </si>
  <si>
    <t>(=0,48+0,45)*</t>
  </si>
  <si>
    <t>0,02*</t>
  </si>
  <si>
    <t>0,26*</t>
  </si>
  <si>
    <t>0,62*</t>
  </si>
  <si>
    <t>0,445*</t>
  </si>
  <si>
    <t>1,17*</t>
  </si>
  <si>
    <t>0,89*</t>
  </si>
  <si>
    <t>0,945*</t>
  </si>
  <si>
    <t>0,506*</t>
  </si>
  <si>
    <t>0,2*</t>
  </si>
  <si>
    <t>0,51*</t>
  </si>
  <si>
    <t>0,29*</t>
  </si>
  <si>
    <t>0,316*</t>
  </si>
  <si>
    <t>0,07*</t>
  </si>
  <si>
    <t>(=0,148+0,056)*</t>
  </si>
  <si>
    <t>(=0,296+0,976)*</t>
  </si>
  <si>
    <t>0,396*</t>
  </si>
  <si>
    <t>0,577*</t>
  </si>
  <si>
    <t>(=0,134+0,374)*</t>
  </si>
  <si>
    <t>0,217*</t>
  </si>
  <si>
    <t>0,406*</t>
  </si>
  <si>
    <t>0,078*</t>
  </si>
  <si>
    <t>1,427*</t>
  </si>
  <si>
    <t>0,156*</t>
  </si>
  <si>
    <t>0,111*</t>
  </si>
  <si>
    <t>2*</t>
  </si>
  <si>
    <t>1,8*</t>
  </si>
  <si>
    <t>2,5*</t>
  </si>
  <si>
    <t>2,1*</t>
  </si>
  <si>
    <t>(=2,252+2,569+0,512)*</t>
  </si>
</sst>
</file>

<file path=xl/styles.xml><?xml version="1.0" encoding="utf-8"?>
<styleSheet xmlns="http://schemas.openxmlformats.org/spreadsheetml/2006/main">
  <numFmts count="26">
    <numFmt numFmtId="164" formatCode="_-&quot;$&quot;\ * #,##0.00_-;\-&quot;$&quot;\ * #,##0.00_-;_-&quot;$&quot;\ * &quot;-&quot;??_-;_-@_-"/>
    <numFmt numFmtId="165" formatCode="_-* #,##0.00_-;\-* #,##0.00_-;_-* &quot;-&quot;??_-;_-@_-"/>
    <numFmt numFmtId="166" formatCode="0.00_ ;[Red]\-0.00\ "/>
    <numFmt numFmtId="167" formatCode="#,##0.00_ ;[Red]\-#,##0.00\ "/>
    <numFmt numFmtId="168" formatCode="0.0%"/>
    <numFmt numFmtId="169" formatCode="#,##0.0"/>
    <numFmt numFmtId="170" formatCode="#,##0.0_ ;[Red]\-#,##0.0\ "/>
    <numFmt numFmtId="171" formatCode="#,##0.000"/>
    <numFmt numFmtId="172" formatCode="#,##0_ ;[Red]\-#,##0\ "/>
    <numFmt numFmtId="173" formatCode="0_ ;[Red]\-0\ "/>
    <numFmt numFmtId="174" formatCode="0.000_ ;[Red]\-0.000\ "/>
    <numFmt numFmtId="175" formatCode="0.000"/>
    <numFmt numFmtId="176" formatCode="0.0000"/>
    <numFmt numFmtId="177" formatCode="0.000%"/>
    <numFmt numFmtId="178" formatCode="0.0"/>
    <numFmt numFmtId="179" formatCode="dd\-mm\-yy"/>
    <numFmt numFmtId="180" formatCode="dd\-mm\-yy;@"/>
    <numFmt numFmtId="181" formatCode="dd\-mm\-yyyy;@"/>
    <numFmt numFmtId="182" formatCode="#,##0.000000000"/>
    <numFmt numFmtId="183" formatCode="#,##0.00_ ;\-#,##0.00\ "/>
    <numFmt numFmtId="184" formatCode="[$-340A]d&quot; de &quot;mmmm&quot; de &quot;yyyy;@"/>
    <numFmt numFmtId="185" formatCode="#,##0.0_ ;\-#,##0.0\ "/>
    <numFmt numFmtId="186" formatCode="0.00_ ;\-0.00\ "/>
    <numFmt numFmtId="187" formatCode="#,##0.0000"/>
    <numFmt numFmtId="188" formatCode="_-* #,##0.000_-;\-* #,##0.000_-;_-* &quot;-&quot;??_-;_-@_-"/>
    <numFmt numFmtId="189" formatCode="dd/mm/yyyy;@"/>
  </numFmts>
  <fonts count="216">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i/>
      <sz val="10"/>
      <name val="@Arial Unicode MS"/>
      <family val="2"/>
    </font>
    <font>
      <b/>
      <sz val="10"/>
      <name val="@Arial Unicode MS"/>
      <family val="2"/>
    </font>
    <font>
      <sz val="10"/>
      <name val="@Arial Unicode MS"/>
      <family val="2"/>
    </font>
    <font>
      <sz val="10"/>
      <color indexed="10"/>
      <name val="@Arial Unicode MS"/>
      <family val="2"/>
    </font>
    <font>
      <sz val="8"/>
      <name val="@Arial Unicode MS"/>
      <family val="2"/>
    </font>
    <font>
      <i/>
      <sz val="10"/>
      <color indexed="10"/>
      <name val="@Arial Unicode MS"/>
      <family val="2"/>
    </font>
    <font>
      <b/>
      <sz val="10"/>
      <color indexed="10"/>
      <name val="@Arial Unicode MS"/>
      <family val="2"/>
    </font>
    <font>
      <b/>
      <sz val="8"/>
      <name val="@Arial Unicode MS"/>
      <family val="2"/>
    </font>
    <font>
      <b/>
      <sz val="10"/>
      <color indexed="10"/>
      <name val="Arial"/>
      <family val="2"/>
    </font>
    <font>
      <b/>
      <sz val="10"/>
      <name val="Arial"/>
      <family val="2"/>
    </font>
    <font>
      <sz val="11"/>
      <color indexed="8"/>
      <name val="Calibri"/>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indexed="20"/>
      <name val="Calibri"/>
      <family val="2"/>
    </font>
    <font>
      <sz val="11"/>
      <color indexed="60"/>
      <name val="Calibri"/>
      <family val="2"/>
    </font>
    <font>
      <sz val="10"/>
      <name val="Arial"/>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8"/>
      <name val="Calibri"/>
      <family val="2"/>
    </font>
    <font>
      <sz val="10"/>
      <name val="Arial"/>
      <family val="2"/>
    </font>
    <font>
      <b/>
      <sz val="10"/>
      <color indexed="9"/>
      <name val="@Arial Unicode MS"/>
      <family val="2"/>
    </font>
    <font>
      <sz val="10"/>
      <color indexed="10"/>
      <name val="Arial"/>
      <family val="2"/>
    </font>
    <font>
      <sz val="8"/>
      <name val="Arial"/>
      <family val="2"/>
    </font>
    <font>
      <b/>
      <sz val="8"/>
      <name val="Arial"/>
      <family val="2"/>
    </font>
    <font>
      <sz val="8"/>
      <color indexed="10"/>
      <name val="@Arial Unicode MS"/>
      <family val="2"/>
    </font>
    <font>
      <sz val="8"/>
      <color indexed="8"/>
      <name val="@Arial Unicode MS"/>
      <family val="2"/>
    </font>
    <font>
      <b/>
      <sz val="10"/>
      <name val="Tahoma"/>
      <family val="2"/>
    </font>
    <font>
      <sz val="12"/>
      <name val="Times New Roman"/>
      <family val="1"/>
    </font>
    <font>
      <sz val="10"/>
      <name val="Arial"/>
      <family val="2"/>
    </font>
    <font>
      <sz val="11"/>
      <name val="@Arial Unicode MS"/>
      <family val="2"/>
    </font>
    <font>
      <b/>
      <sz val="8"/>
      <color indexed="10"/>
      <name val="@Arial Unicode MS"/>
      <family val="2"/>
    </font>
    <font>
      <b/>
      <sz val="10"/>
      <name val="@Arial Unicode MS"/>
    </font>
    <font>
      <sz val="8"/>
      <name val="@Arial Unicode MS"/>
    </font>
    <font>
      <sz val="10"/>
      <color indexed="8"/>
      <name val="Arial"/>
      <family val="2"/>
    </font>
    <font>
      <sz val="8"/>
      <color indexed="81"/>
      <name val="Tahoma"/>
      <family val="2"/>
    </font>
    <font>
      <b/>
      <sz val="8"/>
      <color indexed="81"/>
      <name val="Tahoma"/>
      <family val="2"/>
    </font>
    <font>
      <sz val="10"/>
      <name val="@Arial Unicode MS"/>
    </font>
    <font>
      <b/>
      <sz val="10"/>
      <color indexed="10"/>
      <name val="@Arial Unicode MS"/>
    </font>
    <font>
      <b/>
      <sz val="8"/>
      <name val="@Arial Unicode MS"/>
    </font>
    <font>
      <sz val="10"/>
      <name val="Tahoma"/>
      <family val="2"/>
    </font>
    <font>
      <b/>
      <i/>
      <sz val="8"/>
      <name val="Arial"/>
      <family val="2"/>
    </font>
    <font>
      <b/>
      <sz val="11"/>
      <name val="Arial"/>
      <family val="2"/>
    </font>
    <font>
      <sz val="9"/>
      <name val="Arial"/>
      <family val="2"/>
    </font>
    <font>
      <b/>
      <sz val="9"/>
      <color indexed="10"/>
      <name val="@Arial Unicode MS"/>
      <family val="2"/>
    </font>
    <font>
      <sz val="8"/>
      <name val="Tahoma"/>
      <family val="2"/>
    </font>
    <font>
      <sz val="10"/>
      <name val="Arial"/>
      <family val="2"/>
    </font>
    <font>
      <b/>
      <sz val="9"/>
      <name val="Arial"/>
      <family val="2"/>
    </font>
    <font>
      <sz val="8"/>
      <name val="Arial Narrow"/>
      <family val="2"/>
    </font>
    <font>
      <sz val="10"/>
      <name val="Arial"/>
      <family val="2"/>
    </font>
    <font>
      <sz val="10"/>
      <color indexed="18"/>
      <name val="Arial"/>
      <family val="2"/>
    </font>
    <font>
      <sz val="12"/>
      <name val="Arial"/>
      <family val="2"/>
    </font>
    <font>
      <sz val="10"/>
      <name val="Calibri"/>
      <family val="2"/>
    </font>
    <font>
      <sz val="10"/>
      <name val="Arial"/>
      <family val="2"/>
    </font>
    <font>
      <sz val="8"/>
      <name val="Courier New"/>
      <family val="3"/>
    </font>
    <font>
      <sz val="8"/>
      <name val="Times New Roman"/>
      <family val="1"/>
    </font>
    <font>
      <b/>
      <sz val="8"/>
      <name val="Arial Narrow"/>
      <family val="2"/>
    </font>
    <font>
      <b/>
      <sz val="8"/>
      <name val="Times New Roman"/>
      <family val="1"/>
    </font>
    <font>
      <sz val="8"/>
      <color indexed="8"/>
      <name val="Calibri"/>
      <family val="2"/>
    </font>
    <font>
      <b/>
      <sz val="8"/>
      <color indexed="8"/>
      <name val="Calibri"/>
      <family val="2"/>
    </font>
    <font>
      <b/>
      <sz val="10"/>
      <color indexed="8"/>
      <name val="Calibri"/>
      <family val="2"/>
    </font>
    <font>
      <sz val="8"/>
      <color indexed="8"/>
      <name val="Arial"/>
      <family val="2"/>
    </font>
    <font>
      <sz val="10"/>
      <name val="Arial"/>
      <family val="2"/>
    </font>
    <font>
      <sz val="6"/>
      <name val="Arial"/>
      <family val="2"/>
    </font>
    <font>
      <b/>
      <i/>
      <sz val="8"/>
      <name val="@Arial Unicode MS"/>
      <family val="2"/>
    </font>
    <font>
      <b/>
      <sz val="8"/>
      <name val="Tahoma"/>
      <family val="2"/>
    </font>
    <font>
      <b/>
      <sz val="8"/>
      <color indexed="8"/>
      <name val="@Arial Unicode MS"/>
    </font>
    <font>
      <sz val="10"/>
      <color indexed="10"/>
      <name val="@Arial Unicode MS"/>
      <family val="2"/>
    </font>
    <font>
      <sz val="10"/>
      <color indexed="10"/>
      <name val="Arial"/>
      <family val="2"/>
    </font>
    <font>
      <b/>
      <sz val="10"/>
      <color indexed="10"/>
      <name val="@Arial Unicode MS"/>
    </font>
    <font>
      <b/>
      <sz val="10"/>
      <color indexed="10"/>
      <name val="Arial"/>
      <family val="2"/>
    </font>
    <font>
      <b/>
      <sz val="10"/>
      <color indexed="10"/>
      <name val="@Arial Unicode MS"/>
      <family val="2"/>
    </font>
    <font>
      <b/>
      <sz val="8"/>
      <color indexed="10"/>
      <name val="@Arial Unicode MS"/>
    </font>
    <font>
      <b/>
      <sz val="9"/>
      <color indexed="10"/>
      <name val="Arial"/>
      <family val="2"/>
    </font>
    <font>
      <b/>
      <sz val="8"/>
      <color indexed="8"/>
      <name val="Arial"/>
      <family val="2"/>
    </font>
    <font>
      <sz val="8"/>
      <color indexed="8"/>
      <name val="Arial"/>
      <family val="2"/>
    </font>
    <font>
      <b/>
      <sz val="8"/>
      <color indexed="8"/>
      <name val="Calibri"/>
      <family val="2"/>
    </font>
    <font>
      <sz val="8"/>
      <color indexed="8"/>
      <name val="Calibri"/>
      <family val="2"/>
    </font>
    <font>
      <b/>
      <sz val="8"/>
      <name val="Calibri"/>
      <family val="2"/>
    </font>
    <font>
      <b/>
      <sz val="12"/>
      <color indexed="10"/>
      <name val="Arial"/>
      <family val="2"/>
    </font>
    <font>
      <sz val="8"/>
      <color indexed="8"/>
      <name val="Calibri"/>
      <family val="2"/>
    </font>
    <font>
      <b/>
      <i/>
      <u/>
      <sz val="8"/>
      <color indexed="8"/>
      <name val="Calibri"/>
      <family val="2"/>
    </font>
    <font>
      <b/>
      <sz val="8"/>
      <color indexed="10"/>
      <name val="Arial"/>
      <family val="2"/>
    </font>
    <font>
      <b/>
      <sz val="8"/>
      <color indexed="10"/>
      <name val="Calibri"/>
      <family val="2"/>
    </font>
    <font>
      <sz val="8"/>
      <color indexed="8"/>
      <name val="gobCL"/>
      <family val="3"/>
    </font>
    <font>
      <sz val="10"/>
      <color indexed="63"/>
      <name val="Arial"/>
      <family val="2"/>
    </font>
    <font>
      <sz val="10"/>
      <color indexed="8"/>
      <name val="Calibri"/>
      <family val="2"/>
    </font>
    <font>
      <sz val="10"/>
      <color indexed="8"/>
      <name val="Calibri"/>
      <family val="2"/>
    </font>
    <font>
      <b/>
      <sz val="10"/>
      <color indexed="8"/>
      <name val="Calibri"/>
      <family val="2"/>
    </font>
    <font>
      <sz val="8"/>
      <color indexed="10"/>
      <name val="Arial"/>
      <family val="2"/>
    </font>
    <font>
      <sz val="8"/>
      <name val="Calibri"/>
      <family val="2"/>
    </font>
    <font>
      <sz val="10"/>
      <color indexed="8"/>
      <name val="@Arial Unicode MS"/>
    </font>
    <font>
      <b/>
      <sz val="11"/>
      <color indexed="8"/>
      <name val="Calibri"/>
      <family val="2"/>
    </font>
    <font>
      <b/>
      <sz val="11"/>
      <color indexed="10"/>
      <name val="Calibri"/>
      <family val="2"/>
    </font>
    <font>
      <b/>
      <sz val="10"/>
      <color indexed="8"/>
      <name val="Calibri"/>
      <family val="2"/>
    </font>
    <font>
      <b/>
      <sz val="10"/>
      <color indexed="10"/>
      <name val="Arial"/>
      <family val="2"/>
    </font>
    <font>
      <b/>
      <sz val="9"/>
      <color indexed="10"/>
      <name val="Arial"/>
      <family val="2"/>
    </font>
    <font>
      <b/>
      <sz val="8"/>
      <color indexed="10"/>
      <name val="Arial"/>
      <family val="2"/>
    </font>
    <font>
      <sz val="10"/>
      <name val="Arial"/>
      <family val="2"/>
    </font>
    <font>
      <sz val="11"/>
      <color theme="1"/>
      <name val="Calibri"/>
      <family val="2"/>
      <scheme val="minor"/>
    </font>
    <font>
      <b/>
      <sz val="10"/>
      <color rgb="FFFF0000"/>
      <name val="Arial"/>
      <family val="2"/>
    </font>
    <font>
      <sz val="8"/>
      <color indexed="8"/>
      <name val="Calibri"/>
      <family val="2"/>
      <scheme val="minor"/>
    </font>
    <font>
      <b/>
      <sz val="10"/>
      <color rgb="FF000000"/>
      <name val="Calibri"/>
      <family val="2"/>
    </font>
    <font>
      <sz val="8"/>
      <color rgb="FFFF0000"/>
      <name val="Arial"/>
      <family val="2"/>
    </font>
    <font>
      <b/>
      <sz val="9"/>
      <color rgb="FFFF0000"/>
      <name val="Arial"/>
      <family val="2"/>
    </font>
    <font>
      <sz val="8"/>
      <color rgb="FFFF0000"/>
      <name val="@Arial Unicode MS"/>
      <family val="2"/>
    </font>
    <font>
      <b/>
      <sz val="8"/>
      <color rgb="FFFF0000"/>
      <name val="Arial"/>
      <family val="2"/>
    </font>
    <font>
      <sz val="9"/>
      <color rgb="FFFF0000"/>
      <name val="Arial"/>
      <family val="2"/>
    </font>
    <font>
      <b/>
      <sz val="12"/>
      <name val="Arial"/>
      <family val="2"/>
    </font>
    <font>
      <sz val="8"/>
      <name val="gobCL"/>
    </font>
    <font>
      <sz val="10"/>
      <color rgb="FFFF0000"/>
      <name val="Arial"/>
      <family val="2"/>
    </font>
    <font>
      <sz val="8"/>
      <color theme="1"/>
      <name val="@Arial Unicode MS"/>
      <family val="2"/>
    </font>
    <font>
      <b/>
      <sz val="8"/>
      <color rgb="FFFF0000"/>
      <name val="@Arial Unicode MS"/>
    </font>
    <font>
      <sz val="11"/>
      <color indexed="8"/>
      <name val="Calibri"/>
      <family val="2"/>
      <scheme val="minor"/>
    </font>
    <font>
      <sz val="11"/>
      <color rgb="FFFF0000"/>
      <name val="Calibri"/>
      <family val="2"/>
      <scheme val="minor"/>
    </font>
    <font>
      <b/>
      <sz val="10"/>
      <color rgb="FFFF0000"/>
      <name val="@Arial Unicode MS"/>
    </font>
    <font>
      <b/>
      <sz val="16"/>
      <color indexed="8"/>
      <name val="Calibri"/>
      <family val="2"/>
    </font>
    <font>
      <b/>
      <sz val="7"/>
      <name val="gobCL"/>
      <family val="3"/>
    </font>
    <font>
      <sz val="7"/>
      <name val="gobCL"/>
      <family val="3"/>
    </font>
    <font>
      <b/>
      <sz val="8"/>
      <color rgb="FFFF0000"/>
      <name val="gobCL"/>
    </font>
    <font>
      <sz val="8"/>
      <color theme="1"/>
      <name val="Arial"/>
      <family val="2"/>
    </font>
    <font>
      <sz val="10"/>
      <color rgb="FFFF0000"/>
      <name val="@Arial Unicode MS"/>
      <family val="2"/>
    </font>
    <font>
      <b/>
      <sz val="14"/>
      <name val="@Arial Unicode MS"/>
      <family val="2"/>
    </font>
    <font>
      <b/>
      <sz val="12"/>
      <color indexed="81"/>
      <name val="Tahoma"/>
      <family val="2"/>
    </font>
    <font>
      <sz val="10"/>
      <color rgb="FFFF0000"/>
      <name val="@Arial Unicode MS"/>
    </font>
    <font>
      <b/>
      <sz val="12"/>
      <name val="@Arial Unicode MS"/>
      <family val="2"/>
    </font>
    <font>
      <sz val="12"/>
      <color indexed="81"/>
      <name val="Tahoma"/>
      <family val="2"/>
    </font>
    <font>
      <b/>
      <sz val="8"/>
      <color rgb="FFFF0000"/>
      <name val="@Arial Unicode MS"/>
      <family val="2"/>
    </font>
    <font>
      <b/>
      <sz val="14"/>
      <color indexed="81"/>
      <name val="Tahoma"/>
      <family val="2"/>
    </font>
    <font>
      <sz val="14"/>
      <color indexed="81"/>
      <name val="Tahoma"/>
      <family val="2"/>
    </font>
    <font>
      <b/>
      <sz val="14"/>
      <color rgb="FFFF0000"/>
      <name val="@Arial Unicode MS"/>
      <family val="2"/>
    </font>
    <font>
      <sz val="24"/>
      <color rgb="FFFF0000"/>
      <name val="Arial"/>
      <family val="2"/>
    </font>
    <font>
      <sz val="11"/>
      <name val="Calibri"/>
      <family val="2"/>
    </font>
    <font>
      <b/>
      <sz val="16"/>
      <color indexed="81"/>
      <name val="Tahoma"/>
      <family val="2"/>
    </font>
    <font>
      <sz val="16"/>
      <color indexed="81"/>
      <name val="Tahoma"/>
      <family val="2"/>
    </font>
    <font>
      <sz val="10"/>
      <name val="Arial"/>
      <family val="2"/>
    </font>
    <font>
      <sz val="9"/>
      <name val="Tahoma"/>
      <family val="2"/>
    </font>
    <font>
      <u/>
      <sz val="7"/>
      <color theme="10"/>
      <name val="Arial"/>
      <family val="2"/>
    </font>
    <font>
      <b/>
      <sz val="11"/>
      <color theme="1"/>
      <name val="Calibri"/>
      <family val="2"/>
      <scheme val="minor"/>
    </font>
    <font>
      <b/>
      <i/>
      <u/>
      <sz val="11"/>
      <color theme="1"/>
      <name val="Calibri"/>
      <family val="2"/>
      <scheme val="minor"/>
    </font>
    <font>
      <b/>
      <sz val="10"/>
      <color rgb="FFFF0000"/>
      <name val="Calibri"/>
      <family val="2"/>
      <scheme val="minor"/>
    </font>
    <font>
      <sz val="10"/>
      <color theme="1"/>
      <name val="Calibri"/>
      <family val="2"/>
      <scheme val="minor"/>
    </font>
    <font>
      <sz val="18"/>
      <color rgb="FFFF0000"/>
      <name val="Arial"/>
      <family val="2"/>
    </font>
    <font>
      <sz val="14"/>
      <color rgb="FFFF0000"/>
      <name val="Arial"/>
      <family val="2"/>
    </font>
    <font>
      <sz val="11"/>
      <color rgb="FFFF0000"/>
      <name val="Arial"/>
      <family val="2"/>
    </font>
    <font>
      <sz val="12"/>
      <color rgb="FFFF0000"/>
      <name val="Tahoma"/>
      <family val="2"/>
    </font>
    <font>
      <sz val="11"/>
      <name val="Calibri"/>
      <family val="2"/>
      <scheme val="minor"/>
    </font>
    <font>
      <sz val="10"/>
      <color theme="1"/>
      <name val="@Arial Unicode MS"/>
    </font>
    <font>
      <sz val="10"/>
      <name val="Arial"/>
      <family val="2"/>
    </font>
    <font>
      <sz val="10"/>
      <color theme="1"/>
      <name val="@Arial Unicode MS"/>
      <family val="2"/>
    </font>
    <font>
      <b/>
      <sz val="14"/>
      <color indexed="81"/>
      <name val="Arial"/>
      <family val="2"/>
    </font>
    <font>
      <sz val="18"/>
      <name val="Arial"/>
      <family val="2"/>
    </font>
    <font>
      <sz val="16"/>
      <color rgb="FFFF0000"/>
      <name val="Arial"/>
      <family val="2"/>
    </font>
    <font>
      <sz val="14"/>
      <color indexed="81"/>
      <name val="Arial"/>
      <family val="2"/>
    </font>
    <font>
      <b/>
      <sz val="14"/>
      <color rgb="FFFF0000"/>
      <name val="Arial"/>
      <family val="2"/>
    </font>
    <font>
      <b/>
      <sz val="18"/>
      <color rgb="FFFF0000"/>
      <name val="Arial"/>
      <family val="2"/>
    </font>
    <font>
      <b/>
      <sz val="14"/>
      <name val="Arial"/>
      <family val="2"/>
    </font>
    <font>
      <sz val="36"/>
      <color rgb="FFFF0000"/>
      <name val="Arial"/>
      <family val="2"/>
    </font>
    <font>
      <b/>
      <i/>
      <u/>
      <sz val="11"/>
      <name val="Calibri"/>
      <family val="2"/>
      <scheme val="minor"/>
    </font>
    <font>
      <b/>
      <sz val="11"/>
      <name val="Calibri"/>
      <family val="2"/>
      <scheme val="minor"/>
    </font>
    <font>
      <b/>
      <sz val="18"/>
      <color indexed="81"/>
      <name val="Tahoma"/>
      <family val="2"/>
    </font>
    <font>
      <sz val="18"/>
      <color indexed="81"/>
      <name val="Tahoma"/>
      <family val="2"/>
    </font>
    <font>
      <sz val="8"/>
      <color theme="1"/>
      <name val="Calibri"/>
      <family val="2"/>
      <scheme val="minor"/>
    </font>
    <font>
      <b/>
      <sz val="8"/>
      <color theme="1"/>
      <name val="Calibri"/>
      <family val="2"/>
      <scheme val="minor"/>
    </font>
    <font>
      <sz val="20"/>
      <color rgb="FFFF0000"/>
      <name val="Arial"/>
      <family val="2"/>
    </font>
    <font>
      <sz val="26"/>
      <color rgb="FFFF0000"/>
      <name val="Arial"/>
      <family val="2"/>
    </font>
    <font>
      <sz val="22"/>
      <color rgb="FFFF0000"/>
      <name val="Arial"/>
      <family val="2"/>
    </font>
    <font>
      <sz val="22"/>
      <name val="Arial"/>
      <family val="2"/>
    </font>
    <font>
      <sz val="22"/>
      <name val="Symbol"/>
      <family val="1"/>
      <charset val="2"/>
    </font>
    <font>
      <sz val="10"/>
      <name val="Arial"/>
      <family val="2"/>
    </font>
    <font>
      <b/>
      <sz val="8"/>
      <color indexed="10"/>
      <name val="Tahoma"/>
      <family val="2"/>
    </font>
    <font>
      <sz val="8"/>
      <color indexed="10"/>
      <name val="Tahoma"/>
      <family val="2"/>
    </font>
    <font>
      <sz val="26"/>
      <name val="Arial"/>
      <family val="2"/>
    </font>
    <font>
      <b/>
      <sz val="11"/>
      <color rgb="FFFF0000"/>
      <name val="Calibri"/>
      <family val="2"/>
      <scheme val="minor"/>
    </font>
    <font>
      <sz val="10"/>
      <color indexed="8"/>
      <name val="Calibri"/>
      <family val="2"/>
      <scheme val="minor"/>
    </font>
    <font>
      <b/>
      <sz val="16"/>
      <color rgb="FFFF0000"/>
      <name val="Arial"/>
      <family val="2"/>
    </font>
    <font>
      <b/>
      <sz val="9"/>
      <color rgb="FF000000"/>
      <name val="Calibri"/>
      <family val="2"/>
    </font>
    <font>
      <b/>
      <sz val="10"/>
      <color rgb="FF993300"/>
      <name val="Calibri"/>
      <family val="2"/>
    </font>
    <font>
      <sz val="9"/>
      <color rgb="FF000000"/>
      <name val="Calibri"/>
      <family val="2"/>
    </font>
    <font>
      <sz val="11"/>
      <color rgb="FF993300"/>
      <name val="Calibri"/>
      <family val="2"/>
    </font>
    <font>
      <sz val="11"/>
      <color rgb="FF333399"/>
      <name val="Calibri"/>
      <family val="2"/>
    </font>
    <font>
      <b/>
      <sz val="9"/>
      <color rgb="FF00B0F0"/>
      <name val="Calibri"/>
      <family val="2"/>
    </font>
    <font>
      <sz val="11"/>
      <color rgb="FFFF0000"/>
      <name val="Calibri"/>
      <family val="2"/>
    </font>
    <font>
      <b/>
      <sz val="11"/>
      <color rgb="FFFF0000"/>
      <name val="Calibri"/>
      <family val="2"/>
    </font>
    <font>
      <b/>
      <sz val="11"/>
      <name val="Calibri"/>
      <family val="2"/>
    </font>
    <font>
      <b/>
      <sz val="22"/>
      <color indexed="81"/>
      <name val="Tahoma"/>
      <family val="2"/>
    </font>
    <font>
      <sz val="22"/>
      <color indexed="81"/>
      <name val="Tahoma"/>
      <family val="2"/>
    </font>
    <font>
      <b/>
      <sz val="20"/>
      <color indexed="81"/>
      <name val="Tahoma"/>
      <family val="2"/>
    </font>
    <font>
      <sz val="20"/>
      <color indexed="81"/>
      <name val="Tahoma"/>
      <family val="2"/>
    </font>
    <font>
      <b/>
      <sz val="20"/>
      <color indexed="81"/>
      <name val="Arial"/>
      <family val="2"/>
    </font>
    <font>
      <sz val="20"/>
      <color indexed="81"/>
      <name val="Arial"/>
      <family val="2"/>
    </font>
    <font>
      <sz val="9"/>
      <color indexed="8"/>
      <name val="Calibri"/>
      <family val="2"/>
      <scheme val="minor"/>
    </font>
    <font>
      <sz val="18"/>
      <color theme="1"/>
      <name val="Arial"/>
      <family val="2"/>
    </font>
    <font>
      <sz val="10"/>
      <color theme="1"/>
      <name val="Arial"/>
      <family val="2"/>
    </font>
    <font>
      <b/>
      <sz val="10"/>
      <color indexed="81"/>
      <name val="Tahoma"/>
      <family val="2"/>
    </font>
    <font>
      <sz val="10"/>
      <color indexed="81"/>
      <name val="Tahoma"/>
      <family val="2"/>
    </font>
    <font>
      <b/>
      <sz val="10"/>
      <color rgb="FFFF0000"/>
      <name val="@Arial Unicode MS"/>
      <family val="2"/>
    </font>
    <font>
      <sz val="7"/>
      <name val="@Arial Unicode MS"/>
      <family val="2"/>
    </font>
    <font>
      <b/>
      <sz val="10"/>
      <color rgb="FFFF0000"/>
      <name val="Tahoma"/>
      <family val="2"/>
    </font>
    <font>
      <sz val="10"/>
      <name val="Arial"/>
      <family val="2"/>
    </font>
    <font>
      <sz val="11"/>
      <color indexed="8"/>
      <name val="Calibri"/>
      <family val="2"/>
    </font>
    <font>
      <sz val="10"/>
      <color indexed="8"/>
      <name val="Arial"/>
      <family val="2"/>
    </font>
  </fonts>
  <fills count="83">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indexed="49"/>
        <bgColor indexed="64"/>
      </patternFill>
    </fill>
    <fill>
      <patternFill patternType="solid">
        <fgColor indexed="13"/>
        <bgColor indexed="64"/>
      </patternFill>
    </fill>
    <fill>
      <patternFill patternType="solid">
        <fgColor indexed="18"/>
        <bgColor indexed="64"/>
      </patternFill>
    </fill>
    <fill>
      <patternFill patternType="solid">
        <fgColor indexed="34"/>
        <bgColor indexed="64"/>
      </patternFill>
    </fill>
    <fill>
      <patternFill patternType="solid">
        <fgColor indexed="47"/>
        <bgColor indexed="64"/>
      </patternFill>
    </fill>
    <fill>
      <patternFill patternType="solid">
        <fgColor indexed="43"/>
        <bgColor indexed="64"/>
      </patternFill>
    </fill>
    <fill>
      <patternFill patternType="solid">
        <fgColor indexed="44"/>
        <bgColor indexed="64"/>
      </patternFill>
    </fill>
    <fill>
      <patternFill patternType="solid">
        <fgColor indexed="45"/>
        <bgColor indexed="64"/>
      </patternFill>
    </fill>
    <fill>
      <patternFill patternType="solid">
        <fgColor indexed="26"/>
        <bgColor indexed="64"/>
      </patternFill>
    </fill>
    <fill>
      <patternFill patternType="solid">
        <fgColor indexed="29"/>
        <bgColor indexed="64"/>
      </patternFill>
    </fill>
    <fill>
      <patternFill patternType="solid">
        <fgColor indexed="22"/>
        <bgColor indexed="64"/>
      </patternFill>
    </fill>
    <fill>
      <patternFill patternType="solid">
        <fgColor indexed="9"/>
        <bgColor indexed="26"/>
      </patternFill>
    </fill>
    <fill>
      <patternFill patternType="solid">
        <fgColor indexed="23"/>
        <bgColor indexed="64"/>
      </patternFill>
    </fill>
    <fill>
      <patternFill patternType="solid">
        <fgColor indexed="55"/>
        <bgColor indexed="64"/>
      </patternFill>
    </fill>
    <fill>
      <patternFill patternType="solid">
        <fgColor rgb="FFFFFF00"/>
        <bgColor indexed="64"/>
      </patternFill>
    </fill>
    <fill>
      <patternFill patternType="solid">
        <fgColor theme="5" tint="0.39997558519241921"/>
        <bgColor indexed="64"/>
      </patternFill>
    </fill>
    <fill>
      <patternFill patternType="solid">
        <fgColor theme="0"/>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rgb="FFFFC000"/>
        <bgColor indexed="64"/>
      </patternFill>
    </fill>
    <fill>
      <patternFill patternType="solid">
        <fgColor theme="0"/>
        <bgColor indexed="26"/>
      </patternFill>
    </fill>
    <fill>
      <patternFill patternType="solid">
        <fgColor rgb="FF00B0F0"/>
        <bgColor indexed="64"/>
      </patternFill>
    </fill>
    <fill>
      <patternFill patternType="solid">
        <fgColor rgb="FF4BC7BB"/>
        <bgColor indexed="64"/>
      </patternFill>
    </fill>
    <fill>
      <patternFill patternType="solid">
        <fgColor rgb="FF92D050"/>
        <bgColor indexed="64"/>
      </patternFill>
    </fill>
    <fill>
      <patternFill patternType="solid">
        <fgColor theme="6" tint="0.39997558519241921"/>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6" tint="0.59999389629810485"/>
        <bgColor indexed="64"/>
      </patternFill>
    </fill>
    <fill>
      <patternFill patternType="solid">
        <fgColor rgb="FF33CCFF"/>
        <bgColor indexed="64"/>
      </patternFill>
    </fill>
    <fill>
      <patternFill patternType="solid">
        <fgColor rgb="FFBCE4DA"/>
        <bgColor indexed="64"/>
      </patternFill>
    </fill>
    <fill>
      <patternFill patternType="solid">
        <fgColor rgb="FF99FFCC"/>
        <bgColor indexed="64"/>
      </patternFill>
    </fill>
    <fill>
      <patternFill patternType="solid">
        <fgColor rgb="FFFFFFCC"/>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8" tint="-0.249977111117893"/>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rgb="FFFFFF99"/>
        <bgColor indexed="64"/>
      </patternFill>
    </fill>
    <fill>
      <patternFill patternType="solid">
        <fgColor rgb="FF00FFCC"/>
        <bgColor indexed="64"/>
      </patternFill>
    </fill>
    <fill>
      <patternFill patternType="solid">
        <fgColor rgb="FFFF66FF"/>
        <bgColor indexed="64"/>
      </patternFill>
    </fill>
    <fill>
      <patternFill patternType="solid">
        <fgColor rgb="FFCCCC00"/>
        <bgColor indexed="64"/>
      </patternFill>
    </fill>
    <fill>
      <patternFill patternType="solid">
        <fgColor rgb="FF70F894"/>
        <bgColor indexed="64"/>
      </patternFill>
    </fill>
    <fill>
      <patternFill patternType="solid">
        <fgColor rgb="FFFF0000"/>
        <bgColor indexed="64"/>
      </patternFill>
    </fill>
    <fill>
      <patternFill patternType="solid">
        <fgColor theme="0" tint="-0.499984740745262"/>
        <bgColor indexed="64"/>
      </patternFill>
    </fill>
    <fill>
      <patternFill patternType="solid">
        <fgColor theme="6" tint="-0.499984740745262"/>
        <bgColor indexed="64"/>
      </patternFill>
    </fill>
    <fill>
      <patternFill patternType="solid">
        <fgColor theme="8" tint="-0.499984740745262"/>
        <bgColor indexed="64"/>
      </patternFill>
    </fill>
    <fill>
      <patternFill patternType="solid">
        <fgColor theme="7" tint="-0.499984740745262"/>
        <bgColor indexed="64"/>
      </patternFill>
    </fill>
    <fill>
      <patternFill patternType="solid">
        <fgColor theme="9" tint="-0.249977111117893"/>
        <bgColor indexed="64"/>
      </patternFill>
    </fill>
    <fill>
      <patternFill patternType="solid">
        <fgColor theme="6" tint="-0.249977111117893"/>
        <bgColor indexed="64"/>
      </patternFill>
    </fill>
    <fill>
      <patternFill patternType="solid">
        <fgColor theme="5" tint="-0.249977111117893"/>
        <bgColor indexed="64"/>
      </patternFill>
    </fill>
    <fill>
      <patternFill patternType="solid">
        <fgColor theme="3" tint="0.39997558519241921"/>
        <bgColor indexed="64"/>
      </patternFill>
    </fill>
    <fill>
      <patternFill patternType="solid">
        <fgColor theme="4" tint="0.39997558519241921"/>
        <bgColor indexed="64"/>
      </patternFill>
    </fill>
    <fill>
      <patternFill patternType="solid">
        <fgColor indexed="22"/>
        <bgColor indexed="0"/>
      </patternFill>
    </fill>
  </fills>
  <borders count="19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top style="thin">
        <color indexed="64"/>
      </top>
      <bottom/>
      <diagonal/>
    </border>
    <border>
      <left style="thin">
        <color indexed="64"/>
      </left>
      <right style="thin">
        <color indexed="64"/>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55"/>
      </left>
      <right style="thin">
        <color indexed="55"/>
      </right>
      <top style="hair">
        <color indexed="55"/>
      </top>
      <bottom style="hair">
        <color indexed="55"/>
      </bottom>
      <diagonal/>
    </border>
    <border>
      <left style="thin">
        <color indexed="55"/>
      </left>
      <right style="thin">
        <color indexed="55"/>
      </right>
      <top style="hair">
        <color indexed="55"/>
      </top>
      <bottom/>
      <diagonal/>
    </border>
    <border>
      <left style="thin">
        <color indexed="55"/>
      </left>
      <right style="medium">
        <color indexed="22"/>
      </right>
      <top style="hair">
        <color indexed="55"/>
      </top>
      <bottom style="hair">
        <color indexed="55"/>
      </bottom>
      <diagonal/>
    </border>
    <border>
      <left style="thin">
        <color indexed="55"/>
      </left>
      <right style="medium">
        <color indexed="22"/>
      </right>
      <top style="hair">
        <color indexed="55"/>
      </top>
      <bottom/>
      <diagonal/>
    </border>
    <border>
      <left style="medium">
        <color indexed="64"/>
      </left>
      <right/>
      <top style="medium">
        <color indexed="64"/>
      </top>
      <bottom style="medium">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bottom/>
      <diagonal/>
    </border>
    <border>
      <left style="medium">
        <color indexed="64"/>
      </left>
      <right/>
      <top/>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8"/>
      </right>
      <top style="thin">
        <color indexed="8"/>
      </top>
      <bottom style="thin">
        <color indexed="8"/>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8"/>
      </right>
      <top/>
      <bottom style="thin">
        <color indexed="8"/>
      </bottom>
      <diagonal/>
    </border>
    <border>
      <left/>
      <right style="thin">
        <color indexed="64"/>
      </right>
      <top style="medium">
        <color indexed="64"/>
      </top>
      <bottom/>
      <diagonal/>
    </border>
    <border>
      <left style="medium">
        <color indexed="64"/>
      </left>
      <right/>
      <top style="thin">
        <color indexed="64"/>
      </top>
      <bottom style="medium">
        <color indexed="64"/>
      </bottom>
      <diagonal/>
    </border>
    <border>
      <left style="thin">
        <color indexed="64"/>
      </left>
      <right style="thin">
        <color indexed="64"/>
      </right>
      <top/>
      <bottom style="medium">
        <color indexed="64"/>
      </bottom>
      <diagonal/>
    </border>
    <border>
      <left/>
      <right/>
      <top style="medium">
        <color indexed="64"/>
      </top>
      <bottom/>
      <diagonal/>
    </border>
    <border>
      <left style="thin">
        <color indexed="8"/>
      </left>
      <right style="thin">
        <color indexed="8"/>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8"/>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8"/>
      </right>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right/>
      <top/>
      <bottom style="medium">
        <color indexed="64"/>
      </bottom>
      <diagonal/>
    </border>
    <border>
      <left style="medium">
        <color indexed="8"/>
      </left>
      <right style="medium">
        <color indexed="8"/>
      </right>
      <top/>
      <bottom style="medium">
        <color indexed="8"/>
      </bottom>
      <diagonal/>
    </border>
    <border>
      <left style="medium">
        <color indexed="8"/>
      </left>
      <right/>
      <top/>
      <bottom style="medium">
        <color indexed="8"/>
      </bottom>
      <diagonal/>
    </border>
    <border>
      <left style="medium">
        <color indexed="64"/>
      </left>
      <right/>
      <top/>
      <bottom style="thin">
        <color indexed="64"/>
      </bottom>
      <diagonal/>
    </border>
    <border>
      <left style="thin">
        <color indexed="64"/>
      </left>
      <right/>
      <top style="medium">
        <color indexed="64"/>
      </top>
      <bottom/>
      <diagonal/>
    </border>
    <border>
      <left style="medium">
        <color indexed="8"/>
      </left>
      <right/>
      <top style="medium">
        <color indexed="64"/>
      </top>
      <bottom/>
      <diagonal/>
    </border>
    <border>
      <left style="medium">
        <color indexed="64"/>
      </left>
      <right style="medium">
        <color indexed="8"/>
      </right>
      <top style="medium">
        <color indexed="64"/>
      </top>
      <bottom/>
      <diagonal/>
    </border>
    <border>
      <left style="thin">
        <color indexed="64"/>
      </left>
      <right/>
      <top/>
      <bottom style="medium">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style="medium">
        <color indexed="8"/>
      </right>
      <top style="medium">
        <color indexed="64"/>
      </top>
      <bottom style="medium">
        <color indexed="64"/>
      </bottom>
      <diagonal/>
    </border>
    <border>
      <left style="medium">
        <color indexed="8"/>
      </left>
      <right style="medium">
        <color indexed="8"/>
      </right>
      <top/>
      <bottom style="medium">
        <color indexed="64"/>
      </bottom>
      <diagonal/>
    </border>
    <border>
      <left style="medium">
        <color indexed="8"/>
      </left>
      <right/>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8"/>
      </right>
      <top style="medium">
        <color indexed="64"/>
      </top>
      <bottom/>
      <diagonal/>
    </border>
    <border>
      <left style="thin">
        <color indexed="8"/>
      </left>
      <right style="medium">
        <color indexed="64"/>
      </right>
      <top style="medium">
        <color indexed="64"/>
      </top>
      <bottom/>
      <diagonal/>
    </border>
    <border>
      <left/>
      <right style="thin">
        <color indexed="8"/>
      </right>
      <top style="medium">
        <color indexed="64"/>
      </top>
      <bottom/>
      <diagonal/>
    </border>
    <border>
      <left style="thin">
        <color indexed="8"/>
      </left>
      <right/>
      <top style="medium">
        <color indexed="64"/>
      </top>
      <bottom/>
      <diagonal/>
    </border>
    <border>
      <left style="medium">
        <color indexed="64"/>
      </left>
      <right/>
      <top style="medium">
        <color indexed="64"/>
      </top>
      <bottom style="thin">
        <color indexed="22"/>
      </bottom>
      <diagonal/>
    </border>
    <border>
      <left style="medium">
        <color indexed="64"/>
      </left>
      <right style="thin">
        <color indexed="22"/>
      </right>
      <top style="medium">
        <color indexed="64"/>
      </top>
      <bottom style="thin">
        <color indexed="22"/>
      </bottom>
      <diagonal/>
    </border>
    <border>
      <left style="thin">
        <color indexed="22"/>
      </left>
      <right style="thin">
        <color indexed="22"/>
      </right>
      <top style="medium">
        <color indexed="64"/>
      </top>
      <bottom style="thin">
        <color indexed="22"/>
      </bottom>
      <diagonal/>
    </border>
    <border>
      <left style="thin">
        <color indexed="22"/>
      </left>
      <right style="medium">
        <color indexed="64"/>
      </right>
      <top style="medium">
        <color indexed="64"/>
      </top>
      <bottom style="thin">
        <color indexed="22"/>
      </bottom>
      <diagonal/>
    </border>
    <border>
      <left/>
      <right style="thin">
        <color indexed="22"/>
      </right>
      <top style="medium">
        <color indexed="64"/>
      </top>
      <bottom style="thin">
        <color indexed="22"/>
      </bottom>
      <diagonal/>
    </border>
    <border>
      <left style="thin">
        <color indexed="22"/>
      </left>
      <right/>
      <top style="medium">
        <color indexed="64"/>
      </top>
      <bottom style="thin">
        <color indexed="22"/>
      </bottom>
      <diagonal/>
    </border>
    <border>
      <left style="medium">
        <color indexed="64"/>
      </left>
      <right/>
      <top style="thin">
        <color indexed="22"/>
      </top>
      <bottom style="thin">
        <color indexed="22"/>
      </bottom>
      <diagonal/>
    </border>
    <border>
      <left style="medium">
        <color indexed="64"/>
      </left>
      <right style="thin">
        <color indexed="22"/>
      </right>
      <top style="thin">
        <color indexed="22"/>
      </top>
      <bottom style="thin">
        <color indexed="22"/>
      </bottom>
      <diagonal/>
    </border>
    <border>
      <left style="thin">
        <color indexed="22"/>
      </left>
      <right style="medium">
        <color indexed="64"/>
      </right>
      <top style="thin">
        <color indexed="22"/>
      </top>
      <bottom style="thin">
        <color indexed="22"/>
      </bottom>
      <diagonal/>
    </border>
    <border>
      <left/>
      <right style="thin">
        <color indexed="22"/>
      </right>
      <top style="thin">
        <color indexed="22"/>
      </top>
      <bottom style="thin">
        <color indexed="22"/>
      </bottom>
      <diagonal/>
    </border>
    <border>
      <left style="thin">
        <color indexed="22"/>
      </left>
      <right/>
      <top style="thin">
        <color indexed="22"/>
      </top>
      <bottom style="thin">
        <color indexed="22"/>
      </bottom>
      <diagonal/>
    </border>
    <border>
      <left style="medium">
        <color indexed="64"/>
      </left>
      <right/>
      <top style="thin">
        <color indexed="22"/>
      </top>
      <bottom style="medium">
        <color indexed="64"/>
      </bottom>
      <diagonal/>
    </border>
    <border>
      <left style="medium">
        <color indexed="64"/>
      </left>
      <right style="thin">
        <color indexed="22"/>
      </right>
      <top style="thin">
        <color indexed="22"/>
      </top>
      <bottom style="medium">
        <color indexed="64"/>
      </bottom>
      <diagonal/>
    </border>
    <border>
      <left style="thin">
        <color indexed="22"/>
      </left>
      <right style="thin">
        <color indexed="22"/>
      </right>
      <top style="thin">
        <color indexed="22"/>
      </top>
      <bottom style="medium">
        <color indexed="64"/>
      </bottom>
      <diagonal/>
    </border>
    <border>
      <left style="thin">
        <color indexed="22"/>
      </left>
      <right style="medium">
        <color indexed="64"/>
      </right>
      <top style="thin">
        <color indexed="22"/>
      </top>
      <bottom style="medium">
        <color indexed="64"/>
      </bottom>
      <diagonal/>
    </border>
    <border>
      <left/>
      <right style="thin">
        <color indexed="22"/>
      </right>
      <top style="thin">
        <color indexed="22"/>
      </top>
      <bottom style="medium">
        <color indexed="64"/>
      </bottom>
      <diagonal/>
    </border>
    <border>
      <left style="thin">
        <color indexed="22"/>
      </left>
      <right/>
      <top style="thin">
        <color indexed="22"/>
      </top>
      <bottom style="medium">
        <color indexed="64"/>
      </bottom>
      <diagonal/>
    </border>
    <border>
      <left style="medium">
        <color indexed="64"/>
      </left>
      <right/>
      <top/>
      <bottom style="thin">
        <color indexed="22"/>
      </bottom>
      <diagonal/>
    </border>
    <border>
      <left style="medium">
        <color indexed="64"/>
      </left>
      <right style="thin">
        <color indexed="22"/>
      </right>
      <top/>
      <bottom style="thin">
        <color indexed="22"/>
      </bottom>
      <diagonal/>
    </border>
    <border>
      <left style="thin">
        <color indexed="22"/>
      </left>
      <right style="thin">
        <color indexed="22"/>
      </right>
      <top/>
      <bottom style="thin">
        <color indexed="22"/>
      </bottom>
      <diagonal/>
    </border>
    <border>
      <left style="thin">
        <color indexed="22"/>
      </left>
      <right style="medium">
        <color indexed="64"/>
      </right>
      <top/>
      <bottom style="thin">
        <color indexed="22"/>
      </bottom>
      <diagonal/>
    </border>
    <border>
      <left/>
      <right style="thin">
        <color indexed="22"/>
      </right>
      <top/>
      <bottom style="thin">
        <color indexed="22"/>
      </bottom>
      <diagonal/>
    </border>
    <border>
      <left style="thin">
        <color indexed="22"/>
      </left>
      <right/>
      <top/>
      <bottom style="thin">
        <color indexed="22"/>
      </bottom>
      <diagonal/>
    </border>
    <border>
      <left style="medium">
        <color indexed="64"/>
      </left>
      <right/>
      <top style="thin">
        <color indexed="22"/>
      </top>
      <bottom/>
      <diagonal/>
    </border>
    <border>
      <left style="medium">
        <color indexed="64"/>
      </left>
      <right style="thin">
        <color indexed="22"/>
      </right>
      <top style="thin">
        <color indexed="22"/>
      </top>
      <bottom/>
      <diagonal/>
    </border>
    <border>
      <left style="thin">
        <color indexed="22"/>
      </left>
      <right style="thin">
        <color indexed="22"/>
      </right>
      <top style="thin">
        <color indexed="22"/>
      </top>
      <bottom/>
      <diagonal/>
    </border>
    <border>
      <left style="thin">
        <color indexed="22"/>
      </left>
      <right style="medium">
        <color indexed="64"/>
      </right>
      <top style="thin">
        <color indexed="22"/>
      </top>
      <bottom/>
      <diagonal/>
    </border>
    <border>
      <left/>
      <right style="thin">
        <color indexed="22"/>
      </right>
      <top style="thin">
        <color indexed="22"/>
      </top>
      <bottom/>
      <diagonal/>
    </border>
    <border>
      <left style="thin">
        <color indexed="22"/>
      </left>
      <right/>
      <top style="thin">
        <color indexed="22"/>
      </top>
      <bottom/>
      <diagonal/>
    </border>
    <border>
      <left/>
      <right style="thin">
        <color indexed="64"/>
      </right>
      <top style="medium">
        <color indexed="64"/>
      </top>
      <bottom style="medium">
        <color indexed="64"/>
      </bottom>
      <diagonal/>
    </border>
    <border>
      <left style="hair">
        <color indexed="8"/>
      </left>
      <right/>
      <top style="hair">
        <color indexed="8"/>
      </top>
      <bottom style="hair">
        <color indexed="8"/>
      </bottom>
      <diagonal/>
    </border>
    <border>
      <left style="hair">
        <color indexed="8"/>
      </left>
      <right style="hair">
        <color indexed="8"/>
      </right>
      <top style="hair">
        <color indexed="8"/>
      </top>
      <bottom style="hair">
        <color indexed="8"/>
      </bottom>
      <diagonal/>
    </border>
    <border>
      <left style="medium">
        <color indexed="64"/>
      </left>
      <right style="medium">
        <color indexed="64"/>
      </right>
      <top/>
      <bottom/>
      <diagonal/>
    </border>
    <border>
      <left style="medium">
        <color indexed="8"/>
      </left>
      <right style="medium">
        <color indexed="8"/>
      </right>
      <top style="medium">
        <color indexed="8"/>
      </top>
      <bottom style="medium">
        <color indexed="8"/>
      </bottom>
      <diagonal/>
    </border>
    <border>
      <left style="medium">
        <color indexed="64"/>
      </left>
      <right style="medium">
        <color indexed="64"/>
      </right>
      <top style="thin">
        <color indexed="64"/>
      </top>
      <bottom/>
      <diagonal/>
    </border>
    <border>
      <left style="medium">
        <color indexed="64"/>
      </left>
      <right style="thin">
        <color indexed="64"/>
      </right>
      <top/>
      <bottom/>
      <diagonal/>
    </border>
    <border>
      <left style="thin">
        <color indexed="22"/>
      </left>
      <right style="medium">
        <color indexed="64"/>
      </right>
      <top/>
      <bottom/>
      <diagonal/>
    </border>
    <border>
      <left style="thin">
        <color indexed="22"/>
      </left>
      <right style="medium">
        <color indexed="64"/>
      </right>
      <top style="medium">
        <color indexed="64"/>
      </top>
      <bottom/>
      <diagonal/>
    </border>
    <border>
      <left/>
      <right style="thin">
        <color indexed="22"/>
      </right>
      <top style="medium">
        <color indexed="64"/>
      </top>
      <bottom/>
      <diagonal/>
    </border>
    <border>
      <left style="medium">
        <color indexed="64"/>
      </left>
      <right style="thin">
        <color indexed="22"/>
      </right>
      <top style="medium">
        <color indexed="64"/>
      </top>
      <bottom/>
      <diagonal/>
    </border>
    <border>
      <left style="thin">
        <color indexed="22"/>
      </left>
      <right style="thin">
        <color indexed="22"/>
      </right>
      <top style="medium">
        <color indexed="64"/>
      </top>
      <bottom/>
      <diagonal/>
    </border>
    <border>
      <left style="medium">
        <color indexed="64"/>
      </left>
      <right style="thin">
        <color indexed="22"/>
      </right>
      <top style="medium">
        <color indexed="64"/>
      </top>
      <bottom style="medium">
        <color indexed="64"/>
      </bottom>
      <diagonal/>
    </border>
    <border>
      <left style="thin">
        <color indexed="22"/>
      </left>
      <right style="medium">
        <color indexed="64"/>
      </right>
      <top style="medium">
        <color indexed="64"/>
      </top>
      <bottom style="medium">
        <color indexed="64"/>
      </bottom>
      <diagonal/>
    </border>
    <border>
      <left style="thin">
        <color indexed="22"/>
      </left>
      <right/>
      <top style="medium">
        <color indexed="64"/>
      </top>
      <bottom/>
      <diagonal/>
    </border>
    <border>
      <left/>
      <right style="thin">
        <color indexed="22"/>
      </right>
      <top/>
      <bottom/>
      <diagonal/>
    </border>
    <border>
      <left style="thin">
        <color indexed="22"/>
      </left>
      <right/>
      <top/>
      <bottom/>
      <diagonal/>
    </border>
    <border>
      <left/>
      <right style="thin">
        <color indexed="22"/>
      </right>
      <top/>
      <bottom style="medium">
        <color indexed="64"/>
      </bottom>
      <diagonal/>
    </border>
    <border>
      <left style="thin">
        <color indexed="22"/>
      </left>
      <right/>
      <top/>
      <bottom style="medium">
        <color indexed="64"/>
      </bottom>
      <diagonal/>
    </border>
    <border>
      <left style="medium">
        <color indexed="64"/>
      </left>
      <right style="thin">
        <color indexed="22"/>
      </right>
      <top/>
      <bottom/>
      <diagonal/>
    </border>
    <border>
      <left style="medium">
        <color indexed="64"/>
      </left>
      <right style="thin">
        <color indexed="22"/>
      </right>
      <top/>
      <bottom style="medium">
        <color indexed="64"/>
      </bottom>
      <diagonal/>
    </border>
    <border>
      <left style="thin">
        <color indexed="22"/>
      </left>
      <right style="medium">
        <color indexed="64"/>
      </right>
      <top/>
      <bottom style="medium">
        <color indexed="64"/>
      </bottom>
      <diagonal/>
    </border>
    <border>
      <left/>
      <right style="thin">
        <color indexed="64"/>
      </right>
      <top/>
      <bottom/>
      <diagonal/>
    </border>
    <border>
      <left style="thin">
        <color indexed="8"/>
      </left>
      <right style="medium">
        <color indexed="64"/>
      </right>
      <top style="thin">
        <color indexed="8"/>
      </top>
      <bottom style="thin">
        <color indexed="8"/>
      </bottom>
      <diagonal/>
    </border>
    <border>
      <left style="medium">
        <color indexed="64"/>
      </left>
      <right style="medium">
        <color indexed="8"/>
      </right>
      <top/>
      <bottom style="medium">
        <color indexed="64"/>
      </bottom>
      <diagonal/>
    </border>
    <border>
      <left style="medium">
        <color indexed="22"/>
      </left>
      <right style="thin">
        <color indexed="55"/>
      </right>
      <top style="hair">
        <color indexed="55"/>
      </top>
      <bottom/>
      <diagonal/>
    </border>
    <border>
      <left style="medium">
        <color indexed="22"/>
      </left>
      <right style="thin">
        <color indexed="55"/>
      </right>
      <top style="hair">
        <color indexed="55"/>
      </top>
      <bottom style="hair">
        <color indexed="55"/>
      </bottom>
      <diagonal/>
    </border>
    <border>
      <left style="medium">
        <color indexed="22"/>
      </left>
      <right style="thin">
        <color indexed="55"/>
      </right>
      <top style="medium">
        <color indexed="22"/>
      </top>
      <bottom/>
      <diagonal/>
    </border>
    <border>
      <left style="thin">
        <color indexed="55"/>
      </left>
      <right style="thin">
        <color indexed="55"/>
      </right>
      <top style="medium">
        <color indexed="22"/>
      </top>
      <bottom/>
      <diagonal/>
    </border>
    <border>
      <left style="thin">
        <color indexed="55"/>
      </left>
      <right style="medium">
        <color indexed="22"/>
      </right>
      <top style="medium">
        <color indexed="22"/>
      </top>
      <bottom/>
      <diagonal/>
    </border>
    <border>
      <left style="medium">
        <color indexed="64"/>
      </left>
      <right/>
      <top style="thin">
        <color indexed="64"/>
      </top>
      <bottom/>
      <diagonal/>
    </border>
    <border>
      <left style="thin">
        <color indexed="22"/>
      </left>
      <right style="thin">
        <color indexed="22"/>
      </right>
      <top style="medium">
        <color indexed="64"/>
      </top>
      <bottom style="medium">
        <color indexed="64"/>
      </bottom>
      <diagonal/>
    </border>
    <border>
      <left style="thin">
        <color indexed="22"/>
      </left>
      <right style="thin">
        <color indexed="22"/>
      </right>
      <top/>
      <bottom/>
      <diagonal/>
    </border>
    <border>
      <left style="thin">
        <color indexed="22"/>
      </left>
      <right style="thin">
        <color indexed="22"/>
      </right>
      <top/>
      <bottom style="medium">
        <color indexed="64"/>
      </bottom>
      <diagonal/>
    </border>
    <border>
      <left style="thin">
        <color indexed="64"/>
      </left>
      <right style="thin">
        <color indexed="55"/>
      </right>
      <top/>
      <bottom style="hair">
        <color indexed="55"/>
      </bottom>
      <diagonal/>
    </border>
    <border>
      <left style="thin">
        <color indexed="55"/>
      </left>
      <right style="thin">
        <color indexed="55"/>
      </right>
      <top/>
      <bottom style="hair">
        <color indexed="55"/>
      </bottom>
      <diagonal/>
    </border>
    <border>
      <left style="thin">
        <color indexed="55"/>
      </left>
      <right style="thin">
        <color indexed="64"/>
      </right>
      <top/>
      <bottom style="hair">
        <color indexed="55"/>
      </bottom>
      <diagonal/>
    </border>
    <border>
      <left style="thin">
        <color indexed="55"/>
      </left>
      <right style="medium">
        <color indexed="64"/>
      </right>
      <top/>
      <bottom style="hair">
        <color indexed="55"/>
      </bottom>
      <diagonal/>
    </border>
    <border>
      <left style="thin">
        <color indexed="64"/>
      </left>
      <right style="thin">
        <color indexed="55"/>
      </right>
      <top/>
      <bottom style="medium">
        <color indexed="64"/>
      </bottom>
      <diagonal/>
    </border>
    <border>
      <left style="thin">
        <color indexed="55"/>
      </left>
      <right style="thin">
        <color indexed="55"/>
      </right>
      <top/>
      <bottom style="medium">
        <color indexed="64"/>
      </bottom>
      <diagonal/>
    </border>
    <border>
      <left style="thin">
        <color indexed="55"/>
      </left>
      <right style="thin">
        <color indexed="64"/>
      </right>
      <top/>
      <bottom style="medium">
        <color indexed="64"/>
      </bottom>
      <diagonal/>
    </border>
    <border>
      <left style="thin">
        <color indexed="55"/>
      </left>
      <right style="medium">
        <color indexed="64"/>
      </right>
      <top/>
      <bottom style="medium">
        <color indexed="64"/>
      </bottom>
      <diagonal/>
    </border>
    <border>
      <left style="hair">
        <color indexed="64"/>
      </left>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hair">
        <color indexed="64"/>
      </right>
      <top style="thin">
        <color indexed="64"/>
      </top>
      <bottom/>
      <diagonal/>
    </border>
    <border>
      <left style="hair">
        <color indexed="64"/>
      </left>
      <right style="hair">
        <color indexed="64"/>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style="thin">
        <color indexed="22"/>
      </right>
      <top style="medium">
        <color indexed="64"/>
      </top>
      <bottom style="medium">
        <color indexed="64"/>
      </bottom>
      <diagonal/>
    </border>
    <border>
      <left style="thin">
        <color indexed="22"/>
      </left>
      <right/>
      <top style="medium">
        <color indexed="64"/>
      </top>
      <bottom style="medium">
        <color indexed="64"/>
      </bottom>
      <diagonal/>
    </border>
    <border>
      <left style="thin">
        <color indexed="64"/>
      </left>
      <right style="thin">
        <color indexed="22"/>
      </right>
      <top style="thin">
        <color indexed="64"/>
      </top>
      <bottom style="thin">
        <color indexed="22"/>
      </bottom>
      <diagonal/>
    </border>
    <border>
      <left style="thin">
        <color indexed="22"/>
      </left>
      <right style="thin">
        <color indexed="22"/>
      </right>
      <top style="thin">
        <color indexed="64"/>
      </top>
      <bottom style="thin">
        <color indexed="22"/>
      </bottom>
      <diagonal/>
    </border>
    <border>
      <left style="thin">
        <color indexed="64"/>
      </left>
      <right style="thin">
        <color indexed="22"/>
      </right>
      <top style="thin">
        <color indexed="22"/>
      </top>
      <bottom style="thin">
        <color indexed="22"/>
      </bottom>
      <diagonal/>
    </border>
    <border>
      <left style="thin">
        <color indexed="64"/>
      </left>
      <right style="thin">
        <color indexed="22"/>
      </right>
      <top style="thin">
        <color indexed="22"/>
      </top>
      <bottom style="thin">
        <color indexed="64"/>
      </bottom>
      <diagonal/>
    </border>
    <border>
      <left style="thin">
        <color indexed="22"/>
      </left>
      <right style="thin">
        <color indexed="22"/>
      </right>
      <top style="thin">
        <color indexed="22"/>
      </top>
      <bottom style="thin">
        <color indexed="64"/>
      </bottom>
      <diagonal/>
    </border>
    <border>
      <left style="thin">
        <color indexed="64"/>
      </left>
      <right style="thin">
        <color indexed="22"/>
      </right>
      <top style="thin">
        <color indexed="64"/>
      </top>
      <bottom style="thin">
        <color indexed="64"/>
      </bottom>
      <diagonal/>
    </border>
    <border>
      <left style="thin">
        <color indexed="22"/>
      </left>
      <right style="thin">
        <color indexed="22"/>
      </right>
      <top style="thin">
        <color indexed="64"/>
      </top>
      <bottom style="thin">
        <color indexed="64"/>
      </bottom>
      <diagonal/>
    </border>
  </borders>
  <cellStyleXfs count="267">
    <xf numFmtId="0" fontId="0" fillId="0" borderId="0"/>
    <xf numFmtId="0" fontId="16" fillId="2" borderId="0" applyNumberFormat="0" applyBorder="0" applyAlignment="0" applyProtection="0"/>
    <xf numFmtId="0" fontId="16" fillId="2" borderId="0" applyNumberFormat="0" applyBorder="0" applyAlignment="0" applyProtection="0"/>
    <xf numFmtId="0" fontId="16" fillId="2" borderId="0" applyNumberFormat="0" applyBorder="0" applyAlignment="0" applyProtection="0"/>
    <xf numFmtId="0" fontId="16" fillId="2" borderId="0" applyNumberFormat="0" applyBorder="0" applyAlignment="0" applyProtection="0"/>
    <xf numFmtId="0" fontId="16" fillId="2"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4" borderId="0" applyNumberFormat="0" applyBorder="0" applyAlignment="0" applyProtection="0"/>
    <xf numFmtId="0" fontId="17" fillId="14" borderId="0" applyNumberFormat="0" applyBorder="0" applyAlignment="0" applyProtection="0"/>
    <xf numFmtId="0" fontId="17" fillId="14" borderId="0" applyNumberFormat="0" applyBorder="0" applyAlignment="0" applyProtection="0"/>
    <xf numFmtId="0" fontId="17" fillId="14" borderId="0" applyNumberFormat="0" applyBorder="0" applyAlignment="0" applyProtection="0"/>
    <xf numFmtId="0" fontId="17" fillId="14"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20" fillId="17" borderId="2" applyNumberFormat="0" applyAlignment="0" applyProtection="0"/>
    <xf numFmtId="0" fontId="20" fillId="17" borderId="2" applyNumberFormat="0" applyAlignment="0" applyProtection="0"/>
    <xf numFmtId="0" fontId="20" fillId="17" borderId="2" applyNumberFormat="0" applyAlignment="0" applyProtection="0"/>
    <xf numFmtId="0" fontId="20" fillId="17" borderId="2" applyNumberFormat="0" applyAlignment="0" applyProtection="0"/>
    <xf numFmtId="0" fontId="20" fillId="17" borderId="2" applyNumberFormat="0" applyAlignment="0" applyProtection="0"/>
    <xf numFmtId="0" fontId="21" fillId="0" borderId="3" applyNumberFormat="0" applyFill="0" applyAlignment="0" applyProtection="0"/>
    <xf numFmtId="0" fontId="21" fillId="0" borderId="3" applyNumberFormat="0" applyFill="0" applyAlignment="0" applyProtection="0"/>
    <xf numFmtId="0" fontId="21" fillId="0" borderId="3" applyNumberFormat="0" applyFill="0" applyAlignment="0" applyProtection="0"/>
    <xf numFmtId="0" fontId="21" fillId="0" borderId="3" applyNumberFormat="0" applyFill="0" applyAlignment="0" applyProtection="0"/>
    <xf numFmtId="0" fontId="21" fillId="0" borderId="3" applyNumberFormat="0" applyFill="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17" fillId="18" borderId="0" applyNumberFormat="0" applyBorder="0" applyAlignment="0" applyProtection="0"/>
    <xf numFmtId="0" fontId="17" fillId="18" borderId="0" applyNumberFormat="0" applyBorder="0" applyAlignment="0" applyProtection="0"/>
    <xf numFmtId="0" fontId="17" fillId="18" borderId="0" applyNumberFormat="0" applyBorder="0" applyAlignment="0" applyProtection="0"/>
    <xf numFmtId="0" fontId="17" fillId="18" borderId="0" applyNumberFormat="0" applyBorder="0" applyAlignment="0" applyProtection="0"/>
    <xf numFmtId="0" fontId="17" fillId="18" borderId="0" applyNumberFormat="0" applyBorder="0" applyAlignment="0" applyProtection="0"/>
    <xf numFmtId="0" fontId="17" fillId="19" borderId="0" applyNumberFormat="0" applyBorder="0" applyAlignment="0" applyProtection="0"/>
    <xf numFmtId="0" fontId="17" fillId="19" borderId="0" applyNumberFormat="0" applyBorder="0" applyAlignment="0" applyProtection="0"/>
    <xf numFmtId="0" fontId="17" fillId="19" borderId="0" applyNumberFormat="0" applyBorder="0" applyAlignment="0" applyProtection="0"/>
    <xf numFmtId="0" fontId="17" fillId="19" borderId="0" applyNumberFormat="0" applyBorder="0" applyAlignment="0" applyProtection="0"/>
    <xf numFmtId="0" fontId="17" fillId="19"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4" borderId="0" applyNumberFormat="0" applyBorder="0" applyAlignment="0" applyProtection="0"/>
    <xf numFmtId="0" fontId="17" fillId="14" borderId="0" applyNumberFormat="0" applyBorder="0" applyAlignment="0" applyProtection="0"/>
    <xf numFmtId="0" fontId="17" fillId="14" borderId="0" applyNumberFormat="0" applyBorder="0" applyAlignment="0" applyProtection="0"/>
    <xf numFmtId="0" fontId="17" fillId="14" borderId="0" applyNumberFormat="0" applyBorder="0" applyAlignment="0" applyProtection="0"/>
    <xf numFmtId="0" fontId="17" fillId="14"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16" fillId="0" borderId="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165" fontId="5" fillId="0" borderId="0" applyFont="0" applyFill="0" applyBorder="0" applyAlignment="0" applyProtection="0"/>
    <xf numFmtId="165" fontId="7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4" fontId="5" fillId="0" borderId="0" applyFont="0" applyFill="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5" fillId="0" borderId="0"/>
    <xf numFmtId="0" fontId="26" fillId="0" borderId="0"/>
    <xf numFmtId="0" fontId="112" fillId="0" borderId="0"/>
    <xf numFmtId="0" fontId="5" fillId="0" borderId="0"/>
    <xf numFmtId="0" fontId="26" fillId="0" borderId="0"/>
    <xf numFmtId="0" fontId="112" fillId="0" borderId="0"/>
    <xf numFmtId="0" fontId="26" fillId="0" borderId="0"/>
    <xf numFmtId="0" fontId="60" fillId="0" borderId="0"/>
    <xf numFmtId="0" fontId="26" fillId="0" borderId="0"/>
    <xf numFmtId="0" fontId="26" fillId="0" borderId="0"/>
    <xf numFmtId="0" fontId="26" fillId="0" borderId="0"/>
    <xf numFmtId="0" fontId="26" fillId="0" borderId="0"/>
    <xf numFmtId="0" fontId="67" fillId="0" borderId="0"/>
    <xf numFmtId="0" fontId="26" fillId="0" borderId="0"/>
    <xf numFmtId="0" fontId="26" fillId="0" borderId="0"/>
    <xf numFmtId="0" fontId="63" fillId="0" borderId="0"/>
    <xf numFmtId="0" fontId="26" fillId="0" borderId="0"/>
    <xf numFmtId="0" fontId="26" fillId="0" borderId="0"/>
    <xf numFmtId="0" fontId="26" fillId="0" borderId="0"/>
    <xf numFmtId="0" fontId="112" fillId="0" borderId="0"/>
    <xf numFmtId="0" fontId="113" fillId="0" borderId="0"/>
    <xf numFmtId="0" fontId="113" fillId="0" borderId="0"/>
    <xf numFmtId="0" fontId="113" fillId="0" borderId="0"/>
    <xf numFmtId="0" fontId="113" fillId="0" borderId="0"/>
    <xf numFmtId="0" fontId="113" fillId="0" borderId="0"/>
    <xf numFmtId="0" fontId="113" fillId="0" borderId="0"/>
    <xf numFmtId="0" fontId="113" fillId="0" borderId="0"/>
    <xf numFmtId="0" fontId="113" fillId="0" borderId="0"/>
    <xf numFmtId="0" fontId="48" fillId="0" borderId="0"/>
    <xf numFmtId="0" fontId="26" fillId="0" borderId="0"/>
    <xf numFmtId="0" fontId="48" fillId="0" borderId="0"/>
    <xf numFmtId="0" fontId="26" fillId="23" borderId="4" applyNumberFormat="0" applyFont="0" applyAlignment="0" applyProtection="0"/>
    <xf numFmtId="0" fontId="26" fillId="23" borderId="4" applyNumberFormat="0" applyFont="0" applyAlignment="0" applyProtection="0"/>
    <xf numFmtId="0" fontId="26" fillId="23" borderId="4" applyNumberFormat="0" applyFont="0" applyAlignment="0" applyProtection="0"/>
    <xf numFmtId="0" fontId="26" fillId="23" borderId="4" applyNumberFormat="0" applyFont="0" applyAlignment="0" applyProtection="0"/>
    <xf numFmtId="0" fontId="26" fillId="23" borderId="4" applyNumberFormat="0" applyFont="0" applyAlignment="0" applyProtection="0"/>
    <xf numFmtId="9" fontId="5"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5" fillId="0" borderId="0" applyFont="0" applyFill="0" applyBorder="0" applyAlignment="0" applyProtection="0"/>
    <xf numFmtId="9" fontId="26" fillId="0" borderId="0" applyFont="0" applyFill="0" applyBorder="0" applyAlignment="0" applyProtection="0"/>
    <xf numFmtId="9" fontId="112" fillId="0" borderId="0" applyFont="0" applyFill="0" applyBorder="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30" fillId="0" borderId="0" applyNumberFormat="0" applyFill="0" applyBorder="0" applyAlignment="0" applyProtection="0"/>
    <xf numFmtId="0" fontId="31" fillId="0" borderId="6" applyNumberFormat="0" applyFill="0" applyAlignment="0" applyProtection="0"/>
    <xf numFmtId="0" fontId="31" fillId="0" borderId="6" applyNumberFormat="0" applyFill="0" applyAlignment="0" applyProtection="0"/>
    <xf numFmtId="0" fontId="31" fillId="0" borderId="6" applyNumberFormat="0" applyFill="0" applyAlignment="0" applyProtection="0"/>
    <xf numFmtId="0" fontId="31" fillId="0" borderId="6" applyNumberFormat="0" applyFill="0" applyAlignment="0" applyProtection="0"/>
    <xf numFmtId="0" fontId="31" fillId="0" borderId="6" applyNumberFormat="0" applyFill="0" applyAlignment="0" applyProtection="0"/>
    <xf numFmtId="0" fontId="32" fillId="0" borderId="7" applyNumberFormat="0" applyFill="0" applyAlignment="0" applyProtection="0"/>
    <xf numFmtId="0" fontId="32" fillId="0" borderId="7" applyNumberFormat="0" applyFill="0" applyAlignment="0" applyProtection="0"/>
    <xf numFmtId="0" fontId="32" fillId="0" borderId="7" applyNumberFormat="0" applyFill="0" applyAlignment="0" applyProtection="0"/>
    <xf numFmtId="0" fontId="32" fillId="0" borderId="7" applyNumberFormat="0" applyFill="0" applyAlignment="0" applyProtection="0"/>
    <xf numFmtId="0" fontId="32" fillId="0" borderId="7"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5" fillId="0" borderId="0"/>
    <xf numFmtId="0" fontId="149" fillId="0" borderId="0"/>
    <xf numFmtId="0" fontId="151" fillId="0" borderId="0" applyNumberFormat="0" applyFill="0" applyBorder="0" applyAlignment="0" applyProtection="0">
      <alignment vertical="top"/>
      <protection locked="0"/>
    </xf>
    <xf numFmtId="0" fontId="3" fillId="0" borderId="0"/>
    <xf numFmtId="0" fontId="162" fillId="0" borderId="0"/>
    <xf numFmtId="0" fontId="162" fillId="0" borderId="0"/>
    <xf numFmtId="0" fontId="162" fillId="0" borderId="0"/>
    <xf numFmtId="0" fontId="162" fillId="0" borderId="0"/>
    <xf numFmtId="0" fontId="183" fillId="0" borderId="0"/>
    <xf numFmtId="0" fontId="183" fillId="0" borderId="0"/>
    <xf numFmtId="0" fontId="5" fillId="0" borderId="0"/>
    <xf numFmtId="0" fontId="213" fillId="0" borderId="0"/>
    <xf numFmtId="0" fontId="215" fillId="0" borderId="0"/>
  </cellStyleXfs>
  <cellXfs count="3957">
    <xf numFmtId="0" fontId="0" fillId="0" borderId="0" xfId="0"/>
    <xf numFmtId="0" fontId="8" fillId="0" borderId="0" xfId="0" applyFont="1"/>
    <xf numFmtId="166" fontId="7" fillId="0" borderId="0" xfId="0" applyNumberFormat="1" applyFont="1" applyAlignment="1">
      <alignment horizontal="center"/>
    </xf>
    <xf numFmtId="167" fontId="8" fillId="0" borderId="0" xfId="0" applyNumberFormat="1" applyFont="1"/>
    <xf numFmtId="167" fontId="7" fillId="0" borderId="0" xfId="0" applyNumberFormat="1" applyFont="1" applyAlignment="1">
      <alignment horizontal="center"/>
    </xf>
    <xf numFmtId="0" fontId="8" fillId="0" borderId="10" xfId="0" applyFont="1" applyBorder="1" applyAlignment="1">
      <alignment horizontal="center"/>
    </xf>
    <xf numFmtId="2" fontId="7" fillId="0" borderId="0" xfId="0" applyNumberFormat="1" applyFont="1"/>
    <xf numFmtId="2" fontId="8" fillId="0" borderId="0" xfId="0" applyNumberFormat="1" applyFont="1" applyFill="1" applyAlignment="1">
      <alignment horizontal="center"/>
    </xf>
    <xf numFmtId="0" fontId="8" fillId="0" borderId="0" xfId="0" applyFont="1" applyFill="1" applyAlignment="1">
      <alignment horizontal="center"/>
    </xf>
    <xf numFmtId="169" fontId="8" fillId="0" borderId="0" xfId="0" applyNumberFormat="1" applyFont="1" applyFill="1" applyAlignment="1">
      <alignment horizontal="center"/>
    </xf>
    <xf numFmtId="2" fontId="7" fillId="0" borderId="0" xfId="0" applyNumberFormat="1" applyFont="1" applyFill="1" applyAlignment="1">
      <alignment horizontal="center"/>
    </xf>
    <xf numFmtId="0" fontId="8" fillId="0" borderId="0" xfId="0" applyFont="1" applyFill="1"/>
    <xf numFmtId="0" fontId="8" fillId="0" borderId="0" xfId="0" applyFont="1" applyBorder="1"/>
    <xf numFmtId="2" fontId="8" fillId="0" borderId="0" xfId="0" applyNumberFormat="1" applyFont="1" applyBorder="1"/>
    <xf numFmtId="0" fontId="8" fillId="0" borderId="0" xfId="0" applyFont="1" applyAlignment="1">
      <alignment horizontal="center"/>
    </xf>
    <xf numFmtId="3" fontId="8" fillId="0" borderId="0" xfId="0" applyNumberFormat="1" applyFont="1" applyFill="1" applyAlignment="1">
      <alignment horizontal="center" vertical="center"/>
    </xf>
    <xf numFmtId="0" fontId="8" fillId="0" borderId="10" xfId="0" applyFont="1" applyFill="1" applyBorder="1" applyAlignment="1">
      <alignment wrapText="1"/>
    </xf>
    <xf numFmtId="3" fontId="8" fillId="0" borderId="10" xfId="0" applyNumberFormat="1" applyFont="1" applyFill="1" applyBorder="1" applyAlignment="1">
      <alignment horizontal="center" vertical="center"/>
    </xf>
    <xf numFmtId="2" fontId="8" fillId="0" borderId="10" xfId="0" applyNumberFormat="1" applyFont="1" applyFill="1" applyBorder="1" applyAlignment="1">
      <alignment horizontal="center"/>
    </xf>
    <xf numFmtId="2" fontId="8" fillId="0" borderId="10" xfId="0" applyNumberFormat="1" applyFont="1" applyFill="1" applyBorder="1" applyAlignment="1">
      <alignment horizontal="center" vertical="center"/>
    </xf>
    <xf numFmtId="0" fontId="7" fillId="0" borderId="10" xfId="0" applyFont="1" applyFill="1" applyBorder="1" applyAlignment="1">
      <alignment horizontal="center"/>
    </xf>
    <xf numFmtId="3" fontId="7" fillId="0" borderId="10" xfId="0" applyNumberFormat="1" applyFont="1" applyFill="1" applyBorder="1" applyAlignment="1">
      <alignment horizontal="center" vertical="center"/>
    </xf>
    <xf numFmtId="0" fontId="8" fillId="0" borderId="0" xfId="0" applyFont="1" applyFill="1" applyAlignment="1">
      <alignment horizontal="right"/>
    </xf>
    <xf numFmtId="3" fontId="8" fillId="0" borderId="0" xfId="0" applyNumberFormat="1" applyFont="1" applyFill="1" applyBorder="1" applyAlignment="1">
      <alignment horizontal="center" vertical="center"/>
    </xf>
    <xf numFmtId="4" fontId="8" fillId="0" borderId="0" xfId="0" applyNumberFormat="1" applyFont="1" applyFill="1" applyBorder="1" applyAlignment="1">
      <alignment horizontal="center"/>
    </xf>
    <xf numFmtId="0" fontId="8" fillId="0" borderId="0" xfId="0" applyFont="1" applyFill="1" applyBorder="1" applyAlignment="1">
      <alignment horizontal="center"/>
    </xf>
    <xf numFmtId="0" fontId="8" fillId="0" borderId="0" xfId="0" applyFont="1" applyFill="1" applyBorder="1" applyAlignment="1">
      <alignment horizontal="center" wrapText="1"/>
    </xf>
    <xf numFmtId="0" fontId="8" fillId="0" borderId="11" xfId="0" applyFont="1" applyFill="1" applyBorder="1" applyAlignment="1">
      <alignment horizontal="center"/>
    </xf>
    <xf numFmtId="4" fontId="8" fillId="0" borderId="10" xfId="0" applyNumberFormat="1" applyFont="1" applyFill="1" applyBorder="1" applyAlignment="1">
      <alignment horizontal="center"/>
    </xf>
    <xf numFmtId="167" fontId="8" fillId="0" borderId="10" xfId="0" applyNumberFormat="1" applyFont="1" applyFill="1" applyBorder="1" applyAlignment="1">
      <alignment horizontal="center"/>
    </xf>
    <xf numFmtId="0" fontId="8" fillId="0" borderId="10" xfId="0" applyFont="1" applyFill="1" applyBorder="1" applyAlignment="1">
      <alignment horizontal="center"/>
    </xf>
    <xf numFmtId="171" fontId="8" fillId="0" borderId="10" xfId="0" applyNumberFormat="1" applyFont="1" applyFill="1" applyBorder="1" applyAlignment="1">
      <alignment horizontal="center" vertical="center"/>
    </xf>
    <xf numFmtId="9" fontId="8" fillId="0" borderId="0" xfId="203" applyFont="1" applyFill="1" applyBorder="1" applyAlignment="1">
      <alignment horizontal="center"/>
    </xf>
    <xf numFmtId="4" fontId="11" fillId="0" borderId="0" xfId="0" applyNumberFormat="1" applyFont="1" applyFill="1" applyBorder="1" applyAlignment="1">
      <alignment horizontal="center"/>
    </xf>
    <xf numFmtId="4" fontId="8" fillId="0" borderId="0" xfId="0" applyNumberFormat="1" applyFont="1" applyFill="1" applyAlignment="1">
      <alignment horizontal="center"/>
    </xf>
    <xf numFmtId="3" fontId="8" fillId="0" borderId="10" xfId="0" applyNumberFormat="1" applyFont="1" applyFill="1" applyBorder="1" applyAlignment="1">
      <alignment horizontal="center"/>
    </xf>
    <xf numFmtId="171" fontId="8" fillId="0" borderId="10" xfId="0" applyNumberFormat="1" applyFont="1" applyFill="1" applyBorder="1" applyAlignment="1">
      <alignment horizontal="center"/>
    </xf>
    <xf numFmtId="0" fontId="7" fillId="0" borderId="10" xfId="0" applyFont="1" applyFill="1" applyBorder="1" applyAlignment="1">
      <alignment horizontal="center" vertical="center" wrapText="1"/>
    </xf>
    <xf numFmtId="4" fontId="8" fillId="0" borderId="0" xfId="0" applyNumberFormat="1" applyFont="1" applyFill="1" applyBorder="1" applyAlignment="1">
      <alignment horizontal="center" vertical="center"/>
    </xf>
    <xf numFmtId="0" fontId="8" fillId="0" borderId="10" xfId="0" applyFont="1" applyBorder="1"/>
    <xf numFmtId="3" fontId="9" fillId="0" borderId="0" xfId="0" applyNumberFormat="1" applyFont="1" applyFill="1" applyBorder="1" applyAlignment="1">
      <alignment horizontal="center" vertical="center"/>
    </xf>
    <xf numFmtId="4" fontId="9" fillId="0" borderId="0" xfId="0" applyNumberFormat="1" applyFont="1" applyFill="1" applyBorder="1" applyAlignment="1">
      <alignment horizontal="center"/>
    </xf>
    <xf numFmtId="9" fontId="9" fillId="0" borderId="0" xfId="203" applyFont="1" applyFill="1" applyBorder="1" applyAlignment="1">
      <alignment horizontal="center"/>
    </xf>
    <xf numFmtId="0" fontId="7" fillId="0" borderId="0" xfId="0" applyFont="1" applyFill="1" applyAlignment="1">
      <alignment horizontal="center"/>
    </xf>
    <xf numFmtId="2" fontId="8" fillId="0" borderId="0" xfId="0" applyNumberFormat="1" applyFont="1" applyFill="1"/>
    <xf numFmtId="2" fontId="8" fillId="0" borderId="10" xfId="0" applyNumberFormat="1" applyFont="1" applyFill="1" applyBorder="1" applyAlignment="1">
      <alignment horizontal="right"/>
    </xf>
    <xf numFmtId="2" fontId="8" fillId="0" borderId="10" xfId="0" applyNumberFormat="1" applyFont="1" applyBorder="1"/>
    <xf numFmtId="175" fontId="8" fillId="0" borderId="10" xfId="0" applyNumberFormat="1" applyFont="1" applyBorder="1"/>
    <xf numFmtId="175" fontId="8" fillId="0" borderId="10" xfId="0" applyNumberFormat="1" applyFont="1" applyFill="1" applyBorder="1" applyAlignment="1">
      <alignment horizontal="right"/>
    </xf>
    <xf numFmtId="2" fontId="8" fillId="0" borderId="10" xfId="0" applyNumberFormat="1" applyFont="1" applyBorder="1" applyAlignment="1">
      <alignment horizontal="center"/>
    </xf>
    <xf numFmtId="0" fontId="7" fillId="0" borderId="0" xfId="0" applyFont="1" applyFill="1" applyBorder="1" applyAlignment="1">
      <alignment horizontal="center"/>
    </xf>
    <xf numFmtId="2" fontId="8" fillId="0" borderId="0" xfId="0" applyNumberFormat="1" applyFont="1" applyBorder="1" applyAlignment="1">
      <alignment horizontal="center"/>
    </xf>
    <xf numFmtId="2" fontId="8" fillId="0" borderId="0" xfId="0" applyNumberFormat="1" applyFont="1" applyFill="1" applyBorder="1"/>
    <xf numFmtId="2" fontId="8" fillId="0" borderId="10" xfId="0" applyNumberFormat="1" applyFont="1" applyFill="1" applyBorder="1"/>
    <xf numFmtId="2" fontId="8" fillId="0" borderId="14" xfId="0" applyNumberFormat="1" applyFont="1" applyBorder="1"/>
    <xf numFmtId="2" fontId="8" fillId="0" borderId="14" xfId="0" applyNumberFormat="1" applyFont="1" applyFill="1" applyBorder="1"/>
    <xf numFmtId="2" fontId="8" fillId="0" borderId="15" xfId="0" applyNumberFormat="1" applyFont="1" applyFill="1" applyBorder="1"/>
    <xf numFmtId="2" fontId="8" fillId="0" borderId="10" xfId="0" applyNumberFormat="1" applyFont="1" applyBorder="1" applyAlignment="1"/>
    <xf numFmtId="2" fontId="8" fillId="0" borderId="0" xfId="0" applyNumberFormat="1" applyFont="1" applyFill="1" applyBorder="1" applyAlignment="1">
      <alignment horizontal="center"/>
    </xf>
    <xf numFmtId="0" fontId="8" fillId="24" borderId="0" xfId="0" applyFont="1" applyFill="1" applyAlignment="1">
      <alignment horizontal="center"/>
    </xf>
    <xf numFmtId="0" fontId="8" fillId="24" borderId="0" xfId="0" applyFont="1" applyFill="1"/>
    <xf numFmtId="0" fontId="6" fillId="0" borderId="0" xfId="0" applyFont="1" applyFill="1" applyBorder="1" applyAlignment="1">
      <alignment horizontal="center"/>
    </xf>
    <xf numFmtId="0" fontId="8" fillId="0" borderId="13" xfId="0" applyFont="1" applyFill="1" applyBorder="1" applyAlignment="1">
      <alignment horizontal="center"/>
    </xf>
    <xf numFmtId="3" fontId="10" fillId="0" borderId="0" xfId="0" applyNumberFormat="1" applyFont="1" applyFill="1" applyAlignment="1">
      <alignment horizontal="center" vertical="center"/>
    </xf>
    <xf numFmtId="0" fontId="10" fillId="0" borderId="0" xfId="0" applyFont="1" applyFill="1"/>
    <xf numFmtId="0" fontId="10" fillId="0" borderId="0" xfId="0" applyFont="1" applyFill="1" applyAlignment="1">
      <alignment horizontal="center"/>
    </xf>
    <xf numFmtId="171" fontId="10" fillId="0" borderId="0" xfId="0" applyNumberFormat="1" applyFont="1" applyFill="1"/>
    <xf numFmtId="175" fontId="8" fillId="0" borderId="10" xfId="0" applyNumberFormat="1" applyFont="1" applyFill="1" applyBorder="1" applyAlignment="1">
      <alignment horizontal="center"/>
    </xf>
    <xf numFmtId="0" fontId="0" fillId="0" borderId="0" xfId="0" applyFill="1"/>
    <xf numFmtId="0" fontId="0" fillId="0" borderId="0" xfId="0" applyAlignment="1">
      <alignment horizontal="center"/>
    </xf>
    <xf numFmtId="4" fontId="8" fillId="0" borderId="0" xfId="0" applyNumberFormat="1" applyFont="1" applyAlignment="1">
      <alignment horizontal="center"/>
    </xf>
    <xf numFmtId="4" fontId="8" fillId="0" borderId="10" xfId="0" applyNumberFormat="1" applyFont="1" applyBorder="1" applyAlignment="1">
      <alignment horizontal="center"/>
    </xf>
    <xf numFmtId="3" fontId="8" fillId="0" borderId="10" xfId="0" applyNumberFormat="1" applyFont="1" applyBorder="1" applyAlignment="1">
      <alignment horizontal="center"/>
    </xf>
    <xf numFmtId="4" fontId="7" fillId="0" borderId="0" xfId="0" applyNumberFormat="1" applyFont="1" applyFill="1" applyBorder="1" applyAlignment="1">
      <alignment horizontal="center"/>
    </xf>
    <xf numFmtId="4" fontId="8" fillId="0" borderId="0" xfId="0" applyNumberFormat="1" applyFont="1" applyBorder="1" applyAlignment="1">
      <alignment horizontal="center"/>
    </xf>
    <xf numFmtId="2" fontId="8" fillId="0" borderId="19" xfId="0" applyNumberFormat="1" applyFont="1" applyBorder="1"/>
    <xf numFmtId="2" fontId="8" fillId="0" borderId="19" xfId="0" applyNumberFormat="1" applyFont="1" applyFill="1" applyBorder="1"/>
    <xf numFmtId="0" fontId="8" fillId="0" borderId="20" xfId="0" applyFont="1" applyFill="1" applyBorder="1" applyAlignment="1">
      <alignment wrapText="1"/>
    </xf>
    <xf numFmtId="9" fontId="0" fillId="0" borderId="0" xfId="0" applyNumberFormat="1" applyFill="1"/>
    <xf numFmtId="168" fontId="0" fillId="0" borderId="0" xfId="0" applyNumberFormat="1" applyFill="1"/>
    <xf numFmtId="2" fontId="8" fillId="0" borderId="10" xfId="0" applyNumberFormat="1" applyFont="1" applyFill="1" applyBorder="1" applyAlignment="1"/>
    <xf numFmtId="2" fontId="8" fillId="26" borderId="10" xfId="0" applyNumberFormat="1" applyFont="1" applyFill="1" applyBorder="1" applyAlignment="1">
      <alignment horizontal="center"/>
    </xf>
    <xf numFmtId="0" fontId="34" fillId="0" borderId="0" xfId="0" applyFont="1"/>
    <xf numFmtId="0" fontId="34" fillId="0" borderId="0" xfId="0" applyFont="1" applyFill="1"/>
    <xf numFmtId="0" fontId="34" fillId="0" borderId="0" xfId="0" applyFont="1" applyAlignment="1">
      <alignment horizontal="center"/>
    </xf>
    <xf numFmtId="4" fontId="34" fillId="0" borderId="0" xfId="0" applyNumberFormat="1" applyFont="1"/>
    <xf numFmtId="167" fontId="7" fillId="0" borderId="0" xfId="0" applyNumberFormat="1" applyFont="1" applyFill="1" applyBorder="1" applyAlignment="1">
      <alignment horizontal="center"/>
    </xf>
    <xf numFmtId="0" fontId="7" fillId="25" borderId="10" xfId="0" applyFont="1" applyFill="1" applyBorder="1" applyAlignment="1">
      <alignment horizontal="center" vertical="center" wrapText="1"/>
    </xf>
    <xf numFmtId="0" fontId="7" fillId="25" borderId="10" xfId="0" applyFont="1" applyFill="1" applyBorder="1" applyAlignment="1">
      <alignment horizontal="center"/>
    </xf>
    <xf numFmtId="2" fontId="7" fillId="25" borderId="10" xfId="0" applyNumberFormat="1" applyFont="1" applyFill="1" applyBorder="1" applyAlignment="1">
      <alignment horizontal="center"/>
    </xf>
    <xf numFmtId="4" fontId="7" fillId="25" borderId="10" xfId="0" applyNumberFormat="1" applyFont="1" applyFill="1" applyBorder="1" applyAlignment="1">
      <alignment horizontal="center"/>
    </xf>
    <xf numFmtId="171" fontId="7" fillId="25" borderId="10" xfId="0" applyNumberFormat="1" applyFont="1" applyFill="1" applyBorder="1" applyAlignment="1">
      <alignment horizontal="center"/>
    </xf>
    <xf numFmtId="175" fontId="7" fillId="25" borderId="10" xfId="0" applyNumberFormat="1" applyFont="1" applyFill="1" applyBorder="1" applyAlignment="1">
      <alignment horizontal="center"/>
    </xf>
    <xf numFmtId="3" fontId="7" fillId="25" borderId="10" xfId="0" applyNumberFormat="1" applyFont="1" applyFill="1" applyBorder="1" applyAlignment="1">
      <alignment horizontal="center" vertical="center"/>
    </xf>
    <xf numFmtId="3" fontId="7" fillId="25" borderId="13" xfId="0" applyNumberFormat="1" applyFont="1" applyFill="1" applyBorder="1" applyAlignment="1">
      <alignment horizontal="center" vertical="center"/>
    </xf>
    <xf numFmtId="3" fontId="7" fillId="25" borderId="13" xfId="0" applyNumberFormat="1" applyFont="1" applyFill="1" applyBorder="1" applyAlignment="1">
      <alignment horizontal="center" vertical="center" wrapText="1"/>
    </xf>
    <xf numFmtId="2" fontId="7" fillId="25" borderId="13" xfId="0" applyNumberFormat="1" applyFont="1" applyFill="1" applyBorder="1" applyAlignment="1">
      <alignment horizontal="center" vertical="center"/>
    </xf>
    <xf numFmtId="169" fontId="7" fillId="25" borderId="13" xfId="0" applyNumberFormat="1" applyFont="1" applyFill="1" applyBorder="1" applyAlignment="1">
      <alignment horizontal="center" vertical="center"/>
    </xf>
    <xf numFmtId="3" fontId="7" fillId="25" borderId="10" xfId="0" applyNumberFormat="1" applyFont="1" applyFill="1" applyBorder="1" applyAlignment="1">
      <alignment horizontal="center" vertical="center" wrapText="1"/>
    </xf>
    <xf numFmtId="167" fontId="0" fillId="0" borderId="0" xfId="0" applyNumberFormat="1" applyFill="1"/>
    <xf numFmtId="167" fontId="0" fillId="0" borderId="0" xfId="0" applyNumberFormat="1"/>
    <xf numFmtId="9" fontId="0" fillId="0" borderId="0" xfId="203" applyFont="1"/>
    <xf numFmtId="4" fontId="0" fillId="0" borderId="0" xfId="0" applyNumberFormat="1"/>
    <xf numFmtId="175" fontId="0" fillId="0" borderId="0" xfId="0" applyNumberFormat="1"/>
    <xf numFmtId="10" fontId="0" fillId="0" borderId="0" xfId="0" applyNumberFormat="1"/>
    <xf numFmtId="0" fontId="34" fillId="28" borderId="0" xfId="0" applyFont="1" applyFill="1"/>
    <xf numFmtId="0" fontId="14" fillId="24" borderId="0" xfId="0" applyFont="1" applyFill="1"/>
    <xf numFmtId="0" fontId="0" fillId="0" borderId="10" xfId="0" applyBorder="1"/>
    <xf numFmtId="0" fontId="26" fillId="0" borderId="10" xfId="0" applyFont="1" applyFill="1" applyBorder="1"/>
    <xf numFmtId="0" fontId="0" fillId="0" borderId="10" xfId="0" applyFill="1" applyBorder="1"/>
    <xf numFmtId="0" fontId="26" fillId="0" borderId="10" xfId="0" applyFont="1" applyBorder="1" applyAlignment="1">
      <alignment horizontal="center"/>
    </xf>
    <xf numFmtId="0" fontId="26" fillId="0" borderId="10" xfId="0" applyFont="1" applyFill="1" applyBorder="1" applyAlignment="1">
      <alignment horizontal="center"/>
    </xf>
    <xf numFmtId="2" fontId="8" fillId="24" borderId="10" xfId="0" applyNumberFormat="1" applyFont="1" applyFill="1" applyBorder="1" applyAlignment="1">
      <alignment horizontal="center"/>
    </xf>
    <xf numFmtId="175" fontId="8" fillId="0" borderId="10" xfId="0" applyNumberFormat="1" applyFont="1" applyFill="1" applyBorder="1" applyAlignment="1">
      <alignment horizontal="center" vertical="center"/>
    </xf>
    <xf numFmtId="2" fontId="8" fillId="29" borderId="10" xfId="0" applyNumberFormat="1" applyFont="1" applyFill="1" applyBorder="1" applyAlignment="1">
      <alignment horizontal="center"/>
    </xf>
    <xf numFmtId="0" fontId="34" fillId="24" borderId="0" xfId="0" applyFont="1" applyFill="1"/>
    <xf numFmtId="4" fontId="8" fillId="29" borderId="10" xfId="0" applyNumberFormat="1" applyFont="1" applyFill="1" applyBorder="1" applyAlignment="1">
      <alignment horizontal="center"/>
    </xf>
    <xf numFmtId="0" fontId="8" fillId="24" borderId="10" xfId="0" applyFont="1" applyFill="1" applyBorder="1" applyAlignment="1">
      <alignment horizontal="center"/>
    </xf>
    <xf numFmtId="2" fontId="8" fillId="24" borderId="10" xfId="0" applyNumberFormat="1" applyFont="1" applyFill="1" applyBorder="1"/>
    <xf numFmtId="4" fontId="8" fillId="24" borderId="10" xfId="0" applyNumberFormat="1" applyFont="1" applyFill="1" applyBorder="1" applyAlignment="1">
      <alignment horizontal="center"/>
    </xf>
    <xf numFmtId="3" fontId="8" fillId="24" borderId="10" xfId="0" applyNumberFormat="1" applyFont="1" applyFill="1" applyBorder="1" applyAlignment="1">
      <alignment horizontal="center" vertical="center"/>
    </xf>
    <xf numFmtId="167" fontId="8" fillId="24" borderId="10" xfId="0" applyNumberFormat="1" applyFont="1" applyFill="1" applyBorder="1" applyAlignment="1">
      <alignment horizontal="center"/>
    </xf>
    <xf numFmtId="176" fontId="7" fillId="25" borderId="10" xfId="0" applyNumberFormat="1" applyFont="1" applyFill="1" applyBorder="1" applyAlignment="1">
      <alignment horizontal="center"/>
    </xf>
    <xf numFmtId="175" fontId="8" fillId="0" borderId="10" xfId="0" applyNumberFormat="1" applyFont="1" applyFill="1" applyBorder="1"/>
    <xf numFmtId="175" fontId="8" fillId="24" borderId="10" xfId="0" applyNumberFormat="1" applyFont="1" applyFill="1" applyBorder="1" applyAlignment="1">
      <alignment horizontal="center"/>
    </xf>
    <xf numFmtId="3" fontId="34" fillId="0" borderId="0" xfId="0" applyNumberFormat="1" applyFont="1"/>
    <xf numFmtId="178" fontId="8" fillId="26" borderId="10" xfId="0" applyNumberFormat="1" applyFont="1" applyFill="1" applyBorder="1" applyAlignment="1">
      <alignment horizontal="center"/>
    </xf>
    <xf numFmtId="178" fontId="8" fillId="24" borderId="10" xfId="0" applyNumberFormat="1" applyFont="1" applyFill="1" applyBorder="1" applyAlignment="1">
      <alignment horizontal="center"/>
    </xf>
    <xf numFmtId="0" fontId="8" fillId="29" borderId="10" xfId="0" applyFont="1" applyFill="1" applyBorder="1" applyAlignment="1">
      <alignment horizontal="center"/>
    </xf>
    <xf numFmtId="0" fontId="8" fillId="26" borderId="10" xfId="0" applyFont="1" applyFill="1" applyBorder="1" applyAlignment="1">
      <alignment horizontal="center"/>
    </xf>
    <xf numFmtId="0" fontId="8" fillId="24" borderId="10" xfId="0" applyFont="1" applyFill="1" applyBorder="1" applyAlignment="1">
      <alignment horizontal="center" wrapText="1"/>
    </xf>
    <xf numFmtId="175" fontId="43" fillId="0" borderId="0" xfId="0" applyNumberFormat="1" applyFont="1"/>
    <xf numFmtId="0" fontId="8" fillId="30" borderId="10" xfId="0" applyFont="1" applyFill="1" applyBorder="1" applyAlignment="1">
      <alignment horizontal="center"/>
    </xf>
    <xf numFmtId="0" fontId="26" fillId="24" borderId="0" xfId="0" applyFont="1" applyFill="1"/>
    <xf numFmtId="2" fontId="8" fillId="26" borderId="10" xfId="0" applyNumberFormat="1" applyFont="1" applyFill="1" applyBorder="1" applyAlignment="1">
      <alignment horizontal="right"/>
    </xf>
    <xf numFmtId="0" fontId="7" fillId="24" borderId="0" xfId="0" applyFont="1" applyFill="1" applyBorder="1" applyAlignment="1">
      <alignment horizontal="center"/>
    </xf>
    <xf numFmtId="0" fontId="7" fillId="24" borderId="12" xfId="0" applyFont="1" applyFill="1" applyBorder="1" applyAlignment="1">
      <alignment horizontal="center"/>
    </xf>
    <xf numFmtId="0" fontId="7" fillId="24" borderId="14" xfId="0" applyFont="1" applyFill="1" applyBorder="1" applyAlignment="1">
      <alignment horizontal="center"/>
    </xf>
    <xf numFmtId="3" fontId="46" fillId="0" borderId="10" xfId="0" applyNumberFormat="1" applyFont="1" applyFill="1" applyBorder="1" applyAlignment="1">
      <alignment horizontal="center" vertical="center"/>
    </xf>
    <xf numFmtId="0" fontId="0" fillId="24" borderId="0" xfId="0" applyFill="1"/>
    <xf numFmtId="0" fontId="26" fillId="0" borderId="0" xfId="0" applyFont="1"/>
    <xf numFmtId="0" fontId="8" fillId="24" borderId="12" xfId="0" applyFont="1" applyFill="1" applyBorder="1" applyAlignment="1">
      <alignment horizontal="center"/>
    </xf>
    <xf numFmtId="0" fontId="8" fillId="24" borderId="10" xfId="0" applyFont="1" applyFill="1" applyBorder="1" applyAlignment="1">
      <alignment horizontal="center" vertical="center" wrapText="1"/>
    </xf>
    <xf numFmtId="0" fontId="8" fillId="31" borderId="10" xfId="0" applyFont="1" applyFill="1" applyBorder="1" applyAlignment="1">
      <alignment horizontal="center"/>
    </xf>
    <xf numFmtId="0" fontId="8" fillId="32" borderId="10" xfId="0" applyFont="1" applyFill="1" applyBorder="1" applyAlignment="1">
      <alignment horizontal="center"/>
    </xf>
    <xf numFmtId="2" fontId="7" fillId="0" borderId="10" xfId="0" applyNumberFormat="1" applyFont="1" applyFill="1" applyBorder="1" applyAlignment="1">
      <alignment horizontal="center" vertical="center"/>
    </xf>
    <xf numFmtId="4" fontId="6" fillId="0" borderId="0" xfId="0" applyNumberFormat="1" applyFont="1" applyFill="1" applyBorder="1" applyAlignment="1">
      <alignment horizontal="center"/>
    </xf>
    <xf numFmtId="3" fontId="46" fillId="0" borderId="10" xfId="0" applyNumberFormat="1" applyFont="1" applyFill="1" applyBorder="1" applyAlignment="1">
      <alignment horizontal="center"/>
    </xf>
    <xf numFmtId="0" fontId="8" fillId="33" borderId="10" xfId="0" applyFont="1" applyFill="1" applyBorder="1" applyAlignment="1">
      <alignment horizontal="center"/>
    </xf>
    <xf numFmtId="0" fontId="8" fillId="34" borderId="10" xfId="0" applyFont="1" applyFill="1" applyBorder="1" applyAlignment="1">
      <alignment horizontal="center"/>
    </xf>
    <xf numFmtId="171" fontId="8" fillId="24" borderId="10" xfId="0" applyNumberFormat="1" applyFont="1" applyFill="1" applyBorder="1" applyAlignment="1">
      <alignment horizontal="center" vertical="center"/>
    </xf>
    <xf numFmtId="175" fontId="8" fillId="24" borderId="10" xfId="0" applyNumberFormat="1" applyFont="1" applyFill="1" applyBorder="1" applyAlignment="1">
      <alignment horizontal="center" vertical="center"/>
    </xf>
    <xf numFmtId="0" fontId="8" fillId="24" borderId="10" xfId="0" applyFont="1" applyFill="1" applyBorder="1" applyAlignment="1">
      <alignment wrapText="1"/>
    </xf>
    <xf numFmtId="2" fontId="8" fillId="0" borderId="10" xfId="177" applyNumberFormat="1" applyFont="1" applyFill="1" applyBorder="1" applyAlignment="1">
      <alignment horizontal="right"/>
    </xf>
    <xf numFmtId="2" fontId="26" fillId="0" borderId="10" xfId="0" applyNumberFormat="1" applyFont="1" applyFill="1" applyBorder="1" applyAlignment="1">
      <alignment horizontal="center"/>
    </xf>
    <xf numFmtId="3" fontId="6" fillId="0" borderId="0" xfId="0" applyNumberFormat="1" applyFont="1" applyFill="1" applyBorder="1" applyAlignment="1">
      <alignment horizontal="center"/>
    </xf>
    <xf numFmtId="165" fontId="7" fillId="25" borderId="31" xfId="157" applyFont="1" applyFill="1" applyBorder="1" applyAlignment="1">
      <alignment horizontal="center"/>
    </xf>
    <xf numFmtId="2" fontId="34" fillId="24" borderId="0" xfId="0" applyNumberFormat="1" applyFont="1" applyFill="1"/>
    <xf numFmtId="0" fontId="26" fillId="0" borderId="10" xfId="0" applyFont="1" applyBorder="1" applyAlignment="1"/>
    <xf numFmtId="2" fontId="10" fillId="0" borderId="10" xfId="0" applyNumberFormat="1" applyFont="1" applyFill="1" applyBorder="1" applyAlignment="1">
      <alignment horizontal="center"/>
    </xf>
    <xf numFmtId="175" fontId="0" fillId="0" borderId="10" xfId="0" applyNumberFormat="1" applyBorder="1"/>
    <xf numFmtId="0" fontId="84" fillId="24" borderId="0" xfId="0" applyFont="1" applyFill="1"/>
    <xf numFmtId="2" fontId="8" fillId="24" borderId="16" xfId="0" applyNumberFormat="1" applyFont="1" applyFill="1" applyBorder="1"/>
    <xf numFmtId="2" fontId="8" fillId="24" borderId="15" xfId="0" applyNumberFormat="1" applyFont="1" applyFill="1" applyBorder="1" applyAlignment="1">
      <alignment horizontal="center"/>
    </xf>
    <xf numFmtId="2" fontId="83" fillId="0" borderId="10" xfId="0" applyNumberFormat="1" applyFont="1" applyBorder="1" applyAlignment="1">
      <alignment horizontal="center"/>
    </xf>
    <xf numFmtId="3" fontId="13" fillId="25" borderId="13" xfId="0" applyNumberFormat="1" applyFont="1" applyFill="1" applyBorder="1" applyAlignment="1">
      <alignment horizontal="center" vertical="center"/>
    </xf>
    <xf numFmtId="0" fontId="10" fillId="24" borderId="10" xfId="0" applyFont="1" applyFill="1" applyBorder="1" applyAlignment="1">
      <alignment horizontal="center"/>
    </xf>
    <xf numFmtId="0" fontId="37" fillId="0" borderId="0" xfId="0" applyFont="1"/>
    <xf numFmtId="0" fontId="37" fillId="0" borderId="0" xfId="0" applyFont="1" applyBorder="1"/>
    <xf numFmtId="0" fontId="0" fillId="0" borderId="0" xfId="0" applyBorder="1"/>
    <xf numFmtId="0" fontId="8" fillId="24" borderId="14" xfId="0" applyFont="1" applyFill="1" applyBorder="1" applyAlignment="1">
      <alignment horizontal="center"/>
    </xf>
    <xf numFmtId="3" fontId="54" fillId="0" borderId="16" xfId="173" applyNumberFormat="1" applyFont="1" applyFill="1" applyBorder="1" applyAlignment="1">
      <alignment horizontal="center" vertical="center"/>
    </xf>
    <xf numFmtId="0" fontId="7" fillId="24" borderId="0" xfId="0" applyFont="1" applyFill="1" applyAlignment="1">
      <alignment horizontal="center"/>
    </xf>
    <xf numFmtId="2" fontId="8" fillId="0" borderId="15" xfId="0" applyNumberFormat="1" applyFont="1" applyBorder="1" applyAlignment="1">
      <alignment horizontal="center"/>
    </xf>
    <xf numFmtId="171" fontId="8" fillId="24" borderId="10" xfId="0" applyNumberFormat="1" applyFont="1" applyFill="1" applyBorder="1" applyAlignment="1">
      <alignment horizontal="center"/>
    </xf>
    <xf numFmtId="181" fontId="12" fillId="0" borderId="10" xfId="203" applyNumberFormat="1" applyFont="1" applyFill="1" applyBorder="1" applyAlignment="1">
      <alignment horizontal="center"/>
    </xf>
    <xf numFmtId="2" fontId="10" fillId="0" borderId="0" xfId="0" applyNumberFormat="1" applyFont="1" applyFill="1"/>
    <xf numFmtId="0" fontId="10" fillId="0" borderId="0" xfId="0" applyFont="1"/>
    <xf numFmtId="0" fontId="10" fillId="0" borderId="10" xfId="0" applyFont="1" applyBorder="1" applyAlignment="1">
      <alignment horizontal="center"/>
    </xf>
    <xf numFmtId="0" fontId="10" fillId="0" borderId="10" xfId="0" applyFont="1" applyFill="1" applyBorder="1" applyAlignment="1">
      <alignment horizontal="center"/>
    </xf>
    <xf numFmtId="0" fontId="10" fillId="26" borderId="10" xfId="0" applyFont="1" applyFill="1" applyBorder="1" applyAlignment="1">
      <alignment horizontal="center"/>
    </xf>
    <xf numFmtId="0" fontId="13" fillId="0" borderId="10" xfId="0" applyFont="1" applyFill="1" applyBorder="1" applyAlignment="1">
      <alignment horizontal="center"/>
    </xf>
    <xf numFmtId="2" fontId="10" fillId="24" borderId="10" xfId="0" applyNumberFormat="1" applyFont="1" applyFill="1" applyBorder="1" applyAlignment="1">
      <alignment horizontal="center"/>
    </xf>
    <xf numFmtId="2" fontId="10" fillId="0" borderId="10" xfId="0" applyNumberFormat="1" applyFont="1" applyBorder="1" applyAlignment="1">
      <alignment horizontal="center"/>
    </xf>
    <xf numFmtId="2" fontId="10" fillId="0" borderId="10" xfId="0" applyNumberFormat="1" applyFont="1" applyBorder="1" applyAlignment="1">
      <alignment horizontal="right"/>
    </xf>
    <xf numFmtId="2" fontId="10" fillId="0" borderId="10" xfId="0" applyNumberFormat="1" applyFont="1" applyFill="1" applyBorder="1" applyAlignment="1">
      <alignment horizontal="right"/>
    </xf>
    <xf numFmtId="2" fontId="13" fillId="25" borderId="10" xfId="0" applyNumberFormat="1" applyFont="1" applyFill="1" applyBorder="1" applyAlignment="1">
      <alignment horizontal="center"/>
    </xf>
    <xf numFmtId="2" fontId="10" fillId="0" borderId="10" xfId="0" applyNumberFormat="1" applyFont="1" applyBorder="1"/>
    <xf numFmtId="2" fontId="13" fillId="0" borderId="10" xfId="0" applyNumberFormat="1" applyFont="1" applyBorder="1" applyAlignment="1">
      <alignment horizontal="center"/>
    </xf>
    <xf numFmtId="4" fontId="10" fillId="0" borderId="10" xfId="0" applyNumberFormat="1" applyFont="1" applyBorder="1" applyAlignment="1">
      <alignment horizontal="center"/>
    </xf>
    <xf numFmtId="4" fontId="10" fillId="0" borderId="10" xfId="0" applyNumberFormat="1" applyFont="1" applyFill="1" applyBorder="1" applyAlignment="1">
      <alignment horizontal="center"/>
    </xf>
    <xf numFmtId="3" fontId="46" fillId="24" borderId="10" xfId="0" applyNumberFormat="1" applyFont="1" applyFill="1" applyBorder="1" applyAlignment="1">
      <alignment horizontal="center" vertical="center"/>
    </xf>
    <xf numFmtId="0" fontId="10" fillId="29" borderId="10" xfId="0" applyFont="1" applyFill="1" applyBorder="1" applyAlignment="1">
      <alignment horizontal="center"/>
    </xf>
    <xf numFmtId="4" fontId="10" fillId="0" borderId="0" xfId="0" applyNumberFormat="1" applyFont="1" applyFill="1" applyAlignment="1">
      <alignment horizontal="center"/>
    </xf>
    <xf numFmtId="0" fontId="10" fillId="0" borderId="0" xfId="0" applyFont="1" applyFill="1" applyAlignment="1">
      <alignment horizontal="right"/>
    </xf>
    <xf numFmtId="4" fontId="10" fillId="0" borderId="0" xfId="0" applyNumberFormat="1" applyFont="1" applyFill="1" applyBorder="1" applyAlignment="1">
      <alignment horizontal="center"/>
    </xf>
    <xf numFmtId="0" fontId="10" fillId="24" borderId="10" xfId="0" applyFont="1" applyFill="1" applyBorder="1" applyAlignment="1">
      <alignment horizontal="center" vertical="center" wrapText="1"/>
    </xf>
    <xf numFmtId="0" fontId="10" fillId="0" borderId="0" xfId="0" applyFont="1" applyFill="1" applyBorder="1" applyAlignment="1">
      <alignment horizontal="center"/>
    </xf>
    <xf numFmtId="0" fontId="10" fillId="0" borderId="0" xfId="0" applyFont="1" applyFill="1" applyBorder="1" applyAlignment="1">
      <alignment horizontal="center" wrapText="1"/>
    </xf>
    <xf numFmtId="4" fontId="10" fillId="0" borderId="0" xfId="0" applyNumberFormat="1" applyFont="1" applyFill="1" applyBorder="1" applyAlignment="1">
      <alignment horizontal="center" vertical="center"/>
    </xf>
    <xf numFmtId="2" fontId="10" fillId="26" borderId="10" xfId="0" applyNumberFormat="1" applyFont="1" applyFill="1" applyBorder="1" applyAlignment="1">
      <alignment horizontal="center"/>
    </xf>
    <xf numFmtId="0" fontId="26" fillId="0" borderId="10" xfId="0" applyFont="1" applyFill="1" applyBorder="1" applyAlignment="1"/>
    <xf numFmtId="2" fontId="0" fillId="0" borderId="10" xfId="0" applyNumberFormat="1" applyBorder="1" applyAlignment="1">
      <alignment horizontal="center"/>
    </xf>
    <xf numFmtId="0" fontId="0" fillId="0" borderId="10" xfId="0" applyBorder="1" applyAlignment="1"/>
    <xf numFmtId="0" fontId="26" fillId="0" borderId="20" xfId="0" applyFont="1" applyFill="1" applyBorder="1" applyAlignment="1"/>
    <xf numFmtId="2" fontId="0" fillId="0" borderId="10" xfId="0" applyNumberFormat="1" applyBorder="1" applyAlignment="1"/>
    <xf numFmtId="2" fontId="26" fillId="0" borderId="10" xfId="0" applyNumberFormat="1" applyFont="1" applyFill="1" applyBorder="1" applyAlignment="1"/>
    <xf numFmtId="2" fontId="0" fillId="0" borderId="10" xfId="0" applyNumberFormat="1" applyFill="1" applyBorder="1" applyAlignment="1"/>
    <xf numFmtId="0" fontId="46" fillId="24" borderId="10" xfId="0" applyFont="1" applyFill="1" applyBorder="1" applyAlignment="1">
      <alignment horizontal="center" vertical="center" wrapText="1"/>
    </xf>
    <xf numFmtId="175" fontId="8" fillId="0" borderId="10" xfId="0" applyNumberFormat="1" applyFont="1" applyBorder="1" applyAlignment="1">
      <alignment horizontal="center"/>
    </xf>
    <xf numFmtId="0" fontId="57" fillId="0" borderId="0" xfId="0" applyFont="1"/>
    <xf numFmtId="175" fontId="57" fillId="0" borderId="0" xfId="0" applyNumberFormat="1" applyFont="1"/>
    <xf numFmtId="175" fontId="57" fillId="0" borderId="0" xfId="0" applyNumberFormat="1" applyFont="1" applyFill="1"/>
    <xf numFmtId="175" fontId="57" fillId="24" borderId="0" xfId="0" applyNumberFormat="1" applyFont="1" applyFill="1"/>
    <xf numFmtId="181" fontId="12" fillId="0" borderId="10" xfId="0" applyNumberFormat="1" applyFont="1" applyFill="1" applyBorder="1" applyAlignment="1">
      <alignment horizontal="center"/>
    </xf>
    <xf numFmtId="2" fontId="0" fillId="0" borderId="10" xfId="0" applyNumberFormat="1" applyFill="1" applyBorder="1"/>
    <xf numFmtId="2" fontId="0" fillId="0" borderId="10" xfId="0" applyNumberFormat="1" applyFill="1" applyBorder="1" applyAlignment="1">
      <alignment horizontal="center"/>
    </xf>
    <xf numFmtId="175" fontId="8" fillId="24" borderId="10" xfId="0" applyNumberFormat="1" applyFont="1" applyFill="1" applyBorder="1"/>
    <xf numFmtId="169" fontId="34" fillId="0" borderId="0" xfId="0" applyNumberFormat="1" applyFont="1"/>
    <xf numFmtId="0" fontId="0" fillId="0" borderId="0" xfId="0" applyAlignment="1">
      <alignment vertical="center"/>
    </xf>
    <xf numFmtId="181" fontId="12" fillId="24" borderId="10" xfId="203" applyNumberFormat="1" applyFont="1" applyFill="1" applyBorder="1" applyAlignment="1">
      <alignment horizontal="center"/>
    </xf>
    <xf numFmtId="181" fontId="8" fillId="0" borderId="10" xfId="203" applyNumberFormat="1" applyFont="1" applyFill="1" applyBorder="1" applyAlignment="1">
      <alignment horizontal="center"/>
    </xf>
    <xf numFmtId="181" fontId="8" fillId="24" borderId="10" xfId="203" applyNumberFormat="1" applyFont="1" applyFill="1" applyBorder="1" applyAlignment="1">
      <alignment horizontal="center"/>
    </xf>
    <xf numFmtId="181" fontId="8" fillId="0" borderId="13" xfId="0" applyNumberFormat="1" applyFont="1" applyFill="1" applyBorder="1" applyAlignment="1">
      <alignment horizontal="center" vertical="center"/>
    </xf>
    <xf numFmtId="181" fontId="8" fillId="0" borderId="10" xfId="0" applyNumberFormat="1" applyFont="1" applyFill="1" applyBorder="1" applyAlignment="1">
      <alignment horizontal="center"/>
    </xf>
    <xf numFmtId="181" fontId="83" fillId="0" borderId="13" xfId="0" applyNumberFormat="1" applyFont="1" applyFill="1" applyBorder="1" applyAlignment="1">
      <alignment horizontal="center" vertical="center"/>
    </xf>
    <xf numFmtId="3" fontId="8" fillId="0" borderId="0" xfId="0" applyNumberFormat="1" applyFont="1" applyBorder="1"/>
    <xf numFmtId="2" fontId="0" fillId="0" borderId="0" xfId="0" applyNumberFormat="1"/>
    <xf numFmtId="182" fontId="34" fillId="0" borderId="0" xfId="0" applyNumberFormat="1" applyFont="1"/>
    <xf numFmtId="3" fontId="83" fillId="24" borderId="10" xfId="0" applyNumberFormat="1" applyFont="1" applyFill="1" applyBorder="1" applyAlignment="1">
      <alignment horizontal="center" vertical="center"/>
    </xf>
    <xf numFmtId="4" fontId="83" fillId="24" borderId="10" xfId="0" applyNumberFormat="1" applyFont="1" applyFill="1" applyBorder="1" applyAlignment="1">
      <alignment horizontal="center" vertical="center"/>
    </xf>
    <xf numFmtId="175" fontId="37" fillId="36" borderId="28" xfId="196" applyNumberFormat="1" applyFont="1" applyFill="1" applyBorder="1" applyAlignment="1">
      <alignment horizontal="center"/>
    </xf>
    <xf numFmtId="171" fontId="0" fillId="0" borderId="0" xfId="0" applyNumberFormat="1"/>
    <xf numFmtId="4" fontId="7" fillId="24" borderId="0" xfId="0" applyNumberFormat="1" applyFont="1" applyFill="1" applyBorder="1" applyAlignment="1">
      <alignment horizontal="center"/>
    </xf>
    <xf numFmtId="0" fontId="7" fillId="0" borderId="11" xfId="0" applyFont="1" applyFill="1" applyBorder="1" applyAlignment="1">
      <alignment horizontal="center"/>
    </xf>
    <xf numFmtId="0" fontId="7" fillId="0" borderId="0" xfId="0" applyFont="1" applyFill="1" applyBorder="1" applyAlignment="1">
      <alignment horizontal="center" wrapText="1"/>
    </xf>
    <xf numFmtId="3" fontId="7" fillId="0" borderId="0" xfId="0" applyNumberFormat="1" applyFont="1" applyFill="1" applyBorder="1" applyAlignment="1">
      <alignment horizontal="center" vertical="center"/>
    </xf>
    <xf numFmtId="2" fontId="51" fillId="0" borderId="10" xfId="0" applyNumberFormat="1" applyFont="1" applyFill="1" applyBorder="1" applyAlignment="1">
      <alignment horizontal="center"/>
    </xf>
    <xf numFmtId="175" fontId="7" fillId="24" borderId="14" xfId="0" applyNumberFormat="1" applyFont="1" applyFill="1" applyBorder="1" applyAlignment="1">
      <alignment horizontal="center"/>
    </xf>
    <xf numFmtId="0" fontId="47" fillId="0" borderId="10" xfId="0" applyFont="1" applyFill="1" applyBorder="1" applyAlignment="1">
      <alignment wrapText="1"/>
    </xf>
    <xf numFmtId="0" fontId="13" fillId="25" borderId="12" xfId="0" applyFont="1" applyFill="1" applyBorder="1" applyAlignment="1"/>
    <xf numFmtId="0" fontId="13" fillId="25" borderId="14" xfId="0" applyFont="1" applyFill="1" applyBorder="1" applyAlignment="1"/>
    <xf numFmtId="0" fontId="13" fillId="25" borderId="15" xfId="0" applyFont="1" applyFill="1" applyBorder="1" applyAlignment="1"/>
    <xf numFmtId="4" fontId="8" fillId="25" borderId="0" xfId="0" applyNumberFormat="1" applyFont="1" applyFill="1" applyAlignment="1">
      <alignment horizontal="center"/>
    </xf>
    <xf numFmtId="0" fontId="7" fillId="25" borderId="12" xfId="0" applyFont="1" applyFill="1" applyBorder="1" applyAlignment="1"/>
    <xf numFmtId="0" fontId="7" fillId="25" borderId="14" xfId="0" applyFont="1" applyFill="1" applyBorder="1" applyAlignment="1"/>
    <xf numFmtId="0" fontId="7" fillId="25" borderId="15" xfId="0" applyFont="1" applyFill="1" applyBorder="1" applyAlignment="1"/>
    <xf numFmtId="181" fontId="83" fillId="0" borderId="10" xfId="0" applyNumberFormat="1" applyFont="1" applyFill="1" applyBorder="1" applyAlignment="1">
      <alignment horizontal="center"/>
    </xf>
    <xf numFmtId="0" fontId="10" fillId="0" borderId="16" xfId="0" applyFont="1" applyFill="1" applyBorder="1" applyAlignment="1">
      <alignment horizontal="center"/>
    </xf>
    <xf numFmtId="0" fontId="15" fillId="25" borderId="27" xfId="0" applyFont="1" applyFill="1" applyBorder="1"/>
    <xf numFmtId="0" fontId="15" fillId="25" borderId="22" xfId="0" applyFont="1" applyFill="1" applyBorder="1"/>
    <xf numFmtId="0" fontId="15" fillId="25" borderId="21" xfId="0" applyFont="1" applyFill="1" applyBorder="1"/>
    <xf numFmtId="3" fontId="13" fillId="25" borderId="10" xfId="0" applyNumberFormat="1" applyFont="1" applyFill="1" applyBorder="1" applyAlignment="1">
      <alignment horizontal="center" vertical="center"/>
    </xf>
    <xf numFmtId="181" fontId="0" fillId="0" borderId="0" xfId="0" applyNumberFormat="1" applyAlignment="1">
      <alignment horizontal="center"/>
    </xf>
    <xf numFmtId="181" fontId="6" fillId="0" borderId="0" xfId="0" applyNumberFormat="1" applyFont="1" applyFill="1" applyBorder="1" applyAlignment="1">
      <alignment horizontal="center"/>
    </xf>
    <xf numFmtId="181" fontId="8" fillId="0" borderId="0" xfId="0" applyNumberFormat="1" applyFont="1" applyAlignment="1">
      <alignment horizontal="center"/>
    </xf>
    <xf numFmtId="181" fontId="7" fillId="25" borderId="13" xfId="0" applyNumberFormat="1" applyFont="1" applyFill="1" applyBorder="1" applyAlignment="1">
      <alignment horizontal="center" vertical="center"/>
    </xf>
    <xf numFmtId="181" fontId="8" fillId="0" borderId="10" xfId="0" applyNumberFormat="1" applyFont="1" applyBorder="1" applyAlignment="1">
      <alignment horizontal="center"/>
    </xf>
    <xf numFmtId="181" fontId="8" fillId="0" borderId="0" xfId="0" applyNumberFormat="1" applyFont="1" applyFill="1" applyAlignment="1">
      <alignment horizontal="center"/>
    </xf>
    <xf numFmtId="175" fontId="8" fillId="29" borderId="10" xfId="0" applyNumberFormat="1" applyFont="1" applyFill="1" applyBorder="1" applyAlignment="1">
      <alignment horizontal="center"/>
    </xf>
    <xf numFmtId="175" fontId="34" fillId="0" borderId="0" xfId="0" applyNumberFormat="1" applyFont="1"/>
    <xf numFmtId="0" fontId="0" fillId="0" borderId="10" xfId="0" applyBorder="1" applyAlignment="1">
      <alignment horizontal="center"/>
    </xf>
    <xf numFmtId="0" fontId="0" fillId="0" borderId="10" xfId="0" applyFill="1" applyBorder="1" applyAlignment="1">
      <alignment horizontal="center"/>
    </xf>
    <xf numFmtId="2" fontId="26" fillId="0" borderId="10" xfId="0" applyNumberFormat="1" applyFont="1" applyBorder="1" applyAlignment="1">
      <alignment horizontal="center"/>
    </xf>
    <xf numFmtId="2" fontId="26" fillId="0" borderId="20" xfId="0" applyNumberFormat="1" applyFont="1" applyFill="1" applyBorder="1" applyAlignment="1">
      <alignment horizontal="center"/>
    </xf>
    <xf numFmtId="175" fontId="57" fillId="0" borderId="28" xfId="0" applyNumberFormat="1" applyFont="1" applyFill="1" applyBorder="1" applyAlignment="1">
      <alignment horizontal="center"/>
    </xf>
    <xf numFmtId="175" fontId="57" fillId="0" borderId="10" xfId="0" applyNumberFormat="1" applyFont="1" applyFill="1" applyBorder="1" applyAlignment="1">
      <alignment horizontal="center"/>
    </xf>
    <xf numFmtId="2" fontId="8" fillId="0" borderId="16" xfId="0" applyNumberFormat="1" applyFont="1" applyFill="1" applyBorder="1"/>
    <xf numFmtId="2" fontId="57" fillId="0" borderId="10" xfId="0" applyNumberFormat="1" applyFont="1" applyFill="1" applyBorder="1" applyAlignment="1">
      <alignment horizontal="center"/>
    </xf>
    <xf numFmtId="169" fontId="8" fillId="24" borderId="10" xfId="0" applyNumberFormat="1" applyFont="1" applyFill="1" applyBorder="1" applyAlignment="1">
      <alignment horizontal="center" vertical="center"/>
    </xf>
    <xf numFmtId="181" fontId="86" fillId="24" borderId="13" xfId="0" applyNumberFormat="1" applyFont="1" applyFill="1" applyBorder="1" applyAlignment="1">
      <alignment horizontal="center" vertical="center"/>
    </xf>
    <xf numFmtId="181" fontId="83" fillId="24" borderId="10" xfId="203" applyNumberFormat="1" applyFont="1" applyFill="1" applyBorder="1" applyAlignment="1">
      <alignment horizontal="center"/>
    </xf>
    <xf numFmtId="181" fontId="58" fillId="24" borderId="10" xfId="0" applyNumberFormat="1" applyFont="1" applyFill="1" applyBorder="1" applyAlignment="1">
      <alignment horizontal="center"/>
    </xf>
    <xf numFmtId="181" fontId="85" fillId="0" borderId="13" xfId="0" applyNumberFormat="1" applyFont="1" applyFill="1" applyBorder="1" applyAlignment="1">
      <alignment horizontal="center" vertical="center"/>
    </xf>
    <xf numFmtId="0" fontId="47" fillId="0" borderId="10" xfId="0" applyFont="1" applyFill="1" applyBorder="1" applyAlignment="1">
      <alignment vertical="center" wrapText="1"/>
    </xf>
    <xf numFmtId="175" fontId="57" fillId="0" borderId="0" xfId="0" applyNumberFormat="1" applyFont="1" applyAlignment="1">
      <alignment vertical="center"/>
    </xf>
    <xf numFmtId="175" fontId="57" fillId="0" borderId="10" xfId="0" applyNumberFormat="1" applyFont="1" applyBorder="1" applyAlignment="1">
      <alignment horizontal="center"/>
    </xf>
    <xf numFmtId="175" fontId="37" fillId="36" borderId="29" xfId="196" applyNumberFormat="1" applyFont="1" applyFill="1" applyBorder="1" applyAlignment="1">
      <alignment horizontal="center"/>
    </xf>
    <xf numFmtId="0" fontId="57" fillId="0" borderId="0" xfId="0" applyFont="1" applyFill="1"/>
    <xf numFmtId="2" fontId="57" fillId="0" borderId="0" xfId="0" applyNumberFormat="1" applyFont="1" applyFill="1"/>
    <xf numFmtId="0" fontId="57" fillId="0" borderId="10" xfId="0" applyFont="1" applyBorder="1" applyAlignment="1">
      <alignment horizontal="center"/>
    </xf>
    <xf numFmtId="0" fontId="61" fillId="0" borderId="10" xfId="0" applyFont="1" applyFill="1" applyBorder="1" applyAlignment="1">
      <alignment horizontal="center"/>
    </xf>
    <xf numFmtId="2" fontId="57" fillId="0" borderId="10" xfId="0" applyNumberFormat="1" applyFont="1" applyBorder="1" applyAlignment="1">
      <alignment horizontal="center"/>
    </xf>
    <xf numFmtId="2" fontId="57" fillId="0" borderId="10" xfId="0" applyNumberFormat="1" applyFont="1" applyFill="1" applyBorder="1" applyAlignment="1">
      <alignment horizontal="right"/>
    </xf>
    <xf numFmtId="2" fontId="61" fillId="25" borderId="10" xfId="0" applyNumberFormat="1" applyFont="1" applyFill="1" applyBorder="1" applyAlignment="1">
      <alignment horizontal="center"/>
    </xf>
    <xf numFmtId="2" fontId="57" fillId="0" borderId="10" xfId="0" applyNumberFormat="1" applyFont="1" applyBorder="1"/>
    <xf numFmtId="2" fontId="57" fillId="26" borderId="10" xfId="0" applyNumberFormat="1" applyFont="1" applyFill="1" applyBorder="1" applyAlignment="1">
      <alignment horizontal="center"/>
    </xf>
    <xf numFmtId="2" fontId="8" fillId="0" borderId="10" xfId="177" applyNumberFormat="1" applyFont="1" applyFill="1" applyBorder="1" applyAlignment="1">
      <alignment horizontal="center"/>
    </xf>
    <xf numFmtId="0" fontId="37" fillId="0" borderId="10" xfId="0" applyFont="1" applyBorder="1"/>
    <xf numFmtId="175" fontId="57" fillId="0" borderId="29" xfId="0" applyNumberFormat="1" applyFont="1" applyFill="1" applyBorder="1" applyAlignment="1">
      <alignment horizontal="center"/>
    </xf>
    <xf numFmtId="3" fontId="8" fillId="24" borderId="20" xfId="0" applyNumberFormat="1" applyFont="1" applyFill="1" applyBorder="1" applyAlignment="1">
      <alignment horizontal="center" vertical="center"/>
    </xf>
    <xf numFmtId="167" fontId="8" fillId="0" borderId="20" xfId="0" applyNumberFormat="1" applyFont="1" applyFill="1" applyBorder="1" applyAlignment="1">
      <alignment horizontal="center"/>
    </xf>
    <xf numFmtId="4" fontId="7" fillId="26" borderId="54" xfId="0" applyNumberFormat="1" applyFont="1" applyFill="1" applyBorder="1" applyAlignment="1">
      <alignment horizontal="center" vertical="center"/>
    </xf>
    <xf numFmtId="9" fontId="8" fillId="24" borderId="54" xfId="203" applyFont="1" applyFill="1" applyBorder="1" applyAlignment="1">
      <alignment horizontal="center"/>
    </xf>
    <xf numFmtId="0" fontId="57" fillId="24" borderId="10" xfId="0" applyFont="1" applyFill="1" applyBorder="1" applyAlignment="1">
      <alignment horizontal="center"/>
    </xf>
    <xf numFmtId="4" fontId="10" fillId="0" borderId="16" xfId="0" applyNumberFormat="1" applyFont="1" applyFill="1" applyBorder="1" applyAlignment="1">
      <alignment horizontal="center"/>
    </xf>
    <xf numFmtId="175" fontId="64" fillId="0" borderId="10" xfId="0" applyNumberFormat="1" applyFont="1" applyFill="1" applyBorder="1" applyAlignment="1">
      <alignment horizontal="center"/>
    </xf>
    <xf numFmtId="175" fontId="57" fillId="0" borderId="16" xfId="0" applyNumberFormat="1" applyFont="1" applyBorder="1" applyAlignment="1">
      <alignment horizontal="center"/>
    </xf>
    <xf numFmtId="2" fontId="57" fillId="26" borderId="10" xfId="0" applyNumberFormat="1" applyFont="1" applyFill="1" applyBorder="1" applyAlignment="1">
      <alignment horizontal="right"/>
    </xf>
    <xf numFmtId="0" fontId="38" fillId="0" borderId="10" xfId="0" applyFont="1" applyBorder="1"/>
    <xf numFmtId="165" fontId="61" fillId="0" borderId="10" xfId="157" applyFont="1" applyBorder="1"/>
    <xf numFmtId="165" fontId="13" fillId="0" borderId="10" xfId="157" applyFont="1" applyFill="1" applyBorder="1" applyAlignment="1">
      <alignment horizontal="left"/>
    </xf>
    <xf numFmtId="4" fontId="41" fillId="0" borderId="33" xfId="184" applyNumberFormat="1" applyFont="1" applyFill="1" applyBorder="1" applyAlignment="1">
      <alignment horizontal="center" vertical="center"/>
    </xf>
    <xf numFmtId="4" fontId="41" fillId="0" borderId="16" xfId="184" applyNumberFormat="1" applyFont="1" applyFill="1" applyBorder="1" applyAlignment="1">
      <alignment horizontal="center" vertical="center"/>
    </xf>
    <xf numFmtId="4" fontId="41" fillId="0" borderId="10" xfId="184" applyNumberFormat="1" applyFont="1" applyFill="1" applyBorder="1" applyAlignment="1">
      <alignment horizontal="center" vertical="center"/>
    </xf>
    <xf numFmtId="0" fontId="65" fillId="0" borderId="0" xfId="0" applyFont="1"/>
    <xf numFmtId="0" fontId="65" fillId="0" borderId="0" xfId="0" applyFont="1" applyAlignment="1">
      <alignment horizontal="center"/>
    </xf>
    <xf numFmtId="0" fontId="65" fillId="24" borderId="0" xfId="0" applyFont="1" applyFill="1"/>
    <xf numFmtId="167" fontId="0" fillId="26" borderId="0" xfId="0" applyNumberFormat="1" applyFill="1"/>
    <xf numFmtId="0" fontId="8" fillId="26" borderId="0" xfId="0" applyFont="1" applyFill="1" applyBorder="1" applyAlignment="1">
      <alignment horizontal="center"/>
    </xf>
    <xf numFmtId="0" fontId="8" fillId="0" borderId="12" xfId="0" applyFont="1" applyFill="1" applyBorder="1" applyAlignment="1">
      <alignment horizontal="center"/>
    </xf>
    <xf numFmtId="0" fontId="0" fillId="0" borderId="15" xfId="0" applyFill="1" applyBorder="1"/>
    <xf numFmtId="3" fontId="0" fillId="0" borderId="0" xfId="0" applyNumberFormat="1"/>
    <xf numFmtId="0" fontId="38" fillId="25" borderId="22" xfId="0" applyFont="1" applyFill="1" applyBorder="1" applyAlignment="1">
      <alignment horizontal="center"/>
    </xf>
    <xf numFmtId="0" fontId="38" fillId="0" borderId="0" xfId="0" applyFont="1" applyBorder="1" applyAlignment="1">
      <alignment horizontal="center"/>
    </xf>
    <xf numFmtId="0" fontId="37" fillId="0" borderId="0" xfId="0" applyFont="1" applyBorder="1" applyAlignment="1">
      <alignment horizontal="center"/>
    </xf>
    <xf numFmtId="0" fontId="55" fillId="0" borderId="20" xfId="0" applyFont="1" applyBorder="1" applyAlignment="1">
      <alignment horizontal="center"/>
    </xf>
    <xf numFmtId="0" fontId="38" fillId="0" borderId="52" xfId="0" applyFont="1" applyBorder="1" applyAlignment="1">
      <alignment horizontal="center"/>
    </xf>
    <xf numFmtId="0" fontId="38" fillId="0" borderId="54" xfId="0" applyFont="1" applyBorder="1" applyAlignment="1">
      <alignment horizontal="center"/>
    </xf>
    <xf numFmtId="0" fontId="38" fillId="0" borderId="55" xfId="0" applyFont="1" applyBorder="1" applyAlignment="1">
      <alignment horizontal="center"/>
    </xf>
    <xf numFmtId="0" fontId="38" fillId="0" borderId="31" xfId="0" applyFont="1" applyBorder="1" applyAlignment="1">
      <alignment horizontal="center"/>
    </xf>
    <xf numFmtId="0" fontId="38" fillId="0" borderId="13" xfId="0" applyFont="1" applyBorder="1" applyAlignment="1">
      <alignment horizontal="center"/>
    </xf>
    <xf numFmtId="0" fontId="38" fillId="0" borderId="13" xfId="0" applyFont="1" applyFill="1" applyBorder="1" applyAlignment="1">
      <alignment horizontal="center"/>
    </xf>
    <xf numFmtId="0" fontId="38" fillId="0" borderId="17" xfId="0" applyFont="1" applyBorder="1" applyAlignment="1">
      <alignment horizontal="center"/>
    </xf>
    <xf numFmtId="0" fontId="37" fillId="0" borderId="62" xfId="0" applyFont="1" applyBorder="1" applyAlignment="1">
      <alignment horizontal="center"/>
    </xf>
    <xf numFmtId="0" fontId="37" fillId="0" borderId="63" xfId="0" applyFont="1" applyBorder="1"/>
    <xf numFmtId="0" fontId="37" fillId="0" borderId="37" xfId="0" applyFont="1" applyBorder="1" applyAlignment="1">
      <alignment horizontal="center"/>
    </xf>
    <xf numFmtId="2" fontId="37" fillId="0" borderId="33" xfId="0" applyNumberFormat="1" applyFont="1" applyBorder="1" applyAlignment="1">
      <alignment horizontal="center"/>
    </xf>
    <xf numFmtId="0" fontId="37" fillId="0" borderId="34" xfId="0" applyFont="1" applyBorder="1"/>
    <xf numFmtId="0" fontId="38" fillId="0" borderId="12" xfId="0" applyFont="1" applyBorder="1" applyAlignment="1">
      <alignment horizontal="center"/>
    </xf>
    <xf numFmtId="0" fontId="37" fillId="0" borderId="64" xfId="0" applyFont="1" applyBorder="1"/>
    <xf numFmtId="0" fontId="37" fillId="0" borderId="44" xfId="0" applyFont="1" applyBorder="1" applyAlignment="1">
      <alignment horizontal="center"/>
    </xf>
    <xf numFmtId="2" fontId="37" fillId="0" borderId="46" xfId="0" applyNumberFormat="1" applyFont="1" applyBorder="1" applyAlignment="1">
      <alignment horizontal="center"/>
    </xf>
    <xf numFmtId="0" fontId="37" fillId="0" borderId="46" xfId="0" applyFont="1" applyBorder="1" applyAlignment="1">
      <alignment horizontal="center"/>
    </xf>
    <xf numFmtId="0" fontId="37" fillId="0" borderId="47" xfId="0" applyFont="1" applyBorder="1"/>
    <xf numFmtId="0" fontId="37" fillId="0" borderId="27" xfId="0" applyFont="1" applyBorder="1" applyAlignment="1">
      <alignment horizontal="center"/>
    </xf>
    <xf numFmtId="2" fontId="37" fillId="0" borderId="41" xfId="0" applyNumberFormat="1" applyFont="1" applyBorder="1" applyAlignment="1">
      <alignment horizontal="center"/>
    </xf>
    <xf numFmtId="2" fontId="37" fillId="0" borderId="22" xfId="0" applyNumberFormat="1" applyFont="1" applyBorder="1" applyAlignment="1">
      <alignment horizontal="center"/>
    </xf>
    <xf numFmtId="0" fontId="38" fillId="24" borderId="0" xfId="0" applyFont="1" applyFill="1" applyBorder="1" applyAlignment="1">
      <alignment horizontal="center"/>
    </xf>
    <xf numFmtId="0" fontId="55" fillId="0" borderId="16" xfId="0" applyFont="1" applyBorder="1" applyAlignment="1">
      <alignment horizontal="center"/>
    </xf>
    <xf numFmtId="0" fontId="38" fillId="0" borderId="10" xfId="0" applyFont="1" applyBorder="1" applyAlignment="1">
      <alignment horizontal="center"/>
    </xf>
    <xf numFmtId="0" fontId="37" fillId="0" borderId="63" xfId="0" applyFont="1" applyBorder="1" applyAlignment="1">
      <alignment horizontal="center"/>
    </xf>
    <xf numFmtId="0" fontId="37" fillId="0" borderId="65" xfId="0" applyFont="1" applyBorder="1"/>
    <xf numFmtId="0" fontId="37" fillId="0" borderId="33" xfId="0" applyFont="1" applyBorder="1" applyAlignment="1">
      <alignment horizontal="center"/>
    </xf>
    <xf numFmtId="0" fontId="37" fillId="0" borderId="66" xfId="0" applyFont="1" applyBorder="1"/>
    <xf numFmtId="0" fontId="38" fillId="0" borderId="0" xfId="0" applyFont="1"/>
    <xf numFmtId="0" fontId="37" fillId="0" borderId="0" xfId="0" applyFont="1" applyAlignment="1">
      <alignment horizontal="center"/>
    </xf>
    <xf numFmtId="0" fontId="38" fillId="0" borderId="27" xfId="0" applyFont="1" applyBorder="1" applyAlignment="1">
      <alignment horizontal="center"/>
    </xf>
    <xf numFmtId="0" fontId="38" fillId="0" borderId="41" xfId="0" applyFont="1" applyBorder="1" applyAlignment="1">
      <alignment horizontal="center"/>
    </xf>
    <xf numFmtId="14" fontId="37" fillId="0" borderId="0" xfId="0" applyNumberFormat="1" applyFont="1"/>
    <xf numFmtId="0" fontId="38" fillId="24" borderId="70" xfId="0" applyFont="1" applyFill="1" applyBorder="1" applyAlignment="1">
      <alignment horizontal="center"/>
    </xf>
    <xf numFmtId="0" fontId="38" fillId="24" borderId="60" xfId="0" applyFont="1" applyFill="1" applyBorder="1" applyAlignment="1">
      <alignment horizontal="center"/>
    </xf>
    <xf numFmtId="0" fontId="38" fillId="24" borderId="71" xfId="0" applyFont="1" applyFill="1" applyBorder="1" applyAlignment="1">
      <alignment horizontal="center"/>
    </xf>
    <xf numFmtId="0" fontId="38" fillId="24" borderId="45" xfId="0" applyFont="1" applyFill="1" applyBorder="1" applyAlignment="1">
      <alignment horizontal="center"/>
    </xf>
    <xf numFmtId="0" fontId="37" fillId="0" borderId="37" xfId="0" applyFont="1" applyBorder="1"/>
    <xf numFmtId="0" fontId="37" fillId="0" borderId="33" xfId="0" applyFont="1" applyBorder="1"/>
    <xf numFmtId="0" fontId="37" fillId="0" borderId="34" xfId="0" applyFont="1" applyBorder="1" applyAlignment="1">
      <alignment horizontal="center"/>
    </xf>
    <xf numFmtId="0" fontId="37" fillId="0" borderId="36" xfId="0" applyFont="1" applyBorder="1"/>
    <xf numFmtId="2" fontId="37" fillId="0" borderId="10" xfId="0" applyNumberFormat="1" applyFont="1" applyBorder="1" applyAlignment="1">
      <alignment horizontal="center"/>
    </xf>
    <xf numFmtId="0" fontId="37" fillId="0" borderId="36" xfId="0" applyFont="1" applyFill="1" applyBorder="1" applyAlignment="1"/>
    <xf numFmtId="0" fontId="37" fillId="0" borderId="10" xfId="0" applyFont="1" applyFill="1" applyBorder="1" applyAlignment="1"/>
    <xf numFmtId="0" fontId="37" fillId="0" borderId="44" xfId="0" applyFont="1" applyFill="1" applyBorder="1" applyAlignment="1"/>
    <xf numFmtId="0" fontId="37" fillId="0" borderId="46" xfId="0" applyFont="1" applyFill="1" applyBorder="1" applyAlignment="1"/>
    <xf numFmtId="0" fontId="37" fillId="0" borderId="39" xfId="0" applyFont="1" applyBorder="1"/>
    <xf numFmtId="0" fontId="37" fillId="0" borderId="72" xfId="0" applyFont="1" applyBorder="1"/>
    <xf numFmtId="0" fontId="38" fillId="0" borderId="59" xfId="0" applyFont="1" applyBorder="1" applyAlignment="1">
      <alignment horizontal="center"/>
    </xf>
    <xf numFmtId="0" fontId="37" fillId="0" borderId="73" xfId="0" applyFont="1" applyBorder="1" applyAlignment="1">
      <alignment horizontal="center"/>
    </xf>
    <xf numFmtId="0" fontId="37" fillId="0" borderId="74" xfId="0" applyFont="1" applyBorder="1"/>
    <xf numFmtId="0" fontId="88" fillId="24" borderId="39" xfId="0" applyFont="1" applyFill="1" applyBorder="1" applyAlignment="1">
      <alignment horizontal="center"/>
    </xf>
    <xf numFmtId="0" fontId="88" fillId="24" borderId="74" xfId="0" applyFont="1" applyFill="1" applyBorder="1" applyAlignment="1">
      <alignment horizontal="center"/>
    </xf>
    <xf numFmtId="0" fontId="89" fillId="0" borderId="75" xfId="0" applyFont="1" applyBorder="1" applyAlignment="1">
      <alignment horizontal="center"/>
    </xf>
    <xf numFmtId="0" fontId="89" fillId="0" borderId="76" xfId="0" applyFont="1" applyBorder="1"/>
    <xf numFmtId="0" fontId="89" fillId="0" borderId="0" xfId="0" applyFont="1" applyBorder="1"/>
    <xf numFmtId="0" fontId="89" fillId="0" borderId="0" xfId="0" applyFont="1" applyBorder="1" applyAlignment="1">
      <alignment horizontal="center"/>
    </xf>
    <xf numFmtId="0" fontId="38" fillId="24" borderId="77" xfId="179" applyFont="1" applyFill="1" applyBorder="1" applyAlignment="1">
      <alignment horizontal="center" wrapText="1"/>
    </xf>
    <xf numFmtId="0" fontId="38" fillId="24" borderId="78" xfId="179" applyFont="1" applyFill="1" applyBorder="1" applyAlignment="1">
      <alignment horizontal="center" wrapText="1"/>
    </xf>
    <xf numFmtId="0" fontId="38" fillId="24" borderId="41" xfId="179" applyFont="1" applyFill="1" applyBorder="1" applyAlignment="1">
      <alignment horizontal="center" wrapText="1"/>
    </xf>
    <xf numFmtId="0" fontId="38" fillId="24" borderId="71" xfId="179" applyFont="1" applyFill="1" applyBorder="1" applyAlignment="1">
      <alignment horizontal="center" wrapText="1"/>
    </xf>
    <xf numFmtId="0" fontId="37" fillId="24" borderId="33" xfId="179" applyFont="1" applyFill="1" applyBorder="1" applyAlignment="1">
      <alignment horizontal="center" wrapText="1"/>
    </xf>
    <xf numFmtId="0" fontId="37" fillId="24" borderId="79" xfId="179" applyFont="1" applyFill="1" applyBorder="1" applyAlignment="1">
      <alignment horizontal="center" wrapText="1"/>
    </xf>
    <xf numFmtId="0" fontId="37" fillId="24" borderId="63" xfId="179" applyFont="1" applyFill="1" applyBorder="1" applyAlignment="1">
      <alignment horizontal="center" wrapText="1"/>
    </xf>
    <xf numFmtId="0" fontId="68" fillId="24" borderId="10" xfId="179" applyFont="1" applyFill="1" applyBorder="1" applyAlignment="1">
      <alignment horizontal="center" wrapText="1"/>
    </xf>
    <xf numFmtId="0" fontId="62" fillId="24" borderId="12" xfId="179" applyFont="1" applyFill="1" applyBorder="1" applyAlignment="1">
      <alignment horizontal="center" wrapText="1"/>
    </xf>
    <xf numFmtId="0" fontId="62" fillId="24" borderId="80" xfId="179" applyFont="1" applyFill="1" applyBorder="1" applyAlignment="1">
      <alignment horizontal="center" wrapText="1"/>
    </xf>
    <xf numFmtId="0" fontId="37" fillId="24" borderId="80" xfId="179" applyFont="1" applyFill="1" applyBorder="1" applyAlignment="1">
      <alignment horizontal="center" wrapText="1"/>
    </xf>
    <xf numFmtId="0" fontId="37" fillId="24" borderId="10" xfId="179" applyFont="1" applyFill="1" applyBorder="1" applyAlignment="1">
      <alignment horizontal="center" wrapText="1"/>
    </xf>
    <xf numFmtId="0" fontId="37" fillId="24" borderId="12" xfId="179" applyFont="1" applyFill="1" applyBorder="1" applyAlignment="1">
      <alignment horizontal="center" wrapText="1"/>
    </xf>
    <xf numFmtId="0" fontId="37" fillId="24" borderId="46" xfId="179" applyFont="1" applyFill="1" applyBorder="1" applyAlignment="1">
      <alignment horizontal="center" wrapText="1"/>
    </xf>
    <xf numFmtId="0" fontId="37" fillId="24" borderId="49" xfId="179" applyFont="1" applyFill="1" applyBorder="1" applyAlignment="1">
      <alignment horizontal="center" wrapText="1"/>
    </xf>
    <xf numFmtId="0" fontId="37" fillId="24" borderId="64" xfId="179" applyFont="1" applyFill="1" applyBorder="1" applyAlignment="1">
      <alignment horizontal="center" wrapText="1"/>
    </xf>
    <xf numFmtId="0" fontId="37" fillId="24" borderId="81" xfId="179" applyFont="1" applyFill="1" applyBorder="1" applyAlignment="1">
      <alignment horizontal="center" wrapText="1"/>
    </xf>
    <xf numFmtId="0" fontId="90" fillId="30" borderId="27" xfId="187" applyFont="1" applyFill="1" applyBorder="1"/>
    <xf numFmtId="0" fontId="91" fillId="30" borderId="21" xfId="187" applyFont="1" applyFill="1" applyBorder="1"/>
    <xf numFmtId="0" fontId="91" fillId="30" borderId="22" xfId="187" applyFont="1" applyFill="1" applyBorder="1"/>
    <xf numFmtId="0" fontId="37" fillId="24" borderId="82" xfId="179" applyFont="1" applyFill="1" applyBorder="1" applyAlignment="1">
      <alignment horizontal="center" wrapText="1"/>
    </xf>
    <xf numFmtId="0" fontId="37" fillId="24" borderId="83" xfId="179" applyFont="1" applyFill="1" applyBorder="1" applyAlignment="1">
      <alignment horizontal="center" wrapText="1"/>
    </xf>
    <xf numFmtId="0" fontId="37" fillId="24" borderId="58" xfId="179" applyFont="1" applyFill="1" applyBorder="1" applyAlignment="1">
      <alignment horizontal="center" wrapText="1"/>
    </xf>
    <xf numFmtId="0" fontId="38" fillId="24" borderId="45" xfId="179" applyFont="1" applyFill="1" applyBorder="1" applyAlignment="1">
      <alignment horizontal="center" wrapText="1"/>
    </xf>
    <xf numFmtId="0" fontId="38" fillId="24" borderId="60" xfId="179" applyFont="1" applyFill="1" applyBorder="1" applyAlignment="1">
      <alignment horizontal="center" wrapText="1"/>
    </xf>
    <xf numFmtId="0" fontId="37" fillId="24" borderId="0" xfId="179" applyFont="1" applyFill="1" applyBorder="1" applyAlignment="1">
      <alignment horizontal="center" wrapText="1"/>
    </xf>
    <xf numFmtId="0" fontId="91" fillId="26" borderId="21" xfId="187" applyFont="1" applyFill="1" applyBorder="1"/>
    <xf numFmtId="0" fontId="90" fillId="26" borderId="27" xfId="187" applyFont="1" applyFill="1" applyBorder="1"/>
    <xf numFmtId="0" fontId="0" fillId="26" borderId="22" xfId="0" applyFill="1" applyBorder="1"/>
    <xf numFmtId="0" fontId="90" fillId="24" borderId="84" xfId="187" applyFont="1" applyFill="1" applyBorder="1"/>
    <xf numFmtId="0" fontId="91" fillId="24" borderId="84" xfId="187" applyFont="1" applyFill="1" applyBorder="1"/>
    <xf numFmtId="0" fontId="91" fillId="24" borderId="0" xfId="187" applyFont="1" applyFill="1" applyBorder="1"/>
    <xf numFmtId="0" fontId="26" fillId="24" borderId="41" xfId="0" applyFont="1" applyFill="1" applyBorder="1"/>
    <xf numFmtId="0" fontId="91" fillId="0" borderId="41" xfId="187" applyFont="1" applyBorder="1" applyAlignment="1">
      <alignment horizontal="center"/>
    </xf>
    <xf numFmtId="0" fontId="113" fillId="0" borderId="0" xfId="187" applyAlignment="1">
      <alignment horizontal="center"/>
    </xf>
    <xf numFmtId="0" fontId="70" fillId="24" borderId="85" xfId="179" applyFont="1" applyFill="1" applyBorder="1" applyAlignment="1">
      <alignment horizontal="center" wrapText="1"/>
    </xf>
    <xf numFmtId="0" fontId="71" fillId="24" borderId="86" xfId="179" applyFont="1" applyFill="1" applyBorder="1" applyAlignment="1">
      <alignment horizontal="center" wrapText="1"/>
    </xf>
    <xf numFmtId="0" fontId="90" fillId="0" borderId="41" xfId="187" applyFont="1" applyBorder="1" applyAlignment="1">
      <alignment horizontal="center"/>
    </xf>
    <xf numFmtId="0" fontId="91" fillId="0" borderId="87" xfId="187" applyFont="1" applyBorder="1" applyAlignment="1">
      <alignment horizontal="center"/>
    </xf>
    <xf numFmtId="0" fontId="113" fillId="0" borderId="76" xfId="187" applyBorder="1" applyAlignment="1">
      <alignment horizontal="center"/>
    </xf>
    <xf numFmtId="0" fontId="113" fillId="0" borderId="0" xfId="187" applyBorder="1" applyAlignment="1">
      <alignment horizontal="center"/>
    </xf>
    <xf numFmtId="0" fontId="113" fillId="0" borderId="63" xfId="187" applyBorder="1" applyAlignment="1">
      <alignment horizontal="center"/>
    </xf>
    <xf numFmtId="0" fontId="113" fillId="0" borderId="80" xfId="187" applyBorder="1" applyAlignment="1">
      <alignment horizontal="center"/>
    </xf>
    <xf numFmtId="0" fontId="113" fillId="0" borderId="64" xfId="187" applyBorder="1" applyAlignment="1">
      <alignment horizontal="center"/>
    </xf>
    <xf numFmtId="0" fontId="90" fillId="24" borderId="27" xfId="187" applyFont="1" applyFill="1" applyBorder="1"/>
    <xf numFmtId="0" fontId="91" fillId="24" borderId="21" xfId="187" applyFont="1" applyFill="1" applyBorder="1"/>
    <xf numFmtId="0" fontId="70" fillId="24" borderId="0" xfId="179" applyFont="1" applyFill="1" applyBorder="1" applyAlignment="1">
      <alignment horizontal="center" wrapText="1"/>
    </xf>
    <xf numFmtId="0" fontId="71" fillId="24" borderId="0" xfId="179" applyFont="1" applyFill="1" applyBorder="1" applyAlignment="1">
      <alignment horizontal="center" wrapText="1"/>
    </xf>
    <xf numFmtId="0" fontId="90" fillId="0" borderId="0" xfId="187" applyFont="1" applyBorder="1" applyAlignment="1">
      <alignment horizontal="center"/>
    </xf>
    <xf numFmtId="0" fontId="91" fillId="24" borderId="62" xfId="187" applyFont="1" applyFill="1" applyBorder="1" applyAlignment="1">
      <alignment horizontal="center"/>
    </xf>
    <xf numFmtId="171" fontId="8" fillId="29" borderId="10" xfId="0" applyNumberFormat="1" applyFont="1" applyFill="1" applyBorder="1" applyAlignment="1">
      <alignment horizontal="center"/>
    </xf>
    <xf numFmtId="176" fontId="8" fillId="29" borderId="10" xfId="0" applyNumberFormat="1" applyFont="1" applyFill="1" applyBorder="1" applyAlignment="1">
      <alignment horizontal="center"/>
    </xf>
    <xf numFmtId="0" fontId="37" fillId="24" borderId="10" xfId="0" applyFont="1" applyFill="1" applyBorder="1" applyAlignment="1">
      <alignment horizontal="center"/>
    </xf>
    <xf numFmtId="2" fontId="37" fillId="26" borderId="10" xfId="0" applyNumberFormat="1" applyFont="1" applyFill="1" applyBorder="1" applyAlignment="1">
      <alignment horizontal="center"/>
    </xf>
    <xf numFmtId="2" fontId="37" fillId="26" borderId="10" xfId="0" applyNumberFormat="1" applyFont="1" applyFill="1" applyBorder="1" applyAlignment="1">
      <alignment horizontal="right"/>
    </xf>
    <xf numFmtId="2" fontId="37" fillId="0" borderId="10" xfId="0" applyNumberFormat="1" applyFont="1" applyBorder="1" applyAlignment="1">
      <alignment horizontal="right"/>
    </xf>
    <xf numFmtId="2" fontId="37" fillId="0" borderId="10" xfId="0" applyNumberFormat="1" applyFont="1" applyFill="1" applyBorder="1" applyAlignment="1">
      <alignment horizontal="right"/>
    </xf>
    <xf numFmtId="2" fontId="37" fillId="0" borderId="10" xfId="0" applyNumberFormat="1" applyFont="1" applyBorder="1"/>
    <xf numFmtId="0" fontId="38" fillId="29" borderId="41" xfId="0" applyFont="1" applyFill="1" applyBorder="1"/>
    <xf numFmtId="0" fontId="89" fillId="0" borderId="71" xfId="0" applyFont="1" applyBorder="1"/>
    <xf numFmtId="0" fontId="89" fillId="0" borderId="74" xfId="0" applyFont="1" applyBorder="1"/>
    <xf numFmtId="0" fontId="38" fillId="0" borderId="22" xfId="0" applyFont="1" applyBorder="1" applyAlignment="1">
      <alignment horizontal="center"/>
    </xf>
    <xf numFmtId="0" fontId="38" fillId="0" borderId="20" xfId="0" applyFont="1" applyBorder="1" applyAlignment="1">
      <alignment horizontal="center"/>
    </xf>
    <xf numFmtId="175" fontId="37" fillId="0" borderId="28" xfId="0" applyNumberFormat="1" applyFont="1" applyFill="1" applyBorder="1" applyAlignment="1">
      <alignment horizontal="center"/>
    </xf>
    <xf numFmtId="175" fontId="37" fillId="0" borderId="10" xfId="0" applyNumberFormat="1" applyFont="1" applyFill="1" applyBorder="1" applyAlignment="1">
      <alignment horizontal="center"/>
    </xf>
    <xf numFmtId="175" fontId="37" fillId="0" borderId="10" xfId="0" applyNumberFormat="1" applyFont="1" applyBorder="1" applyAlignment="1">
      <alignment horizontal="center"/>
    </xf>
    <xf numFmtId="165" fontId="13" fillId="0" borderId="0" xfId="157" applyFont="1" applyFill="1" applyBorder="1" applyAlignment="1">
      <alignment horizontal="left"/>
    </xf>
    <xf numFmtId="165" fontId="61" fillId="0" borderId="0" xfId="157" applyFont="1" applyBorder="1"/>
    <xf numFmtId="0" fontId="0" fillId="0" borderId="63" xfId="0" applyBorder="1" applyAlignment="1">
      <alignment horizontal="center"/>
    </xf>
    <xf numFmtId="0" fontId="0" fillId="0" borderId="76" xfId="0" applyBorder="1" applyAlignment="1">
      <alignment horizontal="center"/>
    </xf>
    <xf numFmtId="0" fontId="0" fillId="0" borderId="76" xfId="0" applyBorder="1"/>
    <xf numFmtId="0" fontId="37" fillId="24" borderId="41" xfId="179" applyFont="1" applyFill="1" applyBorder="1" applyAlignment="1">
      <alignment horizontal="center" wrapText="1"/>
    </xf>
    <xf numFmtId="0" fontId="37" fillId="24" borderId="88" xfId="179" applyFont="1" applyFill="1" applyBorder="1" applyAlignment="1">
      <alignment horizontal="center" wrapText="1"/>
    </xf>
    <xf numFmtId="0" fontId="38" fillId="24" borderId="89" xfId="179" applyFont="1" applyFill="1" applyBorder="1" applyAlignment="1">
      <alignment horizontal="center" wrapText="1"/>
    </xf>
    <xf numFmtId="0" fontId="38" fillId="24" borderId="90" xfId="179" applyFont="1" applyFill="1" applyBorder="1" applyAlignment="1">
      <alignment horizontal="center" wrapText="1"/>
    </xf>
    <xf numFmtId="0" fontId="0" fillId="0" borderId="35" xfId="0" applyBorder="1"/>
    <xf numFmtId="0" fontId="70" fillId="24" borderId="91" xfId="179" applyFont="1" applyFill="1" applyBorder="1" applyAlignment="1">
      <alignment horizontal="center" wrapText="1"/>
    </xf>
    <xf numFmtId="0" fontId="37" fillId="24" borderId="11" xfId="179" applyFont="1" applyFill="1" applyBorder="1" applyAlignment="1">
      <alignment horizontal="center" wrapText="1"/>
    </xf>
    <xf numFmtId="0" fontId="37" fillId="24" borderId="13" xfId="179" applyFont="1" applyFill="1" applyBorder="1" applyAlignment="1">
      <alignment horizontal="center" wrapText="1"/>
    </xf>
    <xf numFmtId="0" fontId="71" fillId="24" borderId="52" xfId="179" applyFont="1" applyFill="1" applyBorder="1" applyAlignment="1">
      <alignment horizontal="center" wrapText="1"/>
    </xf>
    <xf numFmtId="0" fontId="71" fillId="24" borderId="54" xfId="179" applyFont="1" applyFill="1" applyBorder="1" applyAlignment="1">
      <alignment horizontal="center" wrapText="1"/>
    </xf>
    <xf numFmtId="0" fontId="0" fillId="0" borderId="55" xfId="0" applyBorder="1"/>
    <xf numFmtId="0" fontId="38" fillId="24" borderId="22" xfId="179" applyFont="1" applyFill="1" applyBorder="1" applyAlignment="1">
      <alignment horizontal="center" wrapText="1"/>
    </xf>
    <xf numFmtId="0" fontId="0" fillId="0" borderId="83" xfId="0" applyBorder="1"/>
    <xf numFmtId="0" fontId="0" fillId="0" borderId="58" xfId="0" applyBorder="1"/>
    <xf numFmtId="0" fontId="0" fillId="0" borderId="67" xfId="0" applyBorder="1"/>
    <xf numFmtId="0" fontId="62" fillId="24" borderId="36" xfId="179" applyFont="1" applyFill="1" applyBorder="1" applyAlignment="1">
      <alignment horizontal="center" wrapText="1"/>
    </xf>
    <xf numFmtId="0" fontId="62" fillId="24" borderId="44" xfId="179" applyFont="1" applyFill="1" applyBorder="1" applyAlignment="1">
      <alignment horizontal="center" wrapText="1"/>
    </xf>
    <xf numFmtId="0" fontId="0" fillId="0" borderId="69" xfId="0" applyBorder="1"/>
    <xf numFmtId="0" fontId="70" fillId="24" borderId="72" xfId="179" applyFont="1" applyFill="1" applyBorder="1" applyAlignment="1">
      <alignment horizontal="center" wrapText="1"/>
    </xf>
    <xf numFmtId="0" fontId="91" fillId="24" borderId="87" xfId="187" applyFont="1" applyFill="1" applyBorder="1" applyAlignment="1">
      <alignment horizontal="center"/>
    </xf>
    <xf numFmtId="0" fontId="0" fillId="24" borderId="92" xfId="0" applyFill="1" applyBorder="1" applyAlignment="1">
      <alignment horizontal="center"/>
    </xf>
    <xf numFmtId="0" fontId="91" fillId="24" borderId="80" xfId="187" applyFont="1" applyFill="1" applyBorder="1" applyAlignment="1">
      <alignment horizontal="center"/>
    </xf>
    <xf numFmtId="0" fontId="37" fillId="24" borderId="87" xfId="179" applyFont="1" applyFill="1" applyBorder="1" applyAlignment="1">
      <alignment horizontal="center" wrapText="1"/>
    </xf>
    <xf numFmtId="0" fontId="0" fillId="24" borderId="93" xfId="0" applyFill="1" applyBorder="1" applyAlignment="1">
      <alignment horizontal="center"/>
    </xf>
    <xf numFmtId="0" fontId="70" fillId="24" borderId="94" xfId="179" applyFont="1" applyFill="1" applyBorder="1" applyAlignment="1">
      <alignment horizontal="center" wrapText="1"/>
    </xf>
    <xf numFmtId="0" fontId="70" fillId="24" borderId="95" xfId="179" applyFont="1" applyFill="1" applyBorder="1" applyAlignment="1">
      <alignment horizontal="center" wrapText="1"/>
    </xf>
    <xf numFmtId="0" fontId="71" fillId="24" borderId="96" xfId="179" applyFont="1" applyFill="1" applyBorder="1" applyAlignment="1">
      <alignment horizontal="center" wrapText="1"/>
    </xf>
    <xf numFmtId="0" fontId="90" fillId="0" borderId="76" xfId="187" applyFont="1" applyBorder="1" applyAlignment="1">
      <alignment horizontal="center"/>
    </xf>
    <xf numFmtId="0" fontId="91" fillId="24" borderId="63" xfId="187" applyFont="1" applyFill="1" applyBorder="1" applyAlignment="1">
      <alignment horizontal="center"/>
    </xf>
    <xf numFmtId="0" fontId="91" fillId="24" borderId="82" xfId="187" applyFont="1" applyFill="1" applyBorder="1" applyAlignment="1">
      <alignment horizontal="center"/>
    </xf>
    <xf numFmtId="0" fontId="37" fillId="24" borderId="67" xfId="179" applyFont="1" applyFill="1" applyBorder="1" applyAlignment="1">
      <alignment horizontal="center" wrapText="1"/>
    </xf>
    <xf numFmtId="0" fontId="91" fillId="24" borderId="67" xfId="187" applyFont="1" applyFill="1" applyBorder="1" applyAlignment="1">
      <alignment horizontal="center"/>
    </xf>
    <xf numFmtId="0" fontId="0" fillId="24" borderId="75" xfId="0" applyFill="1" applyBorder="1" applyAlignment="1">
      <alignment horizontal="center"/>
    </xf>
    <xf numFmtId="0" fontId="91" fillId="24" borderId="92" xfId="187" applyFont="1" applyFill="1" applyBorder="1" applyAlignment="1">
      <alignment horizontal="center"/>
    </xf>
    <xf numFmtId="0" fontId="91" fillId="24" borderId="93" xfId="187" applyFont="1" applyFill="1" applyBorder="1" applyAlignment="1">
      <alignment horizontal="center"/>
    </xf>
    <xf numFmtId="0" fontId="91" fillId="24" borderId="75" xfId="187" applyFont="1" applyFill="1" applyBorder="1" applyAlignment="1">
      <alignment horizontal="center"/>
    </xf>
    <xf numFmtId="0" fontId="113" fillId="0" borderId="37" xfId="191" applyBorder="1" applyAlignment="1">
      <alignment horizontal="center"/>
    </xf>
    <xf numFmtId="0" fontId="113" fillId="0" borderId="34" xfId="193" applyBorder="1" applyAlignment="1">
      <alignment horizontal="center"/>
    </xf>
    <xf numFmtId="0" fontId="113" fillId="0" borderId="36" xfId="191" applyBorder="1" applyAlignment="1">
      <alignment horizontal="center"/>
    </xf>
    <xf numFmtId="0" fontId="113" fillId="0" borderId="35" xfId="193" applyBorder="1" applyAlignment="1">
      <alignment horizontal="center"/>
    </xf>
    <xf numFmtId="0" fontId="113" fillId="0" borderId="44" xfId="191" applyBorder="1" applyAlignment="1">
      <alignment horizontal="center"/>
    </xf>
    <xf numFmtId="0" fontId="113" fillId="0" borderId="47" xfId="193" applyBorder="1" applyAlignment="1">
      <alignment horizontal="center"/>
    </xf>
    <xf numFmtId="0" fontId="91" fillId="24" borderId="83" xfId="187" applyFont="1" applyFill="1" applyBorder="1" applyAlignment="1">
      <alignment horizontal="center"/>
    </xf>
    <xf numFmtId="0" fontId="91" fillId="24" borderId="58" xfId="187" applyFont="1" applyFill="1" applyBorder="1" applyAlignment="1">
      <alignment horizontal="center"/>
    </xf>
    <xf numFmtId="0" fontId="91" fillId="24" borderId="64" xfId="187" applyFont="1" applyFill="1" applyBorder="1" applyAlignment="1">
      <alignment horizontal="center"/>
    </xf>
    <xf numFmtId="0" fontId="94" fillId="0" borderId="60" xfId="195" applyFont="1" applyFill="1" applyBorder="1" applyAlignment="1">
      <alignment horizontal="center" wrapText="1"/>
    </xf>
    <xf numFmtId="0" fontId="87" fillId="26" borderId="0" xfId="0" applyFont="1" applyFill="1"/>
    <xf numFmtId="0" fontId="95" fillId="0" borderId="0" xfId="0" applyFont="1" applyAlignment="1"/>
    <xf numFmtId="0" fontId="37" fillId="0" borderId="0" xfId="0" applyFont="1" applyAlignment="1">
      <alignment horizontal="center" vertical="center"/>
    </xf>
    <xf numFmtId="0" fontId="37" fillId="0" borderId="40" xfId="0" applyFont="1" applyBorder="1" applyAlignment="1">
      <alignment horizontal="center" vertical="center"/>
    </xf>
    <xf numFmtId="0" fontId="37" fillId="0" borderId="43" xfId="0" applyFont="1" applyBorder="1" applyAlignment="1">
      <alignment horizontal="center" vertical="center"/>
    </xf>
    <xf numFmtId="0" fontId="37" fillId="0" borderId="57" xfId="0" applyFont="1" applyBorder="1" applyAlignment="1">
      <alignment horizontal="center" vertical="center"/>
    </xf>
    <xf numFmtId="0" fontId="37" fillId="0" borderId="42" xfId="0" applyFont="1" applyBorder="1" applyAlignment="1">
      <alignment horizontal="center" vertical="center"/>
    </xf>
    <xf numFmtId="0" fontId="37" fillId="31" borderId="48" xfId="0" applyFont="1" applyFill="1" applyBorder="1" applyAlignment="1">
      <alignment horizontal="center" vertical="center"/>
    </xf>
    <xf numFmtId="0" fontId="37" fillId="31" borderId="13" xfId="0" applyFont="1" applyFill="1" applyBorder="1" applyAlignment="1">
      <alignment horizontal="center" vertical="center"/>
    </xf>
    <xf numFmtId="0" fontId="37" fillId="0" borderId="11" xfId="0" applyFont="1" applyBorder="1" applyAlignment="1">
      <alignment horizontal="center" vertical="center"/>
    </xf>
    <xf numFmtId="0" fontId="37" fillId="31" borderId="69" xfId="0" applyFont="1" applyFill="1" applyBorder="1" applyAlignment="1">
      <alignment horizontal="center" vertical="center"/>
    </xf>
    <xf numFmtId="0" fontId="38" fillId="0" borderId="45" xfId="0" applyFont="1" applyFill="1" applyBorder="1" applyAlignment="1">
      <alignment horizontal="center" vertical="center"/>
    </xf>
    <xf numFmtId="0" fontId="37" fillId="0" borderId="50" xfId="0" applyFont="1" applyBorder="1" applyAlignment="1">
      <alignment horizontal="center" vertical="center"/>
    </xf>
    <xf numFmtId="0" fontId="37" fillId="0" borderId="33" xfId="0" applyFont="1" applyBorder="1" applyAlignment="1">
      <alignment horizontal="center" vertical="center"/>
    </xf>
    <xf numFmtId="0" fontId="37" fillId="0" borderId="34" xfId="0" applyFont="1" applyBorder="1" applyAlignment="1">
      <alignment horizontal="center" vertical="center"/>
    </xf>
    <xf numFmtId="3" fontId="37" fillId="0" borderId="37" xfId="0" applyNumberFormat="1" applyFont="1" applyBorder="1" applyAlignment="1">
      <alignment horizontal="center" vertical="center"/>
    </xf>
    <xf numFmtId="3" fontId="37" fillId="0" borderId="33" xfId="0" applyNumberFormat="1" applyFont="1" applyBorder="1" applyAlignment="1">
      <alignment horizontal="center" vertical="center"/>
    </xf>
    <xf numFmtId="3" fontId="37" fillId="0" borderId="79" xfId="0" applyNumberFormat="1" applyFont="1" applyBorder="1" applyAlignment="1">
      <alignment horizontal="center" vertical="center"/>
    </xf>
    <xf numFmtId="3" fontId="75" fillId="0" borderId="34" xfId="196" applyNumberFormat="1" applyFont="1" applyFill="1" applyBorder="1" applyAlignment="1">
      <alignment horizontal="center" vertical="center" wrapText="1"/>
    </xf>
    <xf numFmtId="0" fontId="37" fillId="0" borderId="97" xfId="0" applyFont="1" applyBorder="1" applyAlignment="1">
      <alignment horizontal="center" vertical="center"/>
    </xf>
    <xf numFmtId="0" fontId="37" fillId="0" borderId="46" xfId="0" applyFont="1" applyBorder="1" applyAlignment="1">
      <alignment horizontal="center" vertical="center"/>
    </xf>
    <xf numFmtId="0" fontId="37" fillId="0" borderId="47" xfId="0" applyFont="1" applyBorder="1" applyAlignment="1">
      <alignment horizontal="center" vertical="center"/>
    </xf>
    <xf numFmtId="3" fontId="37" fillId="0" borderId="44" xfId="0" applyNumberFormat="1" applyFont="1" applyBorder="1" applyAlignment="1">
      <alignment horizontal="center" vertical="center"/>
    </xf>
    <xf numFmtId="3" fontId="37" fillId="0" borderId="46" xfId="0" applyNumberFormat="1" applyFont="1" applyBorder="1" applyAlignment="1">
      <alignment horizontal="center" vertical="center"/>
    </xf>
    <xf numFmtId="3" fontId="37" fillId="0" borderId="49" xfId="0" applyNumberFormat="1" applyFont="1" applyBorder="1" applyAlignment="1">
      <alignment horizontal="center" vertical="center"/>
    </xf>
    <xf numFmtId="3" fontId="75" fillId="0" borderId="47" xfId="196" applyNumberFormat="1" applyFont="1" applyFill="1" applyBorder="1" applyAlignment="1">
      <alignment horizontal="center" vertical="center" wrapText="1"/>
    </xf>
    <xf numFmtId="3" fontId="37" fillId="0" borderId="68" xfId="0" applyNumberFormat="1" applyFont="1" applyBorder="1" applyAlignment="1">
      <alignment horizontal="center" vertical="center"/>
    </xf>
    <xf numFmtId="3" fontId="37" fillId="0" borderId="0" xfId="0" applyNumberFormat="1" applyFont="1"/>
    <xf numFmtId="0" fontId="37" fillId="24" borderId="0" xfId="0" applyFont="1" applyFill="1" applyBorder="1"/>
    <xf numFmtId="0" fontId="37" fillId="0" borderId="15" xfId="0" applyFont="1" applyBorder="1" applyAlignment="1">
      <alignment horizontal="center" vertical="center"/>
    </xf>
    <xf numFmtId="0" fontId="37" fillId="0" borderId="10" xfId="0" applyFont="1" applyBorder="1" applyAlignment="1">
      <alignment horizontal="center" vertical="center"/>
    </xf>
    <xf numFmtId="0" fontId="37" fillId="0" borderId="35" xfId="0" applyFont="1" applyBorder="1" applyAlignment="1">
      <alignment horizontal="center" vertical="center"/>
    </xf>
    <xf numFmtId="3" fontId="37" fillId="0" borderId="36" xfId="0" applyNumberFormat="1" applyFont="1" applyBorder="1" applyAlignment="1">
      <alignment horizontal="center" vertical="center"/>
    </xf>
    <xf numFmtId="3" fontId="37" fillId="0" borderId="10" xfId="0" applyNumberFormat="1" applyFont="1" applyBorder="1" applyAlignment="1">
      <alignment horizontal="center" vertical="center"/>
    </xf>
    <xf numFmtId="3" fontId="37" fillId="0" borderId="12" xfId="0" applyNumberFormat="1" applyFont="1" applyBorder="1" applyAlignment="1">
      <alignment horizontal="center" vertical="center"/>
    </xf>
    <xf numFmtId="3" fontId="75" fillId="0" borderId="35" xfId="196" applyNumberFormat="1" applyFont="1" applyFill="1" applyBorder="1" applyAlignment="1">
      <alignment horizontal="center" vertical="center" wrapText="1"/>
    </xf>
    <xf numFmtId="0" fontId="37" fillId="0" borderId="32" xfId="0" applyFont="1" applyBorder="1" applyAlignment="1">
      <alignment horizontal="center" vertical="center"/>
    </xf>
    <xf numFmtId="0" fontId="37" fillId="0" borderId="16" xfId="0" applyFont="1" applyBorder="1" applyAlignment="1">
      <alignment horizontal="center" vertical="center"/>
    </xf>
    <xf numFmtId="0" fontId="37" fillId="0" borderId="99" xfId="0" applyFont="1" applyBorder="1" applyAlignment="1">
      <alignment horizontal="center" vertical="center"/>
    </xf>
    <xf numFmtId="3" fontId="37" fillId="0" borderId="100" xfId="0" applyNumberFormat="1" applyFont="1" applyBorder="1" applyAlignment="1">
      <alignment horizontal="center" vertical="center"/>
    </xf>
    <xf numFmtId="3" fontId="37" fillId="0" borderId="16" xfId="0" applyNumberFormat="1" applyFont="1" applyBorder="1" applyAlignment="1">
      <alignment horizontal="center" vertical="center"/>
    </xf>
    <xf numFmtId="3" fontId="37" fillId="0" borderId="17" xfId="0" applyNumberFormat="1" applyFont="1" applyBorder="1" applyAlignment="1">
      <alignment horizontal="center" vertical="center"/>
    </xf>
    <xf numFmtId="3" fontId="75" fillId="0" borderId="99" xfId="196" applyNumberFormat="1" applyFont="1" applyFill="1" applyBorder="1" applyAlignment="1">
      <alignment horizontal="center" vertical="center" wrapText="1"/>
    </xf>
    <xf numFmtId="0" fontId="37" fillId="0" borderId="31" xfId="0" applyFont="1" applyBorder="1" applyAlignment="1">
      <alignment horizontal="center" vertical="center"/>
    </xf>
    <xf numFmtId="0" fontId="37" fillId="0" borderId="13" xfId="0" applyFont="1" applyBorder="1" applyAlignment="1">
      <alignment horizontal="center" vertical="center"/>
    </xf>
    <xf numFmtId="0" fontId="37" fillId="0" borderId="69" xfId="0" applyFont="1" applyBorder="1" applyAlignment="1">
      <alignment horizontal="center" vertical="center"/>
    </xf>
    <xf numFmtId="3" fontId="37" fillId="0" borderId="48" xfId="0" applyNumberFormat="1" applyFont="1" applyBorder="1" applyAlignment="1">
      <alignment horizontal="center" vertical="center"/>
    </xf>
    <xf numFmtId="3" fontId="37" fillId="0" borderId="13" xfId="0" applyNumberFormat="1" applyFont="1" applyBorder="1" applyAlignment="1">
      <alignment horizontal="center" vertical="center"/>
    </xf>
    <xf numFmtId="3" fontId="37" fillId="0" borderId="11" xfId="0" applyNumberFormat="1" applyFont="1" applyBorder="1" applyAlignment="1">
      <alignment horizontal="center" vertical="center"/>
    </xf>
    <xf numFmtId="0" fontId="37" fillId="0" borderId="79" xfId="0" applyFont="1" applyBorder="1" applyAlignment="1">
      <alignment horizontal="center" vertical="center"/>
    </xf>
    <xf numFmtId="3" fontId="37" fillId="0" borderId="34" xfId="0" applyNumberFormat="1" applyFont="1" applyBorder="1" applyAlignment="1">
      <alignment horizontal="center" vertical="center"/>
    </xf>
    <xf numFmtId="3" fontId="37" fillId="0" borderId="63" xfId="0" applyNumberFormat="1" applyFont="1" applyBorder="1" applyAlignment="1">
      <alignment horizontal="center" vertical="center"/>
    </xf>
    <xf numFmtId="0" fontId="37" fillId="0" borderId="49" xfId="0" applyFont="1" applyBorder="1" applyAlignment="1">
      <alignment horizontal="center" vertical="center"/>
    </xf>
    <xf numFmtId="3" fontId="37" fillId="0" borderId="47" xfId="0" applyNumberFormat="1" applyFont="1" applyBorder="1" applyAlignment="1">
      <alignment horizontal="center" vertical="center"/>
    </xf>
    <xf numFmtId="3" fontId="37" fillId="0" borderId="64" xfId="0" applyNumberFormat="1" applyFont="1" applyBorder="1" applyAlignment="1">
      <alignment horizontal="center" vertical="center"/>
    </xf>
    <xf numFmtId="0" fontId="37" fillId="0" borderId="0" xfId="0" applyFont="1" applyBorder="1" applyAlignment="1">
      <alignment horizontal="center" vertical="center"/>
    </xf>
    <xf numFmtId="16" fontId="37" fillId="0" borderId="0" xfId="0" applyNumberFormat="1" applyFont="1" applyBorder="1" applyAlignment="1">
      <alignment horizontal="center" vertical="center"/>
    </xf>
    <xf numFmtId="0" fontId="37" fillId="0" borderId="22" xfId="0" applyFont="1" applyBorder="1" applyAlignment="1">
      <alignment horizontal="center" vertical="center"/>
    </xf>
    <xf numFmtId="3" fontId="37" fillId="0" borderId="52" xfId="0" applyNumberFormat="1" applyFont="1" applyBorder="1" applyAlignment="1">
      <alignment horizontal="center" vertical="center"/>
    </xf>
    <xf numFmtId="3" fontId="37" fillId="26" borderId="52" xfId="0" applyNumberFormat="1" applyFont="1" applyFill="1" applyBorder="1" applyAlignment="1">
      <alignment horizontal="center" vertical="center"/>
    </xf>
    <xf numFmtId="0" fontId="37" fillId="24" borderId="0" xfId="0" applyFont="1" applyFill="1" applyBorder="1" applyAlignment="1">
      <alignment horizontal="center"/>
    </xf>
    <xf numFmtId="0" fontId="38" fillId="24" borderId="0" xfId="0" applyFont="1" applyFill="1" applyBorder="1"/>
    <xf numFmtId="0" fontId="37" fillId="0" borderId="0" xfId="0" applyFont="1" applyFill="1" applyBorder="1" applyAlignment="1">
      <alignment horizontal="center" vertical="center"/>
    </xf>
    <xf numFmtId="180" fontId="37" fillId="0" borderId="0" xfId="0" applyNumberFormat="1" applyFont="1" applyBorder="1" applyAlignment="1">
      <alignment horizontal="center"/>
    </xf>
    <xf numFmtId="0" fontId="95" fillId="0" borderId="0" xfId="0" applyFont="1" applyAlignment="1">
      <alignment horizontal="left"/>
    </xf>
    <xf numFmtId="0" fontId="94" fillId="35" borderId="70" xfId="195" applyFont="1" applyFill="1" applyBorder="1" applyAlignment="1">
      <alignment horizontal="center" vertical="center" wrapText="1"/>
    </xf>
    <xf numFmtId="0" fontId="94" fillId="35" borderId="101" xfId="195" applyFont="1" applyFill="1" applyBorder="1" applyAlignment="1">
      <alignment horizontal="center" vertical="center" wrapText="1"/>
    </xf>
    <xf numFmtId="0" fontId="94" fillId="35" borderId="61" xfId="195" applyFont="1" applyFill="1" applyBorder="1" applyAlignment="1">
      <alignment horizontal="center" vertical="center" wrapText="1"/>
    </xf>
    <xf numFmtId="0" fontId="94" fillId="35" borderId="102" xfId="195" applyFont="1" applyFill="1" applyBorder="1" applyAlignment="1">
      <alignment horizontal="center" vertical="center" wrapText="1"/>
    </xf>
    <xf numFmtId="0" fontId="94" fillId="35" borderId="103" xfId="195" applyFont="1" applyFill="1" applyBorder="1" applyAlignment="1">
      <alignment horizontal="center" vertical="center" wrapText="1"/>
    </xf>
    <xf numFmtId="0" fontId="94" fillId="35" borderId="104" xfId="195" applyFont="1" applyFill="1" applyBorder="1" applyAlignment="1">
      <alignment horizontal="center" vertical="center" wrapText="1"/>
    </xf>
    <xf numFmtId="180" fontId="38" fillId="35" borderId="41" xfId="0" applyNumberFormat="1" applyFont="1" applyFill="1" applyBorder="1" applyAlignment="1">
      <alignment horizontal="center"/>
    </xf>
    <xf numFmtId="0" fontId="94" fillId="0" borderId="105" xfId="195" applyFont="1" applyFill="1" applyBorder="1" applyAlignment="1">
      <alignment horizontal="center" wrapText="1"/>
    </xf>
    <xf numFmtId="0" fontId="94" fillId="0" borderId="106" xfId="195" applyFont="1" applyFill="1" applyBorder="1" applyAlignment="1">
      <alignment horizontal="center" wrapText="1"/>
    </xf>
    <xf numFmtId="0" fontId="94" fillId="0" borderId="107" xfId="195" applyFont="1" applyFill="1" applyBorder="1" applyAlignment="1">
      <alignment horizontal="center" wrapText="1"/>
    </xf>
    <xf numFmtId="0" fontId="94" fillId="0" borderId="108" xfId="195" applyFont="1" applyFill="1" applyBorder="1" applyAlignment="1">
      <alignment horizontal="center" wrapText="1"/>
    </xf>
    <xf numFmtId="0" fontId="94" fillId="0" borderId="109" xfId="195" applyFont="1" applyFill="1" applyBorder="1" applyAlignment="1">
      <alignment horizontal="center" wrapText="1"/>
    </xf>
    <xf numFmtId="0" fontId="94" fillId="0" borderId="110" xfId="195" applyFont="1" applyFill="1" applyBorder="1" applyAlignment="1">
      <alignment horizontal="center" wrapText="1"/>
    </xf>
    <xf numFmtId="0" fontId="94" fillId="0" borderId="111" xfId="195" applyFont="1" applyFill="1" applyBorder="1" applyAlignment="1">
      <alignment horizontal="center" wrapText="1"/>
    </xf>
    <xf numFmtId="0" fontId="94" fillId="0" borderId="112" xfId="195" applyFont="1" applyFill="1" applyBorder="1" applyAlignment="1">
      <alignment horizontal="center" wrapText="1"/>
    </xf>
    <xf numFmtId="0" fontId="94" fillId="0" borderId="4" xfId="195" applyFont="1" applyFill="1" applyBorder="1" applyAlignment="1">
      <alignment horizontal="center" wrapText="1"/>
    </xf>
    <xf numFmtId="0" fontId="94" fillId="0" borderId="113" xfId="195" applyFont="1" applyFill="1" applyBorder="1" applyAlignment="1">
      <alignment horizontal="center" wrapText="1"/>
    </xf>
    <xf numFmtId="0" fontId="94" fillId="0" borderId="114" xfId="195" applyFont="1" applyFill="1" applyBorder="1" applyAlignment="1">
      <alignment horizontal="center" wrapText="1"/>
    </xf>
    <xf numFmtId="0" fontId="94" fillId="0" borderId="115" xfId="195" applyFont="1" applyFill="1" applyBorder="1" applyAlignment="1">
      <alignment horizontal="center" wrapText="1"/>
    </xf>
    <xf numFmtId="0" fontId="94" fillId="0" borderId="116" xfId="195" applyFont="1" applyFill="1" applyBorder="1" applyAlignment="1">
      <alignment horizontal="center" wrapText="1"/>
    </xf>
    <xf numFmtId="0" fontId="94" fillId="0" borderId="117" xfId="195" applyFont="1" applyFill="1" applyBorder="1" applyAlignment="1">
      <alignment horizontal="center" wrapText="1"/>
    </xf>
    <xf numFmtId="0" fontId="94" fillId="0" borderId="118" xfId="195" applyFont="1" applyFill="1" applyBorder="1" applyAlignment="1">
      <alignment horizontal="center" wrapText="1"/>
    </xf>
    <xf numFmtId="0" fontId="94" fillId="0" borderId="119" xfId="195" applyFont="1" applyFill="1" applyBorder="1" applyAlignment="1">
      <alignment horizontal="center" wrapText="1"/>
    </xf>
    <xf numFmtId="0" fontId="94" fillId="0" borderId="120" xfId="195" applyFont="1" applyFill="1" applyBorder="1" applyAlignment="1">
      <alignment horizontal="center" wrapText="1"/>
    </xf>
    <xf numFmtId="0" fontId="94" fillId="0" borderId="121" xfId="195" applyFont="1" applyFill="1" applyBorder="1" applyAlignment="1">
      <alignment horizontal="center" wrapText="1"/>
    </xf>
    <xf numFmtId="0" fontId="94" fillId="0" borderId="122" xfId="195" applyFont="1" applyFill="1" applyBorder="1" applyAlignment="1">
      <alignment horizontal="center" wrapText="1"/>
    </xf>
    <xf numFmtId="0" fontId="94" fillId="0" borderId="123" xfId="195" applyFont="1" applyFill="1" applyBorder="1" applyAlignment="1">
      <alignment horizontal="center" wrapText="1"/>
    </xf>
    <xf numFmtId="0" fontId="94" fillId="0" borderId="124" xfId="195" applyFont="1" applyFill="1" applyBorder="1" applyAlignment="1">
      <alignment horizontal="center" wrapText="1"/>
    </xf>
    <xf numFmtId="0" fontId="94" fillId="0" borderId="125" xfId="195" applyFont="1" applyFill="1" applyBorder="1" applyAlignment="1">
      <alignment horizontal="center" wrapText="1"/>
    </xf>
    <xf numFmtId="0" fontId="94" fillId="0" borderId="126" xfId="195" applyFont="1" applyFill="1" applyBorder="1" applyAlignment="1">
      <alignment horizontal="center" wrapText="1"/>
    </xf>
    <xf numFmtId="0" fontId="94" fillId="0" borderId="127" xfId="195" applyFont="1" applyFill="1" applyBorder="1" applyAlignment="1">
      <alignment horizontal="center" wrapText="1"/>
    </xf>
    <xf numFmtId="0" fontId="94" fillId="0" borderId="128" xfId="195" applyFont="1" applyFill="1" applyBorder="1" applyAlignment="1">
      <alignment horizontal="center" wrapText="1"/>
    </xf>
    <xf numFmtId="0" fontId="94" fillId="0" borderId="129" xfId="195" applyFont="1" applyFill="1" applyBorder="1" applyAlignment="1">
      <alignment horizontal="center" wrapText="1"/>
    </xf>
    <xf numFmtId="0" fontId="94" fillId="0" borderId="130" xfId="195" applyFont="1" applyFill="1" applyBorder="1" applyAlignment="1">
      <alignment horizontal="center" wrapText="1"/>
    </xf>
    <xf numFmtId="0" fontId="94" fillId="0" borderId="131" xfId="195" applyFont="1" applyFill="1" applyBorder="1" applyAlignment="1">
      <alignment horizontal="center" wrapText="1"/>
    </xf>
    <xf numFmtId="0" fontId="94" fillId="0" borderId="132" xfId="195" applyFont="1" applyFill="1" applyBorder="1" applyAlignment="1">
      <alignment horizontal="center" wrapText="1"/>
    </xf>
    <xf numFmtId="0" fontId="94" fillId="0" borderId="133" xfId="195" applyFont="1" applyFill="1" applyBorder="1" applyAlignment="1">
      <alignment horizontal="center" wrapText="1"/>
    </xf>
    <xf numFmtId="0" fontId="94" fillId="0" borderId="70" xfId="195" applyFont="1" applyFill="1" applyBorder="1" applyAlignment="1">
      <alignment horizontal="center" wrapText="1"/>
    </xf>
    <xf numFmtId="0" fontId="94" fillId="0" borderId="71" xfId="195" applyFont="1" applyFill="1" applyBorder="1" applyAlignment="1">
      <alignment horizontal="center" wrapText="1"/>
    </xf>
    <xf numFmtId="0" fontId="94" fillId="0" borderId="39" xfId="195" applyFont="1" applyFill="1" applyBorder="1" applyAlignment="1">
      <alignment horizontal="center" wrapText="1"/>
    </xf>
    <xf numFmtId="0" fontId="94" fillId="0" borderId="0" xfId="195" applyFont="1" applyFill="1" applyBorder="1" applyAlignment="1">
      <alignment horizontal="center" wrapText="1"/>
    </xf>
    <xf numFmtId="0" fontId="94" fillId="0" borderId="74" xfId="195" applyFont="1" applyFill="1" applyBorder="1" applyAlignment="1">
      <alignment horizontal="center" wrapText="1"/>
    </xf>
    <xf numFmtId="0" fontId="94" fillId="0" borderId="67" xfId="195" applyFont="1" applyFill="1" applyBorder="1" applyAlignment="1">
      <alignment horizontal="center" wrapText="1"/>
    </xf>
    <xf numFmtId="0" fontId="94" fillId="0" borderId="84" xfId="195" applyFont="1" applyFill="1" applyBorder="1" applyAlignment="1">
      <alignment horizontal="center" wrapText="1"/>
    </xf>
    <xf numFmtId="0" fontId="94" fillId="0" borderId="75" xfId="195" applyFont="1" applyFill="1" applyBorder="1" applyAlignment="1">
      <alignment horizontal="center" wrapText="1"/>
    </xf>
    <xf numFmtId="0" fontId="94" fillId="0" borderId="27" xfId="195" applyFont="1" applyFill="1" applyBorder="1" applyAlignment="1">
      <alignment horizontal="center" wrapText="1"/>
    </xf>
    <xf numFmtId="0" fontId="94" fillId="0" borderId="22" xfId="195" applyFont="1" applyFill="1" applyBorder="1" applyAlignment="1">
      <alignment horizontal="center" wrapText="1"/>
    </xf>
    <xf numFmtId="0" fontId="94" fillId="0" borderId="0" xfId="195" applyFont="1" applyFill="1" applyBorder="1" applyAlignment="1">
      <alignment horizontal="left" wrapText="1"/>
    </xf>
    <xf numFmtId="0" fontId="94" fillId="0" borderId="21" xfId="195" applyFont="1" applyFill="1" applyBorder="1" applyAlignment="1">
      <alignment horizontal="left" wrapText="1"/>
    </xf>
    <xf numFmtId="0" fontId="94" fillId="26" borderId="22" xfId="195" applyFont="1" applyFill="1" applyBorder="1" applyAlignment="1">
      <alignment horizontal="center" wrapText="1"/>
    </xf>
    <xf numFmtId="0" fontId="37" fillId="0" borderId="134" xfId="0" applyFont="1" applyBorder="1" applyAlignment="1">
      <alignment horizontal="center" vertical="center"/>
    </xf>
    <xf numFmtId="0" fontId="37" fillId="0" borderId="52" xfId="0" applyFont="1" applyBorder="1" applyAlignment="1">
      <alignment horizontal="center" vertical="center"/>
    </xf>
    <xf numFmtId="0" fontId="37" fillId="0" borderId="53" xfId="0" applyFont="1" applyBorder="1" applyAlignment="1">
      <alignment horizontal="center" vertical="center"/>
    </xf>
    <xf numFmtId="0" fontId="37" fillId="24" borderId="11" xfId="0" applyFont="1" applyFill="1" applyBorder="1" applyAlignment="1">
      <alignment horizontal="center" vertical="center"/>
    </xf>
    <xf numFmtId="16" fontId="37" fillId="0" borderId="55" xfId="0" applyNumberFormat="1" applyFont="1" applyBorder="1" applyAlignment="1">
      <alignment horizontal="center" vertical="center"/>
    </xf>
    <xf numFmtId="0" fontId="37" fillId="0" borderId="41" xfId="0" applyFont="1" applyBorder="1" applyAlignment="1">
      <alignment horizontal="center"/>
    </xf>
    <xf numFmtId="2" fontId="37" fillId="0" borderId="10" xfId="0" applyNumberFormat="1" applyFont="1" applyFill="1" applyBorder="1" applyAlignment="1">
      <alignment horizontal="center"/>
    </xf>
    <xf numFmtId="4" fontId="94" fillId="0" borderId="70" xfId="195" applyNumberFormat="1" applyFont="1" applyFill="1" applyBorder="1" applyAlignment="1">
      <alignment horizontal="center" wrapText="1"/>
    </xf>
    <xf numFmtId="4" fontId="94" fillId="0" borderId="71" xfId="195" applyNumberFormat="1" applyFont="1" applyFill="1" applyBorder="1" applyAlignment="1">
      <alignment horizontal="center" wrapText="1"/>
    </xf>
    <xf numFmtId="4" fontId="94" fillId="0" borderId="39" xfId="195" applyNumberFormat="1" applyFont="1" applyFill="1" applyBorder="1" applyAlignment="1">
      <alignment horizontal="center" wrapText="1"/>
    </xf>
    <xf numFmtId="4" fontId="94" fillId="0" borderId="74" xfId="195" applyNumberFormat="1" applyFont="1" applyFill="1" applyBorder="1" applyAlignment="1">
      <alignment horizontal="center" wrapText="1"/>
    </xf>
    <xf numFmtId="4" fontId="94" fillId="0" borderId="67" xfId="195" applyNumberFormat="1" applyFont="1" applyFill="1" applyBorder="1" applyAlignment="1">
      <alignment horizontal="center" wrapText="1"/>
    </xf>
    <xf numFmtId="4" fontId="94" fillId="0" borderId="75" xfId="195" applyNumberFormat="1" applyFont="1" applyFill="1" applyBorder="1" applyAlignment="1">
      <alignment horizontal="center" wrapText="1"/>
    </xf>
    <xf numFmtId="171" fontId="81" fillId="24" borderId="10" xfId="0" applyNumberFormat="1" applyFont="1" applyFill="1" applyBorder="1" applyAlignment="1">
      <alignment horizontal="center" vertical="center"/>
    </xf>
    <xf numFmtId="175" fontId="57" fillId="24" borderId="0" xfId="0" applyNumberFormat="1" applyFont="1" applyFill="1" applyBorder="1"/>
    <xf numFmtId="4" fontId="26" fillId="24" borderId="0" xfId="0" applyNumberFormat="1" applyFont="1" applyFill="1" applyBorder="1" applyAlignment="1">
      <alignment horizontal="center"/>
    </xf>
    <xf numFmtId="0" fontId="0" fillId="24" borderId="0" xfId="0" applyFill="1" applyBorder="1" applyAlignment="1">
      <alignment horizontal="center"/>
    </xf>
    <xf numFmtId="0" fontId="15" fillId="30" borderId="21" xfId="0" applyFont="1" applyFill="1" applyBorder="1"/>
    <xf numFmtId="0" fontId="15" fillId="30" borderId="67" xfId="0" applyFont="1" applyFill="1" applyBorder="1"/>
    <xf numFmtId="0" fontId="15" fillId="30" borderId="84" xfId="0" applyFont="1" applyFill="1" applyBorder="1"/>
    <xf numFmtId="0" fontId="15" fillId="30" borderId="75" xfId="0" applyFont="1" applyFill="1" applyBorder="1"/>
    <xf numFmtId="0" fontId="15" fillId="30" borderId="27" xfId="0" applyFont="1" applyFill="1" applyBorder="1"/>
    <xf numFmtId="0" fontId="15" fillId="30" borderId="22" xfId="0" applyFont="1" applyFill="1" applyBorder="1"/>
    <xf numFmtId="2" fontId="10" fillId="24" borderId="10" xfId="0" applyNumberFormat="1" applyFont="1" applyFill="1" applyBorder="1" applyAlignment="1">
      <alignment horizontal="right"/>
    </xf>
    <xf numFmtId="0" fontId="10" fillId="0" borderId="16" xfId="0" applyFont="1" applyBorder="1" applyAlignment="1">
      <alignment horizontal="center"/>
    </xf>
    <xf numFmtId="0" fontId="57" fillId="0" borderId="16" xfId="0" applyFont="1" applyBorder="1" applyAlignment="1">
      <alignment horizontal="center"/>
    </xf>
    <xf numFmtId="0" fontId="37" fillId="24" borderId="16" xfId="0" applyFont="1" applyFill="1" applyBorder="1" applyAlignment="1">
      <alignment horizontal="center"/>
    </xf>
    <xf numFmtId="0" fontId="13" fillId="34" borderId="27" xfId="0" applyFont="1" applyFill="1" applyBorder="1" applyAlignment="1"/>
    <xf numFmtId="0" fontId="13" fillId="34" borderId="21" xfId="0" applyFont="1" applyFill="1" applyBorder="1" applyAlignment="1"/>
    <xf numFmtId="0" fontId="13" fillId="34" borderId="134" xfId="0" applyFont="1" applyFill="1" applyBorder="1" applyAlignment="1"/>
    <xf numFmtId="0" fontId="57" fillId="34" borderId="21" xfId="0" applyFont="1" applyFill="1" applyBorder="1"/>
    <xf numFmtId="0" fontId="57" fillId="34" borderId="22" xfId="0" applyFont="1" applyFill="1" applyBorder="1"/>
    <xf numFmtId="2" fontId="37" fillId="0" borderId="28" xfId="0" applyNumberFormat="1" applyFont="1" applyFill="1" applyBorder="1" applyAlignment="1">
      <alignment horizontal="center"/>
    </xf>
    <xf numFmtId="0" fontId="8" fillId="0" borderId="13" xfId="0" applyFont="1" applyBorder="1"/>
    <xf numFmtId="0" fontId="94" fillId="24" borderId="0" xfId="195" applyFont="1" applyFill="1" applyBorder="1" applyAlignment="1">
      <alignment horizontal="center" wrapText="1"/>
    </xf>
    <xf numFmtId="0" fontId="0" fillId="0" borderId="0" xfId="0" applyAlignment="1">
      <alignment horizontal="left"/>
    </xf>
    <xf numFmtId="184" fontId="91" fillId="0" borderId="0" xfId="0" applyNumberFormat="1" applyFont="1" applyAlignment="1">
      <alignment horizontal="left"/>
    </xf>
    <xf numFmtId="0" fontId="95" fillId="24" borderId="0" xfId="0" applyFont="1" applyFill="1" applyAlignment="1"/>
    <xf numFmtId="0" fontId="37" fillId="24" borderId="0" xfId="0" applyFont="1" applyFill="1" applyAlignment="1">
      <alignment horizontal="center" vertical="center"/>
    </xf>
    <xf numFmtId="0" fontId="37" fillId="24" borderId="40" xfId="0" applyFont="1" applyFill="1" applyBorder="1" applyAlignment="1">
      <alignment horizontal="center" vertical="center"/>
    </xf>
    <xf numFmtId="0" fontId="37" fillId="24" borderId="43" xfId="0" applyFont="1" applyFill="1" applyBorder="1" applyAlignment="1">
      <alignment horizontal="center" vertical="center"/>
    </xf>
    <xf numFmtId="0" fontId="37" fillId="24" borderId="57" xfId="0" applyFont="1" applyFill="1" applyBorder="1" applyAlignment="1">
      <alignment horizontal="center" vertical="center"/>
    </xf>
    <xf numFmtId="0" fontId="37" fillId="24" borderId="42" xfId="0" applyFont="1" applyFill="1" applyBorder="1" applyAlignment="1">
      <alignment horizontal="center" vertical="center"/>
    </xf>
    <xf numFmtId="0" fontId="37" fillId="24" borderId="48" xfId="0" applyFont="1" applyFill="1" applyBorder="1" applyAlignment="1">
      <alignment horizontal="center" vertical="center"/>
    </xf>
    <xf numFmtId="0" fontId="37" fillId="24" borderId="13" xfId="0" applyFont="1" applyFill="1" applyBorder="1" applyAlignment="1">
      <alignment horizontal="center" vertical="center"/>
    </xf>
    <xf numFmtId="0" fontId="37" fillId="24" borderId="69" xfId="0" applyFont="1" applyFill="1" applyBorder="1" applyAlignment="1">
      <alignment horizontal="center" vertical="center"/>
    </xf>
    <xf numFmtId="0" fontId="95" fillId="29" borderId="0" xfId="0" applyFont="1" applyFill="1" applyAlignment="1"/>
    <xf numFmtId="0" fontId="37" fillId="29" borderId="0" xfId="0" applyFont="1" applyFill="1" applyAlignment="1">
      <alignment horizontal="center" vertical="center"/>
    </xf>
    <xf numFmtId="4" fontId="10" fillId="0" borderId="0" xfId="0" applyNumberFormat="1" applyFont="1" applyAlignment="1">
      <alignment horizontal="center"/>
    </xf>
    <xf numFmtId="4" fontId="37" fillId="0" borderId="0" xfId="0" applyNumberFormat="1" applyFont="1" applyAlignment="1">
      <alignment horizontal="center"/>
    </xf>
    <xf numFmtId="0" fontId="13" fillId="0" borderId="0" xfId="0" applyFont="1" applyFill="1" applyBorder="1" applyAlignment="1">
      <alignment horizontal="center"/>
    </xf>
    <xf numFmtId="4" fontId="13" fillId="0" borderId="0" xfId="0" applyNumberFormat="1" applyFont="1" applyFill="1" applyBorder="1" applyAlignment="1">
      <alignment horizontal="center"/>
    </xf>
    <xf numFmtId="4" fontId="37" fillId="0" borderId="0" xfId="0" applyNumberFormat="1" applyFont="1" applyFill="1" applyAlignment="1">
      <alignment horizontal="center"/>
    </xf>
    <xf numFmtId="0" fontId="37" fillId="0" borderId="0" xfId="0" applyFont="1" applyFill="1" applyAlignment="1">
      <alignment horizontal="center"/>
    </xf>
    <xf numFmtId="0" fontId="37" fillId="0" borderId="0" xfId="0" applyFont="1" applyFill="1"/>
    <xf numFmtId="4" fontId="10" fillId="0" borderId="0" xfId="0" applyNumberFormat="1" applyFont="1"/>
    <xf numFmtId="3" fontId="10" fillId="0" borderId="10" xfId="0" applyNumberFormat="1" applyFont="1" applyBorder="1" applyAlignment="1">
      <alignment horizontal="center"/>
    </xf>
    <xf numFmtId="3" fontId="10" fillId="0" borderId="10" xfId="0" applyNumberFormat="1" applyFont="1" applyFill="1" applyBorder="1" applyAlignment="1">
      <alignment horizontal="center"/>
    </xf>
    <xf numFmtId="2" fontId="37" fillId="0" borderId="10" xfId="0" applyNumberFormat="1" applyFont="1" applyBorder="1" applyAlignment="1">
      <alignment horizontal="center" vertical="center"/>
    </xf>
    <xf numFmtId="0" fontId="13" fillId="25" borderId="10" xfId="0" applyFont="1" applyFill="1" applyBorder="1" applyAlignment="1">
      <alignment horizontal="center"/>
    </xf>
    <xf numFmtId="4" fontId="13" fillId="25" borderId="10" xfId="0" applyNumberFormat="1" applyFont="1" applyFill="1" applyBorder="1" applyAlignment="1">
      <alignment horizontal="center"/>
    </xf>
    <xf numFmtId="175" fontId="37" fillId="0" borderId="10" xfId="0" applyNumberFormat="1" applyFont="1" applyBorder="1"/>
    <xf numFmtId="175" fontId="37" fillId="0" borderId="28" xfId="0" applyNumberFormat="1" applyFont="1" applyBorder="1"/>
    <xf numFmtId="175" fontId="37" fillId="0" borderId="0" xfId="0" applyNumberFormat="1" applyFont="1"/>
    <xf numFmtId="175" fontId="37" fillId="0" borderId="29" xfId="0" applyNumberFormat="1" applyFont="1" applyFill="1" applyBorder="1" applyAlignment="1">
      <alignment horizontal="center"/>
    </xf>
    <xf numFmtId="0" fontId="37" fillId="0" borderId="136" xfId="0" applyFont="1" applyBorder="1"/>
    <xf numFmtId="0" fontId="37" fillId="0" borderId="28" xfId="0" applyFont="1" applyBorder="1"/>
    <xf numFmtId="0" fontId="37" fillId="0" borderId="28" xfId="0" applyFont="1" applyFill="1" applyBorder="1" applyAlignment="1">
      <alignment horizontal="center"/>
    </xf>
    <xf numFmtId="2" fontId="37" fillId="0" borderId="28" xfId="0" applyNumberFormat="1" applyFont="1" applyBorder="1"/>
    <xf numFmtId="175" fontId="37" fillId="0" borderId="28" xfId="0" applyNumberFormat="1" applyFont="1" applyFill="1" applyBorder="1"/>
    <xf numFmtId="175" fontId="37" fillId="0" borderId="0" xfId="0" applyNumberFormat="1" applyFont="1" applyFill="1"/>
    <xf numFmtId="2" fontId="37" fillId="0" borderId="28" xfId="0" applyNumberFormat="1" applyFont="1" applyFill="1" applyBorder="1"/>
    <xf numFmtId="175" fontId="37" fillId="0" borderId="10" xfId="0" applyNumberFormat="1" applyFont="1" applyFill="1" applyBorder="1"/>
    <xf numFmtId="0" fontId="37" fillId="0" borderId="28" xfId="0" applyFont="1" applyFill="1" applyBorder="1"/>
    <xf numFmtId="2" fontId="10" fillId="0" borderId="0" xfId="0" applyNumberFormat="1" applyFont="1" applyBorder="1"/>
    <xf numFmtId="4" fontId="10" fillId="0" borderId="0" xfId="0" applyNumberFormat="1" applyFont="1" applyBorder="1"/>
    <xf numFmtId="3" fontId="10" fillId="26" borderId="10" xfId="0" applyNumberFormat="1" applyFont="1" applyFill="1" applyBorder="1" applyAlignment="1">
      <alignment horizontal="center"/>
    </xf>
    <xf numFmtId="0" fontId="37" fillId="0" borderId="10" xfId="0" applyFont="1" applyBorder="1" applyAlignment="1">
      <alignment horizontal="right"/>
    </xf>
    <xf numFmtId="4" fontId="10" fillId="0" borderId="15" xfId="0" applyNumberFormat="1" applyFont="1" applyFill="1" applyBorder="1" applyAlignment="1">
      <alignment horizontal="center"/>
    </xf>
    <xf numFmtId="4" fontId="39" fillId="0" borderId="10" xfId="0" applyNumberFormat="1" applyFont="1" applyFill="1" applyBorder="1" applyAlignment="1">
      <alignment horizontal="center"/>
    </xf>
    <xf numFmtId="4" fontId="10" fillId="0" borderId="15" xfId="0" applyNumberFormat="1" applyFont="1" applyBorder="1" applyAlignment="1">
      <alignment horizontal="center"/>
    </xf>
    <xf numFmtId="4" fontId="10" fillId="0" borderId="16" xfId="0" applyNumberFormat="1" applyFont="1" applyBorder="1" applyAlignment="1">
      <alignment horizontal="center"/>
    </xf>
    <xf numFmtId="178" fontId="10" fillId="26" borderId="10" xfId="0" applyNumberFormat="1" applyFont="1" applyFill="1" applyBorder="1" applyAlignment="1">
      <alignment horizontal="center"/>
    </xf>
    <xf numFmtId="2" fontId="10" fillId="0" borderId="10" xfId="0" applyNumberFormat="1" applyFont="1" applyFill="1" applyBorder="1"/>
    <xf numFmtId="2" fontId="10" fillId="0" borderId="10" xfId="0" applyNumberFormat="1" applyFont="1" applyBorder="1" applyAlignment="1"/>
    <xf numFmtId="0" fontId="13" fillId="24" borderId="0" xfId="0" applyFont="1" applyFill="1" applyBorder="1" applyAlignment="1">
      <alignment horizontal="center"/>
    </xf>
    <xf numFmtId="4" fontId="13" fillId="24" borderId="0" xfId="0" applyNumberFormat="1" applyFont="1" applyFill="1" applyBorder="1" applyAlignment="1">
      <alignment horizontal="center"/>
    </xf>
    <xf numFmtId="4" fontId="10" fillId="0" borderId="0" xfId="0" applyNumberFormat="1" applyFont="1" applyBorder="1" applyAlignment="1">
      <alignment horizontal="center"/>
    </xf>
    <xf numFmtId="3" fontId="89" fillId="0" borderId="35" xfId="0" applyNumberFormat="1" applyFont="1" applyBorder="1" applyAlignment="1">
      <alignment wrapText="1"/>
    </xf>
    <xf numFmtId="3" fontId="89" fillId="0" borderId="98" xfId="0" applyNumberFormat="1" applyFont="1" applyBorder="1" applyAlignment="1">
      <alignment wrapText="1"/>
    </xf>
    <xf numFmtId="0" fontId="89" fillId="0" borderId="98" xfId="0" applyFont="1" applyBorder="1" applyAlignment="1">
      <alignment wrapText="1"/>
    </xf>
    <xf numFmtId="178" fontId="10" fillId="26" borderId="16" xfId="0" applyNumberFormat="1" applyFont="1" applyFill="1" applyBorder="1" applyAlignment="1">
      <alignment horizontal="center"/>
    </xf>
    <xf numFmtId="2" fontId="10" fillId="0" borderId="16" xfId="0" applyNumberFormat="1" applyFont="1" applyFill="1" applyBorder="1" applyAlignment="1">
      <alignment horizontal="center"/>
    </xf>
    <xf numFmtId="171" fontId="10" fillId="0" borderId="10" xfId="0" applyNumberFormat="1" applyFont="1" applyBorder="1" applyAlignment="1">
      <alignment horizontal="center"/>
    </xf>
    <xf numFmtId="4" fontId="37" fillId="0" borderId="0" xfId="0" applyNumberFormat="1" applyFont="1"/>
    <xf numFmtId="0" fontId="98" fillId="29" borderId="48" xfId="0" applyFont="1" applyFill="1" applyBorder="1"/>
    <xf numFmtId="0" fontId="89" fillId="0" borderId="67" xfId="0" applyFont="1" applyBorder="1" applyAlignment="1">
      <alignment horizontal="center"/>
    </xf>
    <xf numFmtId="2" fontId="37" fillId="0" borderId="10" xfId="0" applyNumberFormat="1" applyFont="1" applyBorder="1" applyAlignment="1"/>
    <xf numFmtId="2" fontId="37" fillId="0" borderId="10" xfId="0" applyNumberFormat="1" applyFont="1" applyFill="1" applyBorder="1" applyAlignment="1"/>
    <xf numFmtId="0" fontId="37" fillId="0" borderId="10" xfId="0" applyFont="1" applyBorder="1" applyAlignment="1"/>
    <xf numFmtId="0" fontId="8" fillId="0" borderId="10" xfId="177" applyFont="1" applyBorder="1" applyAlignment="1">
      <alignment horizontal="center"/>
    </xf>
    <xf numFmtId="0" fontId="8" fillId="24" borderId="10" xfId="177" applyFont="1" applyFill="1" applyBorder="1" applyAlignment="1">
      <alignment horizontal="center"/>
    </xf>
    <xf numFmtId="0" fontId="8" fillId="0" borderId="10" xfId="177" applyFont="1" applyFill="1" applyBorder="1" applyAlignment="1">
      <alignment horizontal="center"/>
    </xf>
    <xf numFmtId="0" fontId="15" fillId="0" borderId="0" xfId="0" applyFont="1"/>
    <xf numFmtId="0" fontId="37" fillId="24" borderId="52" xfId="0" applyFont="1" applyFill="1" applyBorder="1" applyAlignment="1">
      <alignment horizontal="center" vertical="center"/>
    </xf>
    <xf numFmtId="16" fontId="37" fillId="24" borderId="55" xfId="0" applyNumberFormat="1" applyFont="1" applyFill="1" applyBorder="1" applyAlignment="1">
      <alignment horizontal="center" vertical="center"/>
    </xf>
    <xf numFmtId="0" fontId="37" fillId="24" borderId="134" xfId="0" applyFont="1" applyFill="1" applyBorder="1" applyAlignment="1">
      <alignment horizontal="center" vertical="center"/>
    </xf>
    <xf numFmtId="0" fontId="37" fillId="24" borderId="54" xfId="0" applyFont="1" applyFill="1" applyBorder="1" applyAlignment="1">
      <alignment horizontal="center" vertical="center"/>
    </xf>
    <xf numFmtId="0" fontId="37" fillId="24" borderId="55" xfId="0" applyFont="1" applyFill="1" applyBorder="1" applyAlignment="1">
      <alignment horizontal="center" vertical="center"/>
    </xf>
    <xf numFmtId="0" fontId="37" fillId="24" borderId="53" xfId="0" applyFont="1" applyFill="1" applyBorder="1" applyAlignment="1">
      <alignment horizontal="center" vertical="center"/>
    </xf>
    <xf numFmtId="0" fontId="94" fillId="24" borderId="55" xfId="196" applyFont="1" applyFill="1" applyBorder="1" applyAlignment="1">
      <alignment horizontal="center" vertical="center" wrapText="1"/>
    </xf>
    <xf numFmtId="0" fontId="37" fillId="24" borderId="22" xfId="0" applyFont="1" applyFill="1" applyBorder="1" applyAlignment="1">
      <alignment horizontal="center" vertical="center"/>
    </xf>
    <xf numFmtId="0" fontId="89" fillId="24" borderId="34" xfId="0" applyFont="1" applyFill="1" applyBorder="1" applyAlignment="1">
      <alignment horizontal="center"/>
    </xf>
    <xf numFmtId="0" fontId="89" fillId="24" borderId="36" xfId="0" applyFont="1" applyFill="1" applyBorder="1"/>
    <xf numFmtId="0" fontId="89" fillId="24" borderId="10" xfId="0" applyFont="1" applyFill="1" applyBorder="1"/>
    <xf numFmtId="0" fontId="89" fillId="24" borderId="10" xfId="0" applyFont="1" applyFill="1" applyBorder="1" applyAlignment="1">
      <alignment horizontal="center"/>
    </xf>
    <xf numFmtId="0" fontId="89" fillId="24" borderId="35" xfId="0" applyFont="1" applyFill="1" applyBorder="1" applyAlignment="1">
      <alignment horizontal="center"/>
    </xf>
    <xf numFmtId="0" fontId="89" fillId="24" borderId="44" xfId="0" applyFont="1" applyFill="1" applyBorder="1"/>
    <xf numFmtId="0" fontId="89" fillId="24" borderId="46" xfId="0" applyFont="1" applyFill="1" applyBorder="1"/>
    <xf numFmtId="0" fontId="89" fillId="24" borderId="46" xfId="0" applyFont="1" applyFill="1" applyBorder="1" applyAlignment="1">
      <alignment horizontal="center"/>
    </xf>
    <xf numFmtId="181" fontId="96" fillId="24" borderId="47" xfId="0" applyNumberFormat="1" applyFont="1" applyFill="1" applyBorder="1" applyAlignment="1">
      <alignment horizontal="center"/>
    </xf>
    <xf numFmtId="0" fontId="38" fillId="24" borderId="37" xfId="0" applyFont="1" applyFill="1" applyBorder="1"/>
    <xf numFmtId="0" fontId="38" fillId="24" borderId="33" xfId="0" applyFont="1" applyFill="1" applyBorder="1"/>
    <xf numFmtId="167" fontId="0" fillId="0" borderId="0" xfId="0" applyNumberFormat="1" applyFill="1" applyAlignment="1">
      <alignment horizontal="center"/>
    </xf>
    <xf numFmtId="9" fontId="0" fillId="0" borderId="0" xfId="203" applyFont="1" applyAlignment="1">
      <alignment horizontal="center"/>
    </xf>
    <xf numFmtId="0" fontId="8" fillId="0" borderId="0" xfId="177" applyFont="1" applyFill="1"/>
    <xf numFmtId="2" fontId="8" fillId="0" borderId="0" xfId="177" applyNumberFormat="1" applyFont="1" applyFill="1"/>
    <xf numFmtId="0" fontId="8" fillId="0" borderId="0" xfId="177" applyFont="1"/>
    <xf numFmtId="0" fontId="8" fillId="0" borderId="10" xfId="177" applyFont="1" applyFill="1" applyBorder="1"/>
    <xf numFmtId="0" fontId="8" fillId="29" borderId="10" xfId="177" applyFont="1" applyFill="1" applyBorder="1" applyAlignment="1">
      <alignment horizontal="center"/>
    </xf>
    <xf numFmtId="2" fontId="8" fillId="0" borderId="10" xfId="177" applyNumberFormat="1" applyFont="1" applyBorder="1"/>
    <xf numFmtId="175" fontId="8" fillId="0" borderId="10" xfId="177" applyNumberFormat="1" applyFont="1" applyFill="1" applyBorder="1" applyAlignment="1">
      <alignment horizontal="right"/>
    </xf>
    <xf numFmtId="2" fontId="8" fillId="0" borderId="13" xfId="177" applyNumberFormat="1" applyFont="1" applyFill="1" applyBorder="1" applyAlignment="1">
      <alignment horizontal="right"/>
    </xf>
    <xf numFmtId="2" fontId="8" fillId="0" borderId="10" xfId="177" applyNumberFormat="1" applyFont="1" applyFill="1" applyBorder="1"/>
    <xf numFmtId="2" fontId="8" fillId="0" borderId="12" xfId="177" applyNumberFormat="1" applyFont="1" applyFill="1" applyBorder="1" applyAlignment="1">
      <alignment horizontal="right"/>
    </xf>
    <xf numFmtId="175" fontId="42" fillId="0" borderId="10" xfId="177" applyNumberFormat="1" applyFont="1" applyFill="1" applyBorder="1" applyAlignment="1">
      <alignment horizontal="center"/>
    </xf>
    <xf numFmtId="2" fontId="8" fillId="0" borderId="15" xfId="177" applyNumberFormat="1" applyFont="1" applyFill="1" applyBorder="1" applyAlignment="1">
      <alignment horizontal="right"/>
    </xf>
    <xf numFmtId="2" fontId="8" fillId="0" borderId="16" xfId="177" applyNumberFormat="1" applyFont="1" applyFill="1" applyBorder="1" applyAlignment="1">
      <alignment horizontal="right"/>
    </xf>
    <xf numFmtId="2" fontId="7" fillId="25" borderId="10" xfId="177" applyNumberFormat="1" applyFont="1" applyFill="1" applyBorder="1" applyAlignment="1">
      <alignment horizontal="center"/>
    </xf>
    <xf numFmtId="175" fontId="7" fillId="25" borderId="10" xfId="177" applyNumberFormat="1" applyFont="1" applyFill="1" applyBorder="1" applyAlignment="1">
      <alignment horizontal="center"/>
    </xf>
    <xf numFmtId="0" fontId="8" fillId="0" borderId="16" xfId="177" applyFont="1" applyBorder="1" applyAlignment="1">
      <alignment horizontal="center"/>
    </xf>
    <xf numFmtId="0" fontId="8" fillId="0" borderId="16" xfId="177" applyFont="1" applyFill="1" applyBorder="1" applyAlignment="1">
      <alignment horizontal="center"/>
    </xf>
    <xf numFmtId="0" fontId="91" fillId="0" borderId="63" xfId="187" applyFont="1" applyBorder="1" applyAlignment="1">
      <alignment horizontal="center"/>
    </xf>
    <xf numFmtId="2" fontId="13" fillId="0" borderId="0" xfId="0" applyNumberFormat="1" applyFont="1" applyBorder="1" applyAlignment="1">
      <alignment horizontal="center"/>
    </xf>
    <xf numFmtId="2" fontId="13" fillId="24" borderId="0" xfId="0" applyNumberFormat="1" applyFont="1" applyFill="1" applyBorder="1" applyAlignment="1">
      <alignment horizontal="center"/>
    </xf>
    <xf numFmtId="2" fontId="10" fillId="24" borderId="0" xfId="0" applyNumberFormat="1" applyFont="1" applyFill="1" applyBorder="1"/>
    <xf numFmtId="0" fontId="37" fillId="26" borderId="16" xfId="0" applyFont="1" applyFill="1" applyBorder="1" applyAlignment="1">
      <alignment horizontal="center"/>
    </xf>
    <xf numFmtId="4" fontId="100" fillId="35" borderId="138" xfId="197" applyNumberFormat="1" applyFont="1" applyFill="1" applyBorder="1" applyAlignment="1">
      <alignment horizontal="center" vertical="center" wrapText="1"/>
    </xf>
    <xf numFmtId="0" fontId="100" fillId="35" borderId="138" xfId="197" applyFont="1" applyFill="1" applyBorder="1" applyAlignment="1">
      <alignment horizontal="center" vertical="center" wrapText="1"/>
    </xf>
    <xf numFmtId="0" fontId="65" fillId="24" borderId="0" xfId="0" applyFont="1" applyFill="1" applyAlignment="1">
      <alignment horizontal="center"/>
    </xf>
    <xf numFmtId="0" fontId="113" fillId="26" borderId="21" xfId="187" applyFill="1" applyBorder="1" applyAlignment="1">
      <alignment horizontal="center"/>
    </xf>
    <xf numFmtId="2" fontId="7" fillId="26" borderId="10" xfId="177" applyNumberFormat="1" applyFont="1" applyFill="1" applyBorder="1" applyAlignment="1">
      <alignment horizontal="center"/>
    </xf>
    <xf numFmtId="175" fontId="7" fillId="26" borderId="10" xfId="177" applyNumberFormat="1" applyFont="1" applyFill="1" applyBorder="1" applyAlignment="1">
      <alignment horizontal="center"/>
    </xf>
    <xf numFmtId="0" fontId="46" fillId="26" borderId="27" xfId="177" applyFont="1" applyFill="1" applyBorder="1"/>
    <xf numFmtId="0" fontId="46" fillId="26" borderId="134" xfId="177" applyFont="1" applyFill="1" applyBorder="1"/>
    <xf numFmtId="0" fontId="8" fillId="26" borderId="22" xfId="177" applyFont="1" applyFill="1" applyBorder="1"/>
    <xf numFmtId="0" fontId="113" fillId="26" borderId="21" xfId="187" applyFill="1" applyBorder="1" applyAlignment="1">
      <alignment horizontal="center"/>
    </xf>
    <xf numFmtId="0" fontId="0" fillId="0" borderId="45" xfId="0" applyBorder="1" applyAlignment="1">
      <alignment horizontal="center"/>
    </xf>
    <xf numFmtId="0" fontId="90" fillId="26" borderId="21" xfId="187" applyFont="1" applyFill="1" applyBorder="1" applyAlignment="1">
      <alignment horizontal="center"/>
    </xf>
    <xf numFmtId="0" fontId="38" fillId="24" borderId="0" xfId="0" applyFont="1" applyFill="1" applyBorder="1" applyAlignment="1"/>
    <xf numFmtId="0" fontId="37" fillId="0" borderId="0" xfId="0" applyFont="1" applyAlignment="1">
      <alignment horizontal="right"/>
    </xf>
    <xf numFmtId="0" fontId="37" fillId="0" borderId="20" xfId="0" applyFont="1" applyBorder="1" applyAlignment="1">
      <alignment horizontal="right"/>
    </xf>
    <xf numFmtId="0" fontId="37" fillId="0" borderId="10" xfId="0" applyFont="1" applyBorder="1" applyAlignment="1">
      <alignment horizontal="center"/>
    </xf>
    <xf numFmtId="0" fontId="37" fillId="0" borderId="59" xfId="0" applyFont="1" applyBorder="1" applyAlignment="1">
      <alignment horizontal="center"/>
    </xf>
    <xf numFmtId="14" fontId="96" fillId="0" borderId="46" xfId="0" applyNumberFormat="1" applyFont="1" applyBorder="1" applyAlignment="1">
      <alignment horizontal="center"/>
    </xf>
    <xf numFmtId="0" fontId="101" fillId="0" borderId="82" xfId="189" applyFont="1" applyBorder="1" applyAlignment="1">
      <alignment horizontal="center"/>
    </xf>
    <xf numFmtId="0" fontId="101" fillId="0" borderId="83" xfId="189" applyFont="1" applyBorder="1" applyAlignment="1">
      <alignment horizontal="center"/>
    </xf>
    <xf numFmtId="0" fontId="101" fillId="0" borderId="58" xfId="189" applyFont="1" applyBorder="1" applyAlignment="1">
      <alignment horizontal="center"/>
    </xf>
    <xf numFmtId="2" fontId="13" fillId="24" borderId="10" xfId="0" applyNumberFormat="1" applyFont="1" applyFill="1" applyBorder="1" applyAlignment="1">
      <alignment horizontal="center"/>
    </xf>
    <xf numFmtId="2" fontId="61" fillId="24" borderId="10" xfId="0" applyNumberFormat="1" applyFont="1" applyFill="1" applyBorder="1" applyAlignment="1">
      <alignment horizontal="center"/>
    </xf>
    <xf numFmtId="0" fontId="38" fillId="25" borderId="70" xfId="0" applyFont="1" applyFill="1" applyBorder="1"/>
    <xf numFmtId="0" fontId="38" fillId="25" borderId="60" xfId="0" applyFont="1" applyFill="1" applyBorder="1"/>
    <xf numFmtId="0" fontId="38" fillId="25" borderId="71" xfId="0" applyFont="1" applyFill="1" applyBorder="1"/>
    <xf numFmtId="165" fontId="13" fillId="25" borderId="10" xfId="157" applyFont="1" applyFill="1" applyBorder="1" applyAlignment="1">
      <alignment horizontal="left"/>
    </xf>
    <xf numFmtId="165" fontId="61" fillId="25" borderId="10" xfId="157" applyFont="1" applyFill="1" applyBorder="1"/>
    <xf numFmtId="0" fontId="0" fillId="0" borderId="70" xfId="0" applyBorder="1" applyAlignment="1">
      <alignment horizontal="center"/>
    </xf>
    <xf numFmtId="0" fontId="0" fillId="0" borderId="39" xfId="0" applyBorder="1" applyAlignment="1">
      <alignment horizontal="center"/>
    </xf>
    <xf numFmtId="0" fontId="0" fillId="0" borderId="67" xfId="0" applyBorder="1" applyAlignment="1">
      <alignment horizontal="center"/>
    </xf>
    <xf numFmtId="0" fontId="0" fillId="0" borderId="137" xfId="0" applyBorder="1" applyAlignment="1">
      <alignment horizontal="center"/>
    </xf>
    <xf numFmtId="0" fontId="0" fillId="0" borderId="60" xfId="0" applyBorder="1"/>
    <xf numFmtId="0" fontId="0" fillId="0" borderId="71" xfId="0" applyBorder="1"/>
    <xf numFmtId="0" fontId="0" fillId="0" borderId="74" xfId="0" applyBorder="1"/>
    <xf numFmtId="0" fontId="0" fillId="0" borderId="39" xfId="0" applyBorder="1"/>
    <xf numFmtId="0" fontId="0" fillId="0" borderId="84" xfId="0" applyBorder="1"/>
    <xf numFmtId="0" fontId="0" fillId="0" borderId="75" xfId="0" applyBorder="1"/>
    <xf numFmtId="0" fontId="0" fillId="0" borderId="0" xfId="0" applyBorder="1" applyAlignment="1">
      <alignment horizontal="center"/>
    </xf>
    <xf numFmtId="177" fontId="0" fillId="24" borderId="0" xfId="0" applyNumberFormat="1" applyFill="1" applyBorder="1" applyAlignment="1">
      <alignment horizontal="center"/>
    </xf>
    <xf numFmtId="1" fontId="0" fillId="0" borderId="39" xfId="0" applyNumberFormat="1" applyBorder="1" applyAlignment="1">
      <alignment horizontal="center"/>
    </xf>
    <xf numFmtId="1" fontId="0" fillId="0" borderId="67" xfId="0" applyNumberFormat="1" applyBorder="1" applyAlignment="1">
      <alignment horizontal="center"/>
    </xf>
    <xf numFmtId="0" fontId="15" fillId="31" borderId="70" xfId="0" applyFont="1" applyFill="1" applyBorder="1"/>
    <xf numFmtId="0" fontId="15" fillId="31" borderId="60" xfId="0" applyFont="1" applyFill="1" applyBorder="1"/>
    <xf numFmtId="4" fontId="100" fillId="35" borderId="85" xfId="197" applyNumberFormat="1" applyFont="1" applyFill="1" applyBorder="1" applyAlignment="1">
      <alignment horizontal="center" vertical="center" wrapText="1"/>
    </xf>
    <xf numFmtId="0" fontId="15" fillId="31" borderId="67" xfId="0" applyFont="1" applyFill="1" applyBorder="1"/>
    <xf numFmtId="0" fontId="15" fillId="31" borderId="84" xfId="0" applyFont="1" applyFill="1" applyBorder="1"/>
    <xf numFmtId="0" fontId="15" fillId="31" borderId="75" xfId="0" applyFont="1" applyFill="1" applyBorder="1"/>
    <xf numFmtId="0" fontId="0" fillId="31" borderId="71" xfId="0" applyFill="1" applyBorder="1"/>
    <xf numFmtId="0" fontId="0" fillId="31" borderId="60" xfId="0" applyFill="1" applyBorder="1"/>
    <xf numFmtId="4" fontId="102" fillId="31" borderId="85" xfId="197" applyNumberFormat="1" applyFont="1" applyFill="1" applyBorder="1" applyAlignment="1">
      <alignment horizontal="center" vertical="center" wrapText="1"/>
    </xf>
    <xf numFmtId="0" fontId="15" fillId="0" borderId="41" xfId="0" applyFont="1" applyBorder="1"/>
    <xf numFmtId="14" fontId="96" fillId="26" borderId="0" xfId="0" applyNumberFormat="1" applyFont="1" applyFill="1"/>
    <xf numFmtId="0" fontId="94" fillId="0" borderId="45" xfId="195" applyFont="1" applyFill="1" applyBorder="1" applyAlignment="1">
      <alignment horizontal="center" wrapText="1"/>
    </xf>
    <xf numFmtId="0" fontId="94" fillId="0" borderId="76" xfId="195" applyFont="1" applyFill="1" applyBorder="1" applyAlignment="1">
      <alignment horizontal="center" wrapText="1"/>
    </xf>
    <xf numFmtId="0" fontId="37" fillId="24" borderId="70" xfId="0" applyFont="1" applyFill="1" applyBorder="1" applyAlignment="1">
      <alignment horizontal="center" vertical="center"/>
    </xf>
    <xf numFmtId="0" fontId="37" fillId="24" borderId="45" xfId="0" applyFont="1" applyFill="1" applyBorder="1" applyAlignment="1">
      <alignment horizontal="center" vertical="center"/>
    </xf>
    <xf numFmtId="0" fontId="37" fillId="24" borderId="31" xfId="0" applyFont="1" applyFill="1" applyBorder="1" applyAlignment="1">
      <alignment horizontal="center" vertical="center"/>
    </xf>
    <xf numFmtId="3" fontId="54" fillId="24" borderId="16" xfId="173" applyNumberFormat="1" applyFont="1" applyFill="1" applyBorder="1" applyAlignment="1">
      <alignment horizontal="center" vertical="center"/>
    </xf>
    <xf numFmtId="3" fontId="37" fillId="24" borderId="0" xfId="0" applyNumberFormat="1" applyFont="1" applyFill="1" applyBorder="1"/>
    <xf numFmtId="3" fontId="96" fillId="0" borderId="63" xfId="0" applyNumberFormat="1" applyFont="1" applyBorder="1" applyAlignment="1">
      <alignment horizontal="center" vertical="center"/>
    </xf>
    <xf numFmtId="3" fontId="37" fillId="0" borderId="80" xfId="0" applyNumberFormat="1" applyFont="1" applyBorder="1" applyAlignment="1">
      <alignment horizontal="center" vertical="center"/>
    </xf>
    <xf numFmtId="3" fontId="37" fillId="0" borderId="62" xfId="0" applyNumberFormat="1" applyFont="1" applyBorder="1" applyAlignment="1">
      <alignment horizontal="center" vertical="center"/>
    </xf>
    <xf numFmtId="3" fontId="37" fillId="0" borderId="139" xfId="0" applyNumberFormat="1" applyFont="1" applyBorder="1" applyAlignment="1">
      <alignment horizontal="center" vertical="center"/>
    </xf>
    <xf numFmtId="4" fontId="10" fillId="24" borderId="0" xfId="0" applyNumberFormat="1" applyFont="1" applyFill="1" applyAlignment="1">
      <alignment horizontal="center"/>
    </xf>
    <xf numFmtId="0" fontId="94" fillId="0" borderId="0" xfId="196" applyFont="1" applyFill="1" applyBorder="1" applyAlignment="1">
      <alignment horizontal="center" vertical="center" wrapText="1"/>
    </xf>
    <xf numFmtId="9" fontId="8" fillId="24" borderId="0" xfId="203" applyFont="1" applyFill="1" applyBorder="1" applyAlignment="1">
      <alignment horizontal="center"/>
    </xf>
    <xf numFmtId="0" fontId="0" fillId="25" borderId="21" xfId="0" applyFill="1" applyBorder="1"/>
    <xf numFmtId="0" fontId="0" fillId="25" borderId="22" xfId="0" applyFill="1" applyBorder="1"/>
    <xf numFmtId="0" fontId="13" fillId="24" borderId="0" xfId="177" applyFont="1" applyFill="1" applyBorder="1" applyAlignment="1">
      <alignment vertical="center" wrapText="1"/>
    </xf>
    <xf numFmtId="0" fontId="56" fillId="25" borderId="12" xfId="0" applyFont="1" applyFill="1" applyBorder="1"/>
    <xf numFmtId="0" fontId="56" fillId="25" borderId="14" xfId="0" applyFont="1" applyFill="1" applyBorder="1"/>
    <xf numFmtId="0" fontId="56" fillId="25" borderId="15" xfId="0" applyFont="1" applyFill="1" applyBorder="1"/>
    <xf numFmtId="0" fontId="37" fillId="0" borderId="37" xfId="0" applyFont="1" applyBorder="1" applyAlignment="1">
      <alignment horizontal="center" vertical="center"/>
    </xf>
    <xf numFmtId="0" fontId="94" fillId="0" borderId="34" xfId="196" applyFont="1" applyFill="1" applyBorder="1" applyAlignment="1">
      <alignment horizontal="center" vertical="center" wrapText="1"/>
    </xf>
    <xf numFmtId="0" fontId="37" fillId="0" borderId="36" xfId="0" applyFont="1" applyBorder="1" applyAlignment="1">
      <alignment horizontal="center" vertical="center"/>
    </xf>
    <xf numFmtId="16" fontId="37" fillId="0" borderId="10" xfId="0" applyNumberFormat="1" applyFont="1" applyBorder="1" applyAlignment="1">
      <alignment horizontal="center" vertical="center"/>
    </xf>
    <xf numFmtId="16" fontId="37" fillId="0" borderId="33" xfId="0" applyNumberFormat="1" applyFont="1" applyBorder="1" applyAlignment="1">
      <alignment horizontal="center" vertical="center"/>
    </xf>
    <xf numFmtId="0" fontId="37" fillId="0" borderId="63" xfId="0" applyFont="1" applyBorder="1" applyAlignment="1">
      <alignment horizontal="center" vertical="center"/>
    </xf>
    <xf numFmtId="0" fontId="37" fillId="0" borderId="80" xfId="0" applyFont="1" applyBorder="1" applyAlignment="1">
      <alignment horizontal="center" vertical="center"/>
    </xf>
    <xf numFmtId="0" fontId="89" fillId="24" borderId="52" xfId="0" applyFont="1" applyFill="1" applyBorder="1" applyAlignment="1">
      <alignment horizontal="center" vertical="center"/>
    </xf>
    <xf numFmtId="0" fontId="94" fillId="24" borderId="114" xfId="195" applyFont="1" applyFill="1" applyBorder="1" applyAlignment="1">
      <alignment horizontal="center" wrapText="1"/>
    </xf>
    <xf numFmtId="0" fontId="94" fillId="24" borderId="115" xfId="195" applyFont="1" applyFill="1" applyBorder="1" applyAlignment="1">
      <alignment horizontal="center" wrapText="1"/>
    </xf>
    <xf numFmtId="4" fontId="104" fillId="0" borderId="39" xfId="195" applyNumberFormat="1" applyFont="1" applyFill="1" applyBorder="1" applyAlignment="1">
      <alignment horizontal="center" wrapText="1"/>
    </xf>
    <xf numFmtId="4" fontId="104" fillId="24" borderId="39" xfId="195" applyNumberFormat="1" applyFont="1" applyFill="1" applyBorder="1" applyAlignment="1">
      <alignment horizontal="center" wrapText="1"/>
    </xf>
    <xf numFmtId="175" fontId="13" fillId="25" borderId="10" xfId="0" applyNumberFormat="1" applyFont="1" applyFill="1" applyBorder="1" applyAlignment="1">
      <alignment horizontal="center"/>
    </xf>
    <xf numFmtId="2" fontId="8" fillId="24" borderId="10" xfId="0" applyNumberFormat="1" applyFont="1" applyFill="1" applyBorder="1" applyAlignment="1"/>
    <xf numFmtId="0" fontId="0" fillId="0" borderId="10" xfId="0" applyFill="1" applyBorder="1" applyAlignment="1"/>
    <xf numFmtId="0" fontId="0" fillId="0" borderId="13" xfId="0" applyBorder="1" applyAlignment="1"/>
    <xf numFmtId="0" fontId="26" fillId="0" borderId="15" xfId="0" applyFont="1" applyFill="1" applyBorder="1" applyAlignment="1"/>
    <xf numFmtId="2" fontId="10" fillId="26" borderId="10" xfId="0" applyNumberFormat="1" applyFont="1" applyFill="1" applyBorder="1" applyAlignment="1"/>
    <xf numFmtId="2" fontId="51" fillId="26" borderId="10" xfId="0" applyNumberFormat="1" applyFont="1" applyFill="1" applyBorder="1" applyAlignment="1">
      <alignment horizontal="center"/>
    </xf>
    <xf numFmtId="0" fontId="26" fillId="0" borderId="71" xfId="0" applyFont="1" applyBorder="1" applyAlignment="1">
      <alignment horizontal="center"/>
    </xf>
    <xf numFmtId="0" fontId="89" fillId="0" borderId="22" xfId="0" applyFont="1" applyBorder="1" applyAlignment="1">
      <alignment horizontal="center"/>
    </xf>
    <xf numFmtId="0" fontId="98" fillId="29" borderId="140" xfId="0" applyFont="1" applyFill="1" applyBorder="1"/>
    <xf numFmtId="0" fontId="88" fillId="24" borderId="22" xfId="0" applyFont="1" applyFill="1" applyBorder="1" applyAlignment="1">
      <alignment horizontal="center"/>
    </xf>
    <xf numFmtId="0" fontId="89" fillId="0" borderId="45" xfId="0" applyFont="1" applyBorder="1"/>
    <xf numFmtId="0" fontId="88" fillId="0" borderId="70" xfId="0" applyFont="1" applyBorder="1"/>
    <xf numFmtId="2" fontId="89" fillId="24" borderId="33" xfId="0" applyNumberFormat="1" applyFont="1" applyFill="1" applyBorder="1" applyAlignment="1">
      <alignment horizontal="center"/>
    </xf>
    <xf numFmtId="0" fontId="88" fillId="33" borderId="74" xfId="0" applyFont="1" applyFill="1" applyBorder="1" applyAlignment="1">
      <alignment horizontal="center"/>
    </xf>
    <xf numFmtId="0" fontId="88" fillId="33" borderId="0" xfId="0" applyFont="1" applyFill="1" applyBorder="1" applyAlignment="1">
      <alignment horizontal="center"/>
    </xf>
    <xf numFmtId="0" fontId="37" fillId="0" borderId="21" xfId="0" applyFont="1" applyBorder="1" applyAlignment="1">
      <alignment horizontal="center" vertical="center"/>
    </xf>
    <xf numFmtId="0" fontId="37" fillId="0" borderId="27" xfId="0" applyFont="1" applyBorder="1" applyAlignment="1">
      <alignment horizontal="center" vertical="center"/>
    </xf>
    <xf numFmtId="0" fontId="90" fillId="24" borderId="37" xfId="0" applyFont="1" applyFill="1" applyBorder="1" applyAlignment="1">
      <alignment horizontal="center" vertical="center"/>
    </xf>
    <xf numFmtId="0" fontId="90" fillId="24" borderId="33" xfId="0" applyFont="1" applyFill="1" applyBorder="1" applyAlignment="1">
      <alignment horizontal="center" vertical="center"/>
    </xf>
    <xf numFmtId="0" fontId="90" fillId="24" borderId="79" xfId="0" applyFont="1" applyFill="1" applyBorder="1" applyAlignment="1">
      <alignment horizontal="center" vertical="center"/>
    </xf>
    <xf numFmtId="0" fontId="94" fillId="0" borderId="137" xfId="195" applyFont="1" applyFill="1" applyBorder="1" applyAlignment="1">
      <alignment horizontal="center" wrapText="1"/>
    </xf>
    <xf numFmtId="4" fontId="94" fillId="0" borderId="141" xfId="195" applyNumberFormat="1" applyFont="1" applyFill="1" applyBorder="1" applyAlignment="1">
      <alignment horizontal="center" wrapText="1"/>
    </xf>
    <xf numFmtId="0" fontId="94" fillId="0" borderId="41" xfId="195" applyFont="1" applyFill="1" applyBorder="1" applyAlignment="1">
      <alignment horizontal="center" wrapText="1"/>
    </xf>
    <xf numFmtId="4" fontId="94" fillId="0" borderId="142" xfId="195" applyNumberFormat="1" applyFont="1" applyFill="1" applyBorder="1" applyAlignment="1">
      <alignment horizontal="center" wrapText="1"/>
    </xf>
    <xf numFmtId="0" fontId="94" fillId="0" borderId="142" xfId="195" applyFont="1" applyFill="1" applyBorder="1" applyAlignment="1">
      <alignment horizontal="center" wrapText="1"/>
    </xf>
    <xf numFmtId="4" fontId="94" fillId="0" borderId="143" xfId="195" applyNumberFormat="1" applyFont="1" applyFill="1" applyBorder="1" applyAlignment="1">
      <alignment horizontal="center" wrapText="1"/>
    </xf>
    <xf numFmtId="0" fontId="94" fillId="0" borderId="144" xfId="195" applyFont="1" applyFill="1" applyBorder="1" applyAlignment="1">
      <alignment horizontal="center" wrapText="1"/>
    </xf>
    <xf numFmtId="0" fontId="94" fillId="0" borderId="145" xfId="195" applyFont="1" applyFill="1" applyBorder="1" applyAlignment="1">
      <alignment horizontal="center" wrapText="1"/>
    </xf>
    <xf numFmtId="3" fontId="10" fillId="24" borderId="10" xfId="0" applyNumberFormat="1" applyFont="1" applyFill="1" applyBorder="1" applyAlignment="1">
      <alignment horizontal="center"/>
    </xf>
    <xf numFmtId="0" fontId="37" fillId="29" borderId="22" xfId="0" applyFont="1" applyFill="1" applyBorder="1"/>
    <xf numFmtId="175" fontId="37" fillId="0" borderId="10" xfId="0" applyNumberFormat="1" applyFont="1" applyFill="1" applyBorder="1" applyAlignment="1"/>
    <xf numFmtId="175" fontId="37" fillId="0" borderId="10" xfId="0" applyNumberFormat="1" applyFont="1" applyBorder="1" applyAlignment="1">
      <alignment horizontal="right"/>
    </xf>
    <xf numFmtId="0" fontId="37" fillId="0" borderId="10" xfId="0" applyFont="1" applyFill="1" applyBorder="1" applyAlignment="1">
      <alignment horizontal="right"/>
    </xf>
    <xf numFmtId="0" fontId="37" fillId="0" borderId="30" xfId="0" applyFont="1" applyBorder="1"/>
    <xf numFmtId="0" fontId="37" fillId="0" borderId="71" xfId="0" applyFont="1" applyBorder="1" applyAlignment="1">
      <alignment horizontal="center" vertical="center"/>
    </xf>
    <xf numFmtId="0" fontId="37" fillId="0" borderId="74" xfId="0" applyFont="1" applyBorder="1" applyAlignment="1">
      <alignment horizontal="center" vertical="center"/>
    </xf>
    <xf numFmtId="0" fontId="37" fillId="0" borderId="45" xfId="0" applyFont="1" applyBorder="1" applyAlignment="1">
      <alignment horizontal="center" vertical="center"/>
    </xf>
    <xf numFmtId="0" fontId="37" fillId="0" borderId="76" xfId="0" applyFont="1" applyBorder="1" applyAlignment="1">
      <alignment horizontal="center" vertical="center"/>
    </xf>
    <xf numFmtId="0" fontId="37" fillId="0" borderId="48" xfId="0" applyFont="1" applyBorder="1" applyAlignment="1">
      <alignment horizontal="center" vertical="center"/>
    </xf>
    <xf numFmtId="16" fontId="37" fillId="0" borderId="13" xfId="0" applyNumberFormat="1" applyFont="1" applyBorder="1" applyAlignment="1">
      <alignment horizontal="center" vertical="center"/>
    </xf>
    <xf numFmtId="0" fontId="94" fillId="0" borderId="69" xfId="196" applyFont="1" applyFill="1" applyBorder="1" applyAlignment="1">
      <alignment horizontal="center" vertical="center" wrapText="1"/>
    </xf>
    <xf numFmtId="0" fontId="37" fillId="0" borderId="139" xfId="0" applyFont="1" applyBorder="1" applyAlignment="1">
      <alignment horizontal="center" vertical="center"/>
    </xf>
    <xf numFmtId="0" fontId="37" fillId="0" borderId="137" xfId="0" applyFont="1" applyBorder="1" applyAlignment="1">
      <alignment horizontal="center" vertical="center"/>
    </xf>
    <xf numFmtId="16" fontId="37" fillId="0" borderId="84" xfId="0" applyNumberFormat="1" applyFont="1" applyBorder="1" applyAlignment="1">
      <alignment horizontal="center" vertical="center"/>
    </xf>
    <xf numFmtId="0" fontId="37" fillId="0" borderId="75" xfId="0" applyFont="1" applyBorder="1" applyAlignment="1">
      <alignment horizontal="center" vertical="center"/>
    </xf>
    <xf numFmtId="0" fontId="94" fillId="0" borderId="137" xfId="196" applyFont="1" applyFill="1" applyBorder="1" applyAlignment="1">
      <alignment horizontal="center" vertical="center" wrapText="1"/>
    </xf>
    <xf numFmtId="0" fontId="94" fillId="0" borderId="76" xfId="196" applyFont="1" applyFill="1" applyBorder="1" applyAlignment="1">
      <alignment horizontal="center" vertical="center" wrapText="1"/>
    </xf>
    <xf numFmtId="4" fontId="10" fillId="26" borderId="10" xfId="0" applyNumberFormat="1" applyFont="1" applyFill="1" applyBorder="1" applyAlignment="1">
      <alignment horizontal="center"/>
    </xf>
    <xf numFmtId="0" fontId="46" fillId="26" borderId="41" xfId="177" applyFont="1" applyFill="1" applyBorder="1" applyAlignment="1"/>
    <xf numFmtId="175" fontId="10" fillId="24" borderId="10" xfId="0" applyNumberFormat="1" applyFont="1" applyFill="1" applyBorder="1" applyAlignment="1">
      <alignment horizontal="center" vertical="center"/>
    </xf>
    <xf numFmtId="181" fontId="10" fillId="24" borderId="10" xfId="0" applyNumberFormat="1" applyFont="1" applyFill="1" applyBorder="1" applyAlignment="1">
      <alignment horizontal="center" vertical="center"/>
    </xf>
    <xf numFmtId="0" fontId="13" fillId="24" borderId="10" xfId="0" applyFont="1" applyFill="1" applyBorder="1" applyAlignment="1">
      <alignment horizontal="center"/>
    </xf>
    <xf numFmtId="0" fontId="10" fillId="0" borderId="10" xfId="0" applyFont="1" applyBorder="1"/>
    <xf numFmtId="0" fontId="10" fillId="31" borderId="10" xfId="0" applyFont="1" applyFill="1" applyBorder="1" applyAlignment="1">
      <alignment horizontal="center"/>
    </xf>
    <xf numFmtId="175" fontId="37" fillId="0" borderId="28" xfId="0" applyNumberFormat="1" applyFont="1" applyBorder="1" applyAlignment="1">
      <alignment horizontal="center"/>
    </xf>
    <xf numFmtId="0" fontId="8" fillId="0" borderId="12" xfId="0" applyFont="1" applyBorder="1" applyAlignment="1">
      <alignment horizontal="center"/>
    </xf>
    <xf numFmtId="0" fontId="8" fillId="0" borderId="15" xfId="0" applyFont="1" applyFill="1" applyBorder="1" applyAlignment="1">
      <alignment horizontal="center"/>
    </xf>
    <xf numFmtId="0" fontId="94" fillId="0" borderId="27" xfId="195" applyFont="1" applyFill="1" applyBorder="1" applyAlignment="1">
      <alignment horizontal="center" vertical="center" wrapText="1"/>
    </xf>
    <xf numFmtId="0" fontId="100" fillId="0" borderId="106" xfId="195" applyFont="1" applyFill="1" applyBorder="1" applyAlignment="1">
      <alignment horizontal="center" wrapText="1"/>
    </xf>
    <xf numFmtId="175" fontId="100" fillId="0" borderId="108" xfId="195" applyNumberFormat="1" applyFont="1" applyFill="1" applyBorder="1" applyAlignment="1">
      <alignment horizontal="center" wrapText="1"/>
    </xf>
    <xf numFmtId="0" fontId="100" fillId="0" borderId="112" xfId="195" applyFont="1" applyFill="1" applyBorder="1" applyAlignment="1">
      <alignment horizontal="center" wrapText="1"/>
    </xf>
    <xf numFmtId="175" fontId="100" fillId="0" borderId="113" xfId="195" applyNumberFormat="1" applyFont="1" applyFill="1" applyBorder="1" applyAlignment="1">
      <alignment horizontal="center" wrapText="1"/>
    </xf>
    <xf numFmtId="0" fontId="100" fillId="0" borderId="117" xfId="195" applyFont="1" applyFill="1" applyBorder="1" applyAlignment="1">
      <alignment horizontal="center" wrapText="1"/>
    </xf>
    <xf numFmtId="175" fontId="100" fillId="0" borderId="119" xfId="195" applyNumberFormat="1" applyFont="1" applyFill="1" applyBorder="1" applyAlignment="1">
      <alignment horizontal="center" wrapText="1"/>
    </xf>
    <xf numFmtId="0" fontId="100" fillId="0" borderId="123" xfId="195" applyFont="1" applyFill="1" applyBorder="1" applyAlignment="1">
      <alignment horizontal="center" wrapText="1"/>
    </xf>
    <xf numFmtId="0" fontId="100" fillId="0" borderId="129" xfId="195" applyFont="1" applyFill="1" applyBorder="1" applyAlignment="1">
      <alignment horizontal="center" wrapText="1"/>
    </xf>
    <xf numFmtId="175" fontId="100" fillId="0" borderId="131" xfId="195" applyNumberFormat="1" applyFont="1" applyFill="1" applyBorder="1" applyAlignment="1">
      <alignment horizontal="center" wrapText="1"/>
    </xf>
    <xf numFmtId="0" fontId="100" fillId="0" borderId="108" xfId="195" applyFont="1" applyFill="1" applyBorder="1" applyAlignment="1">
      <alignment horizontal="center" wrapText="1"/>
    </xf>
    <xf numFmtId="0" fontId="100" fillId="0" borderId="113" xfId="195" applyFont="1" applyFill="1" applyBorder="1" applyAlignment="1">
      <alignment horizontal="center" wrapText="1"/>
    </xf>
    <xf numFmtId="0" fontId="100" fillId="0" borderId="119" xfId="195" applyFont="1" applyFill="1" applyBorder="1" applyAlignment="1">
      <alignment horizontal="center" wrapText="1"/>
    </xf>
    <xf numFmtId="0" fontId="100" fillId="0" borderId="125" xfId="195" applyFont="1" applyFill="1" applyBorder="1" applyAlignment="1">
      <alignment horizontal="center" wrapText="1"/>
    </xf>
    <xf numFmtId="0" fontId="100" fillId="24" borderId="112" xfId="195" applyFont="1" applyFill="1" applyBorder="1" applyAlignment="1">
      <alignment horizontal="center" wrapText="1"/>
    </xf>
    <xf numFmtId="175" fontId="100" fillId="24" borderId="113" xfId="195" applyNumberFormat="1" applyFont="1" applyFill="1" applyBorder="1" applyAlignment="1">
      <alignment horizontal="center" wrapText="1"/>
    </xf>
    <xf numFmtId="0" fontId="100" fillId="0" borderId="146" xfId="195" applyFont="1" applyFill="1" applyBorder="1" applyAlignment="1">
      <alignment horizontal="center" wrapText="1"/>
    </xf>
    <xf numFmtId="0" fontId="100" fillId="0" borderId="147" xfId="195" applyFont="1" applyFill="1" applyBorder="1" applyAlignment="1">
      <alignment horizontal="center" wrapText="1"/>
    </xf>
    <xf numFmtId="0" fontId="100" fillId="0" borderId="143" xfId="195" applyFont="1" applyFill="1" applyBorder="1" applyAlignment="1">
      <alignment horizontal="center" wrapText="1"/>
    </xf>
    <xf numFmtId="0" fontId="100" fillId="0" borderId="148" xfId="195" applyFont="1" applyFill="1" applyBorder="1" applyAlignment="1">
      <alignment horizontal="center" wrapText="1"/>
    </xf>
    <xf numFmtId="0" fontId="100" fillId="0" borderId="149" xfId="195" applyFont="1" applyFill="1" applyBorder="1" applyAlignment="1">
      <alignment horizontal="center" wrapText="1"/>
    </xf>
    <xf numFmtId="0" fontId="100" fillId="0" borderId="150" xfId="195" applyFont="1" applyFill="1" applyBorder="1" applyAlignment="1">
      <alignment horizontal="center" wrapText="1"/>
    </xf>
    <xf numFmtId="0" fontId="100" fillId="0" borderId="151" xfId="195" applyFont="1" applyFill="1" applyBorder="1" applyAlignment="1">
      <alignment horizontal="center" wrapText="1"/>
    </xf>
    <xf numFmtId="0" fontId="100" fillId="0" borderId="152" xfId="195" applyFont="1" applyFill="1" applyBorder="1" applyAlignment="1">
      <alignment horizontal="center" wrapText="1"/>
    </xf>
    <xf numFmtId="0" fontId="100" fillId="0" borderId="141" xfId="195" applyFont="1" applyFill="1" applyBorder="1" applyAlignment="1">
      <alignment horizontal="center" wrapText="1"/>
    </xf>
    <xf numFmtId="0" fontId="100" fillId="0" borderId="146" xfId="195" applyFont="1" applyFill="1" applyBorder="1" applyAlignment="1">
      <alignment horizontal="center" vertical="center" wrapText="1"/>
    </xf>
    <xf numFmtId="0" fontId="100" fillId="0" borderId="147" xfId="195" applyFont="1" applyFill="1" applyBorder="1" applyAlignment="1">
      <alignment horizontal="center" vertical="center" wrapText="1"/>
    </xf>
    <xf numFmtId="1" fontId="0" fillId="0" borderId="10" xfId="0" applyNumberFormat="1" applyBorder="1" applyAlignment="1"/>
    <xf numFmtId="1" fontId="26" fillId="0" borderId="10" xfId="0" applyNumberFormat="1" applyFont="1" applyFill="1" applyBorder="1" applyAlignment="1"/>
    <xf numFmtId="1" fontId="0" fillId="0" borderId="10" xfId="0" applyNumberFormat="1" applyFill="1" applyBorder="1" applyAlignment="1"/>
    <xf numFmtId="1" fontId="26" fillId="0" borderId="10" xfId="0" applyNumberFormat="1" applyFont="1" applyBorder="1" applyAlignment="1"/>
    <xf numFmtId="2" fontId="37" fillId="24" borderId="10" xfId="0" applyNumberFormat="1" applyFont="1" applyFill="1" applyBorder="1" applyAlignment="1">
      <alignment horizontal="center"/>
    </xf>
    <xf numFmtId="2" fontId="10" fillId="0" borderId="10" xfId="177" applyNumberFormat="1" applyFont="1" applyFill="1" applyBorder="1" applyAlignment="1">
      <alignment horizontal="right"/>
    </xf>
    <xf numFmtId="2" fontId="10" fillId="0" borderId="10" xfId="177" applyNumberFormat="1" applyFont="1" applyFill="1" applyBorder="1" applyAlignment="1">
      <alignment horizontal="center"/>
    </xf>
    <xf numFmtId="2" fontId="37" fillId="0" borderId="47" xfId="0" applyNumberFormat="1" applyFont="1" applyBorder="1" applyAlignment="1">
      <alignment horizontal="center"/>
    </xf>
    <xf numFmtId="2" fontId="37" fillId="0" borderId="0" xfId="0" applyNumberFormat="1" applyFont="1"/>
    <xf numFmtId="0" fontId="37" fillId="0" borderId="52" xfId="0" applyFont="1" applyBorder="1" applyAlignment="1">
      <alignment horizontal="center"/>
    </xf>
    <xf numFmtId="165" fontId="13" fillId="24" borderId="0" xfId="157" applyFont="1" applyFill="1" applyBorder="1" applyAlignment="1">
      <alignment horizontal="left"/>
    </xf>
    <xf numFmtId="165" fontId="61" fillId="24" borderId="0" xfId="157" applyFont="1" applyFill="1" applyBorder="1"/>
    <xf numFmtId="0" fontId="94" fillId="24" borderId="0" xfId="195" applyFont="1" applyFill="1" applyBorder="1" applyAlignment="1">
      <alignment horizontal="center" vertical="center" wrapText="1"/>
    </xf>
    <xf numFmtId="0" fontId="100" fillId="24" borderId="0" xfId="195" applyFont="1" applyFill="1" applyBorder="1" applyAlignment="1">
      <alignment horizontal="center" vertical="center" wrapText="1"/>
    </xf>
    <xf numFmtId="4" fontId="94" fillId="24" borderId="0" xfId="195" applyNumberFormat="1" applyFont="1" applyFill="1" applyBorder="1" applyAlignment="1">
      <alignment horizontal="center" wrapText="1"/>
    </xf>
    <xf numFmtId="0" fontId="94" fillId="24" borderId="60" xfId="195" applyFont="1" applyFill="1" applyBorder="1" applyAlignment="1">
      <alignment horizontal="center" wrapText="1"/>
    </xf>
    <xf numFmtId="4" fontId="94" fillId="24" borderId="60" xfId="195" applyNumberFormat="1" applyFont="1" applyFill="1" applyBorder="1" applyAlignment="1">
      <alignment horizontal="center" wrapText="1"/>
    </xf>
    <xf numFmtId="4" fontId="94" fillId="24" borderId="71" xfId="195" applyNumberFormat="1" applyFont="1" applyFill="1" applyBorder="1" applyAlignment="1">
      <alignment horizontal="center" wrapText="1"/>
    </xf>
    <xf numFmtId="4" fontId="94" fillId="24" borderId="74" xfId="195" applyNumberFormat="1" applyFont="1" applyFill="1" applyBorder="1" applyAlignment="1">
      <alignment horizontal="center" wrapText="1"/>
    </xf>
    <xf numFmtId="0" fontId="94" fillId="24" borderId="70" xfId="195" applyFont="1" applyFill="1" applyBorder="1" applyAlignment="1">
      <alignment horizontal="center" wrapText="1"/>
    </xf>
    <xf numFmtId="0" fontId="94" fillId="24" borderId="71" xfId="195" applyFont="1" applyFill="1" applyBorder="1" applyAlignment="1">
      <alignment horizontal="center" wrapText="1"/>
    </xf>
    <xf numFmtId="0" fontId="94" fillId="24" borderId="39" xfId="195" applyFont="1" applyFill="1" applyBorder="1" applyAlignment="1">
      <alignment horizontal="center" wrapText="1"/>
    </xf>
    <xf numFmtId="0" fontId="94" fillId="24" borderId="74" xfId="195" applyFont="1" applyFill="1" applyBorder="1" applyAlignment="1">
      <alignment horizontal="center" wrapText="1"/>
    </xf>
    <xf numFmtId="0" fontId="100" fillId="24" borderId="70" xfId="195" applyFont="1" applyFill="1" applyBorder="1" applyAlignment="1">
      <alignment horizontal="center" vertical="center" wrapText="1"/>
    </xf>
    <xf numFmtId="0" fontId="100" fillId="24" borderId="71" xfId="195" applyFont="1" applyFill="1" applyBorder="1" applyAlignment="1">
      <alignment horizontal="center" vertical="center" wrapText="1"/>
    </xf>
    <xf numFmtId="0" fontId="100" fillId="24" borderId="39" xfId="195" applyFont="1" applyFill="1" applyBorder="1" applyAlignment="1">
      <alignment horizontal="center" vertical="center" wrapText="1"/>
    </xf>
    <xf numFmtId="0" fontId="100" fillId="24" borderId="74" xfId="195" applyFont="1" applyFill="1" applyBorder="1" applyAlignment="1">
      <alignment horizontal="center" vertical="center" wrapText="1"/>
    </xf>
    <xf numFmtId="0" fontId="0" fillId="24" borderId="41" xfId="0" applyFill="1" applyBorder="1" applyAlignment="1">
      <alignment horizontal="center"/>
    </xf>
    <xf numFmtId="0" fontId="0" fillId="0" borderId="41" xfId="0" applyBorder="1" applyAlignment="1">
      <alignment horizontal="center"/>
    </xf>
    <xf numFmtId="0" fontId="38" fillId="24" borderId="41" xfId="0" applyFont="1" applyFill="1" applyBorder="1" applyAlignment="1">
      <alignment horizontal="center"/>
    </xf>
    <xf numFmtId="0" fontId="0" fillId="0" borderId="80" xfId="0" applyBorder="1" applyAlignment="1">
      <alignment horizontal="center"/>
    </xf>
    <xf numFmtId="0" fontId="0" fillId="0" borderId="64" xfId="0" applyBorder="1" applyAlignment="1">
      <alignment horizontal="center"/>
    </xf>
    <xf numFmtId="175" fontId="57" fillId="24" borderId="0" xfId="0" applyNumberFormat="1" applyFont="1" applyFill="1" applyBorder="1" applyAlignment="1">
      <alignment horizontal="center"/>
    </xf>
    <xf numFmtId="175" fontId="0" fillId="24" borderId="0" xfId="0" applyNumberFormat="1" applyFill="1" applyBorder="1"/>
    <xf numFmtId="3" fontId="46" fillId="26" borderId="54" xfId="0" applyNumberFormat="1" applyFont="1" applyFill="1" applyBorder="1" applyAlignment="1">
      <alignment horizontal="center" vertical="center"/>
    </xf>
    <xf numFmtId="172" fontId="7" fillId="26" borderId="54" xfId="0" applyNumberFormat="1" applyFont="1" applyFill="1" applyBorder="1" applyAlignment="1">
      <alignment horizontal="center" vertical="center"/>
    </xf>
    <xf numFmtId="4" fontId="46" fillId="26" borderId="54" xfId="0" applyNumberFormat="1" applyFont="1" applyFill="1" applyBorder="1" applyAlignment="1">
      <alignment horizontal="center"/>
    </xf>
    <xf numFmtId="0" fontId="84" fillId="0" borderId="0" xfId="0" applyFont="1"/>
    <xf numFmtId="0" fontId="37" fillId="0" borderId="97" xfId="0" applyFont="1" applyBorder="1" applyAlignment="1">
      <alignment horizontal="center"/>
    </xf>
    <xf numFmtId="0" fontId="37" fillId="0" borderId="50" xfId="0" applyFont="1" applyBorder="1" applyAlignment="1">
      <alignment horizontal="center"/>
    </xf>
    <xf numFmtId="0" fontId="94" fillId="0" borderId="153" xfId="195" applyFont="1" applyFill="1" applyBorder="1" applyAlignment="1">
      <alignment horizontal="center" wrapText="1"/>
    </xf>
    <xf numFmtId="4" fontId="94" fillId="0" borderId="146" xfId="195" applyNumberFormat="1" applyFont="1" applyFill="1" applyBorder="1" applyAlignment="1">
      <alignment horizontal="center" vertical="center" wrapText="1"/>
    </xf>
    <xf numFmtId="4" fontId="94" fillId="0" borderId="147" xfId="195" applyNumberFormat="1" applyFont="1" applyFill="1" applyBorder="1" applyAlignment="1">
      <alignment horizontal="center" vertical="center" wrapText="1"/>
    </xf>
    <xf numFmtId="0" fontId="37" fillId="0" borderId="20" xfId="0" applyFont="1" applyBorder="1"/>
    <xf numFmtId="2" fontId="10" fillId="0" borderId="15" xfId="0" applyNumberFormat="1" applyFont="1" applyBorder="1" applyAlignment="1">
      <alignment horizontal="center"/>
    </xf>
    <xf numFmtId="2" fontId="10" fillId="0" borderId="16" xfId="0" applyNumberFormat="1" applyFont="1" applyBorder="1" applyAlignment="1">
      <alignment horizontal="right"/>
    </xf>
    <xf numFmtId="2" fontId="10" fillId="0" borderId="16" xfId="0" applyNumberFormat="1" applyFont="1" applyFill="1" applyBorder="1" applyAlignment="1">
      <alignment horizontal="right"/>
    </xf>
    <xf numFmtId="0" fontId="94" fillId="24" borderId="45" xfId="195" applyFont="1" applyFill="1" applyBorder="1" applyAlignment="1">
      <alignment horizontal="center" wrapText="1"/>
    </xf>
    <xf numFmtId="0" fontId="94" fillId="24" borderId="137" xfId="195" applyFont="1" applyFill="1" applyBorder="1" applyAlignment="1">
      <alignment horizontal="center" wrapText="1"/>
    </xf>
    <xf numFmtId="0" fontId="94" fillId="0" borderId="41" xfId="195" applyFont="1" applyFill="1" applyBorder="1" applyAlignment="1">
      <alignment horizontal="center" vertical="center" wrapText="1"/>
    </xf>
    <xf numFmtId="0" fontId="38" fillId="0" borderId="67" xfId="0" applyFont="1" applyBorder="1" applyAlignment="1">
      <alignment horizontal="center"/>
    </xf>
    <xf numFmtId="0" fontId="38" fillId="0" borderId="76" xfId="0" applyFont="1" applyBorder="1" applyAlignment="1">
      <alignment horizontal="center"/>
    </xf>
    <xf numFmtId="0" fontId="37" fillId="0" borderId="92" xfId="0" applyFont="1" applyBorder="1"/>
    <xf numFmtId="0" fontId="93" fillId="24" borderId="0" xfId="0" applyFont="1" applyFill="1" applyAlignment="1">
      <alignment horizontal="center"/>
    </xf>
    <xf numFmtId="0" fontId="84" fillId="24" borderId="0" xfId="0" applyFont="1" applyFill="1" applyAlignment="1">
      <alignment horizontal="center"/>
    </xf>
    <xf numFmtId="0" fontId="84" fillId="0" borderId="0" xfId="0" applyFont="1" applyAlignment="1">
      <alignment horizontal="center"/>
    </xf>
    <xf numFmtId="14" fontId="96" fillId="24" borderId="34" xfId="0" applyNumberFormat="1" applyFont="1" applyFill="1" applyBorder="1" applyAlignment="1">
      <alignment horizontal="center"/>
    </xf>
    <xf numFmtId="0" fontId="94" fillId="24" borderId="21" xfId="195" applyFont="1" applyFill="1" applyBorder="1" applyAlignment="1">
      <alignment horizontal="center" wrapText="1"/>
    </xf>
    <xf numFmtId="0" fontId="94" fillId="24" borderId="41" xfId="195" applyFont="1" applyFill="1" applyBorder="1" applyAlignment="1">
      <alignment horizontal="center" wrapText="1"/>
    </xf>
    <xf numFmtId="0" fontId="100" fillId="24" borderId="27" xfId="195" applyFont="1" applyFill="1" applyBorder="1" applyAlignment="1">
      <alignment horizontal="center" vertical="center" wrapText="1"/>
    </xf>
    <xf numFmtId="0" fontId="100" fillId="24" borderId="22" xfId="195" applyFont="1" applyFill="1" applyBorder="1" applyAlignment="1">
      <alignment horizontal="center" vertical="center" wrapText="1"/>
    </xf>
    <xf numFmtId="4" fontId="94" fillId="24" borderId="70" xfId="195" applyNumberFormat="1" applyFont="1" applyFill="1" applyBorder="1" applyAlignment="1">
      <alignment horizontal="center" wrapText="1"/>
    </xf>
    <xf numFmtId="4" fontId="94" fillId="24" borderId="39" xfId="195" applyNumberFormat="1" applyFont="1" applyFill="1" applyBorder="1" applyAlignment="1">
      <alignment horizontal="center" wrapText="1"/>
    </xf>
    <xf numFmtId="0" fontId="7" fillId="25" borderId="38" xfId="0" applyFont="1" applyFill="1" applyBorder="1" applyAlignment="1">
      <alignment horizontal="center"/>
    </xf>
    <xf numFmtId="181" fontId="83" fillId="0" borderId="10" xfId="203" applyNumberFormat="1" applyFont="1" applyFill="1" applyBorder="1" applyAlignment="1">
      <alignment horizontal="center"/>
    </xf>
    <xf numFmtId="172" fontId="8" fillId="24" borderId="10" xfId="0" applyNumberFormat="1" applyFont="1" applyFill="1" applyBorder="1" applyAlignment="1">
      <alignment horizontal="center"/>
    </xf>
    <xf numFmtId="0" fontId="37" fillId="24" borderId="39" xfId="0" applyFont="1" applyFill="1" applyBorder="1"/>
    <xf numFmtId="4" fontId="108" fillId="24" borderId="41" xfId="0" applyNumberFormat="1" applyFont="1" applyFill="1" applyBorder="1" applyAlignment="1">
      <alignment horizontal="center" vertical="center"/>
    </xf>
    <xf numFmtId="9" fontId="108" fillId="24" borderId="41" xfId="203" applyFont="1" applyFill="1" applyBorder="1" applyAlignment="1">
      <alignment horizontal="center" vertical="center"/>
    </xf>
    <xf numFmtId="0" fontId="77" fillId="0" borderId="52" xfId="0" applyFont="1" applyBorder="1"/>
    <xf numFmtId="0" fontId="77" fillId="24" borderId="39" xfId="0" applyFont="1" applyFill="1" applyBorder="1"/>
    <xf numFmtId="0" fontId="26" fillId="0" borderId="54" xfId="0" applyFont="1" applyBorder="1" applyAlignment="1">
      <alignment horizontal="center"/>
    </xf>
    <xf numFmtId="177" fontId="26" fillId="24" borderId="54" xfId="0" applyNumberFormat="1" applyFont="1" applyFill="1" applyBorder="1" applyAlignment="1">
      <alignment horizontal="center"/>
    </xf>
    <xf numFmtId="0" fontId="26" fillId="24" borderId="0" xfId="0" applyFont="1" applyFill="1" applyBorder="1" applyAlignment="1">
      <alignment horizontal="center"/>
    </xf>
    <xf numFmtId="177" fontId="26" fillId="24" borderId="0" xfId="0" applyNumberFormat="1" applyFont="1" applyFill="1" applyBorder="1" applyAlignment="1">
      <alignment horizontal="center"/>
    </xf>
    <xf numFmtId="0" fontId="15" fillId="0" borderId="21" xfId="0" applyFont="1" applyBorder="1"/>
    <xf numFmtId="4" fontId="102" fillId="31" borderId="41" xfId="197" applyNumberFormat="1" applyFont="1" applyFill="1" applyBorder="1" applyAlignment="1">
      <alignment horizontal="center" vertical="center" wrapText="1"/>
    </xf>
    <xf numFmtId="0" fontId="96" fillId="0" borderId="39" xfId="0" applyFont="1" applyBorder="1"/>
    <xf numFmtId="0" fontId="96" fillId="0" borderId="41" xfId="0" applyFont="1" applyBorder="1"/>
    <xf numFmtId="2" fontId="8" fillId="26" borderId="10" xfId="0" applyNumberFormat="1" applyFont="1" applyFill="1" applyBorder="1"/>
    <xf numFmtId="175" fontId="10" fillId="0" borderId="10" xfId="177" applyNumberFormat="1" applyFont="1" applyFill="1" applyBorder="1" applyAlignment="1">
      <alignment horizontal="right"/>
    </xf>
    <xf numFmtId="1" fontId="0" fillId="24" borderId="70" xfId="0" applyNumberFormat="1" applyFill="1" applyBorder="1" applyAlignment="1">
      <alignment horizontal="center"/>
    </xf>
    <xf numFmtId="4" fontId="102" fillId="35" borderId="138" xfId="197" applyNumberFormat="1" applyFont="1" applyFill="1" applyBorder="1" applyAlignment="1">
      <alignment horizontal="center" vertical="center" wrapText="1"/>
    </xf>
    <xf numFmtId="0" fontId="26" fillId="26" borderId="41" xfId="0" applyFont="1" applyFill="1" applyBorder="1" applyAlignment="1">
      <alignment horizontal="center"/>
    </xf>
    <xf numFmtId="3" fontId="38" fillId="26" borderId="92" xfId="0" applyNumberFormat="1" applyFont="1" applyFill="1" applyBorder="1" applyAlignment="1">
      <alignment horizontal="center" vertical="center"/>
    </xf>
    <xf numFmtId="4" fontId="94" fillId="24" borderId="21" xfId="195" applyNumberFormat="1" applyFont="1" applyFill="1" applyBorder="1" applyAlignment="1">
      <alignment horizontal="center" wrapText="1"/>
    </xf>
    <xf numFmtId="4" fontId="94" fillId="24" borderId="22" xfId="195" applyNumberFormat="1" applyFont="1" applyFill="1" applyBorder="1" applyAlignment="1">
      <alignment horizontal="center" wrapText="1"/>
    </xf>
    <xf numFmtId="14" fontId="96" fillId="0" borderId="34" xfId="0" applyNumberFormat="1" applyFont="1" applyBorder="1" applyAlignment="1">
      <alignment horizontal="center"/>
    </xf>
    <xf numFmtId="10" fontId="0" fillId="0" borderId="45" xfId="0" applyNumberFormat="1" applyBorder="1" applyAlignment="1">
      <alignment horizontal="center"/>
    </xf>
    <xf numFmtId="10" fontId="0" fillId="0" borderId="76" xfId="0" applyNumberFormat="1" applyBorder="1" applyAlignment="1">
      <alignment horizontal="center"/>
    </xf>
    <xf numFmtId="10" fontId="0" fillId="0" borderId="41" xfId="0" applyNumberFormat="1" applyBorder="1" applyAlignment="1">
      <alignment horizontal="center"/>
    </xf>
    <xf numFmtId="0" fontId="100" fillId="0" borderId="52" xfId="195" applyFont="1" applyFill="1" applyBorder="1" applyAlignment="1">
      <alignment horizontal="center" wrapText="1"/>
    </xf>
    <xf numFmtId="0" fontId="100" fillId="0" borderId="54" xfId="195" applyFont="1" applyFill="1" applyBorder="1" applyAlignment="1">
      <alignment horizontal="center" wrapText="1"/>
    </xf>
    <xf numFmtId="0" fontId="100" fillId="0" borderId="27" xfId="195" applyFont="1" applyFill="1" applyBorder="1" applyAlignment="1">
      <alignment horizontal="center" wrapText="1"/>
    </xf>
    <xf numFmtId="0" fontId="100" fillId="0" borderId="22" xfId="195" applyFont="1" applyFill="1" applyBorder="1" applyAlignment="1">
      <alignment horizontal="center" wrapText="1"/>
    </xf>
    <xf numFmtId="0" fontId="94" fillId="24" borderId="70" xfId="195" applyFont="1" applyFill="1" applyBorder="1" applyAlignment="1">
      <alignment horizontal="center" vertical="center" wrapText="1"/>
    </xf>
    <xf numFmtId="0" fontId="94" fillId="24" borderId="39" xfId="195" applyFont="1" applyFill="1" applyBorder="1" applyAlignment="1">
      <alignment horizontal="center" vertical="center" wrapText="1"/>
    </xf>
    <xf numFmtId="4" fontId="0" fillId="0" borderId="0" xfId="0" applyNumberFormat="1" applyBorder="1"/>
    <xf numFmtId="3" fontId="0" fillId="0" borderId="0" xfId="0" applyNumberFormat="1" applyBorder="1" applyAlignment="1">
      <alignment horizontal="center" vertical="center"/>
    </xf>
    <xf numFmtId="0" fontId="0" fillId="0" borderId="0" xfId="0" applyBorder="1" applyAlignment="1">
      <alignment horizontal="center" vertical="center"/>
    </xf>
    <xf numFmtId="16" fontId="0" fillId="0" borderId="0" xfId="0" applyNumberFormat="1" applyBorder="1" applyAlignment="1">
      <alignment horizontal="center" vertical="center"/>
    </xf>
    <xf numFmtId="3" fontId="48" fillId="0" borderId="0" xfId="196" applyNumberFormat="1" applyFont="1" applyFill="1" applyBorder="1" applyAlignment="1">
      <alignment horizontal="center" vertical="center" wrapText="1"/>
    </xf>
    <xf numFmtId="0" fontId="37" fillId="0" borderId="54" xfId="0" applyFont="1" applyBorder="1" applyAlignment="1">
      <alignment horizontal="center" vertical="center" wrapText="1"/>
    </xf>
    <xf numFmtId="0" fontId="78" fillId="0" borderId="0" xfId="0" applyFont="1" applyFill="1" applyBorder="1" applyAlignment="1">
      <alignment horizontal="center"/>
    </xf>
    <xf numFmtId="3" fontId="10" fillId="0" borderId="0" xfId="0" applyNumberFormat="1" applyFont="1" applyAlignment="1">
      <alignment horizontal="center" vertical="center"/>
    </xf>
    <xf numFmtId="0" fontId="10" fillId="0" borderId="0" xfId="0" applyFont="1" applyAlignment="1">
      <alignment horizontal="center"/>
    </xf>
    <xf numFmtId="0" fontId="10" fillId="0" borderId="10" xfId="0" applyFont="1" applyFill="1" applyBorder="1" applyAlignment="1">
      <alignment wrapText="1"/>
    </xf>
    <xf numFmtId="0" fontId="10" fillId="24" borderId="10" xfId="0" applyFont="1" applyFill="1" applyBorder="1" applyAlignment="1">
      <alignment horizontal="center" wrapText="1"/>
    </xf>
    <xf numFmtId="3" fontId="10" fillId="0" borderId="10" xfId="0" applyNumberFormat="1" applyFont="1" applyFill="1" applyBorder="1" applyAlignment="1">
      <alignment horizontal="center" vertical="center"/>
    </xf>
    <xf numFmtId="166" fontId="10" fillId="0" borderId="10" xfId="0" applyNumberFormat="1" applyFont="1" applyFill="1" applyBorder="1" applyAlignment="1">
      <alignment horizontal="center"/>
    </xf>
    <xf numFmtId="9" fontId="10" fillId="24" borderId="10" xfId="203" applyFont="1" applyFill="1" applyBorder="1" applyAlignment="1">
      <alignment horizontal="center"/>
    </xf>
    <xf numFmtId="16" fontId="10" fillId="0" borderId="10" xfId="0" applyNumberFormat="1" applyFont="1" applyFill="1" applyBorder="1" applyAlignment="1">
      <alignment horizontal="center"/>
    </xf>
    <xf numFmtId="16" fontId="10" fillId="0" borderId="10" xfId="0" applyNumberFormat="1" applyFont="1" applyBorder="1" applyAlignment="1">
      <alignment horizontal="center"/>
    </xf>
    <xf numFmtId="3" fontId="13" fillId="0" borderId="10" xfId="0" applyNumberFormat="1" applyFont="1" applyFill="1" applyBorder="1" applyAlignment="1">
      <alignment horizontal="center" vertical="center"/>
    </xf>
    <xf numFmtId="4" fontId="13" fillId="0" borderId="10" xfId="0" applyNumberFormat="1" applyFont="1" applyFill="1" applyBorder="1" applyAlignment="1">
      <alignment horizontal="center"/>
    </xf>
    <xf numFmtId="3" fontId="10" fillId="0" borderId="0" xfId="0" applyNumberFormat="1" applyFont="1" applyFill="1" applyBorder="1" applyAlignment="1">
      <alignment horizontal="center" vertical="center"/>
    </xf>
    <xf numFmtId="16" fontId="45" fillId="0" borderId="10" xfId="0" applyNumberFormat="1" applyFont="1" applyFill="1" applyBorder="1" applyAlignment="1">
      <alignment horizontal="center"/>
    </xf>
    <xf numFmtId="1" fontId="45" fillId="0" borderId="10" xfId="203" applyNumberFormat="1" applyFont="1" applyFill="1" applyBorder="1" applyAlignment="1">
      <alignment horizontal="center"/>
    </xf>
    <xf numFmtId="0" fontId="13" fillId="0" borderId="10" xfId="0" applyFont="1" applyFill="1" applyBorder="1" applyAlignment="1">
      <alignment horizontal="center" wrapText="1"/>
    </xf>
    <xf numFmtId="4" fontId="13" fillId="0" borderId="10" xfId="0" applyNumberFormat="1" applyFont="1" applyFill="1" applyBorder="1" applyAlignment="1">
      <alignment horizontal="center" vertical="center"/>
    </xf>
    <xf numFmtId="166" fontId="13" fillId="0" borderId="10" xfId="0" applyNumberFormat="1" applyFont="1" applyFill="1" applyBorder="1" applyAlignment="1">
      <alignment horizontal="center"/>
    </xf>
    <xf numFmtId="179" fontId="45" fillId="0" borderId="10" xfId="0" applyNumberFormat="1" applyFont="1" applyBorder="1" applyAlignment="1">
      <alignment horizontal="center"/>
    </xf>
    <xf numFmtId="0" fontId="13" fillId="0" borderId="0" xfId="0" applyFont="1" applyFill="1" applyBorder="1" applyAlignment="1">
      <alignment horizontal="center" wrapText="1"/>
    </xf>
    <xf numFmtId="3" fontId="13" fillId="0" borderId="0" xfId="0" applyNumberFormat="1" applyFont="1" applyFill="1" applyBorder="1" applyAlignment="1">
      <alignment horizontal="center" vertical="center"/>
    </xf>
    <xf numFmtId="4" fontId="13" fillId="0" borderId="0" xfId="0" applyNumberFormat="1" applyFont="1" applyFill="1" applyBorder="1" applyAlignment="1">
      <alignment horizontal="center" vertical="center"/>
    </xf>
    <xf numFmtId="0" fontId="10" fillId="24" borderId="10" xfId="0" applyFont="1" applyFill="1" applyBorder="1" applyAlignment="1">
      <alignment vertical="center" wrapText="1"/>
    </xf>
    <xf numFmtId="3" fontId="86" fillId="0" borderId="10" xfId="0" applyNumberFormat="1" applyFont="1" applyFill="1" applyBorder="1" applyAlignment="1">
      <alignment horizontal="center" vertical="center"/>
    </xf>
    <xf numFmtId="2" fontId="10" fillId="0" borderId="10" xfId="0" applyNumberFormat="1" applyFont="1" applyFill="1" applyBorder="1" applyAlignment="1">
      <alignment horizontal="center" vertical="center"/>
    </xf>
    <xf numFmtId="166" fontId="10" fillId="0" borderId="10" xfId="0" applyNumberFormat="1" applyFont="1" applyFill="1" applyBorder="1" applyAlignment="1">
      <alignment horizontal="center" vertical="center"/>
    </xf>
    <xf numFmtId="181" fontId="10" fillId="0" borderId="10" xfId="0" applyNumberFormat="1" applyFont="1" applyFill="1" applyBorder="1" applyAlignment="1">
      <alignment vertical="center"/>
    </xf>
    <xf numFmtId="181" fontId="10" fillId="0" borderId="0" xfId="0" applyNumberFormat="1" applyFont="1" applyAlignment="1">
      <alignment horizontal="center"/>
    </xf>
    <xf numFmtId="181" fontId="13" fillId="25" borderId="13" xfId="0" applyNumberFormat="1" applyFont="1" applyFill="1" applyBorder="1" applyAlignment="1">
      <alignment horizontal="center" vertical="center"/>
    </xf>
    <xf numFmtId="181" fontId="45" fillId="0" borderId="10" xfId="0" applyNumberFormat="1" applyFont="1" applyFill="1" applyBorder="1" applyAlignment="1">
      <alignment horizontal="center" vertical="center"/>
    </xf>
    <xf numFmtId="181" fontId="45" fillId="0" borderId="10" xfId="203" applyNumberFormat="1" applyFont="1" applyFill="1" applyBorder="1" applyAlignment="1">
      <alignment horizontal="center"/>
    </xf>
    <xf numFmtId="181" fontId="10" fillId="0" borderId="10" xfId="0" applyNumberFormat="1" applyFont="1" applyFill="1" applyBorder="1" applyAlignment="1">
      <alignment horizontal="center"/>
    </xf>
    <xf numFmtId="0" fontId="10" fillId="24" borderId="12" xfId="0" applyFont="1" applyFill="1" applyBorder="1" applyAlignment="1">
      <alignment horizontal="center"/>
    </xf>
    <xf numFmtId="3" fontId="40" fillId="24" borderId="10" xfId="0" applyNumberFormat="1" applyFont="1" applyFill="1" applyBorder="1" applyAlignment="1">
      <alignment horizontal="center" vertical="center"/>
    </xf>
    <xf numFmtId="4" fontId="79" fillId="0" borderId="33" xfId="184" applyNumberFormat="1" applyFont="1" applyFill="1" applyBorder="1" applyAlignment="1">
      <alignment horizontal="center" vertical="center"/>
    </xf>
    <xf numFmtId="167" fontId="10" fillId="0" borderId="10" xfId="0" applyNumberFormat="1" applyFont="1" applyFill="1" applyBorder="1" applyAlignment="1">
      <alignment horizontal="center"/>
    </xf>
    <xf numFmtId="4" fontId="79" fillId="0" borderId="16" xfId="184" applyNumberFormat="1" applyFont="1" applyFill="1" applyBorder="1" applyAlignment="1">
      <alignment horizontal="center" vertical="center"/>
    </xf>
    <xf numFmtId="181" fontId="45" fillId="24" borderId="10" xfId="0" applyNumberFormat="1" applyFont="1" applyFill="1" applyBorder="1" applyAlignment="1">
      <alignment horizontal="center"/>
    </xf>
    <xf numFmtId="181" fontId="86" fillId="24" borderId="10" xfId="0" applyNumberFormat="1" applyFont="1" applyFill="1" applyBorder="1" applyAlignment="1">
      <alignment horizontal="center"/>
    </xf>
    <xf numFmtId="181" fontId="45" fillId="24" borderId="10" xfId="203" applyNumberFormat="1" applyFont="1" applyFill="1" applyBorder="1" applyAlignment="1">
      <alignment horizontal="center"/>
    </xf>
    <xf numFmtId="181" fontId="10" fillId="24" borderId="10" xfId="0" applyNumberFormat="1" applyFont="1" applyFill="1" applyBorder="1" applyAlignment="1">
      <alignment horizontal="center"/>
    </xf>
    <xf numFmtId="181" fontId="10" fillId="0" borderId="10" xfId="0" applyNumberFormat="1" applyFont="1" applyFill="1" applyBorder="1" applyAlignment="1">
      <alignment horizontal="center" vertical="center" wrapText="1"/>
    </xf>
    <xf numFmtId="3" fontId="86" fillId="24" borderId="10" xfId="0" applyNumberFormat="1" applyFont="1" applyFill="1" applyBorder="1" applyAlignment="1">
      <alignment horizontal="center" vertical="center"/>
    </xf>
    <xf numFmtId="3" fontId="10" fillId="24" borderId="10" xfId="0" applyNumberFormat="1" applyFont="1" applyFill="1" applyBorder="1" applyAlignment="1">
      <alignment horizontal="center" vertical="center"/>
    </xf>
    <xf numFmtId="181" fontId="45" fillId="0" borderId="10" xfId="0" applyNumberFormat="1" applyFont="1" applyFill="1" applyBorder="1" applyAlignment="1">
      <alignment horizontal="center"/>
    </xf>
    <xf numFmtId="4" fontId="79" fillId="0" borderId="10" xfId="184" applyNumberFormat="1" applyFont="1" applyFill="1" applyBorder="1" applyAlignment="1">
      <alignment horizontal="center" vertical="center"/>
    </xf>
    <xf numFmtId="181" fontId="86" fillId="0" borderId="10" xfId="0" applyNumberFormat="1" applyFont="1" applyFill="1" applyBorder="1" applyAlignment="1">
      <alignment horizontal="center"/>
    </xf>
    <xf numFmtId="167" fontId="10" fillId="24" borderId="10" xfId="0" applyNumberFormat="1" applyFont="1" applyFill="1" applyBorder="1" applyAlignment="1">
      <alignment horizontal="center"/>
    </xf>
    <xf numFmtId="181" fontId="10" fillId="24" borderId="10" xfId="0" applyNumberFormat="1" applyFont="1" applyFill="1" applyBorder="1" applyAlignment="1">
      <alignment horizontal="center" vertical="center" wrapText="1"/>
    </xf>
    <xf numFmtId="181" fontId="10" fillId="0" borderId="10" xfId="203" applyNumberFormat="1" applyFont="1" applyFill="1" applyBorder="1" applyAlignment="1">
      <alignment horizontal="center"/>
    </xf>
    <xf numFmtId="167" fontId="47" fillId="0" borderId="10" xfId="0" applyNumberFormat="1" applyFont="1" applyFill="1" applyBorder="1" applyAlignment="1">
      <alignment horizontal="center"/>
    </xf>
    <xf numFmtId="0" fontId="13" fillId="0" borderId="12" xfId="0" applyFont="1" applyFill="1" applyBorder="1" applyAlignment="1">
      <alignment horizontal="center"/>
    </xf>
    <xf numFmtId="1" fontId="10" fillId="0" borderId="10" xfId="203" applyNumberFormat="1" applyFont="1" applyFill="1" applyBorder="1" applyAlignment="1">
      <alignment horizontal="center"/>
    </xf>
    <xf numFmtId="9" fontId="10" fillId="0" borderId="0" xfId="203" applyFont="1" applyFill="1" applyBorder="1" applyAlignment="1">
      <alignment horizontal="center"/>
    </xf>
    <xf numFmtId="181" fontId="10" fillId="0" borderId="13" xfId="0" applyNumberFormat="1" applyFont="1" applyFill="1" applyBorder="1" applyAlignment="1">
      <alignment horizontal="center" vertical="center"/>
    </xf>
    <xf numFmtId="181" fontId="10" fillId="24" borderId="10" xfId="203" applyNumberFormat="1" applyFont="1" applyFill="1" applyBorder="1" applyAlignment="1">
      <alignment horizontal="center"/>
    </xf>
    <xf numFmtId="181" fontId="10" fillId="24" borderId="13" xfId="203" applyNumberFormat="1" applyFont="1" applyFill="1" applyBorder="1" applyAlignment="1">
      <alignment horizontal="center"/>
    </xf>
    <xf numFmtId="181" fontId="10" fillId="0" borderId="13" xfId="203" applyNumberFormat="1" applyFont="1" applyFill="1" applyBorder="1" applyAlignment="1">
      <alignment horizontal="center"/>
    </xf>
    <xf numFmtId="181" fontId="45" fillId="0" borderId="13" xfId="203" applyNumberFormat="1" applyFont="1" applyFill="1" applyBorder="1" applyAlignment="1">
      <alignment horizontal="center"/>
    </xf>
    <xf numFmtId="181" fontId="86" fillId="0" borderId="10" xfId="203" applyNumberFormat="1" applyFont="1" applyFill="1" applyBorder="1" applyAlignment="1">
      <alignment horizontal="center"/>
    </xf>
    <xf numFmtId="181" fontId="45" fillId="0" borderId="13" xfId="0" applyNumberFormat="1" applyFont="1" applyFill="1" applyBorder="1" applyAlignment="1">
      <alignment horizontal="center" vertical="center"/>
    </xf>
    <xf numFmtId="181" fontId="86" fillId="0" borderId="13" xfId="0" applyNumberFormat="1" applyFont="1" applyFill="1" applyBorder="1" applyAlignment="1">
      <alignment horizontal="center" vertical="center"/>
    </xf>
    <xf numFmtId="181" fontId="45" fillId="24" borderId="13" xfId="0" applyNumberFormat="1" applyFont="1" applyFill="1" applyBorder="1" applyAlignment="1">
      <alignment horizontal="center" vertical="center"/>
    </xf>
    <xf numFmtId="0" fontId="45" fillId="0" borderId="10" xfId="0" applyFont="1" applyFill="1" applyBorder="1" applyAlignment="1">
      <alignment horizontal="center"/>
    </xf>
    <xf numFmtId="3" fontId="96" fillId="24" borderId="41" xfId="0" applyNumberFormat="1" applyFont="1" applyFill="1" applyBorder="1" applyAlignment="1">
      <alignment horizontal="center"/>
    </xf>
    <xf numFmtId="0" fontId="10" fillId="24" borderId="10" xfId="0" applyFont="1" applyFill="1" applyBorder="1" applyAlignment="1">
      <alignment wrapText="1"/>
    </xf>
    <xf numFmtId="1" fontId="10" fillId="24" borderId="10" xfId="0" applyNumberFormat="1" applyFont="1" applyFill="1" applyBorder="1" applyAlignment="1">
      <alignment horizontal="center" vertical="center"/>
    </xf>
    <xf numFmtId="165" fontId="10" fillId="24" borderId="10" xfId="157" applyNumberFormat="1" applyFont="1" applyFill="1" applyBorder="1" applyAlignment="1">
      <alignment horizontal="center" vertical="center"/>
    </xf>
    <xf numFmtId="165" fontId="47" fillId="0" borderId="10" xfId="157" applyNumberFormat="1" applyFont="1" applyFill="1" applyBorder="1" applyAlignment="1">
      <alignment horizontal="center"/>
    </xf>
    <xf numFmtId="1" fontId="53" fillId="0" borderId="10" xfId="0" applyNumberFormat="1" applyFont="1" applyFill="1" applyBorder="1" applyAlignment="1">
      <alignment horizontal="center" vertical="center"/>
    </xf>
    <xf numFmtId="1" fontId="10" fillId="0" borderId="10" xfId="0" applyNumberFormat="1" applyFont="1" applyFill="1" applyBorder="1" applyAlignment="1">
      <alignment horizontal="center" vertical="center"/>
    </xf>
    <xf numFmtId="165" fontId="13" fillId="0" borderId="10" xfId="157" applyNumberFormat="1" applyFont="1" applyFill="1" applyBorder="1" applyAlignment="1">
      <alignment horizontal="center" vertical="center"/>
    </xf>
    <xf numFmtId="2" fontId="47" fillId="0" borderId="10" xfId="0" applyNumberFormat="1" applyFont="1" applyFill="1" applyBorder="1" applyAlignment="1">
      <alignment horizontal="center"/>
    </xf>
    <xf numFmtId="175" fontId="10" fillId="0" borderId="10" xfId="0" applyNumberFormat="1" applyFont="1" applyFill="1" applyBorder="1" applyAlignment="1">
      <alignment horizontal="center" vertical="center"/>
    </xf>
    <xf numFmtId="0" fontId="13" fillId="0" borderId="10" xfId="0" applyFont="1" applyFill="1" applyBorder="1" applyAlignment="1">
      <alignment horizontal="center" vertical="center" wrapText="1"/>
    </xf>
    <xf numFmtId="2" fontId="13" fillId="0" borderId="10" xfId="0" applyNumberFormat="1" applyFont="1" applyFill="1" applyBorder="1" applyAlignment="1">
      <alignment horizontal="center" vertical="center"/>
    </xf>
    <xf numFmtId="175" fontId="10" fillId="24" borderId="10" xfId="0" applyNumberFormat="1" applyFont="1" applyFill="1" applyBorder="1" applyAlignment="1">
      <alignment horizontal="center"/>
    </xf>
    <xf numFmtId="1" fontId="10" fillId="24" borderId="10" xfId="0" applyNumberFormat="1" applyFont="1" applyFill="1" applyBorder="1" applyAlignment="1">
      <alignment horizontal="center"/>
    </xf>
    <xf numFmtId="3" fontId="13" fillId="0" borderId="10" xfId="0" applyNumberFormat="1" applyFont="1" applyFill="1" applyBorder="1" applyAlignment="1">
      <alignment horizontal="center"/>
    </xf>
    <xf numFmtId="175" fontId="47" fillId="0" borderId="10" xfId="0" applyNumberFormat="1" applyFont="1" applyFill="1" applyBorder="1" applyAlignment="1">
      <alignment horizontal="center" vertical="center"/>
    </xf>
    <xf numFmtId="0" fontId="45" fillId="24" borderId="10" xfId="0" applyFont="1" applyFill="1" applyBorder="1" applyAlignment="1">
      <alignment horizontal="center"/>
    </xf>
    <xf numFmtId="2" fontId="53" fillId="0" borderId="10" xfId="0" applyNumberFormat="1" applyFont="1" applyFill="1" applyBorder="1" applyAlignment="1">
      <alignment horizontal="center" vertical="center"/>
    </xf>
    <xf numFmtId="1" fontId="10" fillId="0" borderId="0" xfId="0" applyNumberFormat="1" applyFont="1" applyFill="1" applyBorder="1" applyAlignment="1">
      <alignment horizontal="center" vertical="center"/>
    </xf>
    <xf numFmtId="1" fontId="10" fillId="0" borderId="0" xfId="0" applyNumberFormat="1" applyFont="1" applyFill="1" applyBorder="1" applyAlignment="1">
      <alignment horizontal="center"/>
    </xf>
    <xf numFmtId="1" fontId="13" fillId="25" borderId="10" xfId="0" applyNumberFormat="1" applyFont="1" applyFill="1" applyBorder="1" applyAlignment="1">
      <alignment horizontal="center" vertical="center"/>
    </xf>
    <xf numFmtId="1" fontId="13" fillId="25" borderId="10" xfId="0" applyNumberFormat="1" applyFont="1" applyFill="1" applyBorder="1" applyAlignment="1">
      <alignment horizontal="center"/>
    </xf>
    <xf numFmtId="1" fontId="37" fillId="0" borderId="0" xfId="0" applyNumberFormat="1" applyFont="1"/>
    <xf numFmtId="1" fontId="86" fillId="0" borderId="10" xfId="0" applyNumberFormat="1" applyFont="1" applyFill="1" applyBorder="1" applyAlignment="1">
      <alignment horizontal="center" vertical="center"/>
    </xf>
    <xf numFmtId="3" fontId="7" fillId="24" borderId="10" xfId="0" applyNumberFormat="1" applyFont="1" applyFill="1" applyBorder="1" applyAlignment="1">
      <alignment horizontal="center" vertical="center"/>
    </xf>
    <xf numFmtId="0" fontId="91" fillId="24" borderId="139" xfId="187" applyFont="1" applyFill="1" applyBorder="1" applyAlignment="1">
      <alignment horizontal="center"/>
    </xf>
    <xf numFmtId="0" fontId="0" fillId="24" borderId="74" xfId="0" applyFill="1" applyBorder="1" applyAlignment="1">
      <alignment horizontal="center"/>
    </xf>
    <xf numFmtId="0" fontId="91" fillId="24" borderId="14" xfId="187" applyFont="1" applyFill="1" applyBorder="1" applyAlignment="1">
      <alignment horizontal="center"/>
    </xf>
    <xf numFmtId="0" fontId="91" fillId="24" borderId="65" xfId="187" applyFont="1" applyFill="1" applyBorder="1" applyAlignment="1">
      <alignment horizontal="center"/>
    </xf>
    <xf numFmtId="0" fontId="91" fillId="24" borderId="76" xfId="187" applyFont="1" applyFill="1" applyBorder="1" applyAlignment="1">
      <alignment horizontal="center"/>
    </xf>
    <xf numFmtId="0" fontId="91" fillId="24" borderId="19" xfId="187" applyFont="1" applyFill="1" applyBorder="1" applyAlignment="1">
      <alignment horizontal="center"/>
    </xf>
    <xf numFmtId="0" fontId="70" fillId="24" borderId="158" xfId="179" applyFont="1" applyFill="1" applyBorder="1" applyAlignment="1">
      <alignment horizontal="center" wrapText="1"/>
    </xf>
    <xf numFmtId="2" fontId="37" fillId="0" borderId="0" xfId="0" applyNumberFormat="1" applyFont="1" applyBorder="1" applyAlignment="1">
      <alignment horizontal="center"/>
    </xf>
    <xf numFmtId="1" fontId="0" fillId="24" borderId="27" xfId="0" applyNumberFormat="1" applyFill="1" applyBorder="1" applyAlignment="1">
      <alignment horizontal="center"/>
    </xf>
    <xf numFmtId="0" fontId="38" fillId="24" borderId="70" xfId="179" applyFont="1" applyFill="1" applyBorder="1" applyAlignment="1">
      <alignment horizontal="center" wrapText="1"/>
    </xf>
    <xf numFmtId="0" fontId="113" fillId="0" borderId="83" xfId="189" applyBorder="1" applyAlignment="1">
      <alignment horizontal="center"/>
    </xf>
    <xf numFmtId="0" fontId="113" fillId="0" borderId="58" xfId="189" applyBorder="1" applyAlignment="1">
      <alignment horizontal="center"/>
    </xf>
    <xf numFmtId="0" fontId="113" fillId="0" borderId="82" xfId="189" applyBorder="1" applyAlignment="1">
      <alignment horizontal="center"/>
    </xf>
    <xf numFmtId="0" fontId="113" fillId="0" borderId="92" xfId="193" applyBorder="1" applyAlignment="1">
      <alignment horizontal="center"/>
    </xf>
    <xf numFmtId="0" fontId="113" fillId="0" borderId="98" xfId="193" applyBorder="1" applyAlignment="1">
      <alignment horizontal="center"/>
    </xf>
    <xf numFmtId="0" fontId="113" fillId="0" borderId="68" xfId="193" applyBorder="1" applyAlignment="1">
      <alignment horizontal="center"/>
    </xf>
    <xf numFmtId="0" fontId="113" fillId="0" borderId="63" xfId="191" applyBorder="1" applyAlignment="1">
      <alignment horizontal="center"/>
    </xf>
    <xf numFmtId="0" fontId="113" fillId="0" borderId="80" xfId="191" applyBorder="1" applyAlignment="1">
      <alignment horizontal="center"/>
    </xf>
    <xf numFmtId="0" fontId="113" fillId="0" borderId="64" xfId="191" applyBorder="1" applyAlignment="1">
      <alignment horizontal="center"/>
    </xf>
    <xf numFmtId="181" fontId="84" fillId="0" borderId="13" xfId="0" applyNumberFormat="1" applyFont="1" applyFill="1" applyBorder="1" applyAlignment="1">
      <alignment horizontal="center" vertical="center"/>
    </xf>
    <xf numFmtId="0" fontId="38" fillId="30" borderId="22" xfId="0" applyFont="1" applyFill="1" applyBorder="1" applyAlignment="1">
      <alignment horizontal="center"/>
    </xf>
    <xf numFmtId="181" fontId="8" fillId="24" borderId="13" xfId="0" applyNumberFormat="1" applyFont="1" applyFill="1" applyBorder="1" applyAlignment="1">
      <alignment horizontal="center" vertical="center"/>
    </xf>
    <xf numFmtId="0" fontId="37" fillId="24" borderId="27" xfId="179" applyFont="1" applyFill="1" applyBorder="1" applyAlignment="1">
      <alignment horizontal="center" wrapText="1"/>
    </xf>
    <xf numFmtId="0" fontId="106" fillId="0" borderId="27" xfId="189" applyFont="1" applyBorder="1" applyAlignment="1">
      <alignment horizontal="center"/>
    </xf>
    <xf numFmtId="0" fontId="113" fillId="0" borderId="41" xfId="191" applyBorder="1" applyAlignment="1">
      <alignment horizontal="center"/>
    </xf>
    <xf numFmtId="0" fontId="113" fillId="0" borderId="22" xfId="193" applyBorder="1" applyAlignment="1">
      <alignment horizontal="center"/>
    </xf>
    <xf numFmtId="0" fontId="91" fillId="24" borderId="41" xfId="187" applyFont="1" applyFill="1" applyBorder="1" applyAlignment="1">
      <alignment horizontal="center"/>
    </xf>
    <xf numFmtId="0" fontId="91" fillId="24" borderId="22" xfId="187" applyFont="1" applyFill="1" applyBorder="1" applyAlignment="1">
      <alignment horizontal="center"/>
    </xf>
    <xf numFmtId="2" fontId="38" fillId="0" borderId="59" xfId="0" applyNumberFormat="1" applyFont="1" applyBorder="1" applyAlignment="1">
      <alignment horizontal="center"/>
    </xf>
    <xf numFmtId="175" fontId="8" fillId="0" borderId="0" xfId="0" applyNumberFormat="1" applyFont="1" applyFill="1"/>
    <xf numFmtId="175" fontId="37" fillId="0" borderId="10" xfId="0" applyNumberFormat="1" applyFont="1" applyFill="1" applyBorder="1" applyAlignment="1">
      <alignment horizontal="right"/>
    </xf>
    <xf numFmtId="175" fontId="57" fillId="0" borderId="10" xfId="0" applyNumberFormat="1" applyFont="1" applyFill="1" applyBorder="1" applyAlignment="1">
      <alignment horizontal="right"/>
    </xf>
    <xf numFmtId="175" fontId="57" fillId="0" borderId="10" xfId="0" applyNumberFormat="1" applyFont="1" applyBorder="1"/>
    <xf numFmtId="0" fontId="0" fillId="0" borderId="45" xfId="0" applyBorder="1"/>
    <xf numFmtId="183" fontId="61" fillId="0" borderId="10" xfId="157" applyNumberFormat="1" applyFont="1" applyBorder="1" applyAlignment="1">
      <alignment horizontal="center"/>
    </xf>
    <xf numFmtId="2" fontId="13" fillId="25" borderId="13" xfId="0" applyNumberFormat="1" applyFont="1" applyFill="1" applyBorder="1" applyAlignment="1">
      <alignment horizontal="center"/>
    </xf>
    <xf numFmtId="2" fontId="61" fillId="25" borderId="13" xfId="0" applyNumberFormat="1" applyFont="1" applyFill="1" applyBorder="1" applyAlignment="1">
      <alignment horizontal="center"/>
    </xf>
    <xf numFmtId="165" fontId="13" fillId="0" borderId="37" xfId="157" applyFont="1" applyFill="1" applyBorder="1" applyAlignment="1">
      <alignment horizontal="left"/>
    </xf>
    <xf numFmtId="183" fontId="61" fillId="0" borderId="34" xfId="157" applyNumberFormat="1" applyFont="1" applyBorder="1" applyAlignment="1">
      <alignment horizontal="center"/>
    </xf>
    <xf numFmtId="165" fontId="13" fillId="0" borderId="44" xfId="157" applyFont="1" applyFill="1" applyBorder="1" applyAlignment="1">
      <alignment horizontal="left"/>
    </xf>
    <xf numFmtId="2" fontId="61" fillId="0" borderId="34" xfId="157" applyNumberFormat="1" applyFont="1" applyBorder="1" applyAlignment="1">
      <alignment horizontal="center"/>
    </xf>
    <xf numFmtId="0" fontId="73" fillId="26" borderId="27" xfId="187" applyFont="1" applyFill="1" applyBorder="1"/>
    <xf numFmtId="0" fontId="91" fillId="24" borderId="21" xfId="187" applyFont="1" applyFill="1" applyBorder="1" applyAlignment="1">
      <alignment horizontal="center"/>
    </xf>
    <xf numFmtId="0" fontId="0" fillId="0" borderId="41" xfId="0" applyBorder="1"/>
    <xf numFmtId="0" fontId="46" fillId="25" borderId="10" xfId="177" applyFont="1" applyFill="1" applyBorder="1"/>
    <xf numFmtId="16" fontId="37" fillId="0" borderId="76" xfId="0" applyNumberFormat="1" applyFont="1" applyBorder="1" applyAlignment="1">
      <alignment horizontal="center" vertical="center"/>
    </xf>
    <xf numFmtId="16" fontId="37" fillId="0" borderId="41" xfId="0" applyNumberFormat="1" applyFont="1" applyBorder="1" applyAlignment="1">
      <alignment horizontal="center" vertical="center"/>
    </xf>
    <xf numFmtId="0" fontId="38" fillId="0" borderId="76" xfId="0" applyFont="1" applyBorder="1" applyAlignment="1">
      <alignment horizontal="center" vertical="center"/>
    </xf>
    <xf numFmtId="0" fontId="0" fillId="0" borderId="0" xfId="0"/>
    <xf numFmtId="0" fontId="90" fillId="40" borderId="27" xfId="187" applyFont="1" applyFill="1" applyBorder="1"/>
    <xf numFmtId="0" fontId="91" fillId="40" borderId="21" xfId="187" applyFont="1" applyFill="1" applyBorder="1"/>
    <xf numFmtId="0" fontId="113" fillId="40" borderId="21" xfId="187" applyFill="1" applyBorder="1" applyAlignment="1">
      <alignment horizontal="center"/>
    </xf>
    <xf numFmtId="0" fontId="0" fillId="40" borderId="22" xfId="0" applyFill="1" applyBorder="1"/>
    <xf numFmtId="0" fontId="57" fillId="40" borderId="22" xfId="0" applyFont="1" applyFill="1" applyBorder="1"/>
    <xf numFmtId="0" fontId="73" fillId="40" borderId="27" xfId="187" applyFont="1" applyFill="1" applyBorder="1"/>
    <xf numFmtId="0" fontId="37" fillId="41" borderId="87" xfId="179" applyFont="1" applyFill="1" applyBorder="1" applyAlignment="1">
      <alignment horizontal="center" wrapText="1"/>
    </xf>
    <xf numFmtId="0" fontId="113" fillId="41" borderId="83" xfId="189" applyFill="1" applyBorder="1" applyAlignment="1">
      <alignment horizontal="center"/>
    </xf>
    <xf numFmtId="0" fontId="113" fillId="41" borderId="63" xfId="191" applyFill="1" applyBorder="1" applyAlignment="1">
      <alignment horizontal="center"/>
    </xf>
    <xf numFmtId="0" fontId="113" fillId="41" borderId="92" xfId="193" applyFill="1" applyBorder="1" applyAlignment="1">
      <alignment horizontal="center"/>
    </xf>
    <xf numFmtId="0" fontId="91" fillId="41" borderId="63" xfId="187" applyFont="1" applyFill="1" applyBorder="1" applyAlignment="1">
      <alignment horizontal="center"/>
    </xf>
    <xf numFmtId="0" fontId="91" fillId="41" borderId="92" xfId="187" applyFont="1" applyFill="1" applyBorder="1" applyAlignment="1">
      <alignment horizontal="center"/>
    </xf>
    <xf numFmtId="0" fontId="91" fillId="41" borderId="65" xfId="187" applyFont="1" applyFill="1" applyBorder="1" applyAlignment="1">
      <alignment horizontal="center"/>
    </xf>
    <xf numFmtId="0" fontId="37" fillId="41" borderId="12" xfId="179" applyFont="1" applyFill="1" applyBorder="1" applyAlignment="1">
      <alignment horizontal="center" wrapText="1"/>
    </xf>
    <xf numFmtId="0" fontId="113" fillId="41" borderId="80" xfId="191" applyFill="1" applyBorder="1" applyAlignment="1">
      <alignment horizontal="center"/>
    </xf>
    <xf numFmtId="0" fontId="113" fillId="41" borderId="98" xfId="193" applyFill="1" applyBorder="1" applyAlignment="1">
      <alignment horizontal="center"/>
    </xf>
    <xf numFmtId="0" fontId="91" fillId="41" borderId="62" xfId="187" applyFont="1" applyFill="1" applyBorder="1" applyAlignment="1">
      <alignment horizontal="center"/>
    </xf>
    <xf numFmtId="0" fontId="91" fillId="41" borderId="93" xfId="187" applyFont="1" applyFill="1" applyBorder="1" applyAlignment="1">
      <alignment horizontal="center"/>
    </xf>
    <xf numFmtId="0" fontId="91" fillId="41" borderId="14" xfId="187" applyFont="1" applyFill="1" applyBorder="1" applyAlignment="1">
      <alignment horizontal="center"/>
    </xf>
    <xf numFmtId="0" fontId="91" fillId="41" borderId="80" xfId="187" applyFont="1" applyFill="1" applyBorder="1" applyAlignment="1">
      <alignment horizontal="center"/>
    </xf>
    <xf numFmtId="0" fontId="4" fillId="41" borderId="83" xfId="189" applyFont="1" applyFill="1" applyBorder="1" applyAlignment="1">
      <alignment horizontal="center"/>
    </xf>
    <xf numFmtId="0" fontId="91" fillId="41" borderId="98" xfId="187" applyFont="1" applyFill="1" applyBorder="1" applyAlignment="1">
      <alignment horizontal="center"/>
    </xf>
    <xf numFmtId="0" fontId="0" fillId="24" borderId="64" xfId="0" applyFill="1" applyBorder="1" applyAlignment="1">
      <alignment horizontal="center"/>
    </xf>
    <xf numFmtId="0" fontId="0" fillId="0" borderId="0" xfId="0"/>
    <xf numFmtId="181" fontId="10" fillId="41" borderId="10" xfId="0" applyNumberFormat="1" applyFont="1" applyFill="1" applyBorder="1" applyAlignment="1">
      <alignment horizontal="center"/>
    </xf>
    <xf numFmtId="4" fontId="74" fillId="26" borderId="41" xfId="0" applyNumberFormat="1" applyFont="1" applyFill="1" applyBorder="1" applyAlignment="1">
      <alignment horizontal="center" vertical="center"/>
    </xf>
    <xf numFmtId="3" fontId="37" fillId="0" borderId="40" xfId="0" applyNumberFormat="1" applyFont="1" applyBorder="1" applyAlignment="1">
      <alignment horizontal="center" vertical="center"/>
    </xf>
    <xf numFmtId="3" fontId="37" fillId="0" borderId="42" xfId="0" applyNumberFormat="1" applyFont="1" applyBorder="1" applyAlignment="1">
      <alignment horizontal="center" vertical="center"/>
    </xf>
    <xf numFmtId="3" fontId="37" fillId="0" borderId="88" xfId="0" applyNumberFormat="1" applyFont="1" applyBorder="1" applyAlignment="1">
      <alignment horizontal="center" vertical="center"/>
    </xf>
    <xf numFmtId="3" fontId="75" fillId="0" borderId="43" xfId="196" applyNumberFormat="1" applyFont="1" applyFill="1" applyBorder="1" applyAlignment="1">
      <alignment horizontal="center" vertical="center" wrapText="1"/>
    </xf>
    <xf numFmtId="3" fontId="37" fillId="0" borderId="71" xfId="0" applyNumberFormat="1" applyFont="1" applyBorder="1" applyAlignment="1">
      <alignment horizontal="center" vertical="center"/>
    </xf>
    <xf numFmtId="0" fontId="37" fillId="0" borderId="60" xfId="0" applyFont="1" applyBorder="1" applyAlignment="1">
      <alignment horizontal="center" vertical="center"/>
    </xf>
    <xf numFmtId="169" fontId="37" fillId="0" borderId="70" xfId="0" applyNumberFormat="1" applyFont="1" applyBorder="1" applyAlignment="1">
      <alignment horizontal="center" vertical="center"/>
    </xf>
    <xf numFmtId="4" fontId="37" fillId="0" borderId="71" xfId="0" applyNumberFormat="1" applyFont="1" applyBorder="1" applyAlignment="1">
      <alignment horizontal="center" vertical="center"/>
    </xf>
    <xf numFmtId="3" fontId="37" fillId="0" borderId="60" xfId="0" applyNumberFormat="1" applyFont="1" applyBorder="1" applyAlignment="1">
      <alignment horizontal="center" vertical="center"/>
    </xf>
    <xf numFmtId="3" fontId="37" fillId="0" borderId="70" xfId="0" applyNumberFormat="1" applyFont="1" applyBorder="1" applyAlignment="1">
      <alignment horizontal="center" vertical="center"/>
    </xf>
    <xf numFmtId="3" fontId="75" fillId="0" borderId="71" xfId="196" applyNumberFormat="1" applyFont="1" applyFill="1" applyBorder="1" applyAlignment="1">
      <alignment horizontal="center" vertical="center" wrapText="1"/>
    </xf>
    <xf numFmtId="3" fontId="37" fillId="0" borderId="45" xfId="0" applyNumberFormat="1" applyFont="1" applyBorder="1" applyAlignment="1">
      <alignment horizontal="center" vertical="center"/>
    </xf>
    <xf numFmtId="0" fontId="37" fillId="0" borderId="84" xfId="0" applyFont="1" applyBorder="1" applyAlignment="1">
      <alignment horizontal="center" vertical="center"/>
    </xf>
    <xf numFmtId="169" fontId="37" fillId="0" borderId="67" xfId="0" applyNumberFormat="1" applyFont="1" applyBorder="1" applyAlignment="1">
      <alignment horizontal="center" vertical="center"/>
    </xf>
    <xf numFmtId="4" fontId="37" fillId="0" borderId="75" xfId="0" applyNumberFormat="1" applyFont="1" applyBorder="1" applyAlignment="1">
      <alignment horizontal="center" vertical="center"/>
    </xf>
    <xf numFmtId="3" fontId="37" fillId="0" borderId="84" xfId="0" applyNumberFormat="1" applyFont="1" applyBorder="1" applyAlignment="1">
      <alignment horizontal="center" vertical="center"/>
    </xf>
    <xf numFmtId="3" fontId="37" fillId="0" borderId="67" xfId="0" applyNumberFormat="1" applyFont="1" applyBorder="1" applyAlignment="1">
      <alignment horizontal="center" vertical="center"/>
    </xf>
    <xf numFmtId="3" fontId="75" fillId="0" borderId="75" xfId="196" applyNumberFormat="1" applyFont="1" applyFill="1" applyBorder="1" applyAlignment="1">
      <alignment horizontal="center" vertical="center" wrapText="1"/>
    </xf>
    <xf numFmtId="3" fontId="37" fillId="0" borderId="76" xfId="0" applyNumberFormat="1" applyFont="1" applyBorder="1" applyAlignment="1">
      <alignment horizontal="center" vertical="center"/>
    </xf>
    <xf numFmtId="3" fontId="37" fillId="39" borderId="52" xfId="0" applyNumberFormat="1" applyFont="1" applyFill="1" applyBorder="1" applyAlignment="1">
      <alignment horizontal="center" vertical="center"/>
    </xf>
    <xf numFmtId="169" fontId="83" fillId="24" borderId="10" xfId="0" applyNumberFormat="1" applyFont="1" applyFill="1" applyBorder="1" applyAlignment="1">
      <alignment horizontal="center" vertical="center"/>
    </xf>
    <xf numFmtId="0" fontId="37" fillId="0" borderId="41" xfId="0" applyFont="1" applyBorder="1" applyAlignment="1">
      <alignment horizontal="center" vertical="center"/>
    </xf>
    <xf numFmtId="16" fontId="37" fillId="0" borderId="21" xfId="0" applyNumberFormat="1" applyFont="1" applyBorder="1" applyAlignment="1">
      <alignment horizontal="center" vertical="center"/>
    </xf>
    <xf numFmtId="0" fontId="94" fillId="0" borderId="41" xfId="196" applyFont="1" applyFill="1" applyBorder="1" applyAlignment="1">
      <alignment horizontal="center" vertical="center" wrapText="1"/>
    </xf>
    <xf numFmtId="0" fontId="115" fillId="0" borderId="0" xfId="196" applyFont="1" applyFill="1" applyBorder="1" applyAlignment="1">
      <alignment horizontal="center" vertical="center" wrapText="1"/>
    </xf>
    <xf numFmtId="4" fontId="116" fillId="0" borderId="0" xfId="0" applyNumberFormat="1" applyFont="1"/>
    <xf numFmtId="3" fontId="37" fillId="39" borderId="41" xfId="0" applyNumberFormat="1" applyFont="1" applyFill="1" applyBorder="1" applyAlignment="1">
      <alignment horizontal="center" vertical="center"/>
    </xf>
    <xf numFmtId="0" fontId="0" fillId="0" borderId="0" xfId="0"/>
    <xf numFmtId="0" fontId="37" fillId="24" borderId="45" xfId="0" applyFont="1" applyFill="1" applyBorder="1" applyAlignment="1">
      <alignment horizontal="center" vertical="center"/>
    </xf>
    <xf numFmtId="0" fontId="38" fillId="24" borderId="60" xfId="0" applyFont="1" applyFill="1" applyBorder="1" applyAlignment="1">
      <alignment horizontal="center"/>
    </xf>
    <xf numFmtId="0" fontId="0" fillId="0" borderId="0" xfId="0"/>
    <xf numFmtId="175" fontId="37" fillId="0" borderId="15" xfId="0" applyNumberFormat="1" applyFont="1" applyFill="1" applyBorder="1" applyAlignment="1">
      <alignment horizontal="right"/>
    </xf>
    <xf numFmtId="175" fontId="38" fillId="0" borderId="10" xfId="0" applyNumberFormat="1" applyFont="1" applyFill="1" applyBorder="1" applyAlignment="1">
      <alignment horizontal="right"/>
    </xf>
    <xf numFmtId="175" fontId="10" fillId="0" borderId="10" xfId="0" applyNumberFormat="1" applyFont="1" applyBorder="1"/>
    <xf numFmtId="0" fontId="104" fillId="0" borderId="10" xfId="0" applyFont="1" applyBorder="1"/>
    <xf numFmtId="175" fontId="37" fillId="0" borderId="51" xfId="0" applyNumberFormat="1" applyFont="1" applyFill="1" applyBorder="1"/>
    <xf numFmtId="175" fontId="37" fillId="0" borderId="30" xfId="0" applyNumberFormat="1" applyFont="1" applyFill="1" applyBorder="1"/>
    <xf numFmtId="175" fontId="37" fillId="0" borderId="29" xfId="0" applyNumberFormat="1" applyFont="1" applyFill="1" applyBorder="1"/>
    <xf numFmtId="0" fontId="37" fillId="0" borderId="29" xfId="0" applyFont="1" applyFill="1" applyBorder="1"/>
    <xf numFmtId="0" fontId="37" fillId="0" borderId="135" xfId="0" applyFont="1" applyBorder="1"/>
    <xf numFmtId="0" fontId="37" fillId="0" borderId="51" xfId="0" applyFont="1" applyFill="1" applyBorder="1"/>
    <xf numFmtId="175" fontId="10" fillId="0" borderId="10" xfId="0" applyNumberFormat="1" applyFont="1" applyFill="1" applyBorder="1" applyAlignment="1">
      <alignment horizontal="right"/>
    </xf>
    <xf numFmtId="0" fontId="37" fillId="0" borderId="10" xfId="0" applyFont="1" applyFill="1" applyBorder="1"/>
    <xf numFmtId="0" fontId="8" fillId="39" borderId="10" xfId="0" applyFont="1" applyFill="1" applyBorder="1" applyAlignment="1">
      <alignment horizontal="center"/>
    </xf>
    <xf numFmtId="9" fontId="8" fillId="41" borderId="10" xfId="203" applyFont="1" applyFill="1" applyBorder="1" applyAlignment="1">
      <alignment horizontal="center"/>
    </xf>
    <xf numFmtId="0" fontId="115" fillId="0" borderId="41" xfId="196" applyFont="1" applyFill="1" applyBorder="1" applyAlignment="1">
      <alignment horizontal="center" vertical="center" wrapText="1"/>
    </xf>
    <xf numFmtId="0" fontId="95" fillId="43" borderId="0" xfId="0" applyFont="1" applyFill="1" applyAlignment="1"/>
    <xf numFmtId="0" fontId="37" fillId="43" borderId="0" xfId="0" applyFont="1" applyFill="1" applyAlignment="1">
      <alignment horizontal="center" vertical="center"/>
    </xf>
    <xf numFmtId="0" fontId="37" fillId="24" borderId="67" xfId="0" applyFont="1" applyFill="1" applyBorder="1" applyAlignment="1">
      <alignment horizontal="center" vertical="center"/>
    </xf>
    <xf numFmtId="0" fontId="37" fillId="24" borderId="84" xfId="0" applyFont="1" applyFill="1" applyBorder="1" applyAlignment="1">
      <alignment horizontal="center" vertical="center"/>
    </xf>
    <xf numFmtId="0" fontId="37" fillId="24" borderId="75" xfId="0" applyFont="1" applyFill="1" applyBorder="1" applyAlignment="1">
      <alignment horizontal="center" vertical="center"/>
    </xf>
    <xf numFmtId="0" fontId="37" fillId="24" borderId="41" xfId="0" applyFont="1" applyFill="1" applyBorder="1" applyAlignment="1">
      <alignment horizontal="center" vertical="center"/>
    </xf>
    <xf numFmtId="0" fontId="89" fillId="24" borderId="41" xfId="0" applyFont="1" applyFill="1" applyBorder="1" applyAlignment="1">
      <alignment horizontal="center" vertical="center"/>
    </xf>
    <xf numFmtId="0" fontId="94" fillId="24" borderId="41" xfId="196" applyFont="1" applyFill="1" applyBorder="1" applyAlignment="1">
      <alignment horizontal="center" vertical="center" wrapText="1"/>
    </xf>
    <xf numFmtId="16" fontId="37" fillId="24" borderId="41" xfId="0" applyNumberFormat="1" applyFont="1" applyFill="1" applyBorder="1" applyAlignment="1">
      <alignment horizontal="center" vertical="center"/>
    </xf>
    <xf numFmtId="14" fontId="96" fillId="41" borderId="47" xfId="0" applyNumberFormat="1" applyFont="1" applyFill="1" applyBorder="1" applyAlignment="1">
      <alignment horizontal="center"/>
    </xf>
    <xf numFmtId="0" fontId="90" fillId="26" borderId="21" xfId="187" applyFont="1" applyFill="1" applyBorder="1" applyAlignment="1">
      <alignment horizontal="center"/>
    </xf>
    <xf numFmtId="0" fontId="0" fillId="0" borderId="0" xfId="0"/>
    <xf numFmtId="0" fontId="0" fillId="0" borderId="0" xfId="0"/>
    <xf numFmtId="0" fontId="8" fillId="41" borderId="10" xfId="0" applyFont="1" applyFill="1" applyBorder="1" applyAlignment="1">
      <alignment horizontal="center"/>
    </xf>
    <xf numFmtId="4" fontId="8" fillId="41" borderId="10" xfId="0" applyNumberFormat="1" applyFont="1" applyFill="1" applyBorder="1" applyAlignment="1">
      <alignment horizontal="center"/>
    </xf>
    <xf numFmtId="0" fontId="0" fillId="41" borderId="10" xfId="0" applyFill="1" applyBorder="1"/>
    <xf numFmtId="14" fontId="0" fillId="41" borderId="0" xfId="0" applyNumberFormat="1" applyFill="1" applyAlignment="1">
      <alignment horizontal="center"/>
    </xf>
    <xf numFmtId="0" fontId="36" fillId="41" borderId="0" xfId="0" applyFont="1" applyFill="1" applyAlignment="1">
      <alignment horizontal="center"/>
    </xf>
    <xf numFmtId="0" fontId="37" fillId="0" borderId="54" xfId="0" applyFont="1" applyBorder="1" applyAlignment="1">
      <alignment horizontal="center"/>
    </xf>
    <xf numFmtId="0" fontId="37" fillId="0" borderId="55" xfId="0" applyFont="1" applyBorder="1" applyAlignment="1">
      <alignment horizontal="center"/>
    </xf>
    <xf numFmtId="0" fontId="37" fillId="0" borderId="36" xfId="0" applyFont="1" applyBorder="1" applyAlignment="1">
      <alignment horizontal="center"/>
    </xf>
    <xf numFmtId="0" fontId="37" fillId="0" borderId="48" xfId="0" applyFont="1" applyBorder="1" applyAlignment="1">
      <alignment horizontal="center"/>
    </xf>
    <xf numFmtId="0" fontId="37" fillId="0" borderId="13" xfId="0" applyFont="1" applyBorder="1" applyAlignment="1">
      <alignment horizontal="center"/>
    </xf>
    <xf numFmtId="2" fontId="65" fillId="24" borderId="0" xfId="0" applyNumberFormat="1" applyFont="1" applyFill="1"/>
    <xf numFmtId="2" fontId="93" fillId="24" borderId="0" xfId="0" applyNumberFormat="1" applyFont="1" applyFill="1"/>
    <xf numFmtId="0" fontId="38" fillId="24" borderId="60" xfId="0" applyFont="1" applyFill="1" applyBorder="1" applyAlignment="1">
      <alignment horizontal="center"/>
    </xf>
    <xf numFmtId="0" fontId="0" fillId="0" borderId="0" xfId="0"/>
    <xf numFmtId="0" fontId="0" fillId="0" borderId="164" xfId="0" applyBorder="1" applyAlignment="1">
      <alignment horizontal="center"/>
    </xf>
    <xf numFmtId="0" fontId="62" fillId="24" borderId="48" xfId="179" applyFont="1" applyFill="1" applyBorder="1" applyAlignment="1">
      <alignment horizontal="center" wrapText="1"/>
    </xf>
    <xf numFmtId="0" fontId="0" fillId="0" borderId="27" xfId="0" applyBorder="1"/>
    <xf numFmtId="0" fontId="70" fillId="24" borderId="52" xfId="179" applyFont="1" applyFill="1" applyBorder="1" applyAlignment="1">
      <alignment horizontal="center" wrapText="1"/>
    </xf>
    <xf numFmtId="0" fontId="70" fillId="24" borderId="53" xfId="179" applyFont="1" applyFill="1" applyBorder="1" applyAlignment="1">
      <alignment horizontal="center" wrapText="1"/>
    </xf>
    <xf numFmtId="0" fontId="10" fillId="39" borderId="10" xfId="0" applyFont="1" applyFill="1" applyBorder="1" applyAlignment="1">
      <alignment horizontal="center"/>
    </xf>
    <xf numFmtId="0" fontId="114" fillId="41" borderId="0" xfId="0" applyFont="1" applyFill="1"/>
    <xf numFmtId="0" fontId="0" fillId="0" borderId="0" xfId="0"/>
    <xf numFmtId="0" fontId="37" fillId="41" borderId="10" xfId="0" applyFont="1" applyFill="1" applyBorder="1" applyAlignment="1">
      <alignment horizontal="center"/>
    </xf>
    <xf numFmtId="0" fontId="55" fillId="43" borderId="0" xfId="0" applyFont="1" applyFill="1" applyBorder="1" applyAlignment="1">
      <alignment vertical="center"/>
    </xf>
    <xf numFmtId="16" fontId="55" fillId="43" borderId="0" xfId="0" applyNumberFormat="1" applyFont="1" applyFill="1" applyBorder="1" applyAlignment="1">
      <alignment vertical="center"/>
    </xf>
    <xf numFmtId="0" fontId="37" fillId="0" borderId="70" xfId="0" applyFont="1" applyBorder="1" applyAlignment="1">
      <alignment horizontal="center" vertical="center"/>
    </xf>
    <xf numFmtId="0" fontId="115" fillId="0" borderId="60" xfId="196" applyFont="1" applyFill="1" applyBorder="1" applyAlignment="1">
      <alignment horizontal="center" vertical="center" wrapText="1"/>
    </xf>
    <xf numFmtId="0" fontId="115" fillId="0" borderId="21" xfId="196" applyFont="1" applyFill="1" applyBorder="1" applyAlignment="1">
      <alignment horizontal="center" vertical="center" wrapText="1"/>
    </xf>
    <xf numFmtId="16" fontId="37" fillId="0" borderId="45" xfId="0" applyNumberFormat="1" applyFont="1" applyBorder="1" applyAlignment="1">
      <alignment horizontal="center" vertical="center"/>
    </xf>
    <xf numFmtId="0" fontId="120" fillId="0" borderId="10" xfId="0" applyFont="1" applyBorder="1" applyAlignment="1">
      <alignment horizontal="center"/>
    </xf>
    <xf numFmtId="0" fontId="15" fillId="0" borderId="41" xfId="0" applyFont="1" applyBorder="1" applyAlignment="1">
      <alignment horizontal="center"/>
    </xf>
    <xf numFmtId="2" fontId="8" fillId="39" borderId="10" xfId="0" applyNumberFormat="1" applyFont="1" applyFill="1" applyBorder="1" applyAlignment="1">
      <alignment horizontal="center"/>
    </xf>
    <xf numFmtId="0" fontId="13" fillId="25" borderId="12" xfId="0" applyFont="1" applyFill="1" applyBorder="1" applyAlignment="1"/>
    <xf numFmtId="0" fontId="13" fillId="25" borderId="14" xfId="0" applyFont="1" applyFill="1" applyBorder="1" applyAlignment="1"/>
    <xf numFmtId="0" fontId="13" fillId="25" borderId="15" xfId="0" applyFont="1" applyFill="1" applyBorder="1" applyAlignment="1"/>
    <xf numFmtId="0" fontId="0" fillId="0" borderId="0" xfId="0"/>
    <xf numFmtId="0" fontId="116" fillId="0" borderId="0" xfId="0" applyFont="1"/>
    <xf numFmtId="171" fontId="8" fillId="41" borderId="10" xfId="0" applyNumberFormat="1" applyFont="1" applyFill="1" applyBorder="1" applyAlignment="1">
      <alignment horizontal="center"/>
    </xf>
    <xf numFmtId="2" fontId="8" fillId="41" borderId="10" xfId="0" applyNumberFormat="1" applyFont="1" applyFill="1" applyBorder="1" applyAlignment="1">
      <alignment horizontal="center"/>
    </xf>
    <xf numFmtId="4" fontId="123" fillId="0" borderId="10" xfId="0" applyNumberFormat="1" applyFont="1" applyBorder="1" applyAlignment="1">
      <alignment horizontal="center"/>
    </xf>
    <xf numFmtId="0" fontId="124" fillId="0" borderId="0" xfId="0" applyFont="1"/>
    <xf numFmtId="0" fontId="114" fillId="0" borderId="0" xfId="0" applyFont="1"/>
    <xf numFmtId="4" fontId="0" fillId="0" borderId="10" xfId="0" applyNumberFormat="1" applyBorder="1"/>
    <xf numFmtId="0" fontId="57" fillId="41" borderId="0" xfId="0" applyFont="1" applyFill="1" applyAlignment="1"/>
    <xf numFmtId="14" fontId="57" fillId="41" borderId="0" xfId="0" applyNumberFormat="1" applyFont="1" applyFill="1" applyAlignment="1">
      <alignment horizontal="center"/>
    </xf>
    <xf numFmtId="0" fontId="10" fillId="41" borderId="10" xfId="0" applyFont="1" applyFill="1" applyBorder="1" applyAlignment="1">
      <alignment wrapText="1"/>
    </xf>
    <xf numFmtId="3" fontId="80" fillId="41" borderId="10" xfId="0" applyNumberFormat="1" applyFont="1" applyFill="1" applyBorder="1" applyAlignment="1">
      <alignment horizontal="center" vertical="center"/>
    </xf>
    <xf numFmtId="3" fontId="13" fillId="41" borderId="10" xfId="0" applyNumberFormat="1" applyFont="1" applyFill="1" applyBorder="1" applyAlignment="1">
      <alignment horizontal="center" vertical="center"/>
    </xf>
    <xf numFmtId="3" fontId="13" fillId="41" borderId="10" xfId="0" applyNumberFormat="1" applyFont="1" applyFill="1" applyBorder="1" applyAlignment="1">
      <alignment horizontal="center"/>
    </xf>
    <xf numFmtId="0" fontId="37" fillId="45" borderId="0" xfId="0" applyFont="1" applyFill="1"/>
    <xf numFmtId="0" fontId="37" fillId="45" borderId="0" xfId="0" applyFont="1" applyFill="1" applyBorder="1" applyAlignment="1">
      <alignment horizontal="center"/>
    </xf>
    <xf numFmtId="2" fontId="37" fillId="45" borderId="0" xfId="0" applyNumberFormat="1" applyFont="1" applyFill="1" applyBorder="1" applyAlignment="1">
      <alignment horizontal="center"/>
    </xf>
    <xf numFmtId="0" fontId="38" fillId="45" borderId="41" xfId="0" applyFont="1" applyFill="1" applyBorder="1" applyAlignment="1">
      <alignment horizontal="center"/>
    </xf>
    <xf numFmtId="0" fontId="38" fillId="45" borderId="22" xfId="0" applyFont="1" applyFill="1" applyBorder="1" applyAlignment="1">
      <alignment horizontal="center"/>
    </xf>
    <xf numFmtId="175" fontId="118" fillId="41" borderId="0" xfId="0" applyNumberFormat="1" applyFont="1" applyFill="1"/>
    <xf numFmtId="181" fontId="119" fillId="0" borderId="10" xfId="0" applyNumberFormat="1" applyFont="1" applyFill="1" applyBorder="1" applyAlignment="1">
      <alignment horizontal="center"/>
    </xf>
    <xf numFmtId="9" fontId="125" fillId="24" borderId="10" xfId="203" applyFont="1" applyFill="1" applyBorder="1" applyAlignment="1">
      <alignment horizontal="center"/>
    </xf>
    <xf numFmtId="2" fontId="37" fillId="0" borderId="33" xfId="254" applyNumberFormat="1" applyFont="1" applyBorder="1" applyAlignment="1">
      <alignment horizontal="center"/>
    </xf>
    <xf numFmtId="3" fontId="126" fillId="24" borderId="10" xfId="0" applyNumberFormat="1" applyFont="1" applyFill="1" applyBorder="1" applyAlignment="1">
      <alignment horizontal="center" vertical="center"/>
    </xf>
    <xf numFmtId="0" fontId="0" fillId="41" borderId="0" xfId="0" applyFill="1"/>
    <xf numFmtId="0" fontId="10" fillId="41" borderId="10" xfId="0" applyFont="1" applyFill="1" applyBorder="1" applyAlignment="1">
      <alignment horizontal="center" vertical="center" wrapText="1"/>
    </xf>
    <xf numFmtId="1" fontId="10" fillId="41" borderId="10" xfId="0" applyNumberFormat="1" applyFont="1" applyFill="1" applyBorder="1" applyAlignment="1">
      <alignment horizontal="center" vertical="center"/>
    </xf>
    <xf numFmtId="0" fontId="5" fillId="0" borderId="0" xfId="0" applyFont="1"/>
    <xf numFmtId="0" fontId="15" fillId="42" borderId="27" xfId="0" applyFont="1" applyFill="1" applyBorder="1" applyAlignment="1">
      <alignment horizontal="center"/>
    </xf>
    <xf numFmtId="0" fontId="15" fillId="42" borderId="21" xfId="0" applyFont="1" applyFill="1" applyBorder="1" applyAlignment="1">
      <alignment horizontal="center"/>
    </xf>
    <xf numFmtId="0" fontId="15" fillId="42" borderId="22" xfId="0" applyFont="1" applyFill="1" applyBorder="1" applyAlignment="1">
      <alignment horizontal="center"/>
    </xf>
    <xf numFmtId="0" fontId="0" fillId="0" borderId="0" xfId="0"/>
    <xf numFmtId="1" fontId="0" fillId="0" borderId="0" xfId="0" applyNumberFormat="1"/>
    <xf numFmtId="171" fontId="13" fillId="25" borderId="10" xfId="0" applyNumberFormat="1" applyFont="1" applyFill="1" applyBorder="1" applyAlignment="1">
      <alignment horizontal="center"/>
    </xf>
    <xf numFmtId="3" fontId="13" fillId="25" borderId="10" xfId="0" applyNumberFormat="1" applyFont="1" applyFill="1" applyBorder="1" applyAlignment="1">
      <alignment horizontal="center"/>
    </xf>
    <xf numFmtId="2" fontId="10" fillId="0" borderId="16" xfId="0" applyNumberFormat="1" applyFont="1" applyBorder="1" applyAlignment="1">
      <alignment horizontal="center"/>
    </xf>
    <xf numFmtId="2" fontId="10" fillId="0" borderId="13" xfId="177" applyNumberFormat="1" applyFont="1" applyFill="1" applyBorder="1" applyAlignment="1">
      <alignment horizontal="right"/>
    </xf>
    <xf numFmtId="2" fontId="10" fillId="0" borderId="12" xfId="177" applyNumberFormat="1" applyFont="1" applyFill="1" applyBorder="1" applyAlignment="1">
      <alignment horizontal="right"/>
    </xf>
    <xf numFmtId="175" fontId="69" fillId="0" borderId="10" xfId="177" applyNumberFormat="1" applyFont="1" applyFill="1" applyBorder="1" applyAlignment="1">
      <alignment horizontal="center"/>
    </xf>
    <xf numFmtId="2" fontId="10" fillId="0" borderId="15" xfId="177" applyNumberFormat="1" applyFont="1" applyFill="1" applyBorder="1" applyAlignment="1">
      <alignment horizontal="right"/>
    </xf>
    <xf numFmtId="2" fontId="10" fillId="0" borderId="16" xfId="177" applyNumberFormat="1" applyFont="1" applyFill="1" applyBorder="1" applyAlignment="1">
      <alignment horizontal="right"/>
    </xf>
    <xf numFmtId="171" fontId="10" fillId="0" borderId="13" xfId="0" applyNumberFormat="1" applyFont="1" applyFill="1" applyBorder="1" applyAlignment="1">
      <alignment horizontal="center"/>
    </xf>
    <xf numFmtId="2" fontId="10" fillId="0" borderId="0" xfId="0" applyNumberFormat="1" applyFont="1" applyFill="1" applyBorder="1" applyAlignment="1">
      <alignment horizontal="center"/>
    </xf>
    <xf numFmtId="2" fontId="10" fillId="0" borderId="0" xfId="0" applyNumberFormat="1" applyFont="1" applyBorder="1" applyAlignment="1">
      <alignment horizontal="center"/>
    </xf>
    <xf numFmtId="175" fontId="10" fillId="0" borderId="0" xfId="0" applyNumberFormat="1" applyFont="1" applyBorder="1" applyAlignment="1">
      <alignment horizontal="center"/>
    </xf>
    <xf numFmtId="0" fontId="0" fillId="39" borderId="39" xfId="0" applyFont="1" applyFill="1" applyBorder="1" applyAlignment="1">
      <alignment horizontal="center"/>
    </xf>
    <xf numFmtId="4" fontId="0" fillId="39" borderId="0" xfId="0" applyNumberFormat="1" applyFill="1" applyBorder="1" applyAlignment="1">
      <alignment horizontal="center"/>
    </xf>
    <xf numFmtId="4" fontId="108" fillId="39" borderId="41" xfId="0" applyNumberFormat="1" applyFont="1" applyFill="1" applyBorder="1" applyAlignment="1">
      <alignment horizontal="center" vertical="center"/>
    </xf>
    <xf numFmtId="0" fontId="15" fillId="39" borderId="54" xfId="0" applyNumberFormat="1" applyFont="1" applyFill="1" applyBorder="1" applyAlignment="1">
      <alignment horizontal="center"/>
    </xf>
    <xf numFmtId="2" fontId="0" fillId="0" borderId="0" xfId="0" applyNumberFormat="1" applyBorder="1"/>
    <xf numFmtId="0" fontId="0" fillId="0" borderId="0" xfId="0"/>
    <xf numFmtId="0" fontId="37" fillId="0" borderId="16" xfId="0" applyFont="1" applyBorder="1" applyAlignment="1">
      <alignment horizontal="center"/>
    </xf>
    <xf numFmtId="0" fontId="5" fillId="0" borderId="41" xfId="0" applyFont="1" applyBorder="1"/>
    <xf numFmtId="0" fontId="72" fillId="35" borderId="101" xfId="195" applyFont="1" applyFill="1" applyBorder="1" applyAlignment="1">
      <alignment horizontal="center" vertical="center" wrapText="1"/>
    </xf>
    <xf numFmtId="175" fontId="100" fillId="24" borderId="0" xfId="195" applyNumberFormat="1" applyFont="1" applyFill="1" applyBorder="1" applyAlignment="1">
      <alignment horizontal="center" vertical="center" wrapText="1"/>
    </xf>
    <xf numFmtId="0" fontId="0" fillId="0" borderId="52" xfId="0" applyBorder="1" applyAlignment="1">
      <alignment horizontal="center" vertical="center"/>
    </xf>
    <xf numFmtId="16" fontId="0" fillId="0" borderId="55" xfId="0" applyNumberFormat="1" applyBorder="1" applyAlignment="1">
      <alignment horizontal="center" vertical="center"/>
    </xf>
    <xf numFmtId="0" fontId="0" fillId="0" borderId="134" xfId="0" applyBorder="1" applyAlignment="1">
      <alignment horizontal="center" vertical="center"/>
    </xf>
    <xf numFmtId="0" fontId="0" fillId="0" borderId="54" xfId="0" applyBorder="1" applyAlignment="1">
      <alignment horizontal="center" vertical="center"/>
    </xf>
    <xf numFmtId="0" fontId="0" fillId="0" borderId="55" xfId="0" applyBorder="1" applyAlignment="1">
      <alignment horizontal="center" vertical="center"/>
    </xf>
    <xf numFmtId="0" fontId="0" fillId="0" borderId="53" xfId="0" applyBorder="1" applyAlignment="1">
      <alignment horizontal="center" vertical="center"/>
    </xf>
    <xf numFmtId="0" fontId="0" fillId="0" borderId="52" xfId="0" applyFont="1" applyBorder="1" applyAlignment="1">
      <alignment horizontal="center" vertical="center"/>
    </xf>
    <xf numFmtId="0" fontId="127" fillId="0" borderId="55" xfId="196" applyFont="1" applyFill="1" applyBorder="1" applyAlignment="1">
      <alignment horizontal="center" vertical="center" wrapText="1"/>
    </xf>
    <xf numFmtId="0" fontId="0" fillId="0" borderId="22" xfId="0" applyBorder="1" applyAlignment="1">
      <alignment horizontal="center" vertical="center"/>
    </xf>
    <xf numFmtId="0" fontId="5" fillId="0" borderId="0" xfId="0" applyFont="1" applyBorder="1"/>
    <xf numFmtId="4" fontId="0" fillId="0" borderId="84" xfId="0" applyNumberFormat="1" applyBorder="1"/>
    <xf numFmtId="4" fontId="74" fillId="24" borderId="41" xfId="0" applyNumberFormat="1" applyFont="1" applyFill="1" applyBorder="1" applyAlignment="1">
      <alignment horizontal="center" vertical="center"/>
    </xf>
    <xf numFmtId="2" fontId="117" fillId="41" borderId="10" xfId="0" applyNumberFormat="1" applyFont="1" applyFill="1" applyBorder="1" applyAlignment="1">
      <alignment horizontal="right"/>
    </xf>
    <xf numFmtId="0" fontId="0" fillId="0" borderId="0" xfId="0"/>
    <xf numFmtId="0" fontId="94" fillId="24" borderId="39" xfId="195" applyFont="1" applyFill="1" applyBorder="1" applyAlignment="1">
      <alignment horizontal="center" vertical="center" wrapText="1"/>
    </xf>
    <xf numFmtId="0" fontId="127" fillId="0" borderId="107" xfId="195" applyFont="1" applyFill="1" applyBorder="1" applyAlignment="1">
      <alignment horizontal="left" wrapText="1"/>
    </xf>
    <xf numFmtId="0" fontId="127" fillId="0" borderId="4" xfId="195" applyFont="1" applyFill="1" applyBorder="1" applyAlignment="1">
      <alignment horizontal="left" wrapText="1"/>
    </xf>
    <xf numFmtId="0" fontId="127" fillId="0" borderId="130" xfId="195" applyFont="1" applyFill="1" applyBorder="1" applyAlignment="1">
      <alignment horizontal="left" wrapText="1"/>
    </xf>
    <xf numFmtId="0" fontId="127" fillId="0" borderId="118" xfId="195" applyFont="1" applyFill="1" applyBorder="1" applyAlignment="1">
      <alignment horizontal="left" wrapText="1"/>
    </xf>
    <xf numFmtId="0" fontId="127" fillId="0" borderId="124" xfId="195" applyFont="1" applyFill="1" applyBorder="1" applyAlignment="1">
      <alignment horizontal="left" wrapText="1"/>
    </xf>
    <xf numFmtId="0" fontId="128" fillId="0" borderId="4" xfId="195" applyFont="1" applyFill="1" applyBorder="1" applyAlignment="1">
      <alignment horizontal="left" wrapText="1"/>
    </xf>
    <xf numFmtId="0" fontId="127" fillId="0" borderId="165" xfId="195" applyFont="1" applyFill="1" applyBorder="1" applyAlignment="1">
      <alignment horizontal="left" wrapText="1"/>
    </xf>
    <xf numFmtId="0" fontId="127" fillId="0" borderId="145" xfId="195" applyFont="1" applyFill="1" applyBorder="1" applyAlignment="1">
      <alignment horizontal="left" wrapText="1"/>
    </xf>
    <xf numFmtId="0" fontId="127" fillId="0" borderId="166" xfId="195" applyFont="1" applyFill="1" applyBorder="1" applyAlignment="1">
      <alignment horizontal="left" wrapText="1"/>
    </xf>
    <xf numFmtId="0" fontId="127" fillId="0" borderId="167" xfId="195" applyFont="1" applyFill="1" applyBorder="1" applyAlignment="1">
      <alignment horizontal="left" wrapText="1"/>
    </xf>
    <xf numFmtId="0" fontId="115" fillId="0" borderId="107" xfId="195" applyFont="1" applyFill="1" applyBorder="1" applyAlignment="1">
      <alignment horizontal="center" vertical="center" wrapText="1"/>
    </xf>
    <xf numFmtId="0" fontId="115" fillId="0" borderId="118" xfId="195" applyFont="1" applyFill="1" applyBorder="1" applyAlignment="1">
      <alignment horizontal="center" vertical="center" wrapText="1"/>
    </xf>
    <xf numFmtId="0" fontId="115" fillId="0" borderId="165" xfId="195" applyFont="1" applyFill="1" applyBorder="1" applyAlignment="1">
      <alignment horizontal="center" vertical="center" wrapText="1"/>
    </xf>
    <xf numFmtId="0" fontId="94" fillId="0" borderId="39" xfId="195" applyFont="1" applyFill="1" applyBorder="1" applyAlignment="1">
      <alignment horizontal="center" vertical="center" wrapText="1"/>
    </xf>
    <xf numFmtId="0" fontId="94" fillId="0" borderId="137" xfId="195" applyFont="1" applyFill="1" applyBorder="1" applyAlignment="1">
      <alignment horizontal="center" vertical="center" wrapText="1"/>
    </xf>
    <xf numFmtId="0" fontId="100" fillId="0" borderId="153" xfId="195" applyFont="1" applyFill="1" applyBorder="1" applyAlignment="1">
      <alignment horizontal="center" vertical="center" wrapText="1"/>
    </xf>
    <xf numFmtId="0" fontId="100" fillId="0" borderId="141" xfId="195" applyFont="1" applyFill="1" applyBorder="1" applyAlignment="1">
      <alignment horizontal="center" vertical="center" wrapText="1"/>
    </xf>
    <xf numFmtId="4" fontId="94" fillId="0" borderId="125" xfId="195" applyNumberFormat="1" applyFont="1" applyFill="1" applyBorder="1" applyAlignment="1">
      <alignment horizontal="center" vertical="center" wrapText="1"/>
    </xf>
    <xf numFmtId="0" fontId="0" fillId="0" borderId="0" xfId="0"/>
    <xf numFmtId="0" fontId="0" fillId="0" borderId="0" xfId="0"/>
    <xf numFmtId="2" fontId="13" fillId="41" borderId="0" xfId="0" applyNumberFormat="1" applyFont="1" applyFill="1" applyBorder="1" applyAlignment="1">
      <alignment horizontal="center"/>
    </xf>
    <xf numFmtId="0" fontId="0" fillId="0" borderId="0" xfId="0"/>
    <xf numFmtId="175" fontId="0" fillId="0" borderId="41" xfId="0" applyNumberFormat="1" applyBorder="1"/>
    <xf numFmtId="175" fontId="61" fillId="41" borderId="10" xfId="0" applyNumberFormat="1" applyFont="1" applyFill="1" applyBorder="1" applyAlignment="1">
      <alignment horizontal="center"/>
    </xf>
    <xf numFmtId="167" fontId="37" fillId="0" borderId="0" xfId="0" applyNumberFormat="1" applyFont="1"/>
    <xf numFmtId="0" fontId="0" fillId="0" borderId="0" xfId="0"/>
    <xf numFmtId="0" fontId="33" fillId="26" borderId="27" xfId="187" applyFont="1" applyFill="1" applyBorder="1"/>
    <xf numFmtId="0" fontId="72" fillId="24" borderId="0" xfId="187" applyFont="1" applyFill="1" applyBorder="1"/>
    <xf numFmtId="175" fontId="117" fillId="46" borderId="28" xfId="196" applyNumberFormat="1" applyFont="1" applyFill="1" applyBorder="1" applyAlignment="1">
      <alignment horizontal="center"/>
    </xf>
    <xf numFmtId="14" fontId="37" fillId="0" borderId="64" xfId="254" applyNumberFormat="1" applyFont="1" applyBorder="1" applyAlignment="1">
      <alignment horizontal="center"/>
    </xf>
    <xf numFmtId="4" fontId="0" fillId="41" borderId="10" xfId="0" applyNumberFormat="1" applyFill="1" applyBorder="1"/>
    <xf numFmtId="0" fontId="130" fillId="26" borderId="21" xfId="187" applyFont="1" applyFill="1" applyBorder="1"/>
    <xf numFmtId="0" fontId="0" fillId="0" borderId="0" xfId="0"/>
    <xf numFmtId="0" fontId="38" fillId="24" borderId="27" xfId="179" applyFont="1" applyFill="1" applyBorder="1" applyAlignment="1">
      <alignment horizontal="center" wrapText="1"/>
    </xf>
    <xf numFmtId="0" fontId="15" fillId="24" borderId="60" xfId="179" applyFont="1" applyFill="1" applyBorder="1" applyAlignment="1">
      <alignment horizontal="center" wrapText="1"/>
    </xf>
    <xf numFmtId="0" fontId="74" fillId="0" borderId="27" xfId="189" applyFont="1" applyBorder="1" applyAlignment="1">
      <alignment horizontal="center"/>
    </xf>
    <xf numFmtId="0" fontId="0" fillId="0" borderId="0" xfId="0"/>
    <xf numFmtId="4" fontId="133" fillId="41" borderId="10" xfId="0" applyNumberFormat="1" applyFont="1" applyFill="1" applyBorder="1" applyAlignment="1">
      <alignment horizontal="center"/>
    </xf>
    <xf numFmtId="2" fontId="120" fillId="44" borderId="10" xfId="0" applyNumberFormat="1" applyFont="1" applyFill="1" applyBorder="1" applyAlignment="1">
      <alignment horizontal="center"/>
    </xf>
    <xf numFmtId="0" fontId="5" fillId="41" borderId="0" xfId="0" applyFont="1" applyFill="1"/>
    <xf numFmtId="9" fontId="5" fillId="41" borderId="0" xfId="203" applyFont="1" applyFill="1"/>
    <xf numFmtId="2" fontId="134" fillId="41" borderId="10" xfId="0" applyNumberFormat="1" applyFont="1" applyFill="1" applyBorder="1" applyAlignment="1">
      <alignment horizontal="center"/>
    </xf>
    <xf numFmtId="0" fontId="91" fillId="39" borderId="21" xfId="187" applyFont="1" applyFill="1" applyBorder="1"/>
    <xf numFmtId="0" fontId="113" fillId="39" borderId="21" xfId="187" applyFill="1" applyBorder="1" applyAlignment="1">
      <alignment horizontal="center"/>
    </xf>
    <xf numFmtId="0" fontId="0" fillId="39" borderId="22" xfId="0" applyFill="1" applyBorder="1"/>
    <xf numFmtId="0" fontId="33" fillId="39" borderId="27" xfId="187" applyFont="1" applyFill="1" applyBorder="1"/>
    <xf numFmtId="0" fontId="37" fillId="24" borderId="70" xfId="179" applyFont="1" applyFill="1" applyBorder="1" applyAlignment="1">
      <alignment horizontal="center" wrapText="1"/>
    </xf>
    <xf numFmtId="0" fontId="70" fillId="24" borderId="77" xfId="179" applyFont="1" applyFill="1" applyBorder="1" applyAlignment="1">
      <alignment horizontal="center" wrapText="1"/>
    </xf>
    <xf numFmtId="0" fontId="71" fillId="24" borderId="78" xfId="179" applyFont="1" applyFill="1" applyBorder="1" applyAlignment="1">
      <alignment horizontal="center" wrapText="1"/>
    </xf>
    <xf numFmtId="0" fontId="26" fillId="24" borderId="76" xfId="0" applyFont="1" applyFill="1" applyBorder="1"/>
    <xf numFmtId="0" fontId="10" fillId="41" borderId="0" xfId="0" applyFont="1" applyFill="1"/>
    <xf numFmtId="0" fontId="10" fillId="41" borderId="10" xfId="0" applyFont="1" applyFill="1" applyBorder="1" applyAlignment="1">
      <alignment horizontal="center" wrapText="1"/>
    </xf>
    <xf numFmtId="3" fontId="10" fillId="41" borderId="10" xfId="0" applyNumberFormat="1" applyFont="1" applyFill="1" applyBorder="1" applyAlignment="1">
      <alignment horizontal="center" vertical="center"/>
    </xf>
    <xf numFmtId="0" fontId="38" fillId="24" borderId="60" xfId="0" applyFont="1" applyFill="1" applyBorder="1" applyAlignment="1">
      <alignment horizontal="center"/>
    </xf>
    <xf numFmtId="0" fontId="0" fillId="0" borderId="0" xfId="0"/>
    <xf numFmtId="2" fontId="10" fillId="39" borderId="10" xfId="0" applyNumberFormat="1" applyFont="1" applyFill="1" applyBorder="1" applyAlignment="1">
      <alignment horizontal="center"/>
    </xf>
    <xf numFmtId="2" fontId="38" fillId="0" borderId="0" xfId="0" applyNumberFormat="1" applyFont="1" applyBorder="1" applyAlignment="1">
      <alignment horizontal="center"/>
    </xf>
    <xf numFmtId="0" fontId="38" fillId="0" borderId="37" xfId="0" applyFont="1" applyBorder="1"/>
    <xf numFmtId="0" fontId="0" fillId="0" borderId="45" xfId="0" applyBorder="1" applyAlignment="1">
      <alignment horizontal="center"/>
    </xf>
    <xf numFmtId="0" fontId="0" fillId="0" borderId="76" xfId="0" applyBorder="1" applyAlignment="1">
      <alignment horizontal="center"/>
    </xf>
    <xf numFmtId="0" fontId="0" fillId="0" borderId="0" xfId="0"/>
    <xf numFmtId="0" fontId="0" fillId="39" borderId="0" xfId="0" applyFill="1"/>
    <xf numFmtId="0" fontId="38" fillId="39" borderId="21" xfId="179" applyFont="1" applyFill="1" applyBorder="1" applyAlignment="1">
      <alignment horizontal="center" wrapText="1"/>
    </xf>
    <xf numFmtId="0" fontId="70" fillId="41" borderId="94" xfId="179" applyFont="1" applyFill="1" applyBorder="1" applyAlignment="1">
      <alignment horizontal="center" wrapText="1"/>
    </xf>
    <xf numFmtId="0" fontId="90" fillId="41" borderId="41" xfId="187" applyFont="1" applyFill="1" applyBorder="1" applyAlignment="1">
      <alignment horizontal="center"/>
    </xf>
    <xf numFmtId="0" fontId="101" fillId="0" borderId="164" xfId="189" applyFont="1" applyBorder="1" applyAlignment="1">
      <alignment horizontal="center"/>
    </xf>
    <xf numFmtId="0" fontId="113" fillId="0" borderId="48" xfId="191" applyBorder="1" applyAlignment="1">
      <alignment horizontal="center"/>
    </xf>
    <xf numFmtId="0" fontId="113" fillId="0" borderId="69" xfId="193" applyBorder="1" applyAlignment="1">
      <alignment horizontal="center"/>
    </xf>
    <xf numFmtId="0" fontId="91" fillId="24" borderId="74" xfId="187" applyFont="1" applyFill="1" applyBorder="1" applyAlignment="1">
      <alignment horizontal="center"/>
    </xf>
    <xf numFmtId="0" fontId="91" fillId="24" borderId="39" xfId="187" applyFont="1" applyFill="1" applyBorder="1" applyAlignment="1">
      <alignment horizontal="center"/>
    </xf>
    <xf numFmtId="0" fontId="91" fillId="24" borderId="164" xfId="187" applyFont="1" applyFill="1" applyBorder="1" applyAlignment="1">
      <alignment horizontal="center"/>
    </xf>
    <xf numFmtId="0" fontId="70" fillId="41" borderId="77" xfId="179" applyFont="1" applyFill="1" applyBorder="1" applyAlignment="1">
      <alignment horizontal="center" wrapText="1"/>
    </xf>
    <xf numFmtId="0" fontId="71" fillId="41" borderId="78" xfId="179" applyFont="1" applyFill="1" applyBorder="1" applyAlignment="1">
      <alignment horizontal="center" wrapText="1"/>
    </xf>
    <xf numFmtId="0" fontId="37" fillId="24" borderId="45" xfId="179" applyFont="1" applyFill="1" applyBorder="1" applyAlignment="1">
      <alignment horizontal="center" wrapText="1"/>
    </xf>
    <xf numFmtId="0" fontId="91" fillId="24" borderId="137" xfId="187" applyFont="1" applyFill="1" applyBorder="1" applyAlignment="1">
      <alignment horizontal="center"/>
    </xf>
    <xf numFmtId="2" fontId="91" fillId="24" borderId="137" xfId="187" applyNumberFormat="1" applyFont="1" applyFill="1" applyBorder="1" applyAlignment="1">
      <alignment horizontal="center"/>
    </xf>
    <xf numFmtId="0" fontId="91" fillId="0" borderId="39" xfId="187" applyFont="1" applyBorder="1" applyAlignment="1">
      <alignment horizontal="center"/>
    </xf>
    <xf numFmtId="0" fontId="113" fillId="0" borderId="45" xfId="187" applyBorder="1" applyAlignment="1">
      <alignment horizontal="center"/>
    </xf>
    <xf numFmtId="0" fontId="113" fillId="0" borderId="41" xfId="187" applyBorder="1" applyAlignment="1">
      <alignment horizontal="center"/>
    </xf>
    <xf numFmtId="0" fontId="8" fillId="41" borderId="0" xfId="0" applyFont="1" applyFill="1"/>
    <xf numFmtId="175" fontId="61" fillId="39" borderId="10" xfId="0" applyNumberFormat="1" applyFont="1" applyFill="1" applyBorder="1" applyAlignment="1">
      <alignment horizontal="center"/>
    </xf>
    <xf numFmtId="0" fontId="15" fillId="39" borderId="10" xfId="0" applyFont="1" applyFill="1" applyBorder="1" applyAlignment="1">
      <alignment horizontal="center"/>
    </xf>
    <xf numFmtId="0" fontId="94" fillId="0" borderId="21" xfId="195" applyFont="1" applyFill="1" applyBorder="1" applyAlignment="1">
      <alignment horizontal="center" wrapText="1"/>
    </xf>
    <xf numFmtId="4" fontId="94" fillId="0" borderId="22" xfId="195" applyNumberFormat="1" applyFont="1" applyFill="1" applyBorder="1" applyAlignment="1">
      <alignment horizontal="center" wrapText="1"/>
    </xf>
    <xf numFmtId="0" fontId="37" fillId="41" borderId="0" xfId="0" applyFont="1" applyFill="1"/>
    <xf numFmtId="167" fontId="47" fillId="24" borderId="10" xfId="0" applyNumberFormat="1" applyFont="1" applyFill="1" applyBorder="1" applyAlignment="1">
      <alignment horizontal="center"/>
    </xf>
    <xf numFmtId="0" fontId="0" fillId="0" borderId="0" xfId="0"/>
    <xf numFmtId="167" fontId="8" fillId="41" borderId="10" xfId="0" applyNumberFormat="1" applyFont="1" applyFill="1" applyBorder="1" applyAlignment="1">
      <alignment horizontal="center"/>
    </xf>
    <xf numFmtId="183" fontId="110" fillId="0" borderId="0" xfId="157" applyNumberFormat="1" applyFont="1" applyBorder="1" applyAlignment="1">
      <alignment horizontal="center"/>
    </xf>
    <xf numFmtId="0" fontId="14" fillId="41" borderId="0" xfId="0" applyFont="1" applyFill="1"/>
    <xf numFmtId="0" fontId="13" fillId="48" borderId="12" xfId="0" applyFont="1" applyFill="1" applyBorder="1" applyAlignment="1"/>
    <xf numFmtId="0" fontId="13" fillId="48" borderId="14" xfId="0" applyFont="1" applyFill="1" applyBorder="1" applyAlignment="1"/>
    <xf numFmtId="0" fontId="13" fillId="48" borderId="15" xfId="0" applyFont="1" applyFill="1" applyBorder="1" applyAlignment="1"/>
    <xf numFmtId="0" fontId="57" fillId="41" borderId="0" xfId="0" applyFont="1" applyFill="1"/>
    <xf numFmtId="2" fontId="38" fillId="0" borderId="22" xfId="0" applyNumberFormat="1" applyFont="1" applyBorder="1" applyAlignment="1">
      <alignment horizontal="center"/>
    </xf>
    <xf numFmtId="0" fontId="46" fillId="39" borderId="10" xfId="0" applyFont="1" applyFill="1" applyBorder="1" applyAlignment="1">
      <alignment horizontal="center"/>
    </xf>
    <xf numFmtId="0" fontId="0" fillId="0" borderId="0" xfId="0"/>
    <xf numFmtId="0" fontId="35" fillId="27" borderId="159" xfId="0" applyFont="1" applyFill="1" applyBorder="1" applyAlignment="1">
      <alignment horizontal="center" vertical="center" wrapText="1"/>
    </xf>
    <xf numFmtId="0" fontId="35" fillId="27" borderId="24" xfId="0" applyFont="1" applyFill="1" applyBorder="1" applyAlignment="1">
      <alignment horizontal="center" vertical="center" wrapText="1"/>
    </xf>
    <xf numFmtId="3" fontId="35" fillId="27" borderId="24" xfId="0" applyNumberFormat="1" applyFont="1" applyFill="1" applyBorder="1" applyAlignment="1">
      <alignment horizontal="center" vertical="center" wrapText="1"/>
    </xf>
    <xf numFmtId="3" fontId="35" fillId="27" borderId="26" xfId="0" applyNumberFormat="1" applyFont="1" applyFill="1" applyBorder="1" applyAlignment="1">
      <alignment horizontal="center" vertical="center" wrapText="1"/>
    </xf>
    <xf numFmtId="0" fontId="15" fillId="0" borderId="0" xfId="0" applyFont="1" applyBorder="1" applyAlignment="1">
      <alignment horizontal="left" vertical="center" wrapText="1"/>
    </xf>
    <xf numFmtId="0" fontId="15" fillId="0" borderId="0" xfId="0" applyFont="1" applyFill="1" applyBorder="1" applyAlignment="1">
      <alignment horizontal="left" vertical="center" wrapText="1"/>
    </xf>
    <xf numFmtId="0" fontId="15" fillId="0" borderId="0" xfId="0" applyFont="1" applyBorder="1" applyAlignment="1">
      <alignment horizontal="left"/>
    </xf>
    <xf numFmtId="0" fontId="114" fillId="0" borderId="0" xfId="0" applyFont="1" applyBorder="1" applyAlignment="1">
      <alignment horizontal="left"/>
    </xf>
    <xf numFmtId="3" fontId="53" fillId="41" borderId="10" xfId="0" applyNumberFormat="1" applyFont="1" applyFill="1" applyBorder="1" applyAlignment="1">
      <alignment horizontal="center" vertical="center"/>
    </xf>
    <xf numFmtId="181" fontId="58" fillId="41" borderId="10" xfId="0" applyNumberFormat="1" applyFont="1" applyFill="1" applyBorder="1" applyAlignment="1">
      <alignment horizontal="center"/>
    </xf>
    <xf numFmtId="0" fontId="8" fillId="41" borderId="10" xfId="0" applyFont="1" applyFill="1" applyBorder="1" applyAlignment="1">
      <alignment horizontal="center" wrapText="1"/>
    </xf>
    <xf numFmtId="3" fontId="54" fillId="41" borderId="16" xfId="173" applyNumberFormat="1" applyFont="1" applyFill="1" applyBorder="1" applyAlignment="1">
      <alignment horizontal="center" vertical="center"/>
    </xf>
    <xf numFmtId="172" fontId="8" fillId="41" borderId="10" xfId="0" applyNumberFormat="1" applyFont="1" applyFill="1" applyBorder="1" applyAlignment="1">
      <alignment horizontal="center"/>
    </xf>
    <xf numFmtId="181" fontId="12" fillId="41" borderId="10" xfId="203" applyNumberFormat="1" applyFont="1" applyFill="1" applyBorder="1" applyAlignment="1">
      <alignment horizontal="center"/>
    </xf>
    <xf numFmtId="181" fontId="83" fillId="41" borderId="10" xfId="203" applyNumberFormat="1" applyFont="1" applyFill="1" applyBorder="1" applyAlignment="1">
      <alignment horizontal="center"/>
    </xf>
    <xf numFmtId="181" fontId="8" fillId="41" borderId="13" xfId="0" applyNumberFormat="1" applyFont="1" applyFill="1" applyBorder="1" applyAlignment="1">
      <alignment horizontal="center" vertical="center"/>
    </xf>
    <xf numFmtId="181" fontId="83" fillId="41" borderId="10" xfId="0" applyNumberFormat="1" applyFont="1" applyFill="1" applyBorder="1" applyAlignment="1">
      <alignment horizontal="center"/>
    </xf>
    <xf numFmtId="0" fontId="8" fillId="41" borderId="12" xfId="0" applyFont="1" applyFill="1" applyBorder="1" applyAlignment="1">
      <alignment horizontal="center" wrapText="1"/>
    </xf>
    <xf numFmtId="181" fontId="8" fillId="41" borderId="10" xfId="0" applyNumberFormat="1" applyFont="1" applyFill="1" applyBorder="1" applyAlignment="1">
      <alignment horizontal="center"/>
    </xf>
    <xf numFmtId="0" fontId="7" fillId="41" borderId="10" xfId="0" applyFont="1" applyFill="1" applyBorder="1" applyAlignment="1">
      <alignment horizontal="center"/>
    </xf>
    <xf numFmtId="0" fontId="7" fillId="41" borderId="10" xfId="0" applyFont="1" applyFill="1" applyBorder="1" applyAlignment="1">
      <alignment horizontal="center" wrapText="1"/>
    </xf>
    <xf numFmtId="3" fontId="41" fillId="41" borderId="16" xfId="173" applyNumberFormat="1" applyFont="1" applyFill="1" applyBorder="1" applyAlignment="1">
      <alignment horizontal="center" vertical="center"/>
    </xf>
    <xf numFmtId="3" fontId="7" fillId="41" borderId="10" xfId="0" applyNumberFormat="1" applyFont="1" applyFill="1" applyBorder="1" applyAlignment="1">
      <alignment horizontal="center"/>
    </xf>
    <xf numFmtId="4" fontId="46" fillId="41" borderId="10" xfId="0" applyNumberFormat="1" applyFont="1" applyFill="1" applyBorder="1" applyAlignment="1">
      <alignment horizontal="center"/>
    </xf>
    <xf numFmtId="172" fontId="7" fillId="41" borderId="16" xfId="0" applyNumberFormat="1" applyFont="1" applyFill="1" applyBorder="1" applyAlignment="1">
      <alignment horizontal="center" vertical="center"/>
    </xf>
    <xf numFmtId="0" fontId="8" fillId="41" borderId="10" xfId="0" applyFont="1" applyFill="1" applyBorder="1" applyAlignment="1">
      <alignment wrapText="1"/>
    </xf>
    <xf numFmtId="0" fontId="7" fillId="41" borderId="0" xfId="0" applyFont="1" applyFill="1" applyAlignment="1">
      <alignment horizontal="center"/>
    </xf>
    <xf numFmtId="4" fontId="10" fillId="41" borderId="0" xfId="0" applyNumberFormat="1" applyFont="1" applyFill="1" applyAlignment="1">
      <alignment horizontal="center"/>
    </xf>
    <xf numFmtId="0" fontId="131" fillId="41" borderId="0" xfId="0" applyFont="1" applyFill="1"/>
    <xf numFmtId="0" fontId="132" fillId="41" borderId="0" xfId="0" applyFont="1" applyFill="1"/>
    <xf numFmtId="4" fontId="37" fillId="41" borderId="0" xfId="0" applyNumberFormat="1" applyFont="1" applyFill="1" applyAlignment="1">
      <alignment horizontal="center"/>
    </xf>
    <xf numFmtId="181" fontId="45" fillId="41" borderId="10" xfId="0" applyNumberFormat="1" applyFont="1" applyFill="1" applyBorder="1" applyAlignment="1">
      <alignment horizontal="center"/>
    </xf>
    <xf numFmtId="171" fontId="13" fillId="41" borderId="10" xfId="0" applyNumberFormat="1" applyFont="1" applyFill="1" applyBorder="1" applyAlignment="1">
      <alignment horizontal="center" vertical="center"/>
    </xf>
    <xf numFmtId="175" fontId="57" fillId="41" borderId="0" xfId="0" applyNumberFormat="1" applyFont="1" applyFill="1"/>
    <xf numFmtId="3" fontId="53" fillId="41" borderId="13" xfId="0" applyNumberFormat="1" applyFont="1" applyFill="1" applyBorder="1" applyAlignment="1">
      <alignment horizontal="center" vertical="center"/>
    </xf>
    <xf numFmtId="172" fontId="13" fillId="41" borderId="10" xfId="0" applyNumberFormat="1" applyFont="1" applyFill="1" applyBorder="1" applyAlignment="1">
      <alignment horizontal="center"/>
    </xf>
    <xf numFmtId="0" fontId="10" fillId="41" borderId="10" xfId="0" applyFont="1" applyFill="1" applyBorder="1" applyAlignment="1">
      <alignment horizontal="center"/>
    </xf>
    <xf numFmtId="2" fontId="8" fillId="41" borderId="10" xfId="0" applyNumberFormat="1" applyFont="1" applyFill="1" applyBorder="1"/>
    <xf numFmtId="0" fontId="34" fillId="41" borderId="0" xfId="0" applyFont="1" applyFill="1"/>
    <xf numFmtId="0" fontId="26" fillId="41" borderId="0" xfId="0" applyFont="1" applyFill="1"/>
    <xf numFmtId="0" fontId="15" fillId="41" borderId="0" xfId="0" applyFont="1" applyFill="1" applyBorder="1"/>
    <xf numFmtId="14" fontId="5" fillId="41" borderId="0" xfId="0" applyNumberFormat="1" applyFont="1" applyFill="1"/>
    <xf numFmtId="0" fontId="15" fillId="41" borderId="0" xfId="0" applyFont="1" applyFill="1"/>
    <xf numFmtId="0" fontId="8" fillId="41" borderId="13" xfId="0" applyFont="1" applyFill="1" applyBorder="1" applyAlignment="1">
      <alignment horizontal="center"/>
    </xf>
    <xf numFmtId="0" fontId="44" fillId="41" borderId="10" xfId="0" applyFont="1" applyFill="1" applyBorder="1" applyAlignment="1">
      <alignment horizontal="center"/>
    </xf>
    <xf numFmtId="0" fontId="0" fillId="41" borderId="0" xfId="0" applyFill="1" applyAlignment="1">
      <alignment horizontal="center"/>
    </xf>
    <xf numFmtId="0" fontId="109" fillId="41" borderId="0" xfId="0" applyFont="1" applyFill="1" applyAlignment="1">
      <alignment horizontal="center"/>
    </xf>
    <xf numFmtId="175" fontId="91" fillId="41" borderId="0" xfId="187" applyNumberFormat="1" applyFont="1" applyFill="1" applyBorder="1" applyAlignment="1">
      <alignment horizontal="center"/>
    </xf>
    <xf numFmtId="14" fontId="0" fillId="41" borderId="27" xfId="0" applyNumberFormat="1" applyFill="1" applyBorder="1" applyAlignment="1">
      <alignment horizontal="center"/>
    </xf>
    <xf numFmtId="0" fontId="38" fillId="41" borderId="22" xfId="179" applyFont="1" applyFill="1" applyBorder="1" applyAlignment="1">
      <alignment horizontal="center" wrapText="1"/>
    </xf>
    <xf numFmtId="14" fontId="26" fillId="41" borderId="41" xfId="0" applyNumberFormat="1" applyFont="1" applyFill="1" applyBorder="1" applyAlignment="1">
      <alignment horizontal="center"/>
    </xf>
    <xf numFmtId="0" fontId="0" fillId="41" borderId="0" xfId="0" applyFill="1" applyBorder="1" applyAlignment="1">
      <alignment horizontal="center"/>
    </xf>
    <xf numFmtId="14" fontId="26" fillId="41" borderId="0" xfId="0" applyNumberFormat="1" applyFont="1" applyFill="1" applyBorder="1" applyAlignment="1">
      <alignment horizontal="center"/>
    </xf>
    <xf numFmtId="0" fontId="107" fillId="41" borderId="41" xfId="187" applyFont="1" applyFill="1" applyBorder="1" applyAlignment="1">
      <alignment horizontal="center"/>
    </xf>
    <xf numFmtId="0" fontId="115" fillId="41" borderId="0" xfId="196" applyFont="1" applyFill="1" applyBorder="1" applyAlignment="1">
      <alignment horizontal="center" vertical="center" wrapText="1"/>
    </xf>
    <xf numFmtId="0" fontId="37" fillId="41" borderId="0" xfId="0" applyFont="1" applyFill="1" applyBorder="1" applyAlignment="1">
      <alignment horizontal="center" vertical="center"/>
    </xf>
    <xf numFmtId="14" fontId="115" fillId="41" borderId="0" xfId="196" applyNumberFormat="1" applyFont="1" applyFill="1" applyBorder="1" applyAlignment="1">
      <alignment horizontal="center" vertical="center" wrapText="1"/>
    </xf>
    <xf numFmtId="14" fontId="37" fillId="41" borderId="0" xfId="0" applyNumberFormat="1" applyFont="1" applyFill="1" applyAlignment="1">
      <alignment horizontal="center"/>
    </xf>
    <xf numFmtId="0" fontId="37" fillId="41" borderId="0" xfId="0" applyFont="1" applyFill="1" applyAlignment="1">
      <alignment horizontal="center"/>
    </xf>
    <xf numFmtId="0" fontId="37" fillId="41" borderId="41" xfId="0" applyFont="1" applyFill="1" applyBorder="1" applyAlignment="1">
      <alignment horizontal="center"/>
    </xf>
    <xf numFmtId="0" fontId="111" fillId="41" borderId="0" xfId="0" applyFont="1" applyFill="1" applyAlignment="1">
      <alignment horizontal="center"/>
    </xf>
    <xf numFmtId="0" fontId="96" fillId="41" borderId="68" xfId="0" applyFont="1" applyFill="1" applyBorder="1"/>
    <xf numFmtId="0" fontId="65" fillId="41" borderId="0" xfId="0" applyFont="1" applyFill="1" applyAlignment="1">
      <alignment horizontal="center"/>
    </xf>
    <xf numFmtId="14" fontId="65" fillId="41" borderId="0" xfId="0" applyNumberFormat="1" applyFont="1" applyFill="1" applyAlignment="1">
      <alignment horizontal="center"/>
    </xf>
    <xf numFmtId="14" fontId="96" fillId="41" borderId="0" xfId="0" applyNumberFormat="1" applyFont="1" applyFill="1" applyAlignment="1">
      <alignment horizontal="center"/>
    </xf>
    <xf numFmtId="0" fontId="103" fillId="41" borderId="0" xfId="0" applyFont="1" applyFill="1" applyAlignment="1">
      <alignment horizontal="center"/>
    </xf>
    <xf numFmtId="14" fontId="96" fillId="41" borderId="0" xfId="0" applyNumberFormat="1" applyFont="1" applyFill="1" applyBorder="1" applyAlignment="1">
      <alignment horizontal="center"/>
    </xf>
    <xf numFmtId="0" fontId="96" fillId="41" borderId="0" xfId="0" applyFont="1" applyFill="1" applyAlignment="1">
      <alignment horizontal="center"/>
    </xf>
    <xf numFmtId="0" fontId="97" fillId="41" borderId="0" xfId="0" applyFont="1" applyFill="1" applyBorder="1" applyAlignment="1">
      <alignment horizontal="center"/>
    </xf>
    <xf numFmtId="14" fontId="122" fillId="41" borderId="0" xfId="0" applyNumberFormat="1" applyFont="1" applyFill="1" applyAlignment="1">
      <alignment horizontal="center"/>
    </xf>
    <xf numFmtId="0" fontId="93" fillId="41" borderId="0" xfId="0" applyFont="1" applyFill="1" applyAlignment="1">
      <alignment horizontal="center"/>
    </xf>
    <xf numFmtId="0" fontId="121" fillId="41" borderId="0" xfId="0" applyFont="1" applyFill="1" applyAlignment="1">
      <alignment horizontal="center"/>
    </xf>
    <xf numFmtId="0" fontId="57" fillId="41" borderId="0" xfId="0" applyFont="1" applyFill="1" applyAlignment="1">
      <alignment horizontal="center"/>
    </xf>
    <xf numFmtId="14" fontId="117" fillId="41" borderId="80" xfId="254" applyNumberFormat="1" applyFont="1" applyFill="1" applyBorder="1" applyAlignment="1">
      <alignment horizontal="center"/>
    </xf>
    <xf numFmtId="14" fontId="37" fillId="41" borderId="80" xfId="254" applyNumberFormat="1" applyFont="1" applyFill="1" applyBorder="1" applyAlignment="1">
      <alignment horizontal="center"/>
    </xf>
    <xf numFmtId="0" fontId="117" fillId="41" borderId="73" xfId="0" applyFont="1" applyFill="1" applyBorder="1" applyAlignment="1">
      <alignment horizontal="center"/>
    </xf>
    <xf numFmtId="0" fontId="89" fillId="41" borderId="75" xfId="0" applyFont="1" applyFill="1" applyBorder="1" applyAlignment="1">
      <alignment horizontal="center"/>
    </xf>
    <xf numFmtId="2" fontId="37" fillId="41" borderId="33" xfId="0" applyNumberFormat="1" applyFont="1" applyFill="1" applyBorder="1" applyAlignment="1">
      <alignment horizontal="center"/>
    </xf>
    <xf numFmtId="0" fontId="37" fillId="41" borderId="33" xfId="0" applyFont="1" applyFill="1" applyBorder="1" applyAlignment="1">
      <alignment horizontal="center"/>
    </xf>
    <xf numFmtId="181" fontId="37" fillId="41" borderId="0" xfId="0" applyNumberFormat="1" applyFont="1" applyFill="1" applyAlignment="1">
      <alignment horizontal="center"/>
    </xf>
    <xf numFmtId="0" fontId="118" fillId="41" borderId="0" xfId="0" applyFont="1" applyFill="1" applyAlignment="1">
      <alignment horizontal="center"/>
    </xf>
    <xf numFmtId="0" fontId="91" fillId="41" borderId="87" xfId="187" applyFont="1" applyFill="1" applyBorder="1" applyAlignment="1">
      <alignment horizontal="center"/>
    </xf>
    <xf numFmtId="0" fontId="92" fillId="41" borderId="80" xfId="187" applyFont="1" applyFill="1" applyBorder="1" applyAlignment="1">
      <alignment horizontal="center"/>
    </xf>
    <xf numFmtId="0" fontId="113" fillId="41" borderId="80" xfId="187" applyFill="1" applyBorder="1" applyAlignment="1">
      <alignment horizontal="center"/>
    </xf>
    <xf numFmtId="0" fontId="0" fillId="41" borderId="80" xfId="0" applyFill="1" applyBorder="1" applyAlignment="1">
      <alignment horizontal="center"/>
    </xf>
    <xf numFmtId="0" fontId="91" fillId="41" borderId="83" xfId="187" applyFont="1" applyFill="1" applyBorder="1" applyAlignment="1">
      <alignment horizontal="center"/>
    </xf>
    <xf numFmtId="0" fontId="101" fillId="41" borderId="83" xfId="189" applyFont="1" applyFill="1" applyBorder="1" applyAlignment="1">
      <alignment horizontal="center"/>
    </xf>
    <xf numFmtId="0" fontId="37" fillId="41" borderId="10" xfId="179" applyFont="1" applyFill="1" applyBorder="1" applyAlignment="1">
      <alignment horizontal="center" wrapText="1"/>
    </xf>
    <xf numFmtId="0" fontId="37" fillId="41" borderId="80" xfId="179" applyFont="1" applyFill="1" applyBorder="1" applyAlignment="1">
      <alignment horizontal="center" wrapText="1"/>
    </xf>
    <xf numFmtId="0" fontId="69" fillId="41" borderId="83" xfId="179" applyFont="1" applyFill="1" applyBorder="1" applyAlignment="1">
      <alignment horizontal="center" wrapText="1"/>
    </xf>
    <xf numFmtId="0" fontId="69" fillId="41" borderId="10" xfId="179" applyFont="1" applyFill="1" applyBorder="1" applyAlignment="1">
      <alignment horizontal="center" wrapText="1"/>
    </xf>
    <xf numFmtId="0" fontId="62" fillId="41" borderId="12" xfId="179" applyFont="1" applyFill="1" applyBorder="1" applyAlignment="1">
      <alignment horizontal="center" wrapText="1"/>
    </xf>
    <xf numFmtId="0" fontId="62" fillId="41" borderId="80" xfId="179" applyFont="1" applyFill="1" applyBorder="1" applyAlignment="1">
      <alignment horizontal="center" wrapText="1"/>
    </xf>
    <xf numFmtId="0" fontId="37" fillId="41" borderId="83" xfId="179" applyFont="1" applyFill="1" applyBorder="1" applyAlignment="1">
      <alignment horizontal="center" wrapText="1"/>
    </xf>
    <xf numFmtId="0" fontId="104" fillId="41" borderId="80" xfId="187" applyFont="1" applyFill="1" applyBorder="1" applyAlignment="1">
      <alignment horizontal="center"/>
    </xf>
    <xf numFmtId="2" fontId="37" fillId="41" borderId="46" xfId="0" applyNumberFormat="1" applyFont="1" applyFill="1" applyBorder="1" applyAlignment="1">
      <alignment horizontal="center"/>
    </xf>
    <xf numFmtId="0" fontId="37" fillId="24" borderId="33" xfId="0" applyFont="1" applyFill="1" applyBorder="1" applyAlignment="1">
      <alignment horizontal="center"/>
    </xf>
    <xf numFmtId="0" fontId="37" fillId="24" borderId="46" xfId="0" applyFont="1" applyFill="1" applyBorder="1" applyAlignment="1">
      <alignment horizontal="center"/>
    </xf>
    <xf numFmtId="0" fontId="37" fillId="0" borderId="75" xfId="0" applyFont="1" applyBorder="1" applyAlignment="1">
      <alignment horizontal="center"/>
    </xf>
    <xf numFmtId="0" fontId="37" fillId="24" borderId="75" xfId="0" applyFont="1" applyFill="1" applyBorder="1" applyAlignment="1">
      <alignment horizontal="center"/>
    </xf>
    <xf numFmtId="2" fontId="61" fillId="0" borderId="47" xfId="157" applyNumberFormat="1" applyFont="1" applyBorder="1" applyAlignment="1">
      <alignment horizontal="center"/>
    </xf>
    <xf numFmtId="183" fontId="61" fillId="0" borderId="47" xfId="157" applyNumberFormat="1" applyFont="1" applyBorder="1" applyAlignment="1">
      <alignment horizontal="center"/>
    </xf>
    <xf numFmtId="2" fontId="10" fillId="41" borderId="10" xfId="0" applyNumberFormat="1" applyFont="1" applyFill="1" applyBorder="1" applyAlignment="1">
      <alignment horizontal="center"/>
    </xf>
    <xf numFmtId="0" fontId="8" fillId="41" borderId="16" xfId="177" applyFont="1" applyFill="1" applyBorder="1" applyAlignment="1">
      <alignment horizontal="center"/>
    </xf>
    <xf numFmtId="0" fontId="8" fillId="41" borderId="10" xfId="177" applyFont="1" applyFill="1" applyBorder="1" applyAlignment="1">
      <alignment horizontal="center"/>
    </xf>
    <xf numFmtId="0" fontId="46" fillId="41" borderId="41" xfId="177" applyFont="1" applyFill="1" applyBorder="1" applyAlignment="1"/>
    <xf numFmtId="0" fontId="8" fillId="41" borderId="21" xfId="177" applyFont="1" applyFill="1" applyBorder="1" applyAlignment="1"/>
    <xf numFmtId="175" fontId="8" fillId="41" borderId="22" xfId="177" applyNumberFormat="1" applyFont="1" applyFill="1" applyBorder="1" applyAlignment="1"/>
    <xf numFmtId="0" fontId="8" fillId="41" borderId="0" xfId="177" applyFont="1" applyFill="1"/>
    <xf numFmtId="0" fontId="124" fillId="41" borderId="0" xfId="0" applyFont="1" applyFill="1"/>
    <xf numFmtId="14" fontId="0" fillId="41" borderId="41" xfId="0" applyNumberFormat="1" applyFill="1" applyBorder="1" applyAlignment="1">
      <alignment horizontal="center"/>
    </xf>
    <xf numFmtId="0" fontId="26" fillId="41" borderId="0" xfId="0" applyFont="1" applyFill="1" applyBorder="1"/>
    <xf numFmtId="2" fontId="0" fillId="41" borderId="67" xfId="0" applyNumberFormat="1" applyFill="1" applyBorder="1" applyAlignment="1">
      <alignment horizontal="center"/>
    </xf>
    <xf numFmtId="0" fontId="103" fillId="41" borderId="0" xfId="0" applyFont="1" applyFill="1"/>
    <xf numFmtId="0" fontId="37" fillId="41" borderId="52" xfId="0" applyFont="1" applyFill="1" applyBorder="1" applyAlignment="1">
      <alignment horizontal="center" vertical="center"/>
    </xf>
    <xf numFmtId="16" fontId="37" fillId="41" borderId="55" xfId="0" applyNumberFormat="1" applyFont="1" applyFill="1" applyBorder="1" applyAlignment="1">
      <alignment horizontal="center" vertical="center"/>
    </xf>
    <xf numFmtId="0" fontId="37" fillId="41" borderId="134" xfId="0" applyFont="1" applyFill="1" applyBorder="1" applyAlignment="1">
      <alignment horizontal="center" vertical="center"/>
    </xf>
    <xf numFmtId="0" fontId="37" fillId="41" borderId="53" xfId="0" applyFont="1" applyFill="1" applyBorder="1" applyAlignment="1">
      <alignment horizontal="center" vertical="center"/>
    </xf>
    <xf numFmtId="0" fontId="37" fillId="41" borderId="41" xfId="0" applyFont="1" applyFill="1" applyBorder="1" applyAlignment="1">
      <alignment horizontal="center" vertical="center"/>
    </xf>
    <xf numFmtId="0" fontId="94" fillId="41" borderId="41" xfId="196" applyFont="1" applyFill="1" applyBorder="1" applyAlignment="1">
      <alignment horizontal="center" vertical="center" wrapText="1"/>
    </xf>
    <xf numFmtId="0" fontId="37" fillId="41" borderId="22" xfId="0" applyFont="1" applyFill="1" applyBorder="1" applyAlignment="1">
      <alignment horizontal="center" vertical="center"/>
    </xf>
    <xf numFmtId="0" fontId="37" fillId="41" borderId="36" xfId="0" applyFont="1" applyFill="1" applyBorder="1" applyAlignment="1">
      <alignment horizontal="center" vertical="center"/>
    </xf>
    <xf numFmtId="16" fontId="37" fillId="41" borderId="10" xfId="0" applyNumberFormat="1" applyFont="1" applyFill="1" applyBorder="1" applyAlignment="1">
      <alignment horizontal="center" vertical="center"/>
    </xf>
    <xf numFmtId="0" fontId="37" fillId="41" borderId="10" xfId="0" applyFont="1" applyFill="1" applyBorder="1" applyAlignment="1">
      <alignment horizontal="center" vertical="center"/>
    </xf>
    <xf numFmtId="0" fontId="37" fillId="41" borderId="35" xfId="0" applyFont="1" applyFill="1" applyBorder="1" applyAlignment="1">
      <alignment horizontal="center" vertical="center"/>
    </xf>
    <xf numFmtId="0" fontId="37" fillId="41" borderId="15" xfId="0" applyFont="1" applyFill="1" applyBorder="1" applyAlignment="1">
      <alignment horizontal="center" vertical="center"/>
    </xf>
    <xf numFmtId="0" fontId="127" fillId="41" borderId="70" xfId="195" applyFont="1" applyFill="1" applyBorder="1" applyAlignment="1">
      <alignment horizontal="center" wrapText="1"/>
    </xf>
    <xf numFmtId="0" fontId="127" fillId="41" borderId="45" xfId="195" applyFont="1" applyFill="1" applyBorder="1" applyAlignment="1">
      <alignment horizontal="center" wrapText="1"/>
    </xf>
    <xf numFmtId="0" fontId="127" fillId="41" borderId="45" xfId="195" applyFont="1" applyFill="1" applyBorder="1" applyAlignment="1">
      <alignment horizontal="left" wrapText="1"/>
    </xf>
    <xf numFmtId="0" fontId="127" fillId="41" borderId="60" xfId="195" applyFont="1" applyFill="1" applyBorder="1" applyAlignment="1">
      <alignment horizontal="right" wrapText="1"/>
    </xf>
    <xf numFmtId="0" fontId="127" fillId="41" borderId="70" xfId="195" applyFont="1" applyFill="1" applyBorder="1" applyAlignment="1">
      <alignment horizontal="right" wrapText="1"/>
    </xf>
    <xf numFmtId="0" fontId="127" fillId="41" borderId="71" xfId="195" applyFont="1" applyFill="1" applyBorder="1" applyAlignment="1">
      <alignment horizontal="right" wrapText="1"/>
    </xf>
    <xf numFmtId="4" fontId="94" fillId="41" borderId="60" xfId="195" applyNumberFormat="1" applyFont="1" applyFill="1" applyBorder="1" applyAlignment="1">
      <alignment horizontal="center" wrapText="1"/>
    </xf>
    <xf numFmtId="4" fontId="94" fillId="41" borderId="71" xfId="195" applyNumberFormat="1" applyFont="1" applyFill="1" applyBorder="1" applyAlignment="1">
      <alignment horizontal="center" wrapText="1"/>
    </xf>
    <xf numFmtId="0" fontId="127" fillId="41" borderId="39" xfId="195" applyFont="1" applyFill="1" applyBorder="1" applyAlignment="1">
      <alignment horizontal="center" wrapText="1"/>
    </xf>
    <xf numFmtId="0" fontId="127" fillId="41" borderId="137" xfId="195" applyFont="1" applyFill="1" applyBorder="1" applyAlignment="1">
      <alignment horizontal="center" wrapText="1"/>
    </xf>
    <xf numFmtId="0" fontId="127" fillId="41" borderId="137" xfId="195" applyFont="1" applyFill="1" applyBorder="1" applyAlignment="1">
      <alignment horizontal="left" wrapText="1"/>
    </xf>
    <xf numFmtId="0" fontId="127" fillId="41" borderId="0" xfId="195" applyFont="1" applyFill="1" applyBorder="1" applyAlignment="1">
      <alignment horizontal="right" wrapText="1"/>
    </xf>
    <xf numFmtId="0" fontId="127" fillId="41" borderId="39" xfId="195" applyFont="1" applyFill="1" applyBorder="1" applyAlignment="1">
      <alignment horizontal="right" wrapText="1"/>
    </xf>
    <xf numFmtId="0" fontId="127" fillId="41" borderId="74" xfId="195" applyFont="1" applyFill="1" applyBorder="1" applyAlignment="1">
      <alignment horizontal="right" wrapText="1"/>
    </xf>
    <xf numFmtId="4" fontId="94" fillId="41" borderId="0" xfId="195" applyNumberFormat="1" applyFont="1" applyFill="1" applyBorder="1" applyAlignment="1">
      <alignment horizontal="center" wrapText="1"/>
    </xf>
    <xf numFmtId="4" fontId="94" fillId="41" borderId="74" xfId="195" applyNumberFormat="1" applyFont="1" applyFill="1" applyBorder="1" applyAlignment="1">
      <alignment horizontal="center" wrapText="1"/>
    </xf>
    <xf numFmtId="4" fontId="94" fillId="41" borderId="75" xfId="195" applyNumberFormat="1" applyFont="1" applyFill="1" applyBorder="1" applyAlignment="1">
      <alignment horizontal="center" wrapText="1"/>
    </xf>
    <xf numFmtId="0" fontId="94" fillId="41" borderId="0" xfId="195" applyFont="1" applyFill="1" applyBorder="1" applyAlignment="1">
      <alignment horizontal="center" wrapText="1"/>
    </xf>
    <xf numFmtId="0" fontId="94" fillId="41" borderId="137" xfId="195" applyFont="1" applyFill="1" applyBorder="1" applyAlignment="1">
      <alignment horizontal="center" wrapText="1"/>
    </xf>
    <xf numFmtId="0" fontId="94" fillId="41" borderId="39" xfId="195" applyFont="1" applyFill="1" applyBorder="1" applyAlignment="1">
      <alignment horizontal="center" wrapText="1"/>
    </xf>
    <xf numFmtId="0" fontId="100" fillId="41" borderId="39" xfId="195" applyFont="1" applyFill="1" applyBorder="1" applyAlignment="1">
      <alignment horizontal="center" vertical="center" wrapText="1"/>
    </xf>
    <xf numFmtId="0" fontId="100" fillId="41" borderId="0" xfId="195" applyFont="1" applyFill="1" applyBorder="1" applyAlignment="1">
      <alignment horizontal="center" vertical="center" wrapText="1"/>
    </xf>
    <xf numFmtId="4" fontId="94" fillId="41" borderId="39" xfId="195" applyNumberFormat="1" applyFont="1" applyFill="1" applyBorder="1" applyAlignment="1">
      <alignment horizontal="center" wrapText="1"/>
    </xf>
    <xf numFmtId="4" fontId="96" fillId="41" borderId="0" xfId="0" applyNumberFormat="1" applyFont="1" applyFill="1"/>
    <xf numFmtId="0" fontId="94" fillId="41" borderId="144" xfId="195" applyFont="1" applyFill="1" applyBorder="1" applyAlignment="1">
      <alignment horizontal="center" wrapText="1"/>
    </xf>
    <xf numFmtId="0" fontId="94" fillId="41" borderId="45" xfId="195" applyFont="1" applyFill="1" applyBorder="1" applyAlignment="1">
      <alignment horizontal="center" wrapText="1"/>
    </xf>
    <xf numFmtId="0" fontId="94" fillId="41" borderId="142" xfId="195" applyFont="1" applyFill="1" applyBorder="1" applyAlignment="1">
      <alignment horizontal="center" wrapText="1"/>
    </xf>
    <xf numFmtId="0" fontId="94" fillId="41" borderId="71" xfId="195" applyFont="1" applyFill="1" applyBorder="1" applyAlignment="1">
      <alignment horizontal="center" wrapText="1"/>
    </xf>
    <xf numFmtId="0" fontId="100" fillId="41" borderId="70" xfId="195" applyFont="1" applyFill="1" applyBorder="1" applyAlignment="1">
      <alignment horizontal="center" vertical="center" wrapText="1"/>
    </xf>
    <xf numFmtId="0" fontId="100" fillId="41" borderId="60" xfId="195" applyFont="1" applyFill="1" applyBorder="1" applyAlignment="1">
      <alignment horizontal="center" vertical="center" wrapText="1"/>
    </xf>
    <xf numFmtId="4" fontId="94" fillId="41" borderId="70" xfId="195" applyNumberFormat="1" applyFont="1" applyFill="1" applyBorder="1" applyAlignment="1">
      <alignment horizontal="center" wrapText="1"/>
    </xf>
    <xf numFmtId="0" fontId="94" fillId="41" borderId="153" xfId="195" applyFont="1" applyFill="1" applyBorder="1" applyAlignment="1">
      <alignment horizontal="center" wrapText="1"/>
    </xf>
    <xf numFmtId="0" fontId="94" fillId="41" borderId="141" xfId="195" applyFont="1" applyFill="1" applyBorder="1" applyAlignment="1">
      <alignment horizontal="center" wrapText="1"/>
    </xf>
    <xf numFmtId="0" fontId="94" fillId="41" borderId="74" xfId="195" applyFont="1" applyFill="1" applyBorder="1" applyAlignment="1">
      <alignment horizontal="center" wrapText="1"/>
    </xf>
    <xf numFmtId="0" fontId="94" fillId="41" borderId="154" xfId="195" applyFont="1" applyFill="1" applyBorder="1" applyAlignment="1">
      <alignment horizontal="center" wrapText="1"/>
    </xf>
    <xf numFmtId="0" fontId="94" fillId="41" borderId="76" xfId="195" applyFont="1" applyFill="1" applyBorder="1" applyAlignment="1">
      <alignment horizontal="center" wrapText="1"/>
    </xf>
    <xf numFmtId="0" fontId="94" fillId="41" borderId="155" xfId="195" applyFont="1" applyFill="1" applyBorder="1" applyAlignment="1">
      <alignment horizontal="center" wrapText="1"/>
    </xf>
    <xf numFmtId="0" fontId="94" fillId="41" borderId="75" xfId="195" applyFont="1" applyFill="1" applyBorder="1" applyAlignment="1">
      <alignment horizontal="center" wrapText="1"/>
    </xf>
    <xf numFmtId="0" fontId="100" fillId="41" borderId="67" xfId="195" applyFont="1" applyFill="1" applyBorder="1" applyAlignment="1">
      <alignment horizontal="center" vertical="center" wrapText="1"/>
    </xf>
    <xf numFmtId="0" fontId="100" fillId="41" borderId="84" xfId="195" applyFont="1" applyFill="1" applyBorder="1" applyAlignment="1">
      <alignment horizontal="center" vertical="center" wrapText="1"/>
    </xf>
    <xf numFmtId="4" fontId="94" fillId="41" borderId="67" xfId="195" applyNumberFormat="1" applyFont="1" applyFill="1" applyBorder="1" applyAlignment="1">
      <alignment horizontal="center" wrapText="1"/>
    </xf>
    <xf numFmtId="0" fontId="100" fillId="41" borderId="112" xfId="195" applyFont="1" applyFill="1" applyBorder="1" applyAlignment="1">
      <alignment horizontal="center" wrapText="1"/>
    </xf>
    <xf numFmtId="0" fontId="100" fillId="41" borderId="113" xfId="195" applyFont="1" applyFill="1" applyBorder="1" applyAlignment="1">
      <alignment horizontal="center" wrapText="1"/>
    </xf>
    <xf numFmtId="0" fontId="94" fillId="41" borderId="111" xfId="195" applyFont="1" applyFill="1" applyBorder="1" applyAlignment="1">
      <alignment horizontal="center" wrapText="1"/>
    </xf>
    <xf numFmtId="0" fontId="94" fillId="41" borderId="113" xfId="195" applyFont="1" applyFill="1" applyBorder="1" applyAlignment="1">
      <alignment horizontal="center" wrapText="1"/>
    </xf>
    <xf numFmtId="0" fontId="94" fillId="41" borderId="114" xfId="195" applyFont="1" applyFill="1" applyBorder="1" applyAlignment="1">
      <alignment horizontal="center" wrapText="1"/>
    </xf>
    <xf numFmtId="0" fontId="94" fillId="41" borderId="115" xfId="195" applyFont="1" applyFill="1" applyBorder="1" applyAlignment="1">
      <alignment horizontal="center" wrapText="1"/>
    </xf>
    <xf numFmtId="0" fontId="38" fillId="41" borderId="0" xfId="0" applyFont="1" applyFill="1"/>
    <xf numFmtId="0" fontId="104" fillId="0" borderId="39" xfId="195" applyFont="1" applyFill="1" applyBorder="1" applyAlignment="1">
      <alignment horizontal="center" wrapText="1"/>
    </xf>
    <xf numFmtId="0" fontId="104" fillId="0" borderId="0" xfId="195" applyFont="1" applyFill="1" applyBorder="1" applyAlignment="1">
      <alignment horizontal="center" wrapText="1"/>
    </xf>
    <xf numFmtId="0" fontId="104" fillId="0" borderId="74" xfId="195" applyFont="1" applyFill="1" applyBorder="1" applyAlignment="1">
      <alignment horizontal="center" wrapText="1"/>
    </xf>
    <xf numFmtId="0" fontId="66" fillId="0" borderId="112" xfId="195" applyFont="1" applyFill="1" applyBorder="1" applyAlignment="1">
      <alignment horizontal="center" wrapText="1"/>
    </xf>
    <xf numFmtId="0" fontId="66" fillId="0" borderId="113" xfId="195" applyFont="1" applyFill="1" applyBorder="1" applyAlignment="1">
      <alignment horizontal="center" wrapText="1"/>
    </xf>
    <xf numFmtId="4" fontId="104" fillId="0" borderId="74" xfId="195" applyNumberFormat="1" applyFont="1" applyFill="1" applyBorder="1" applyAlignment="1">
      <alignment horizontal="center" wrapText="1"/>
    </xf>
    <xf numFmtId="0" fontId="104" fillId="41" borderId="39" xfId="195" applyFont="1" applyFill="1" applyBorder="1" applyAlignment="1">
      <alignment horizontal="center" wrapText="1"/>
    </xf>
    <xf numFmtId="0" fontId="104" fillId="41" borderId="0" xfId="195" applyFont="1" applyFill="1" applyBorder="1" applyAlignment="1">
      <alignment horizontal="center" wrapText="1"/>
    </xf>
    <xf numFmtId="0" fontId="104" fillId="41" borderId="74" xfId="195" applyFont="1" applyFill="1" applyBorder="1" applyAlignment="1">
      <alignment horizontal="center" wrapText="1"/>
    </xf>
    <xf numFmtId="0" fontId="66" fillId="41" borderId="112" xfId="195" applyFont="1" applyFill="1" applyBorder="1" applyAlignment="1">
      <alignment horizontal="center" wrapText="1"/>
    </xf>
    <xf numFmtId="0" fontId="66" fillId="41" borderId="113" xfId="195" applyFont="1" applyFill="1" applyBorder="1" applyAlignment="1">
      <alignment horizontal="center" wrapText="1"/>
    </xf>
    <xf numFmtId="4" fontId="104" fillId="41" borderId="39" xfId="195" applyNumberFormat="1" applyFont="1" applyFill="1" applyBorder="1" applyAlignment="1">
      <alignment horizontal="center" wrapText="1"/>
    </xf>
    <xf numFmtId="4" fontId="104" fillId="41" borderId="74" xfId="195" applyNumberFormat="1" applyFont="1" applyFill="1" applyBorder="1" applyAlignment="1">
      <alignment horizontal="center" wrapText="1"/>
    </xf>
    <xf numFmtId="0" fontId="104" fillId="41" borderId="111" xfId="195" applyFont="1" applyFill="1" applyBorder="1" applyAlignment="1">
      <alignment horizontal="center" wrapText="1"/>
    </xf>
    <xf numFmtId="0" fontId="104" fillId="41" borderId="112" xfId="195" applyFont="1" applyFill="1" applyBorder="1" applyAlignment="1">
      <alignment horizontal="center" wrapText="1"/>
    </xf>
    <xf numFmtId="0" fontId="104" fillId="41" borderId="4" xfId="195" applyFont="1" applyFill="1" applyBorder="1" applyAlignment="1">
      <alignment horizontal="center" wrapText="1"/>
    </xf>
    <xf numFmtId="0" fontId="104" fillId="41" borderId="113" xfId="195" applyFont="1" applyFill="1" applyBorder="1" applyAlignment="1">
      <alignment horizontal="center" wrapText="1"/>
    </xf>
    <xf numFmtId="0" fontId="104" fillId="41" borderId="114" xfId="195" applyFont="1" applyFill="1" applyBorder="1" applyAlignment="1">
      <alignment horizontal="center" wrapText="1"/>
    </xf>
    <xf numFmtId="0" fontId="104" fillId="41" borderId="115" xfId="195" applyFont="1" applyFill="1" applyBorder="1" applyAlignment="1">
      <alignment horizontal="center" wrapText="1"/>
    </xf>
    <xf numFmtId="0" fontId="94" fillId="41" borderId="112" xfId="195" applyFont="1" applyFill="1" applyBorder="1" applyAlignment="1">
      <alignment horizontal="center" wrapText="1"/>
    </xf>
    <xf numFmtId="0" fontId="94" fillId="41" borderId="4" xfId="195" applyFont="1" applyFill="1" applyBorder="1" applyAlignment="1">
      <alignment horizontal="center" wrapText="1"/>
    </xf>
    <xf numFmtId="175" fontId="100" fillId="41" borderId="113" xfId="195" applyNumberFormat="1" applyFont="1" applyFill="1" applyBorder="1" applyAlignment="1">
      <alignment horizontal="center" wrapText="1"/>
    </xf>
    <xf numFmtId="4" fontId="104" fillId="0" borderId="67" xfId="195" applyNumberFormat="1" applyFont="1" applyFill="1" applyBorder="1" applyAlignment="1">
      <alignment horizontal="center" wrapText="1"/>
    </xf>
    <xf numFmtId="4" fontId="104" fillId="0" borderId="75" xfId="195" applyNumberFormat="1" applyFont="1" applyFill="1" applyBorder="1" applyAlignment="1">
      <alignment horizontal="center" wrapText="1"/>
    </xf>
    <xf numFmtId="4" fontId="104" fillId="0" borderId="70" xfId="195" applyNumberFormat="1" applyFont="1" applyFill="1" applyBorder="1" applyAlignment="1">
      <alignment horizontal="center" wrapText="1"/>
    </xf>
    <xf numFmtId="4" fontId="104" fillId="0" borderId="71" xfId="195" applyNumberFormat="1" applyFont="1" applyFill="1" applyBorder="1" applyAlignment="1">
      <alignment horizontal="center" wrapText="1"/>
    </xf>
    <xf numFmtId="180" fontId="37" fillId="41" borderId="0" xfId="0" applyNumberFormat="1" applyFont="1" applyFill="1" applyBorder="1" applyAlignment="1">
      <alignment horizontal="center"/>
    </xf>
    <xf numFmtId="0" fontId="37" fillId="41" borderId="0" xfId="0" applyFont="1" applyFill="1" applyBorder="1" applyAlignment="1">
      <alignment horizontal="center"/>
    </xf>
    <xf numFmtId="0" fontId="94" fillId="41" borderId="128" xfId="195" applyFont="1" applyFill="1" applyBorder="1" applyAlignment="1">
      <alignment horizontal="center" wrapText="1"/>
    </xf>
    <xf numFmtId="0" fontId="94" fillId="41" borderId="129" xfId="195" applyFont="1" applyFill="1" applyBorder="1" applyAlignment="1">
      <alignment horizontal="center" wrapText="1"/>
    </xf>
    <xf numFmtId="0" fontId="94" fillId="41" borderId="130" xfId="195" applyFont="1" applyFill="1" applyBorder="1" applyAlignment="1">
      <alignment horizontal="center" wrapText="1"/>
    </xf>
    <xf numFmtId="0" fontId="94" fillId="41" borderId="131" xfId="195" applyFont="1" applyFill="1" applyBorder="1" applyAlignment="1">
      <alignment horizontal="center" wrapText="1"/>
    </xf>
    <xf numFmtId="0" fontId="94" fillId="41" borderId="132" xfId="195" applyFont="1" applyFill="1" applyBorder="1" applyAlignment="1">
      <alignment horizontal="center" wrapText="1"/>
    </xf>
    <xf numFmtId="0" fontId="94" fillId="41" borderId="133" xfId="195" applyFont="1" applyFill="1" applyBorder="1" applyAlignment="1">
      <alignment horizontal="center" wrapText="1"/>
    </xf>
    <xf numFmtId="0" fontId="100" fillId="41" borderId="129" xfId="195" applyFont="1" applyFill="1" applyBorder="1" applyAlignment="1">
      <alignment horizontal="center" wrapText="1"/>
    </xf>
    <xf numFmtId="175" fontId="100" fillId="41" borderId="131" xfId="195" applyNumberFormat="1" applyFont="1" applyFill="1" applyBorder="1" applyAlignment="1">
      <alignment horizontal="center" wrapText="1"/>
    </xf>
    <xf numFmtId="0" fontId="94" fillId="41" borderId="116" xfId="195" applyFont="1" applyFill="1" applyBorder="1" applyAlignment="1">
      <alignment horizontal="center" wrapText="1"/>
    </xf>
    <xf numFmtId="0" fontId="94" fillId="41" borderId="117" xfId="195" applyFont="1" applyFill="1" applyBorder="1" applyAlignment="1">
      <alignment horizontal="center" wrapText="1"/>
    </xf>
    <xf numFmtId="0" fontId="94" fillId="41" borderId="118" xfId="195" applyFont="1" applyFill="1" applyBorder="1" applyAlignment="1">
      <alignment horizontal="center" wrapText="1"/>
    </xf>
    <xf numFmtId="0" fontId="94" fillId="41" borderId="119" xfId="195" applyFont="1" applyFill="1" applyBorder="1" applyAlignment="1">
      <alignment horizontal="center" wrapText="1"/>
    </xf>
    <xf numFmtId="0" fontId="94" fillId="41" borderId="120" xfId="195" applyFont="1" applyFill="1" applyBorder="1" applyAlignment="1">
      <alignment horizontal="center" wrapText="1"/>
    </xf>
    <xf numFmtId="0" fontId="94" fillId="41" borderId="121" xfId="195" applyFont="1" applyFill="1" applyBorder="1" applyAlignment="1">
      <alignment horizontal="center" wrapText="1"/>
    </xf>
    <xf numFmtId="0" fontId="100" fillId="41" borderId="117" xfId="195" applyFont="1" applyFill="1" applyBorder="1" applyAlignment="1">
      <alignment horizontal="center" wrapText="1"/>
    </xf>
    <xf numFmtId="175" fontId="100" fillId="41" borderId="119" xfId="195" applyNumberFormat="1" applyFont="1" applyFill="1" applyBorder="1" applyAlignment="1">
      <alignment horizontal="center" wrapText="1"/>
    </xf>
    <xf numFmtId="0" fontId="94" fillId="41" borderId="122" xfId="195" applyFont="1" applyFill="1" applyBorder="1" applyAlignment="1">
      <alignment horizontal="center" wrapText="1"/>
    </xf>
    <xf numFmtId="0" fontId="94" fillId="41" borderId="123" xfId="195" applyFont="1" applyFill="1" applyBorder="1" applyAlignment="1">
      <alignment horizontal="center" wrapText="1"/>
    </xf>
    <xf numFmtId="0" fontId="94" fillId="41" borderId="124" xfId="195" applyFont="1" applyFill="1" applyBorder="1" applyAlignment="1">
      <alignment horizontal="center" wrapText="1"/>
    </xf>
    <xf numFmtId="0" fontId="94" fillId="41" borderId="125" xfId="195" applyFont="1" applyFill="1" applyBorder="1" applyAlignment="1">
      <alignment horizontal="center" wrapText="1"/>
    </xf>
    <xf numFmtId="0" fontId="94" fillId="41" borderId="126" xfId="195" applyFont="1" applyFill="1" applyBorder="1" applyAlignment="1">
      <alignment horizontal="center" wrapText="1"/>
    </xf>
    <xf numFmtId="0" fontId="94" fillId="41" borderId="127" xfId="195" applyFont="1" applyFill="1" applyBorder="1" applyAlignment="1">
      <alignment horizontal="center" wrapText="1"/>
    </xf>
    <xf numFmtId="0" fontId="100" fillId="41" borderId="123" xfId="195" applyFont="1" applyFill="1" applyBorder="1" applyAlignment="1">
      <alignment horizontal="center" wrapText="1"/>
    </xf>
    <xf numFmtId="175" fontId="100" fillId="41" borderId="125" xfId="195" applyNumberFormat="1" applyFont="1" applyFill="1" applyBorder="1" applyAlignment="1">
      <alignment horizontal="center" wrapText="1"/>
    </xf>
    <xf numFmtId="4" fontId="104" fillId="41" borderId="70" xfId="195" applyNumberFormat="1" applyFont="1" applyFill="1" applyBorder="1" applyAlignment="1">
      <alignment horizontal="center" wrapText="1"/>
    </xf>
    <xf numFmtId="4" fontId="104" fillId="41" borderId="71" xfId="195" applyNumberFormat="1" applyFont="1" applyFill="1" applyBorder="1" applyAlignment="1">
      <alignment horizontal="center" wrapText="1"/>
    </xf>
    <xf numFmtId="0" fontId="38" fillId="41" borderId="76" xfId="0" applyFont="1" applyFill="1" applyBorder="1" applyAlignment="1">
      <alignment horizontal="center" vertical="center"/>
    </xf>
    <xf numFmtId="16" fontId="37" fillId="41" borderId="76" xfId="0" applyNumberFormat="1" applyFont="1" applyFill="1" applyBorder="1" applyAlignment="1">
      <alignment horizontal="center" vertical="center"/>
    </xf>
    <xf numFmtId="0" fontId="37" fillId="41" borderId="97" xfId="0" applyFont="1" applyFill="1" applyBorder="1" applyAlignment="1">
      <alignment horizontal="center" vertical="center"/>
    </xf>
    <xf numFmtId="0" fontId="37" fillId="41" borderId="46" xfId="0" applyFont="1" applyFill="1" applyBorder="1" applyAlignment="1">
      <alignment horizontal="center" vertical="center"/>
    </xf>
    <xf numFmtId="0" fontId="37" fillId="41" borderId="47" xfId="0" applyFont="1" applyFill="1" applyBorder="1" applyAlignment="1">
      <alignment horizontal="center" vertical="center"/>
    </xf>
    <xf numFmtId="3" fontId="37" fillId="41" borderId="44" xfId="0" applyNumberFormat="1" applyFont="1" applyFill="1" applyBorder="1" applyAlignment="1">
      <alignment horizontal="center" vertical="center"/>
    </xf>
    <xf numFmtId="3" fontId="37" fillId="41" borderId="46" xfId="0" applyNumberFormat="1" applyFont="1" applyFill="1" applyBorder="1" applyAlignment="1">
      <alignment horizontal="center" vertical="center"/>
    </xf>
    <xf numFmtId="3" fontId="37" fillId="41" borderId="49" xfId="0" applyNumberFormat="1" applyFont="1" applyFill="1" applyBorder="1" applyAlignment="1">
      <alignment horizontal="center" vertical="center"/>
    </xf>
    <xf numFmtId="3" fontId="75" fillId="41" borderId="47" xfId="196" applyNumberFormat="1" applyFont="1" applyFill="1" applyBorder="1" applyAlignment="1">
      <alignment horizontal="center" vertical="center" wrapText="1"/>
    </xf>
    <xf numFmtId="3" fontId="37" fillId="41" borderId="68" xfId="0" applyNumberFormat="1" applyFont="1" applyFill="1" applyBorder="1" applyAlignment="1">
      <alignment horizontal="center" vertical="center"/>
    </xf>
    <xf numFmtId="3" fontId="90" fillId="41" borderId="64" xfId="0" applyNumberFormat="1" applyFont="1" applyFill="1" applyBorder="1" applyAlignment="1">
      <alignment horizontal="center" vertical="center"/>
    </xf>
    <xf numFmtId="3" fontId="117" fillId="41" borderId="64" xfId="0" applyNumberFormat="1" applyFont="1" applyFill="1" applyBorder="1" applyAlignment="1">
      <alignment horizontal="center" vertical="center"/>
    </xf>
    <xf numFmtId="0" fontId="104" fillId="24" borderId="0" xfId="195" applyFont="1" applyFill="1" applyBorder="1" applyAlignment="1">
      <alignment horizontal="center" wrapText="1"/>
    </xf>
    <xf numFmtId="0" fontId="104" fillId="0" borderId="137" xfId="195" applyFont="1" applyFill="1" applyBorder="1" applyAlignment="1">
      <alignment horizontal="center" wrapText="1"/>
    </xf>
    <xf numFmtId="0" fontId="104" fillId="24" borderId="137" xfId="195" applyFont="1" applyFill="1" applyBorder="1" applyAlignment="1">
      <alignment horizontal="center" wrapText="1"/>
    </xf>
    <xf numFmtId="0" fontId="104" fillId="24" borderId="74" xfId="195" applyFont="1" applyFill="1" applyBorder="1" applyAlignment="1">
      <alignment horizontal="center" wrapText="1"/>
    </xf>
    <xf numFmtId="0" fontId="66" fillId="24" borderId="39" xfId="195" applyFont="1" applyFill="1" applyBorder="1" applyAlignment="1">
      <alignment horizontal="center" vertical="center" wrapText="1"/>
    </xf>
    <xf numFmtId="0" fontId="66" fillId="24" borderId="74" xfId="195" applyFont="1" applyFill="1" applyBorder="1" applyAlignment="1">
      <alignment horizontal="center" vertical="center" wrapText="1"/>
    </xf>
    <xf numFmtId="4" fontId="104" fillId="24" borderId="0" xfId="195" applyNumberFormat="1" applyFont="1" applyFill="1" applyBorder="1" applyAlignment="1">
      <alignment horizontal="center" wrapText="1"/>
    </xf>
    <xf numFmtId="4" fontId="104" fillId="24" borderId="74" xfId="195" applyNumberFormat="1" applyFont="1" applyFill="1" applyBorder="1" applyAlignment="1">
      <alignment horizontal="center" wrapText="1"/>
    </xf>
    <xf numFmtId="0" fontId="104" fillId="0" borderId="76" xfId="195" applyFont="1" applyFill="1" applyBorder="1" applyAlignment="1">
      <alignment horizontal="center" wrapText="1"/>
    </xf>
    <xf numFmtId="0" fontId="66" fillId="0" borderId="54" xfId="195" applyFont="1" applyFill="1" applyBorder="1" applyAlignment="1">
      <alignment horizontal="center" wrapText="1"/>
    </xf>
    <xf numFmtId="0" fontId="66" fillId="0" borderId="53" xfId="195" applyFont="1" applyFill="1" applyBorder="1" applyAlignment="1">
      <alignment horizontal="center" wrapText="1"/>
    </xf>
    <xf numFmtId="0" fontId="66" fillId="0" borderId="52" xfId="195" applyFont="1" applyFill="1" applyBorder="1" applyAlignment="1">
      <alignment horizontal="center" wrapText="1"/>
    </xf>
    <xf numFmtId="0" fontId="66" fillId="0" borderId="27" xfId="195" applyFont="1" applyFill="1" applyBorder="1" applyAlignment="1">
      <alignment horizontal="center" wrapText="1"/>
    </xf>
    <xf numFmtId="0" fontId="66" fillId="0" borderId="22" xfId="195" applyFont="1" applyFill="1" applyBorder="1" applyAlignment="1">
      <alignment horizontal="center" wrapText="1"/>
    </xf>
    <xf numFmtId="4" fontId="104" fillId="24" borderId="21" xfId="195" applyNumberFormat="1" applyFont="1" applyFill="1" applyBorder="1" applyAlignment="1">
      <alignment horizontal="center" wrapText="1"/>
    </xf>
    <xf numFmtId="4" fontId="104" fillId="24" borderId="22" xfId="195" applyNumberFormat="1" applyFont="1" applyFill="1" applyBorder="1" applyAlignment="1">
      <alignment horizontal="center" wrapText="1"/>
    </xf>
    <xf numFmtId="0" fontId="104" fillId="24" borderId="39" xfId="195" applyFont="1" applyFill="1" applyBorder="1" applyAlignment="1">
      <alignment horizontal="center" wrapText="1"/>
    </xf>
    <xf numFmtId="0" fontId="66" fillId="24" borderId="0" xfId="195" applyFont="1" applyFill="1" applyBorder="1" applyAlignment="1">
      <alignment horizontal="center" vertical="center" wrapText="1"/>
    </xf>
    <xf numFmtId="0" fontId="104" fillId="0" borderId="84" xfId="195" applyFont="1" applyFill="1" applyBorder="1" applyAlignment="1">
      <alignment horizontal="center" wrapText="1"/>
    </xf>
    <xf numFmtId="0" fontId="104" fillId="24" borderId="67" xfId="195" applyFont="1" applyFill="1" applyBorder="1" applyAlignment="1">
      <alignment horizontal="center" wrapText="1"/>
    </xf>
    <xf numFmtId="0" fontId="104" fillId="24" borderId="76" xfId="195" applyFont="1" applyFill="1" applyBorder="1" applyAlignment="1">
      <alignment horizontal="center" wrapText="1"/>
    </xf>
    <xf numFmtId="0" fontId="66" fillId="24" borderId="84" xfId="195" applyFont="1" applyFill="1" applyBorder="1" applyAlignment="1">
      <alignment horizontal="center" vertical="center" wrapText="1"/>
    </xf>
    <xf numFmtId="0" fontId="66" fillId="24" borderId="75" xfId="195" applyFont="1" applyFill="1" applyBorder="1" applyAlignment="1">
      <alignment horizontal="center" vertical="center" wrapText="1"/>
    </xf>
    <xf numFmtId="4" fontId="104" fillId="24" borderId="84" xfId="195" applyNumberFormat="1" applyFont="1" applyFill="1" applyBorder="1" applyAlignment="1">
      <alignment horizontal="center" wrapText="1"/>
    </xf>
    <xf numFmtId="4" fontId="104" fillId="24" borderId="75" xfId="195" applyNumberFormat="1" applyFont="1" applyFill="1" applyBorder="1" applyAlignment="1">
      <alignment horizontal="center" wrapText="1"/>
    </xf>
    <xf numFmtId="0" fontId="104" fillId="24" borderId="45" xfId="195" applyFont="1" applyFill="1" applyBorder="1" applyAlignment="1">
      <alignment horizontal="center" wrapText="1"/>
    </xf>
    <xf numFmtId="0" fontId="104" fillId="0" borderId="45" xfId="195" applyFont="1" applyFill="1" applyBorder="1" applyAlignment="1">
      <alignment horizontal="center" wrapText="1"/>
    </xf>
    <xf numFmtId="0" fontId="104" fillId="24" borderId="70" xfId="195" applyFont="1" applyFill="1" applyBorder="1" applyAlignment="1">
      <alignment horizontal="center" wrapText="1"/>
    </xf>
    <xf numFmtId="0" fontId="104" fillId="24" borderId="60" xfId="195" applyFont="1" applyFill="1" applyBorder="1" applyAlignment="1">
      <alignment horizontal="center" wrapText="1"/>
    </xf>
    <xf numFmtId="0" fontId="66" fillId="24" borderId="70" xfId="195" applyFont="1" applyFill="1" applyBorder="1" applyAlignment="1">
      <alignment horizontal="center" vertical="center" wrapText="1"/>
    </xf>
    <xf numFmtId="0" fontId="66" fillId="24" borderId="60" xfId="195" applyFont="1" applyFill="1" applyBorder="1" applyAlignment="1">
      <alignment horizontal="center" vertical="center" wrapText="1"/>
    </xf>
    <xf numFmtId="4" fontId="104" fillId="24" borderId="70" xfId="195" applyNumberFormat="1" applyFont="1" applyFill="1" applyBorder="1" applyAlignment="1">
      <alignment horizontal="center" wrapText="1"/>
    </xf>
    <xf numFmtId="4" fontId="104" fillId="24" borderId="71" xfId="195" applyNumberFormat="1" applyFont="1" applyFill="1" applyBorder="1" applyAlignment="1">
      <alignment horizontal="center" wrapText="1"/>
    </xf>
    <xf numFmtId="0" fontId="104" fillId="41" borderId="137" xfId="195" applyFont="1" applyFill="1" applyBorder="1" applyAlignment="1">
      <alignment horizontal="center" wrapText="1"/>
    </xf>
    <xf numFmtId="0" fontId="66" fillId="41" borderId="39" xfId="195" applyFont="1" applyFill="1" applyBorder="1" applyAlignment="1">
      <alignment horizontal="center" vertical="center" wrapText="1"/>
    </xf>
    <xf numFmtId="0" fontId="66" fillId="41" borderId="0" xfId="195" applyFont="1" applyFill="1" applyBorder="1" applyAlignment="1">
      <alignment horizontal="center" vertical="center" wrapText="1"/>
    </xf>
    <xf numFmtId="4" fontId="104" fillId="41" borderId="0" xfId="195" applyNumberFormat="1" applyFont="1" applyFill="1" applyBorder="1" applyAlignment="1">
      <alignment horizontal="center" wrapText="1"/>
    </xf>
    <xf numFmtId="4" fontId="104" fillId="41" borderId="84" xfId="195" applyNumberFormat="1" applyFont="1" applyFill="1" applyBorder="1" applyAlignment="1">
      <alignment horizontal="center" wrapText="1"/>
    </xf>
    <xf numFmtId="4" fontId="104" fillId="0" borderId="123" xfId="195" applyNumberFormat="1" applyFont="1" applyFill="1" applyBorder="1" applyAlignment="1">
      <alignment horizontal="center" vertical="center" wrapText="1"/>
    </xf>
    <xf numFmtId="4" fontId="104" fillId="0" borderId="21" xfId="195" applyNumberFormat="1" applyFont="1" applyFill="1" applyBorder="1" applyAlignment="1">
      <alignment horizontal="center" wrapText="1"/>
    </xf>
    <xf numFmtId="0" fontId="104" fillId="41" borderId="35" xfId="196" applyFont="1" applyFill="1" applyBorder="1" applyAlignment="1">
      <alignment horizontal="center" vertical="center" wrapText="1"/>
    </xf>
    <xf numFmtId="0" fontId="104" fillId="0" borderId="35" xfId="196" applyFont="1" applyFill="1" applyBorder="1" applyAlignment="1">
      <alignment horizontal="center" vertical="center" wrapText="1"/>
    </xf>
    <xf numFmtId="0" fontId="104" fillId="0" borderId="69" xfId="196" applyFont="1" applyFill="1" applyBorder="1" applyAlignment="1">
      <alignment horizontal="center" vertical="center" wrapText="1"/>
    </xf>
    <xf numFmtId="0" fontId="104" fillId="0" borderId="34" xfId="196" applyFont="1" applyFill="1" applyBorder="1" applyAlignment="1">
      <alignment horizontal="center" vertical="center" wrapText="1"/>
    </xf>
    <xf numFmtId="0" fontId="37" fillId="41" borderId="80" xfId="0" applyFont="1" applyFill="1" applyBorder="1" applyAlignment="1">
      <alignment horizontal="center" vertical="center"/>
    </xf>
    <xf numFmtId="0" fontId="7" fillId="41" borderId="0" xfId="0" applyFont="1" applyFill="1" applyBorder="1" applyAlignment="1">
      <alignment horizontal="center"/>
    </xf>
    <xf numFmtId="0" fontId="0" fillId="41" borderId="0" xfId="0" applyFill="1" applyBorder="1"/>
    <xf numFmtId="171" fontId="51" fillId="24" borderId="10" xfId="0" applyNumberFormat="1" applyFont="1" applyFill="1" applyBorder="1" applyAlignment="1">
      <alignment horizontal="center" vertical="center"/>
    </xf>
    <xf numFmtId="0" fontId="10" fillId="49" borderId="10" xfId="0" applyFont="1" applyFill="1" applyBorder="1" applyAlignment="1">
      <alignment horizontal="center"/>
    </xf>
    <xf numFmtId="0" fontId="10" fillId="47" borderId="10" xfId="0" applyFont="1" applyFill="1" applyBorder="1" applyAlignment="1">
      <alignment horizontal="center"/>
    </xf>
    <xf numFmtId="3" fontId="7" fillId="25" borderId="10" xfId="0" applyNumberFormat="1" applyFont="1" applyFill="1" applyBorder="1" applyAlignment="1">
      <alignment horizontal="center" vertical="center" wrapText="1"/>
    </xf>
    <xf numFmtId="0" fontId="0" fillId="0" borderId="0" xfId="0"/>
    <xf numFmtId="0" fontId="0" fillId="41" borderId="0" xfId="0" applyFill="1"/>
    <xf numFmtId="0" fontId="8" fillId="47" borderId="10" xfId="0" applyFont="1" applyFill="1" applyBorder="1" applyAlignment="1">
      <alignment horizontal="center"/>
    </xf>
    <xf numFmtId="0" fontId="8" fillId="49" borderId="10" xfId="0" applyFont="1" applyFill="1" applyBorder="1" applyAlignment="1">
      <alignment horizontal="center"/>
    </xf>
    <xf numFmtId="0" fontId="8" fillId="44" borderId="10" xfId="0" applyFont="1" applyFill="1" applyBorder="1" applyAlignment="1">
      <alignment horizontal="center"/>
    </xf>
    <xf numFmtId="10" fontId="8" fillId="44" borderId="10" xfId="203" applyNumberFormat="1" applyFont="1" applyFill="1" applyBorder="1" applyAlignment="1">
      <alignment horizontal="center"/>
    </xf>
    <xf numFmtId="10" fontId="8" fillId="44" borderId="10" xfId="204" applyNumberFormat="1" applyFont="1" applyFill="1" applyBorder="1" applyAlignment="1">
      <alignment horizontal="center"/>
    </xf>
    <xf numFmtId="2" fontId="8" fillId="44" borderId="10" xfId="0" applyNumberFormat="1" applyFont="1" applyFill="1" applyBorder="1" applyAlignment="1">
      <alignment horizontal="center"/>
    </xf>
    <xf numFmtId="0" fontId="8" fillId="50" borderId="10" xfId="0" applyFont="1" applyFill="1" applyBorder="1" applyAlignment="1">
      <alignment horizontal="center"/>
    </xf>
    <xf numFmtId="2" fontId="8" fillId="50" borderId="10" xfId="0" applyNumberFormat="1" applyFont="1" applyFill="1" applyBorder="1" applyAlignment="1">
      <alignment horizontal="center"/>
    </xf>
    <xf numFmtId="10" fontId="8" fillId="50" borderId="10" xfId="203" applyNumberFormat="1" applyFont="1" applyFill="1" applyBorder="1" applyAlignment="1">
      <alignment horizontal="center"/>
    </xf>
    <xf numFmtId="10" fontId="8" fillId="50" borderId="10" xfId="204" applyNumberFormat="1" applyFont="1" applyFill="1" applyBorder="1" applyAlignment="1">
      <alignment horizontal="center"/>
    </xf>
    <xf numFmtId="0" fontId="8" fillId="42" borderId="10" xfId="0" applyFont="1" applyFill="1" applyBorder="1" applyAlignment="1">
      <alignment horizontal="center"/>
    </xf>
    <xf numFmtId="2" fontId="8" fillId="42" borderId="10" xfId="0" applyNumberFormat="1" applyFont="1" applyFill="1" applyBorder="1" applyAlignment="1">
      <alignment horizontal="center"/>
    </xf>
    <xf numFmtId="10" fontId="8" fillId="42" borderId="10" xfId="203" applyNumberFormat="1" applyFont="1" applyFill="1" applyBorder="1" applyAlignment="1">
      <alignment horizontal="center"/>
    </xf>
    <xf numFmtId="10" fontId="8" fillId="42" borderId="10" xfId="204" applyNumberFormat="1" applyFont="1" applyFill="1" applyBorder="1" applyAlignment="1">
      <alignment horizontal="center"/>
    </xf>
    <xf numFmtId="0" fontId="0" fillId="0" borderId="0" xfId="0"/>
    <xf numFmtId="175" fontId="26" fillId="41" borderId="10" xfId="0" applyNumberFormat="1" applyFont="1" applyFill="1" applyBorder="1" applyAlignment="1">
      <alignment horizontal="right"/>
    </xf>
    <xf numFmtId="175" fontId="0" fillId="41" borderId="10" xfId="0" applyNumberFormat="1" applyFill="1" applyBorder="1" applyAlignment="1">
      <alignment horizontal="right"/>
    </xf>
    <xf numFmtId="2" fontId="8" fillId="41" borderId="10" xfId="0" applyNumberFormat="1" applyFont="1" applyFill="1" applyBorder="1" applyAlignment="1">
      <alignment horizontal="right"/>
    </xf>
    <xf numFmtId="175" fontId="8" fillId="41" borderId="10" xfId="0" applyNumberFormat="1" applyFont="1" applyFill="1" applyBorder="1"/>
    <xf numFmtId="175" fontId="26" fillId="41" borderId="10" xfId="0" applyNumberFormat="1" applyFont="1" applyFill="1" applyBorder="1"/>
    <xf numFmtId="175" fontId="26" fillId="41" borderId="28" xfId="0" applyNumberFormat="1" applyFont="1" applyFill="1" applyBorder="1"/>
    <xf numFmtId="175" fontId="26" fillId="41" borderId="29" xfId="0" applyNumberFormat="1" applyFont="1" applyFill="1" applyBorder="1"/>
    <xf numFmtId="0" fontId="8" fillId="41" borderId="0" xfId="0" applyFont="1" applyFill="1" applyBorder="1" applyAlignment="1">
      <alignment horizontal="center"/>
    </xf>
    <xf numFmtId="167" fontId="8" fillId="41" borderId="0" xfId="0" applyNumberFormat="1" applyFont="1" applyFill="1" applyBorder="1" applyAlignment="1">
      <alignment horizontal="center"/>
    </xf>
    <xf numFmtId="10" fontId="8" fillId="41" borderId="0" xfId="203" applyNumberFormat="1" applyFont="1" applyFill="1" applyBorder="1" applyAlignment="1">
      <alignment horizontal="center"/>
    </xf>
    <xf numFmtId="10" fontId="8" fillId="41" borderId="0" xfId="204" applyNumberFormat="1" applyFont="1" applyFill="1" applyBorder="1" applyAlignment="1">
      <alignment horizontal="center"/>
    </xf>
    <xf numFmtId="0" fontId="8" fillId="52" borderId="10" xfId="0" applyFont="1" applyFill="1" applyBorder="1" applyAlignment="1">
      <alignment horizontal="center"/>
    </xf>
    <xf numFmtId="2" fontId="8" fillId="52" borderId="10" xfId="0" applyNumberFormat="1" applyFont="1" applyFill="1" applyBorder="1" applyAlignment="1">
      <alignment horizontal="center"/>
    </xf>
    <xf numFmtId="10" fontId="8" fillId="52" borderId="10" xfId="203" applyNumberFormat="1" applyFont="1" applyFill="1" applyBorder="1" applyAlignment="1">
      <alignment horizontal="center"/>
    </xf>
    <xf numFmtId="10" fontId="8" fillId="52" borderId="10" xfId="204" applyNumberFormat="1" applyFont="1" applyFill="1" applyBorder="1" applyAlignment="1">
      <alignment horizontal="center"/>
    </xf>
    <xf numFmtId="0" fontId="0" fillId="41" borderId="0" xfId="0" applyFill="1"/>
    <xf numFmtId="3" fontId="34" fillId="41" borderId="0" xfId="0" applyNumberFormat="1" applyFont="1" applyFill="1"/>
    <xf numFmtId="0" fontId="84" fillId="41" borderId="0" xfId="0" applyFont="1" applyFill="1" applyBorder="1"/>
    <xf numFmtId="0" fontId="34" fillId="41" borderId="0" xfId="0" applyFont="1" applyFill="1" applyBorder="1"/>
    <xf numFmtId="167" fontId="34" fillId="41" borderId="0" xfId="0" applyNumberFormat="1" applyFont="1" applyFill="1" applyBorder="1"/>
    <xf numFmtId="0" fontId="8" fillId="39" borderId="10" xfId="0" applyFont="1" applyFill="1" applyBorder="1" applyAlignment="1">
      <alignment wrapText="1"/>
    </xf>
    <xf numFmtId="3" fontId="8" fillId="41" borderId="0" xfId="0" applyNumberFormat="1" applyFont="1" applyFill="1" applyAlignment="1">
      <alignment horizontal="center" vertical="center"/>
    </xf>
    <xf numFmtId="0" fontId="8" fillId="41" borderId="0" xfId="0" applyFont="1" applyFill="1" applyAlignment="1">
      <alignment horizontal="center"/>
    </xf>
    <xf numFmtId="3" fontId="7" fillId="41" borderId="10" xfId="0" applyNumberFormat="1" applyFont="1" applyFill="1" applyBorder="1" applyAlignment="1">
      <alignment horizontal="center" vertical="center"/>
    </xf>
    <xf numFmtId="3" fontId="7" fillId="41" borderId="13" xfId="0" applyNumberFormat="1" applyFont="1" applyFill="1" applyBorder="1" applyAlignment="1">
      <alignment horizontal="center" vertical="center"/>
    </xf>
    <xf numFmtId="3" fontId="8" fillId="41" borderId="10" xfId="0" applyNumberFormat="1" applyFont="1" applyFill="1" applyBorder="1" applyAlignment="1">
      <alignment horizontal="center" vertical="center"/>
    </xf>
    <xf numFmtId="3" fontId="83" fillId="41" borderId="10" xfId="0" applyNumberFormat="1" applyFont="1" applyFill="1" applyBorder="1" applyAlignment="1">
      <alignment horizontal="center" vertical="center"/>
    </xf>
    <xf numFmtId="9" fontId="105" fillId="41" borderId="10" xfId="203" applyFont="1" applyFill="1" applyBorder="1" applyAlignment="1">
      <alignment horizontal="center"/>
    </xf>
    <xf numFmtId="2" fontId="8" fillId="41" borderId="10" xfId="0" applyNumberFormat="1" applyFont="1" applyFill="1" applyBorder="1" applyAlignment="1">
      <alignment horizontal="center" vertical="center"/>
    </xf>
    <xf numFmtId="16" fontId="12" fillId="41" borderId="10" xfId="0" applyNumberFormat="1" applyFont="1" applyFill="1" applyBorder="1" applyAlignment="1">
      <alignment horizontal="center"/>
    </xf>
    <xf numFmtId="167" fontId="46" fillId="41" borderId="10" xfId="0" applyNumberFormat="1" applyFont="1" applyFill="1" applyBorder="1" applyAlignment="1">
      <alignment horizontal="center"/>
    </xf>
    <xf numFmtId="181" fontId="12" fillId="41" borderId="10" xfId="0" applyNumberFormat="1" applyFont="1" applyFill="1" applyBorder="1" applyAlignment="1">
      <alignment horizontal="center"/>
    </xf>
    <xf numFmtId="0" fontId="46" fillId="41" borderId="10" xfId="0" applyFont="1" applyFill="1" applyBorder="1" applyAlignment="1">
      <alignment horizontal="center" wrapText="1"/>
    </xf>
    <xf numFmtId="4" fontId="7" fillId="41" borderId="10" xfId="0" applyNumberFormat="1" applyFont="1" applyFill="1" applyBorder="1" applyAlignment="1">
      <alignment horizontal="center"/>
    </xf>
    <xf numFmtId="0" fontId="46" fillId="41" borderId="0" xfId="0" applyFont="1" applyFill="1" applyBorder="1" applyAlignment="1">
      <alignment horizontal="center" wrapText="1"/>
    </xf>
    <xf numFmtId="3" fontId="7" fillId="41" borderId="0" xfId="0" applyNumberFormat="1" applyFont="1" applyFill="1" applyBorder="1" applyAlignment="1">
      <alignment horizontal="center" vertical="center"/>
    </xf>
    <xf numFmtId="4" fontId="7" fillId="41" borderId="0" xfId="0" applyNumberFormat="1" applyFont="1" applyFill="1" applyBorder="1" applyAlignment="1">
      <alignment horizontal="center"/>
    </xf>
    <xf numFmtId="167" fontId="46" fillId="41" borderId="0" xfId="0" applyNumberFormat="1" applyFont="1" applyFill="1" applyBorder="1" applyAlignment="1">
      <alignment horizontal="center"/>
    </xf>
    <xf numFmtId="4" fontId="8" fillId="41" borderId="10" xfId="0" applyNumberFormat="1" applyFont="1" applyFill="1" applyBorder="1" applyAlignment="1">
      <alignment horizontal="center" vertical="center"/>
    </xf>
    <xf numFmtId="3" fontId="129" fillId="41" borderId="10" xfId="0" applyNumberFormat="1" applyFont="1" applyFill="1" applyBorder="1" applyAlignment="1">
      <alignment horizontal="center" vertical="center"/>
    </xf>
    <xf numFmtId="16" fontId="8" fillId="41" borderId="10" xfId="0" applyNumberFormat="1" applyFont="1" applyFill="1" applyBorder="1" applyAlignment="1">
      <alignment horizontal="center"/>
    </xf>
    <xf numFmtId="3" fontId="46" fillId="41" borderId="10" xfId="0" applyNumberFormat="1" applyFont="1" applyFill="1" applyBorder="1" applyAlignment="1">
      <alignment horizontal="center" vertical="center"/>
    </xf>
    <xf numFmtId="166" fontId="8" fillId="41" borderId="10" xfId="0" applyNumberFormat="1" applyFont="1" applyFill="1" applyBorder="1" applyAlignment="1">
      <alignment horizontal="center"/>
    </xf>
    <xf numFmtId="166" fontId="8" fillId="41" borderId="10" xfId="0" applyNumberFormat="1" applyFont="1" applyFill="1" applyBorder="1" applyAlignment="1">
      <alignment horizontal="center" vertical="center"/>
    </xf>
    <xf numFmtId="180" fontId="12" fillId="41" borderId="10" xfId="0" applyNumberFormat="1" applyFont="1" applyFill="1" applyBorder="1" applyAlignment="1">
      <alignment horizontal="center"/>
    </xf>
    <xf numFmtId="0" fontId="7" fillId="41" borderId="0" xfId="0" applyFont="1" applyFill="1" applyBorder="1" applyAlignment="1">
      <alignment horizontal="center" wrapText="1"/>
    </xf>
    <xf numFmtId="0" fontId="8" fillId="41" borderId="0" xfId="0" applyFont="1" applyFill="1" applyAlignment="1">
      <alignment horizontal="right"/>
    </xf>
    <xf numFmtId="3" fontId="8" fillId="41" borderId="0" xfId="0" applyNumberFormat="1" applyFont="1" applyFill="1" applyBorder="1" applyAlignment="1">
      <alignment horizontal="center" vertical="center"/>
    </xf>
    <xf numFmtId="4" fontId="8" fillId="41" borderId="0" xfId="0" applyNumberFormat="1" applyFont="1" applyFill="1" applyBorder="1" applyAlignment="1">
      <alignment horizontal="center"/>
    </xf>
    <xf numFmtId="174" fontId="8" fillId="41" borderId="10" xfId="0" applyNumberFormat="1" applyFont="1" applyFill="1" applyBorder="1" applyAlignment="1">
      <alignment horizontal="center"/>
    </xf>
    <xf numFmtId="180" fontId="12" fillId="41" borderId="10" xfId="203" applyNumberFormat="1" applyFont="1" applyFill="1" applyBorder="1" applyAlignment="1">
      <alignment horizontal="center"/>
    </xf>
    <xf numFmtId="4" fontId="7" fillId="41" borderId="10" xfId="0" applyNumberFormat="1" applyFont="1" applyFill="1" applyBorder="1" applyAlignment="1">
      <alignment horizontal="center" vertical="center"/>
    </xf>
    <xf numFmtId="166" fontId="7" fillId="41" borderId="10" xfId="0" applyNumberFormat="1" applyFont="1" applyFill="1" applyBorder="1" applyAlignment="1">
      <alignment horizontal="center"/>
    </xf>
    <xf numFmtId="0" fontId="8" fillId="41" borderId="0" xfId="0" applyFont="1" applyFill="1" applyBorder="1" applyAlignment="1">
      <alignment horizontal="center" wrapText="1"/>
    </xf>
    <xf numFmtId="175" fontId="8" fillId="41" borderId="10" xfId="0" applyNumberFormat="1" applyFont="1" applyFill="1" applyBorder="1" applyAlignment="1">
      <alignment horizontal="center" vertical="center"/>
    </xf>
    <xf numFmtId="175" fontId="83" fillId="41" borderId="10" xfId="0" applyNumberFormat="1" applyFont="1" applyFill="1" applyBorder="1" applyAlignment="1">
      <alignment horizontal="center" vertical="center"/>
    </xf>
    <xf numFmtId="175" fontId="8" fillId="41" borderId="10" xfId="0" applyNumberFormat="1" applyFont="1" applyFill="1" applyBorder="1" applyAlignment="1">
      <alignment horizontal="center"/>
    </xf>
    <xf numFmtId="9" fontId="8" fillId="41" borderId="0" xfId="203" applyFont="1" applyFill="1" applyBorder="1" applyAlignment="1">
      <alignment horizontal="center"/>
    </xf>
    <xf numFmtId="175" fontId="0" fillId="41" borderId="0" xfId="0" applyNumberFormat="1" applyFill="1"/>
    <xf numFmtId="175" fontId="51" fillId="41" borderId="10" xfId="0" applyNumberFormat="1" applyFont="1" applyFill="1" applyBorder="1" applyAlignment="1">
      <alignment horizontal="center"/>
    </xf>
    <xf numFmtId="0" fontId="8" fillId="41" borderId="20" xfId="0" applyFont="1" applyFill="1" applyBorder="1" applyAlignment="1">
      <alignment wrapText="1"/>
    </xf>
    <xf numFmtId="0" fontId="8" fillId="41" borderId="10" xfId="0" applyFont="1" applyFill="1" applyBorder="1"/>
    <xf numFmtId="0" fontId="83" fillId="41" borderId="10" xfId="0" applyFont="1" applyFill="1" applyBorder="1" applyAlignment="1">
      <alignment horizontal="center"/>
    </xf>
    <xf numFmtId="2" fontId="51" fillId="41" borderId="10" xfId="0" applyNumberFormat="1" applyFont="1" applyFill="1" applyBorder="1" applyAlignment="1">
      <alignment horizontal="center" vertical="center"/>
    </xf>
    <xf numFmtId="0" fontId="0" fillId="41" borderId="0" xfId="0" applyFill="1"/>
    <xf numFmtId="0" fontId="5" fillId="0" borderId="10" xfId="0" applyFont="1" applyFill="1" applyBorder="1"/>
    <xf numFmtId="2" fontId="57" fillId="41" borderId="10" xfId="0" applyNumberFormat="1" applyFont="1" applyFill="1" applyBorder="1" applyAlignment="1">
      <alignment horizontal="center"/>
    </xf>
    <xf numFmtId="2" fontId="57" fillId="41" borderId="56" xfId="0" applyNumberFormat="1" applyFont="1" applyFill="1" applyBorder="1" applyAlignment="1">
      <alignment horizontal="center"/>
    </xf>
    <xf numFmtId="2" fontId="57" fillId="41" borderId="29" xfId="0" applyNumberFormat="1" applyFont="1" applyFill="1" applyBorder="1" applyAlignment="1">
      <alignment horizontal="center"/>
    </xf>
    <xf numFmtId="2" fontId="57" fillId="41" borderId="51" xfId="0" applyNumberFormat="1" applyFont="1" applyFill="1" applyBorder="1" applyAlignment="1">
      <alignment horizontal="center"/>
    </xf>
    <xf numFmtId="2" fontId="57" fillId="41" borderId="28" xfId="0" applyNumberFormat="1" applyFont="1" applyFill="1" applyBorder="1" applyAlignment="1">
      <alignment horizontal="center"/>
    </xf>
    <xf numFmtId="4" fontId="0" fillId="41" borderId="0" xfId="0" applyNumberFormat="1" applyFill="1"/>
    <xf numFmtId="0" fontId="8" fillId="53" borderId="10" xfId="0" applyFont="1" applyFill="1" applyBorder="1" applyAlignment="1">
      <alignment horizontal="center"/>
    </xf>
    <xf numFmtId="167" fontId="8" fillId="53" borderId="10" xfId="0" applyNumberFormat="1" applyFont="1" applyFill="1" applyBorder="1" applyAlignment="1">
      <alignment horizontal="center"/>
    </xf>
    <xf numFmtId="10" fontId="8" fillId="53" borderId="10" xfId="203" applyNumberFormat="1" applyFont="1" applyFill="1" applyBorder="1" applyAlignment="1">
      <alignment horizontal="center"/>
    </xf>
    <xf numFmtId="10" fontId="8" fillId="53" borderId="10" xfId="204" applyNumberFormat="1" applyFont="1" applyFill="1" applyBorder="1" applyAlignment="1">
      <alignment horizontal="center"/>
    </xf>
    <xf numFmtId="2" fontId="8" fillId="53" borderId="10" xfId="0" applyNumberFormat="1" applyFont="1" applyFill="1" applyBorder="1" applyAlignment="1">
      <alignment horizontal="center"/>
    </xf>
    <xf numFmtId="0" fontId="8" fillId="54" borderId="10" xfId="0" applyFont="1" applyFill="1" applyBorder="1" applyAlignment="1">
      <alignment horizontal="center"/>
    </xf>
    <xf numFmtId="167" fontId="8" fillId="54" borderId="10" xfId="0" applyNumberFormat="1" applyFont="1" applyFill="1" applyBorder="1" applyAlignment="1">
      <alignment horizontal="center"/>
    </xf>
    <xf numFmtId="10" fontId="8" fillId="54" borderId="10" xfId="203" applyNumberFormat="1" applyFont="1" applyFill="1" applyBorder="1" applyAlignment="1">
      <alignment horizontal="center"/>
    </xf>
    <xf numFmtId="10" fontId="8" fillId="54" borderId="10" xfId="204" applyNumberFormat="1" applyFont="1" applyFill="1" applyBorder="1" applyAlignment="1">
      <alignment horizontal="center"/>
    </xf>
    <xf numFmtId="2" fontId="8" fillId="54" borderId="10" xfId="0" applyNumberFormat="1" applyFont="1" applyFill="1" applyBorder="1" applyAlignment="1">
      <alignment horizontal="center"/>
    </xf>
    <xf numFmtId="0" fontId="8" fillId="51" borderId="10" xfId="0" applyFont="1" applyFill="1" applyBorder="1" applyAlignment="1">
      <alignment horizontal="center"/>
    </xf>
    <xf numFmtId="2" fontId="8" fillId="51" borderId="10" xfId="0" applyNumberFormat="1" applyFont="1" applyFill="1" applyBorder="1" applyAlignment="1">
      <alignment horizontal="center"/>
    </xf>
    <xf numFmtId="10" fontId="8" fillId="51" borderId="10" xfId="203" applyNumberFormat="1" applyFont="1" applyFill="1" applyBorder="1" applyAlignment="1">
      <alignment horizontal="center"/>
    </xf>
    <xf numFmtId="10" fontId="8" fillId="51" borderId="10" xfId="204" applyNumberFormat="1" applyFont="1" applyFill="1" applyBorder="1" applyAlignment="1">
      <alignment horizontal="center"/>
    </xf>
    <xf numFmtId="0" fontId="8" fillId="55" borderId="10" xfId="0" applyFont="1" applyFill="1" applyBorder="1" applyAlignment="1">
      <alignment horizontal="center"/>
    </xf>
    <xf numFmtId="2" fontId="8" fillId="55" borderId="10" xfId="0" applyNumberFormat="1" applyFont="1" applyFill="1" applyBorder="1" applyAlignment="1">
      <alignment horizontal="center"/>
    </xf>
    <xf numFmtId="10" fontId="8" fillId="55" borderId="10" xfId="203" applyNumberFormat="1" applyFont="1" applyFill="1" applyBorder="1" applyAlignment="1">
      <alignment horizontal="center"/>
    </xf>
    <xf numFmtId="10" fontId="8" fillId="55" borderId="10" xfId="204" applyNumberFormat="1" applyFont="1" applyFill="1" applyBorder="1" applyAlignment="1">
      <alignment horizontal="center"/>
    </xf>
    <xf numFmtId="0" fontId="8" fillId="44" borderId="33" xfId="0" applyFont="1" applyFill="1" applyBorder="1" applyAlignment="1">
      <alignment horizontal="center"/>
    </xf>
    <xf numFmtId="172" fontId="8" fillId="44" borderId="33" xfId="0" applyNumberFormat="1" applyFont="1" applyFill="1" applyBorder="1" applyAlignment="1">
      <alignment horizontal="center"/>
    </xf>
    <xf numFmtId="168" fontId="8" fillId="44" borderId="33" xfId="203" applyNumberFormat="1" applyFont="1" applyFill="1" applyBorder="1" applyAlignment="1">
      <alignment horizontal="center"/>
    </xf>
    <xf numFmtId="168" fontId="8" fillId="44" borderId="34" xfId="203" applyNumberFormat="1" applyFont="1" applyFill="1" applyBorder="1" applyAlignment="1">
      <alignment horizontal="center"/>
    </xf>
    <xf numFmtId="172" fontId="8" fillId="51" borderId="10" xfId="0" applyNumberFormat="1" applyFont="1" applyFill="1" applyBorder="1" applyAlignment="1">
      <alignment horizontal="center"/>
    </xf>
    <xf numFmtId="168" fontId="8" fillId="51" borderId="10" xfId="203" applyNumberFormat="1" applyFont="1" applyFill="1" applyBorder="1" applyAlignment="1">
      <alignment horizontal="center"/>
    </xf>
    <xf numFmtId="168" fontId="8" fillId="51" borderId="35" xfId="203" applyNumberFormat="1" applyFont="1" applyFill="1" applyBorder="1" applyAlignment="1">
      <alignment horizontal="center"/>
    </xf>
    <xf numFmtId="0" fontId="8" fillId="53" borderId="33" xfId="0" applyFont="1" applyFill="1" applyBorder="1" applyAlignment="1">
      <alignment horizontal="center"/>
    </xf>
    <xf numFmtId="172" fontId="8" fillId="53" borderId="33" xfId="0" applyNumberFormat="1" applyFont="1" applyFill="1" applyBorder="1" applyAlignment="1">
      <alignment horizontal="center"/>
    </xf>
    <xf numFmtId="168" fontId="8" fillId="53" borderId="33" xfId="203" applyNumberFormat="1" applyFont="1" applyFill="1" applyBorder="1" applyAlignment="1">
      <alignment horizontal="center"/>
    </xf>
    <xf numFmtId="168" fontId="8" fillId="53" borderId="34" xfId="203" applyNumberFormat="1" applyFont="1" applyFill="1" applyBorder="1" applyAlignment="1">
      <alignment horizontal="center"/>
    </xf>
    <xf numFmtId="0" fontId="8" fillId="54" borderId="38" xfId="0" applyFont="1" applyFill="1" applyBorder="1" applyAlignment="1">
      <alignment horizontal="center"/>
    </xf>
    <xf numFmtId="172" fontId="8" fillId="54" borderId="0" xfId="0" applyNumberFormat="1" applyFont="1" applyFill="1" applyBorder="1" applyAlignment="1">
      <alignment horizontal="center"/>
    </xf>
    <xf numFmtId="168" fontId="8" fillId="54" borderId="0" xfId="203" applyNumberFormat="1" applyFont="1" applyFill="1" applyBorder="1" applyAlignment="1">
      <alignment horizontal="center"/>
    </xf>
    <xf numFmtId="168" fontId="8" fillId="54" borderId="156" xfId="203" applyNumberFormat="1" applyFont="1" applyFill="1" applyBorder="1" applyAlignment="1">
      <alignment horizontal="center"/>
    </xf>
    <xf numFmtId="168" fontId="8" fillId="54" borderId="74" xfId="203" applyNumberFormat="1" applyFont="1" applyFill="1" applyBorder="1" applyAlignment="1">
      <alignment horizontal="center"/>
    </xf>
    <xf numFmtId="0" fontId="8" fillId="55" borderId="33" xfId="0" applyFont="1" applyFill="1" applyBorder="1" applyAlignment="1">
      <alignment horizontal="center"/>
    </xf>
    <xf numFmtId="172" fontId="8" fillId="55" borderId="33" xfId="0" applyNumberFormat="1" applyFont="1" applyFill="1" applyBorder="1" applyAlignment="1">
      <alignment horizontal="center"/>
    </xf>
    <xf numFmtId="168" fontId="8" fillId="55" borderId="33" xfId="203" applyNumberFormat="1" applyFont="1" applyFill="1" applyBorder="1" applyAlignment="1">
      <alignment horizontal="center"/>
    </xf>
    <xf numFmtId="168" fontId="8" fillId="55" borderId="34" xfId="203" applyNumberFormat="1" applyFont="1" applyFill="1" applyBorder="1" applyAlignment="1">
      <alignment horizontal="center"/>
    </xf>
    <xf numFmtId="0" fontId="8" fillId="50" borderId="38" xfId="0" applyFont="1" applyFill="1" applyBorder="1" applyAlignment="1">
      <alignment horizontal="center"/>
    </xf>
    <xf numFmtId="172" fontId="8" fillId="50" borderId="0" xfId="0" applyNumberFormat="1" applyFont="1" applyFill="1" applyBorder="1" applyAlignment="1">
      <alignment horizontal="center"/>
    </xf>
    <xf numFmtId="168" fontId="8" fillId="50" borderId="0" xfId="203" applyNumberFormat="1" applyFont="1" applyFill="1" applyBorder="1" applyAlignment="1">
      <alignment horizontal="center"/>
    </xf>
    <xf numFmtId="168" fontId="8" fillId="50" borderId="156" xfId="203" applyNumberFormat="1" applyFont="1" applyFill="1" applyBorder="1" applyAlignment="1">
      <alignment horizontal="center"/>
    </xf>
    <xf numFmtId="168" fontId="8" fillId="50" borderId="74" xfId="203" applyNumberFormat="1" applyFont="1" applyFill="1" applyBorder="1" applyAlignment="1">
      <alignment horizontal="center"/>
    </xf>
    <xf numFmtId="0" fontId="8" fillId="42" borderId="33" xfId="0" applyFont="1" applyFill="1" applyBorder="1" applyAlignment="1">
      <alignment horizontal="center"/>
    </xf>
    <xf numFmtId="172" fontId="8" fillId="42" borderId="33" xfId="0" applyNumberFormat="1" applyFont="1" applyFill="1" applyBorder="1" applyAlignment="1">
      <alignment horizontal="center"/>
    </xf>
    <xf numFmtId="168" fontId="8" fillId="42" borderId="33" xfId="203" applyNumberFormat="1" applyFont="1" applyFill="1" applyBorder="1" applyAlignment="1">
      <alignment horizontal="center"/>
    </xf>
    <xf numFmtId="168" fontId="8" fillId="42" borderId="34" xfId="203" applyNumberFormat="1" applyFont="1" applyFill="1" applyBorder="1" applyAlignment="1">
      <alignment horizontal="center"/>
    </xf>
    <xf numFmtId="0" fontId="8" fillId="42" borderId="168" xfId="0" applyFont="1" applyFill="1" applyBorder="1" applyAlignment="1">
      <alignment horizontal="center"/>
    </xf>
    <xf numFmtId="0" fontId="99" fillId="42" borderId="169" xfId="0" applyFont="1" applyFill="1" applyBorder="1" applyAlignment="1">
      <alignment horizontal="center"/>
    </xf>
    <xf numFmtId="0" fontId="82" fillId="42" borderId="169" xfId="0" applyFont="1" applyFill="1" applyBorder="1" applyAlignment="1">
      <alignment horizontal="center"/>
    </xf>
    <xf numFmtId="168" fontId="99" fillId="42" borderId="169" xfId="0" applyNumberFormat="1" applyFont="1" applyFill="1" applyBorder="1" applyAlignment="1">
      <alignment horizontal="center"/>
    </xf>
    <xf numFmtId="0" fontId="0" fillId="42" borderId="170" xfId="0" applyFill="1" applyBorder="1" applyAlignment="1">
      <alignment horizontal="center"/>
    </xf>
    <xf numFmtId="0" fontId="0" fillId="42" borderId="171" xfId="0" applyFill="1" applyBorder="1" applyAlignment="1">
      <alignment horizontal="center"/>
    </xf>
    <xf numFmtId="0" fontId="8" fillId="52" borderId="33" xfId="0" applyFont="1" applyFill="1" applyBorder="1" applyAlignment="1">
      <alignment horizontal="center"/>
    </xf>
    <xf numFmtId="172" fontId="8" fillId="52" borderId="33" xfId="0" applyNumberFormat="1" applyFont="1" applyFill="1" applyBorder="1" applyAlignment="1">
      <alignment horizontal="center"/>
    </xf>
    <xf numFmtId="168" fontId="8" fillId="52" borderId="33" xfId="203" applyNumberFormat="1" applyFont="1" applyFill="1" applyBorder="1" applyAlignment="1">
      <alignment horizontal="center"/>
    </xf>
    <xf numFmtId="168" fontId="8" fillId="52" borderId="34" xfId="203" applyNumberFormat="1" applyFont="1" applyFill="1" applyBorder="1" applyAlignment="1">
      <alignment horizontal="center"/>
    </xf>
    <xf numFmtId="0" fontId="8" fillId="52" borderId="172" xfId="0" applyFont="1" applyFill="1" applyBorder="1" applyAlignment="1">
      <alignment horizontal="center"/>
    </xf>
    <xf numFmtId="0" fontId="99" fillId="52" borderId="173" xfId="0" applyFont="1" applyFill="1" applyBorder="1" applyAlignment="1">
      <alignment horizontal="center"/>
    </xf>
    <xf numFmtId="0" fontId="82" fillId="52" borderId="173" xfId="0" applyFont="1" applyFill="1" applyBorder="1" applyAlignment="1">
      <alignment horizontal="center"/>
    </xf>
    <xf numFmtId="168" fontId="99" fillId="52" borderId="173" xfId="0" applyNumberFormat="1" applyFont="1" applyFill="1" applyBorder="1" applyAlignment="1">
      <alignment horizontal="center"/>
    </xf>
    <xf numFmtId="0" fontId="0" fillId="52" borderId="174" xfId="0" applyFill="1" applyBorder="1" applyAlignment="1">
      <alignment horizontal="center"/>
    </xf>
    <xf numFmtId="0" fontId="0" fillId="52" borderId="175" xfId="0" applyFill="1" applyBorder="1" applyAlignment="1">
      <alignment horizontal="center"/>
    </xf>
    <xf numFmtId="0" fontId="5" fillId="52" borderId="40" xfId="0" applyFont="1" applyFill="1" applyBorder="1" applyAlignment="1">
      <alignment vertical="center" wrapText="1"/>
    </xf>
    <xf numFmtId="0" fontId="0" fillId="52" borderId="67" xfId="0" applyFill="1" applyBorder="1"/>
    <xf numFmtId="0" fontId="8" fillId="42" borderId="40" xfId="0" applyFont="1" applyFill="1" applyBorder="1" applyAlignment="1">
      <alignment vertical="center" wrapText="1"/>
    </xf>
    <xf numFmtId="0" fontId="0" fillId="42" borderId="39" xfId="0" applyFill="1" applyBorder="1"/>
    <xf numFmtId="0" fontId="8" fillId="50" borderId="40" xfId="0" applyFont="1" applyFill="1" applyBorder="1" applyAlignment="1">
      <alignment vertical="center" wrapText="1"/>
    </xf>
    <xf numFmtId="0" fontId="8" fillId="50" borderId="140" xfId="0" applyFont="1" applyFill="1" applyBorder="1" applyAlignment="1">
      <alignment vertical="center" wrapText="1"/>
    </xf>
    <xf numFmtId="0" fontId="8" fillId="54" borderId="40" xfId="0" applyFont="1" applyFill="1" applyBorder="1" applyAlignment="1">
      <alignment vertical="center"/>
    </xf>
    <xf numFmtId="0" fontId="8" fillId="54" borderId="140" xfId="0" applyFont="1" applyFill="1" applyBorder="1" applyAlignment="1">
      <alignment vertical="center"/>
    </xf>
    <xf numFmtId="0" fontId="8" fillId="51" borderId="40" xfId="0" applyFont="1" applyFill="1" applyBorder="1" applyAlignment="1">
      <alignment vertical="center"/>
    </xf>
    <xf numFmtId="0" fontId="8" fillId="51" borderId="140" xfId="0" applyFont="1" applyFill="1" applyBorder="1" applyAlignment="1">
      <alignment vertical="center"/>
    </xf>
    <xf numFmtId="172" fontId="0" fillId="0" borderId="0" xfId="0" applyNumberFormat="1"/>
    <xf numFmtId="167" fontId="8" fillId="54" borderId="0" xfId="0" applyNumberFormat="1" applyFont="1" applyFill="1" applyBorder="1" applyAlignment="1">
      <alignment horizontal="center"/>
    </xf>
    <xf numFmtId="0" fontId="0" fillId="41" borderId="0" xfId="0" applyFill="1"/>
    <xf numFmtId="181" fontId="8" fillId="41" borderId="0" xfId="0" applyNumberFormat="1" applyFont="1" applyFill="1" applyAlignment="1">
      <alignment horizontal="center"/>
    </xf>
    <xf numFmtId="9" fontId="51" fillId="41" borderId="10" xfId="203" applyFont="1" applyFill="1" applyBorder="1" applyAlignment="1">
      <alignment horizontal="center"/>
    </xf>
    <xf numFmtId="0" fontId="46" fillId="41" borderId="0" xfId="0" applyFont="1" applyFill="1"/>
    <xf numFmtId="0" fontId="7" fillId="48" borderId="10" xfId="0" applyFont="1" applyFill="1" applyBorder="1" applyAlignment="1">
      <alignment horizontal="center"/>
    </xf>
    <xf numFmtId="3" fontId="7" fillId="48" borderId="10" xfId="0" applyNumberFormat="1" applyFont="1" applyFill="1" applyBorder="1" applyAlignment="1">
      <alignment horizontal="center" vertical="center"/>
    </xf>
    <xf numFmtId="181" fontId="7" fillId="48" borderId="10" xfId="0" applyNumberFormat="1" applyFont="1" applyFill="1" applyBorder="1" applyAlignment="1">
      <alignment horizontal="center" vertical="center"/>
    </xf>
    <xf numFmtId="181" fontId="7" fillId="48" borderId="13" xfId="0" applyNumberFormat="1" applyFont="1" applyFill="1" applyBorder="1" applyAlignment="1">
      <alignment horizontal="center" vertical="center"/>
    </xf>
    <xf numFmtId="0" fontId="8" fillId="41" borderId="10" xfId="0" applyFont="1" applyFill="1" applyBorder="1" applyAlignment="1">
      <alignment horizontal="center" vertical="center" wrapText="1"/>
    </xf>
    <xf numFmtId="167" fontId="8" fillId="41" borderId="10" xfId="0" applyNumberFormat="1" applyFont="1" applyFill="1" applyBorder="1" applyAlignment="1">
      <alignment horizontal="center" vertical="center"/>
    </xf>
    <xf numFmtId="167" fontId="7" fillId="41" borderId="10" xfId="0" applyNumberFormat="1" applyFont="1" applyFill="1" applyBorder="1" applyAlignment="1">
      <alignment horizontal="center"/>
    </xf>
    <xf numFmtId="167" fontId="7" fillId="48" borderId="10" xfId="0" applyNumberFormat="1" applyFont="1" applyFill="1" applyBorder="1" applyAlignment="1">
      <alignment horizontal="center"/>
    </xf>
    <xf numFmtId="0" fontId="7" fillId="41" borderId="0" xfId="0" applyFont="1" applyFill="1" applyBorder="1" applyAlignment="1">
      <alignment horizontal="center"/>
    </xf>
    <xf numFmtId="0" fontId="0" fillId="0" borderId="0" xfId="0"/>
    <xf numFmtId="0" fontId="0" fillId="41" borderId="0" xfId="0" applyFill="1"/>
    <xf numFmtId="2" fontId="7" fillId="41" borderId="0" xfId="0" applyNumberFormat="1" applyFont="1" applyFill="1" applyBorder="1" applyAlignment="1">
      <alignment horizontal="center"/>
    </xf>
    <xf numFmtId="175" fontId="7" fillId="41" borderId="0" xfId="0" applyNumberFormat="1" applyFont="1" applyFill="1" applyBorder="1" applyAlignment="1">
      <alignment horizontal="center"/>
    </xf>
    <xf numFmtId="2" fontId="8" fillId="41" borderId="0" xfId="0" applyNumberFormat="1" applyFont="1" applyFill="1" applyBorder="1"/>
    <xf numFmtId="175" fontId="7" fillId="0" borderId="10" xfId="0" applyNumberFormat="1" applyFont="1" applyFill="1" applyBorder="1" applyAlignment="1">
      <alignment horizontal="center" vertical="center"/>
    </xf>
    <xf numFmtId="175" fontId="53" fillId="0" borderId="10" xfId="0" applyNumberFormat="1" applyFont="1" applyFill="1" applyBorder="1" applyAlignment="1">
      <alignment horizontal="center" vertical="center"/>
    </xf>
    <xf numFmtId="175" fontId="10" fillId="0" borderId="0" xfId="0" applyNumberFormat="1" applyFont="1" applyFill="1" applyBorder="1" applyAlignment="1">
      <alignment horizontal="center" vertical="center"/>
    </xf>
    <xf numFmtId="175" fontId="13" fillId="25" borderId="10" xfId="0" applyNumberFormat="1" applyFont="1" applyFill="1" applyBorder="1" applyAlignment="1">
      <alignment horizontal="center" vertical="center"/>
    </xf>
    <xf numFmtId="171" fontId="7" fillId="41" borderId="0" xfId="0" applyNumberFormat="1" applyFont="1" applyFill="1" applyBorder="1" applyAlignment="1">
      <alignment horizontal="center"/>
    </xf>
    <xf numFmtId="4" fontId="8" fillId="41" borderId="0" xfId="0" applyNumberFormat="1" applyFont="1" applyFill="1" applyAlignment="1">
      <alignment horizontal="center"/>
    </xf>
    <xf numFmtId="178" fontId="8" fillId="41" borderId="10" xfId="0" applyNumberFormat="1" applyFont="1" applyFill="1" applyBorder="1" applyAlignment="1">
      <alignment horizontal="center"/>
    </xf>
    <xf numFmtId="175" fontId="37" fillId="46" borderId="28" xfId="196" applyNumberFormat="1" applyFont="1" applyFill="1" applyBorder="1" applyAlignment="1"/>
    <xf numFmtId="4" fontId="10" fillId="41" borderId="10" xfId="0" applyNumberFormat="1" applyFont="1" applyFill="1" applyBorder="1" applyAlignment="1">
      <alignment horizontal="center"/>
    </xf>
    <xf numFmtId="0" fontId="5" fillId="39" borderId="0" xfId="0" applyFont="1" applyFill="1"/>
    <xf numFmtId="0" fontId="7" fillId="41" borderId="0" xfId="0" applyFont="1" applyFill="1" applyBorder="1" applyAlignment="1">
      <alignment horizontal="center"/>
    </xf>
    <xf numFmtId="0" fontId="0" fillId="0" borderId="0" xfId="0"/>
    <xf numFmtId="3" fontId="10" fillId="41" borderId="0" xfId="0" applyNumberFormat="1" applyFont="1" applyFill="1" applyBorder="1" applyAlignment="1">
      <alignment horizontal="center" vertical="center"/>
    </xf>
    <xf numFmtId="4" fontId="10" fillId="41" borderId="0" xfId="0" applyNumberFormat="1" applyFont="1" applyFill="1" applyBorder="1" applyAlignment="1">
      <alignment horizontal="center"/>
    </xf>
    <xf numFmtId="0" fontId="10" fillId="41" borderId="0" xfId="0" applyFont="1" applyFill="1" applyAlignment="1">
      <alignment horizontal="center"/>
    </xf>
    <xf numFmtId="0" fontId="10" fillId="41" borderId="0" xfId="0" applyFont="1" applyFill="1" applyAlignment="1">
      <alignment horizontal="right"/>
    </xf>
    <xf numFmtId="9" fontId="10" fillId="41" borderId="0" xfId="203" applyFont="1" applyFill="1" applyBorder="1" applyAlignment="1">
      <alignment horizontal="center"/>
    </xf>
    <xf numFmtId="0" fontId="13" fillId="41" borderId="10" xfId="0" applyFont="1" applyFill="1" applyBorder="1" applyAlignment="1">
      <alignment horizontal="center"/>
    </xf>
    <xf numFmtId="175" fontId="10" fillId="41" borderId="10" xfId="0" applyNumberFormat="1" applyFont="1" applyFill="1" applyBorder="1" applyAlignment="1">
      <alignment horizontal="center" vertical="center"/>
    </xf>
    <xf numFmtId="175" fontId="10" fillId="41" borderId="10" xfId="0" applyNumberFormat="1" applyFont="1" applyFill="1" applyBorder="1" applyAlignment="1">
      <alignment horizontal="center"/>
    </xf>
    <xf numFmtId="0" fontId="39" fillId="41" borderId="10" xfId="0" applyFont="1" applyFill="1" applyBorder="1" applyAlignment="1">
      <alignment horizontal="center"/>
    </xf>
    <xf numFmtId="0" fontId="10" fillId="39" borderId="10" xfId="0" applyFont="1" applyFill="1" applyBorder="1" applyAlignment="1">
      <alignment wrapText="1"/>
    </xf>
    <xf numFmtId="175" fontId="45" fillId="41" borderId="10" xfId="0" applyNumberFormat="1" applyFont="1" applyFill="1" applyBorder="1" applyAlignment="1">
      <alignment horizontal="center" vertical="center"/>
    </xf>
    <xf numFmtId="2" fontId="13" fillId="41" borderId="10" xfId="0" applyNumberFormat="1" applyFont="1" applyFill="1" applyBorder="1" applyAlignment="1">
      <alignment horizontal="center" vertical="center"/>
    </xf>
    <xf numFmtId="4" fontId="13" fillId="41" borderId="10" xfId="0" applyNumberFormat="1" applyFont="1" applyFill="1" applyBorder="1" applyAlignment="1">
      <alignment horizontal="center" vertical="center"/>
    </xf>
    <xf numFmtId="0" fontId="13" fillId="41" borderId="0" xfId="0" applyFont="1" applyFill="1" applyBorder="1" applyAlignment="1">
      <alignment horizontal="center"/>
    </xf>
    <xf numFmtId="0" fontId="13" fillId="41" borderId="0" xfId="0" applyFont="1" applyFill="1" applyBorder="1" applyAlignment="1">
      <alignment horizontal="center" wrapText="1"/>
    </xf>
    <xf numFmtId="2" fontId="13" fillId="41" borderId="0" xfId="0" applyNumberFormat="1" applyFont="1" applyFill="1" applyBorder="1" applyAlignment="1">
      <alignment horizontal="center" vertical="center"/>
    </xf>
    <xf numFmtId="4" fontId="13" fillId="41" borderId="0" xfId="0" applyNumberFormat="1" applyFont="1" applyFill="1" applyBorder="1" applyAlignment="1">
      <alignment horizontal="center" vertical="center"/>
    </xf>
    <xf numFmtId="173" fontId="10" fillId="41" borderId="0" xfId="0" applyNumberFormat="1" applyFont="1" applyFill="1" applyBorder="1" applyAlignment="1">
      <alignment horizontal="center"/>
    </xf>
    <xf numFmtId="2" fontId="10" fillId="41" borderId="10" xfId="0" applyNumberFormat="1" applyFont="1" applyFill="1" applyBorder="1" applyAlignment="1">
      <alignment horizontal="center" vertical="center"/>
    </xf>
    <xf numFmtId="0" fontId="13" fillId="56" borderId="10" xfId="0" applyFont="1" applyFill="1" applyBorder="1" applyAlignment="1">
      <alignment horizontal="center"/>
    </xf>
    <xf numFmtId="3" fontId="13" fillId="56" borderId="10" xfId="0" applyNumberFormat="1" applyFont="1" applyFill="1" applyBorder="1" applyAlignment="1">
      <alignment horizontal="center" vertical="center"/>
    </xf>
    <xf numFmtId="1" fontId="13" fillId="41" borderId="10" xfId="0" applyNumberFormat="1" applyFont="1" applyFill="1" applyBorder="1" applyAlignment="1">
      <alignment horizontal="center" vertical="center"/>
    </xf>
    <xf numFmtId="1" fontId="13" fillId="41" borderId="0" xfId="0" applyNumberFormat="1" applyFont="1" applyFill="1" applyBorder="1" applyAlignment="1">
      <alignment horizontal="center" vertical="center"/>
    </xf>
    <xf numFmtId="1" fontId="13" fillId="56" borderId="10" xfId="0" applyNumberFormat="1" applyFont="1" applyFill="1" applyBorder="1" applyAlignment="1">
      <alignment horizontal="center" vertical="center"/>
    </xf>
    <xf numFmtId="0" fontId="8" fillId="45" borderId="10" xfId="0" applyFont="1" applyFill="1" applyBorder="1" applyAlignment="1">
      <alignment horizontal="center"/>
    </xf>
    <xf numFmtId="9" fontId="8" fillId="39" borderId="10" xfId="203" applyFont="1" applyFill="1" applyBorder="1" applyAlignment="1">
      <alignment horizontal="right"/>
    </xf>
    <xf numFmtId="0" fontId="8" fillId="43" borderId="10" xfId="0" applyFont="1" applyFill="1" applyBorder="1" applyAlignment="1">
      <alignment horizontal="center"/>
    </xf>
    <xf numFmtId="175" fontId="117" fillId="0" borderId="28" xfId="0" applyNumberFormat="1" applyFont="1" applyFill="1" applyBorder="1"/>
    <xf numFmtId="2" fontId="119" fillId="39" borderId="10" xfId="0" applyNumberFormat="1" applyFont="1" applyFill="1" applyBorder="1" applyAlignment="1">
      <alignment horizontal="center"/>
    </xf>
    <xf numFmtId="0" fontId="5" fillId="0" borderId="10" xfId="0" applyFont="1" applyFill="1" applyBorder="1" applyAlignment="1"/>
    <xf numFmtId="0" fontId="5" fillId="0" borderId="10" xfId="0" applyFont="1" applyBorder="1" applyAlignment="1">
      <alignment horizontal="center"/>
    </xf>
    <xf numFmtId="0" fontId="5" fillId="0" borderId="10" xfId="0" applyFont="1" applyFill="1" applyBorder="1" applyAlignment="1">
      <alignment horizontal="center"/>
    </xf>
    <xf numFmtId="0" fontId="5" fillId="41" borderId="10" xfId="0" applyFont="1" applyFill="1" applyBorder="1" applyAlignment="1">
      <alignment horizontal="center"/>
    </xf>
    <xf numFmtId="0" fontId="37" fillId="0" borderId="15" xfId="0" applyFont="1" applyBorder="1" applyAlignment="1">
      <alignment horizontal="center"/>
    </xf>
    <xf numFmtId="3" fontId="7" fillId="25" borderId="10" xfId="0" applyNumberFormat="1" applyFont="1" applyFill="1" applyBorder="1" applyAlignment="1">
      <alignment horizontal="center" vertical="center"/>
    </xf>
    <xf numFmtId="0" fontId="0" fillId="0" borderId="0" xfId="0"/>
    <xf numFmtId="1" fontId="5" fillId="0" borderId="10" xfId="0" applyNumberFormat="1" applyFont="1" applyBorder="1" applyAlignment="1">
      <alignment horizontal="right"/>
    </xf>
    <xf numFmtId="1" fontId="5" fillId="0" borderId="10" xfId="0" applyNumberFormat="1" applyFont="1" applyBorder="1" applyAlignment="1">
      <alignment horizontal="center"/>
    </xf>
    <xf numFmtId="0" fontId="0" fillId="41" borderId="0" xfId="0" applyFill="1"/>
    <xf numFmtId="3" fontId="51" fillId="41" borderId="0" xfId="0" applyNumberFormat="1" applyFont="1" applyFill="1" applyAlignment="1">
      <alignment horizontal="center" vertical="center"/>
    </xf>
    <xf numFmtId="0" fontId="51" fillId="41" borderId="0" xfId="0" applyFont="1" applyFill="1" applyAlignment="1">
      <alignment horizontal="center"/>
    </xf>
    <xf numFmtId="0" fontId="51" fillId="41" borderId="0" xfId="0" applyFont="1" applyFill="1"/>
    <xf numFmtId="181" fontId="51" fillId="41" borderId="0" xfId="0" applyNumberFormat="1" applyFont="1" applyFill="1" applyAlignment="1">
      <alignment horizontal="center"/>
    </xf>
    <xf numFmtId="0" fontId="46" fillId="41" borderId="10" xfId="0" applyFont="1" applyFill="1" applyBorder="1" applyAlignment="1">
      <alignment horizontal="center"/>
    </xf>
    <xf numFmtId="181" fontId="46" fillId="41" borderId="13" xfId="0" applyNumberFormat="1" applyFont="1" applyFill="1" applyBorder="1" applyAlignment="1">
      <alignment horizontal="center" vertical="center"/>
    </xf>
    <xf numFmtId="0" fontId="51" fillId="41" borderId="10" xfId="0" applyFont="1" applyFill="1" applyBorder="1" applyAlignment="1">
      <alignment wrapText="1"/>
    </xf>
    <xf numFmtId="0" fontId="51" fillId="41" borderId="10" xfId="0" applyFont="1" applyFill="1" applyBorder="1" applyAlignment="1">
      <alignment horizontal="center" wrapText="1"/>
    </xf>
    <xf numFmtId="3" fontId="51" fillId="41" borderId="10" xfId="0" applyNumberFormat="1" applyFont="1" applyFill="1" applyBorder="1" applyAlignment="1">
      <alignment horizontal="center" vertical="center"/>
    </xf>
    <xf numFmtId="2" fontId="51" fillId="41" borderId="10" xfId="0" applyNumberFormat="1" applyFont="1" applyFill="1" applyBorder="1" applyAlignment="1">
      <alignment horizontal="center"/>
    </xf>
    <xf numFmtId="0" fontId="51" fillId="41" borderId="10" xfId="0" applyFont="1" applyFill="1" applyBorder="1" applyAlignment="1">
      <alignment horizontal="center" vertical="center" wrapText="1"/>
    </xf>
    <xf numFmtId="0" fontId="51" fillId="41" borderId="0" xfId="0" applyFont="1" applyFill="1" applyAlignment="1">
      <alignment horizontal="right"/>
    </xf>
    <xf numFmtId="3" fontId="51" fillId="41" borderId="0" xfId="0" applyNumberFormat="1" applyFont="1" applyFill="1" applyBorder="1" applyAlignment="1">
      <alignment horizontal="center" vertical="center"/>
    </xf>
    <xf numFmtId="4" fontId="51" fillId="41" borderId="0" xfId="0" applyNumberFormat="1" applyFont="1" applyFill="1" applyBorder="1" applyAlignment="1">
      <alignment horizontal="center"/>
    </xf>
    <xf numFmtId="4" fontId="46" fillId="41" borderId="10" xfId="0" applyNumberFormat="1" applyFont="1" applyFill="1" applyBorder="1" applyAlignment="1">
      <alignment horizontal="center" vertical="center"/>
    </xf>
    <xf numFmtId="166" fontId="46" fillId="41" borderId="10" xfId="0" applyNumberFormat="1" applyFont="1" applyFill="1" applyBorder="1" applyAlignment="1">
      <alignment horizontal="center"/>
    </xf>
    <xf numFmtId="0" fontId="46" fillId="41" borderId="11" xfId="0" applyFont="1" applyFill="1" applyBorder="1" applyAlignment="1">
      <alignment horizontal="center"/>
    </xf>
    <xf numFmtId="3" fontId="46" fillId="41" borderId="0" xfId="0" applyNumberFormat="1" applyFont="1" applyFill="1" applyBorder="1" applyAlignment="1">
      <alignment horizontal="center" vertical="center"/>
    </xf>
    <xf numFmtId="4" fontId="46" fillId="41" borderId="0" xfId="0" applyNumberFormat="1" applyFont="1" applyFill="1" applyBorder="1" applyAlignment="1">
      <alignment horizontal="center" vertical="center"/>
    </xf>
    <xf numFmtId="166" fontId="46" fillId="41" borderId="0" xfId="0" applyNumberFormat="1" applyFont="1" applyFill="1" applyBorder="1" applyAlignment="1">
      <alignment horizontal="center"/>
    </xf>
    <xf numFmtId="0" fontId="46" fillId="51" borderId="10" xfId="0" applyFont="1" applyFill="1" applyBorder="1" applyAlignment="1">
      <alignment horizontal="center"/>
    </xf>
    <xf numFmtId="3" fontId="46" fillId="51" borderId="10" xfId="0" applyNumberFormat="1" applyFont="1" applyFill="1" applyBorder="1" applyAlignment="1">
      <alignment horizontal="center" vertical="center"/>
    </xf>
    <xf numFmtId="181" fontId="46" fillId="51" borderId="13" xfId="0" applyNumberFormat="1" applyFont="1" applyFill="1" applyBorder="1" applyAlignment="1">
      <alignment horizontal="center" vertical="center"/>
    </xf>
    <xf numFmtId="0" fontId="10" fillId="51" borderId="10" xfId="0" applyFont="1" applyFill="1" applyBorder="1" applyAlignment="1">
      <alignment horizontal="center"/>
    </xf>
    <xf numFmtId="0" fontId="10" fillId="53" borderId="10" xfId="0" applyFont="1" applyFill="1" applyBorder="1" applyAlignment="1">
      <alignment horizontal="center"/>
    </xf>
    <xf numFmtId="0" fontId="10" fillId="44" borderId="10" xfId="0" applyFont="1" applyFill="1" applyBorder="1" applyAlignment="1">
      <alignment horizontal="center"/>
    </xf>
    <xf numFmtId="3" fontId="135" fillId="41" borderId="10" xfId="0" applyNumberFormat="1" applyFont="1" applyFill="1" applyBorder="1" applyAlignment="1">
      <alignment horizontal="center" vertical="center"/>
    </xf>
    <xf numFmtId="172" fontId="8" fillId="53" borderId="10" xfId="0" applyNumberFormat="1" applyFont="1" applyFill="1" applyBorder="1" applyAlignment="1">
      <alignment horizontal="center"/>
    </xf>
    <xf numFmtId="172" fontId="8" fillId="54" borderId="10" xfId="0" applyNumberFormat="1" applyFont="1" applyFill="1" applyBorder="1" applyAlignment="1">
      <alignment horizontal="center"/>
    </xf>
    <xf numFmtId="172" fontId="8" fillId="44" borderId="10" xfId="0" applyNumberFormat="1" applyFont="1" applyFill="1" applyBorder="1" applyAlignment="1">
      <alignment horizontal="center"/>
    </xf>
    <xf numFmtId="172" fontId="8" fillId="42" borderId="10" xfId="0" applyNumberFormat="1" applyFont="1" applyFill="1" applyBorder="1" applyAlignment="1">
      <alignment horizontal="center"/>
    </xf>
    <xf numFmtId="172" fontId="8" fillId="55" borderId="10" xfId="0" applyNumberFormat="1" applyFont="1" applyFill="1" applyBorder="1" applyAlignment="1">
      <alignment horizontal="center"/>
    </xf>
    <xf numFmtId="172" fontId="8" fillId="50" borderId="10" xfId="0" applyNumberFormat="1" applyFont="1" applyFill="1" applyBorder="1" applyAlignment="1">
      <alignment horizontal="center"/>
    </xf>
    <xf numFmtId="172" fontId="8" fillId="52" borderId="10" xfId="0" applyNumberFormat="1" applyFont="1" applyFill="1" applyBorder="1" applyAlignment="1">
      <alignment horizontal="center"/>
    </xf>
    <xf numFmtId="0" fontId="0" fillId="41" borderId="0" xfId="0" applyFill="1"/>
    <xf numFmtId="167" fontId="8" fillId="44" borderId="10" xfId="0" applyNumberFormat="1" applyFont="1" applyFill="1" applyBorder="1" applyAlignment="1">
      <alignment horizontal="center"/>
    </xf>
    <xf numFmtId="167" fontId="8" fillId="51" borderId="10" xfId="0" applyNumberFormat="1" applyFont="1" applyFill="1" applyBorder="1" applyAlignment="1">
      <alignment horizontal="center"/>
    </xf>
    <xf numFmtId="167" fontId="8" fillId="42" borderId="10" xfId="0" applyNumberFormat="1" applyFont="1" applyFill="1" applyBorder="1" applyAlignment="1">
      <alignment horizontal="center"/>
    </xf>
    <xf numFmtId="167" fontId="8" fillId="50" borderId="10" xfId="0" applyNumberFormat="1" applyFont="1" applyFill="1" applyBorder="1" applyAlignment="1">
      <alignment horizontal="center"/>
    </xf>
    <xf numFmtId="167" fontId="8" fillId="55" borderId="10" xfId="0" applyNumberFormat="1" applyFont="1" applyFill="1" applyBorder="1" applyAlignment="1">
      <alignment horizontal="center"/>
    </xf>
    <xf numFmtId="167" fontId="8" fillId="52" borderId="10" xfId="0" applyNumberFormat="1" applyFont="1" applyFill="1" applyBorder="1" applyAlignment="1">
      <alignment horizontal="center"/>
    </xf>
    <xf numFmtId="171" fontId="8" fillId="41" borderId="10" xfId="0" applyNumberFormat="1" applyFont="1" applyFill="1" applyBorder="1" applyAlignment="1">
      <alignment horizontal="center" vertical="center"/>
    </xf>
    <xf numFmtId="4" fontId="83" fillId="41" borderId="10" xfId="0" applyNumberFormat="1" applyFont="1" applyFill="1" applyBorder="1" applyAlignment="1">
      <alignment horizontal="center" vertical="center"/>
    </xf>
    <xf numFmtId="171" fontId="83" fillId="41" borderId="10" xfId="0" applyNumberFormat="1" applyFont="1" applyFill="1" applyBorder="1" applyAlignment="1">
      <alignment horizontal="center" vertical="center"/>
    </xf>
    <xf numFmtId="16" fontId="8" fillId="41" borderId="10" xfId="0" applyNumberFormat="1" applyFont="1" applyFill="1" applyBorder="1" applyAlignment="1"/>
    <xf numFmtId="171" fontId="8" fillId="53" borderId="10" xfId="0" applyNumberFormat="1" applyFont="1" applyFill="1" applyBorder="1" applyAlignment="1">
      <alignment horizontal="center" vertical="center"/>
    </xf>
    <xf numFmtId="185" fontId="8" fillId="53" borderId="10" xfId="0" applyNumberFormat="1" applyFont="1" applyFill="1" applyBorder="1" applyAlignment="1">
      <alignment horizontal="center" vertical="center"/>
    </xf>
    <xf numFmtId="168" fontId="8" fillId="53" borderId="10" xfId="203" applyNumberFormat="1" applyFont="1" applyFill="1" applyBorder="1" applyAlignment="1">
      <alignment horizontal="center" vertical="center"/>
    </xf>
    <xf numFmtId="180" fontId="83" fillId="53" borderId="10" xfId="0" applyNumberFormat="1" applyFont="1" applyFill="1" applyBorder="1" applyAlignment="1">
      <alignment horizontal="center" vertical="center"/>
    </xf>
    <xf numFmtId="3" fontId="8" fillId="53" borderId="10" xfId="203" applyNumberFormat="1" applyFont="1" applyFill="1" applyBorder="1" applyAlignment="1">
      <alignment horizontal="center" vertical="center"/>
    </xf>
    <xf numFmtId="180" fontId="83" fillId="53" borderId="10" xfId="0" applyNumberFormat="1" applyFont="1" applyFill="1" applyBorder="1" applyAlignment="1">
      <alignment horizontal="center"/>
    </xf>
    <xf numFmtId="170" fontId="8" fillId="53" borderId="10" xfId="0" applyNumberFormat="1" applyFont="1" applyFill="1" applyBorder="1" applyAlignment="1">
      <alignment horizontal="center" vertical="center"/>
    </xf>
    <xf numFmtId="180" fontId="9" fillId="53" borderId="10" xfId="0" applyNumberFormat="1" applyFont="1" applyFill="1" applyBorder="1" applyAlignment="1">
      <alignment horizontal="center"/>
    </xf>
    <xf numFmtId="180" fontId="8" fillId="53" borderId="10" xfId="0" applyNumberFormat="1" applyFont="1" applyFill="1" applyBorder="1" applyAlignment="1"/>
    <xf numFmtId="180" fontId="12" fillId="53" borderId="10" xfId="0" applyNumberFormat="1" applyFont="1" applyFill="1" applyBorder="1" applyAlignment="1">
      <alignment horizontal="center"/>
    </xf>
    <xf numFmtId="187" fontId="8" fillId="53" borderId="10" xfId="0" applyNumberFormat="1" applyFont="1" applyFill="1" applyBorder="1" applyAlignment="1">
      <alignment horizontal="center" vertical="center"/>
    </xf>
    <xf numFmtId="3" fontId="8" fillId="54" borderId="10" xfId="203" applyNumberFormat="1" applyFont="1" applyFill="1" applyBorder="1" applyAlignment="1">
      <alignment horizontal="center" vertical="center"/>
    </xf>
    <xf numFmtId="169" fontId="8" fillId="54" borderId="10" xfId="0" applyNumberFormat="1" applyFont="1" applyFill="1" applyBorder="1" applyAlignment="1">
      <alignment horizontal="center" vertical="center"/>
    </xf>
    <xf numFmtId="180" fontId="8" fillId="54" borderId="10" xfId="0" applyNumberFormat="1" applyFont="1" applyFill="1" applyBorder="1" applyAlignment="1"/>
    <xf numFmtId="171" fontId="8" fillId="54" borderId="10" xfId="0" applyNumberFormat="1" applyFont="1" applyFill="1" applyBorder="1" applyAlignment="1">
      <alignment horizontal="center" vertical="center"/>
    </xf>
    <xf numFmtId="3" fontId="8" fillId="54" borderId="10" xfId="0" applyNumberFormat="1" applyFont="1" applyFill="1" applyBorder="1" applyAlignment="1">
      <alignment horizontal="center"/>
    </xf>
    <xf numFmtId="170" fontId="8" fillId="54" borderId="10" xfId="0" applyNumberFormat="1" applyFont="1" applyFill="1" applyBorder="1" applyAlignment="1">
      <alignment horizontal="center" vertical="center"/>
    </xf>
    <xf numFmtId="180" fontId="81" fillId="54" borderId="10" xfId="0" applyNumberFormat="1" applyFont="1" applyFill="1" applyBorder="1" applyAlignment="1">
      <alignment horizontal="center" vertical="center"/>
    </xf>
    <xf numFmtId="187" fontId="8" fillId="54" borderId="10" xfId="0" applyNumberFormat="1" applyFont="1" applyFill="1" applyBorder="1" applyAlignment="1">
      <alignment horizontal="center" vertical="center"/>
    </xf>
    <xf numFmtId="3" fontId="8" fillId="53" borderId="10" xfId="0" applyNumberFormat="1" applyFont="1" applyFill="1" applyBorder="1" applyAlignment="1">
      <alignment horizontal="center"/>
    </xf>
    <xf numFmtId="185" fontId="51" fillId="54" borderId="10" xfId="0" applyNumberFormat="1" applyFont="1" applyFill="1" applyBorder="1" applyAlignment="1">
      <alignment horizontal="center" vertical="center"/>
    </xf>
    <xf numFmtId="180" fontId="83" fillId="54" borderId="10" xfId="0" applyNumberFormat="1" applyFont="1" applyFill="1" applyBorder="1" applyAlignment="1">
      <alignment horizontal="center"/>
    </xf>
    <xf numFmtId="3" fontId="8" fillId="51" borderId="10" xfId="0" applyNumberFormat="1" applyFont="1" applyFill="1" applyBorder="1" applyAlignment="1">
      <alignment horizontal="center"/>
    </xf>
    <xf numFmtId="3" fontId="8" fillId="51" borderId="10" xfId="203" applyNumberFormat="1" applyFont="1" applyFill="1" applyBorder="1" applyAlignment="1">
      <alignment horizontal="center" vertical="center"/>
    </xf>
    <xf numFmtId="180" fontId="8" fillId="51" borderId="10" xfId="0" applyNumberFormat="1" applyFont="1" applyFill="1" applyBorder="1" applyAlignment="1"/>
    <xf numFmtId="180" fontId="7" fillId="53" borderId="10" xfId="0" applyNumberFormat="1" applyFont="1" applyFill="1" applyBorder="1" applyAlignment="1"/>
    <xf numFmtId="180" fontId="7" fillId="54" borderId="10" xfId="0" applyNumberFormat="1" applyFont="1" applyFill="1" applyBorder="1" applyAlignment="1"/>
    <xf numFmtId="180" fontId="12" fillId="54" borderId="10" xfId="0" applyNumberFormat="1" applyFont="1" applyFill="1" applyBorder="1" applyAlignment="1">
      <alignment horizontal="center"/>
    </xf>
    <xf numFmtId="185" fontId="51" fillId="44" borderId="10" xfId="0" applyNumberFormat="1" applyFont="1" applyFill="1" applyBorder="1" applyAlignment="1">
      <alignment horizontal="center" vertical="center"/>
    </xf>
    <xf numFmtId="180" fontId="8" fillId="44" borderId="10" xfId="0" applyNumberFormat="1" applyFont="1" applyFill="1" applyBorder="1" applyAlignment="1"/>
    <xf numFmtId="171" fontId="8" fillId="44" borderId="10" xfId="0" applyNumberFormat="1" applyFont="1" applyFill="1" applyBorder="1" applyAlignment="1">
      <alignment horizontal="center" vertical="center"/>
    </xf>
    <xf numFmtId="180" fontId="12" fillId="44" borderId="10" xfId="0" applyNumberFormat="1" applyFont="1" applyFill="1" applyBorder="1" applyAlignment="1">
      <alignment horizontal="center"/>
    </xf>
    <xf numFmtId="170" fontId="8" fillId="51" borderId="10" xfId="0" applyNumberFormat="1" applyFont="1" applyFill="1" applyBorder="1" applyAlignment="1">
      <alignment horizontal="center" vertical="center"/>
    </xf>
    <xf numFmtId="10" fontId="8" fillId="51" borderId="10" xfId="203" applyNumberFormat="1" applyFont="1" applyFill="1" applyBorder="1" applyAlignment="1">
      <alignment vertical="center"/>
    </xf>
    <xf numFmtId="180" fontId="12" fillId="51" borderId="10" xfId="0" applyNumberFormat="1" applyFont="1" applyFill="1" applyBorder="1" applyAlignment="1">
      <alignment horizontal="center"/>
    </xf>
    <xf numFmtId="3" fontId="8" fillId="50" borderId="10" xfId="0" applyNumberFormat="1" applyFont="1" applyFill="1" applyBorder="1" applyAlignment="1">
      <alignment horizontal="center"/>
    </xf>
    <xf numFmtId="180" fontId="8" fillId="50" borderId="10" xfId="0" applyNumberFormat="1" applyFont="1" applyFill="1" applyBorder="1" applyAlignment="1"/>
    <xf numFmtId="170" fontId="8" fillId="44" borderId="10" xfId="0" applyNumberFormat="1" applyFont="1" applyFill="1" applyBorder="1" applyAlignment="1">
      <alignment horizontal="center" vertical="center"/>
    </xf>
    <xf numFmtId="180" fontId="52" fillId="44" borderId="10" xfId="0" applyNumberFormat="1" applyFont="1" applyFill="1" applyBorder="1" applyAlignment="1">
      <alignment horizontal="center"/>
    </xf>
    <xf numFmtId="171" fontId="8" fillId="42" borderId="10" xfId="0" applyNumberFormat="1" applyFont="1" applyFill="1" applyBorder="1" applyAlignment="1">
      <alignment horizontal="center" vertical="center"/>
    </xf>
    <xf numFmtId="186" fontId="8" fillId="42" borderId="10" xfId="0" applyNumberFormat="1" applyFont="1" applyFill="1" applyBorder="1" applyAlignment="1">
      <alignment horizontal="center" vertical="center"/>
    </xf>
    <xf numFmtId="180" fontId="8" fillId="42" borderId="10" xfId="0" applyNumberFormat="1" applyFont="1" applyFill="1" applyBorder="1" applyAlignment="1"/>
    <xf numFmtId="3" fontId="8" fillId="42" borderId="10" xfId="0" applyNumberFormat="1" applyFont="1" applyFill="1" applyBorder="1" applyAlignment="1">
      <alignment horizontal="center"/>
    </xf>
    <xf numFmtId="3" fontId="8" fillId="55" borderId="10" xfId="0" applyNumberFormat="1" applyFont="1" applyFill="1" applyBorder="1" applyAlignment="1">
      <alignment horizontal="center"/>
    </xf>
    <xf numFmtId="171" fontId="8" fillId="55" borderId="10" xfId="0" applyNumberFormat="1" applyFont="1" applyFill="1" applyBorder="1" applyAlignment="1">
      <alignment horizontal="center" vertical="center"/>
    </xf>
    <xf numFmtId="186" fontId="8" fillId="55" borderId="10" xfId="0" applyNumberFormat="1" applyFont="1" applyFill="1" applyBorder="1" applyAlignment="1">
      <alignment horizontal="center" vertical="center"/>
    </xf>
    <xf numFmtId="180" fontId="8" fillId="55" borderId="10" xfId="0" applyNumberFormat="1" applyFont="1" applyFill="1" applyBorder="1" applyAlignment="1"/>
    <xf numFmtId="171" fontId="8" fillId="50" borderId="10" xfId="0" applyNumberFormat="1" applyFont="1" applyFill="1" applyBorder="1" applyAlignment="1">
      <alignment horizontal="center" vertical="center"/>
    </xf>
    <xf numFmtId="186" fontId="8" fillId="50" borderId="10" xfId="0" applyNumberFormat="1" applyFont="1" applyFill="1" applyBorder="1" applyAlignment="1">
      <alignment horizontal="center" vertical="center"/>
    </xf>
    <xf numFmtId="180" fontId="7" fillId="50" borderId="10" xfId="0" applyNumberFormat="1" applyFont="1" applyFill="1" applyBorder="1" applyAlignment="1"/>
    <xf numFmtId="180" fontId="52" fillId="55" borderId="10" xfId="0" applyNumberFormat="1" applyFont="1" applyFill="1" applyBorder="1" applyAlignment="1">
      <alignment horizontal="center"/>
    </xf>
    <xf numFmtId="186" fontId="51" fillId="55" borderId="10" xfId="0" applyNumberFormat="1" applyFont="1" applyFill="1" applyBorder="1" applyAlignment="1">
      <alignment horizontal="center" vertical="center"/>
    </xf>
    <xf numFmtId="180" fontId="46" fillId="50" borderId="10" xfId="0" applyNumberFormat="1" applyFont="1" applyFill="1" applyBorder="1" applyAlignment="1">
      <alignment horizontal="center"/>
    </xf>
    <xf numFmtId="3" fontId="8" fillId="52" borderId="10" xfId="0" applyNumberFormat="1" applyFont="1" applyFill="1" applyBorder="1" applyAlignment="1">
      <alignment horizontal="center" vertical="center"/>
    </xf>
    <xf numFmtId="1" fontId="8" fillId="52" borderId="10" xfId="0" applyNumberFormat="1" applyFont="1" applyFill="1" applyBorder="1" applyAlignment="1">
      <alignment horizontal="center" vertical="center"/>
    </xf>
    <xf numFmtId="171" fontId="8" fillId="52" borderId="10" xfId="0" applyNumberFormat="1" applyFont="1" applyFill="1" applyBorder="1" applyAlignment="1">
      <alignment horizontal="center" vertical="center"/>
    </xf>
    <xf numFmtId="186" fontId="8" fillId="52" borderId="10" xfId="0" applyNumberFormat="1" applyFont="1" applyFill="1" applyBorder="1" applyAlignment="1">
      <alignment horizontal="center" vertical="center"/>
    </xf>
    <xf numFmtId="180" fontId="46" fillId="52" borderId="10" xfId="0" applyNumberFormat="1" applyFont="1" applyFill="1" applyBorder="1" applyAlignment="1">
      <alignment horizontal="center"/>
    </xf>
    <xf numFmtId="3" fontId="8" fillId="24" borderId="10" xfId="0" applyNumberFormat="1" applyFont="1" applyFill="1" applyBorder="1" applyAlignment="1">
      <alignment horizontal="center" vertical="center"/>
    </xf>
    <xf numFmtId="0" fontId="7" fillId="25" borderId="12" xfId="0" applyFont="1" applyFill="1" applyBorder="1" applyAlignment="1">
      <alignment horizontal="center"/>
    </xf>
    <xf numFmtId="0" fontId="7" fillId="41" borderId="0" xfId="0" applyFont="1" applyFill="1" applyBorder="1" applyAlignment="1">
      <alignment horizontal="center"/>
    </xf>
    <xf numFmtId="0" fontId="0" fillId="41" borderId="0" xfId="0" applyFill="1"/>
    <xf numFmtId="0" fontId="0" fillId="0" borderId="0" xfId="0"/>
    <xf numFmtId="171" fontId="7" fillId="25" borderId="14" xfId="0" applyNumberFormat="1" applyFont="1" applyFill="1" applyBorder="1" applyAlignment="1">
      <alignment horizontal="center"/>
    </xf>
    <xf numFmtId="4" fontId="8" fillId="0" borderId="14" xfId="0" applyNumberFormat="1" applyFont="1" applyBorder="1" applyAlignment="1">
      <alignment horizontal="center"/>
    </xf>
    <xf numFmtId="4" fontId="8" fillId="0" borderId="15" xfId="0" applyNumberFormat="1" applyFont="1" applyBorder="1" applyAlignment="1">
      <alignment horizontal="center"/>
    </xf>
    <xf numFmtId="0" fontId="46" fillId="41" borderId="10" xfId="0" applyFont="1" applyFill="1" applyBorder="1" applyAlignment="1">
      <alignment horizontal="center" vertical="center" wrapText="1"/>
    </xf>
    <xf numFmtId="0" fontId="7" fillId="0" borderId="72" xfId="0" applyFont="1" applyFill="1" applyBorder="1" applyAlignment="1">
      <alignment horizontal="center"/>
    </xf>
    <xf numFmtId="0" fontId="7" fillId="0" borderId="91" xfId="0" applyFont="1" applyFill="1" applyBorder="1" applyAlignment="1">
      <alignment horizontal="center"/>
    </xf>
    <xf numFmtId="3" fontId="46" fillId="26" borderId="59" xfId="0" applyNumberFormat="1" applyFont="1" applyFill="1" applyBorder="1" applyAlignment="1">
      <alignment horizontal="center" vertical="center"/>
    </xf>
    <xf numFmtId="4" fontId="7" fillId="26" borderId="59" xfId="0" applyNumberFormat="1" applyFont="1" applyFill="1" applyBorder="1" applyAlignment="1">
      <alignment horizontal="center" vertical="center"/>
    </xf>
    <xf numFmtId="4" fontId="46" fillId="26" borderId="59" xfId="0" applyNumberFormat="1" applyFont="1" applyFill="1" applyBorder="1" applyAlignment="1">
      <alignment horizontal="center"/>
    </xf>
    <xf numFmtId="172" fontId="7" fillId="26" borderId="59" xfId="0" applyNumberFormat="1" applyFont="1" applyFill="1" applyBorder="1" applyAlignment="1">
      <alignment horizontal="center" vertical="center"/>
    </xf>
    <xf numFmtId="181" fontId="8" fillId="0" borderId="73" xfId="203" applyNumberFormat="1" applyFont="1" applyFill="1" applyBorder="1" applyAlignment="1">
      <alignment horizontal="center"/>
    </xf>
    <xf numFmtId="4" fontId="79" fillId="0" borderId="20" xfId="184" applyNumberFormat="1" applyFont="1" applyFill="1" applyBorder="1" applyAlignment="1">
      <alignment horizontal="center" vertical="center"/>
    </xf>
    <xf numFmtId="3" fontId="10" fillId="24" borderId="13" xfId="0" applyNumberFormat="1" applyFont="1" applyFill="1" applyBorder="1" applyAlignment="1">
      <alignment horizontal="center" vertical="center"/>
    </xf>
    <xf numFmtId="3" fontId="13" fillId="39" borderId="10" xfId="0" applyNumberFormat="1" applyFont="1" applyFill="1" applyBorder="1" applyAlignment="1">
      <alignment horizontal="center" vertical="center"/>
    </xf>
    <xf numFmtId="4" fontId="53" fillId="39" borderId="10" xfId="0" applyNumberFormat="1" applyFont="1" applyFill="1" applyBorder="1" applyAlignment="1">
      <alignment horizontal="center"/>
    </xf>
    <xf numFmtId="1" fontId="141" fillId="41" borderId="10" xfId="0" applyNumberFormat="1" applyFont="1" applyFill="1" applyBorder="1" applyAlignment="1">
      <alignment horizontal="center" vertical="center"/>
    </xf>
    <xf numFmtId="4" fontId="141" fillId="41" borderId="10" xfId="0" applyNumberFormat="1" applyFont="1" applyFill="1" applyBorder="1" applyAlignment="1">
      <alignment horizontal="center" vertical="center"/>
    </xf>
    <xf numFmtId="1" fontId="119" fillId="41" borderId="10" xfId="0" applyNumberFormat="1" applyFont="1" applyFill="1" applyBorder="1" applyAlignment="1">
      <alignment horizontal="center" vertical="center"/>
    </xf>
    <xf numFmtId="171" fontId="51" fillId="41" borderId="10" xfId="0" applyNumberFormat="1" applyFont="1" applyFill="1" applyBorder="1" applyAlignment="1">
      <alignment horizontal="center" vertical="center"/>
    </xf>
    <xf numFmtId="174" fontId="51" fillId="41" borderId="10" xfId="0" applyNumberFormat="1" applyFont="1" applyFill="1" applyBorder="1" applyAlignment="1">
      <alignment horizontal="center"/>
    </xf>
    <xf numFmtId="174" fontId="51" fillId="41" borderId="10" xfId="0" applyNumberFormat="1" applyFont="1" applyFill="1" applyBorder="1" applyAlignment="1">
      <alignment horizontal="center" vertical="center"/>
    </xf>
    <xf numFmtId="171" fontId="7" fillId="41" borderId="10" xfId="0" applyNumberFormat="1" applyFont="1" applyFill="1" applyBorder="1" applyAlignment="1">
      <alignment horizontal="center"/>
    </xf>
    <xf numFmtId="175" fontId="8" fillId="39" borderId="10" xfId="0" applyNumberFormat="1" applyFont="1" applyFill="1" applyBorder="1" applyAlignment="1">
      <alignment horizontal="center"/>
    </xf>
    <xf numFmtId="188" fontId="10" fillId="24" borderId="10" xfId="157" applyNumberFormat="1" applyFont="1" applyFill="1" applyBorder="1" applyAlignment="1">
      <alignment vertical="center"/>
    </xf>
    <xf numFmtId="183" fontId="10" fillId="24" borderId="10" xfId="157" applyNumberFormat="1" applyFont="1" applyFill="1" applyBorder="1" applyAlignment="1">
      <alignment horizontal="center"/>
    </xf>
    <xf numFmtId="183" fontId="13" fillId="0" borderId="10" xfId="157" applyNumberFormat="1" applyFont="1" applyFill="1" applyBorder="1" applyAlignment="1">
      <alignment horizontal="center"/>
    </xf>
    <xf numFmtId="0" fontId="8" fillId="44" borderId="10" xfId="0" applyFont="1" applyFill="1" applyBorder="1" applyAlignment="1">
      <alignment wrapText="1"/>
    </xf>
    <xf numFmtId="0" fontId="8" fillId="44" borderId="20" xfId="0" applyFont="1" applyFill="1" applyBorder="1" applyAlignment="1">
      <alignment wrapText="1"/>
    </xf>
    <xf numFmtId="175" fontId="0" fillId="0" borderId="10" xfId="0" applyNumberFormat="1" applyFill="1" applyBorder="1"/>
    <xf numFmtId="171" fontId="46" fillId="0" borderId="10" xfId="0" applyNumberFormat="1" applyFont="1" applyFill="1" applyBorder="1" applyAlignment="1">
      <alignment horizontal="center"/>
    </xf>
    <xf numFmtId="2" fontId="86" fillId="41" borderId="10" xfId="0" applyNumberFormat="1" applyFont="1" applyFill="1" applyBorder="1" applyAlignment="1">
      <alignment horizontal="center" vertical="center"/>
    </xf>
    <xf numFmtId="2" fontId="126" fillId="41" borderId="10" xfId="0" applyNumberFormat="1" applyFont="1" applyFill="1" applyBorder="1" applyAlignment="1">
      <alignment horizontal="center" vertical="center"/>
    </xf>
    <xf numFmtId="0" fontId="145" fillId="41" borderId="0" xfId="0" applyFont="1" applyFill="1"/>
    <xf numFmtId="171" fontId="10" fillId="0" borderId="10" xfId="0" applyNumberFormat="1" applyFont="1" applyFill="1" applyBorder="1" applyAlignment="1">
      <alignment horizontal="center" vertical="center"/>
    </xf>
    <xf numFmtId="0" fontId="0" fillId="0" borderId="0" xfId="0"/>
    <xf numFmtId="3" fontId="7" fillId="25" borderId="13" xfId="0" applyNumberFormat="1" applyFont="1" applyFill="1" applyBorder="1" applyAlignment="1">
      <alignment horizontal="center" vertical="center"/>
    </xf>
    <xf numFmtId="0" fontId="7" fillId="44" borderId="12" xfId="0" applyFont="1" applyFill="1" applyBorder="1" applyAlignment="1">
      <alignment horizontal="center"/>
    </xf>
    <xf numFmtId="0" fontId="0" fillId="0" borderId="0" xfId="0"/>
    <xf numFmtId="0" fontId="46" fillId="24" borderId="12" xfId="0" applyFont="1" applyFill="1" applyBorder="1" applyAlignment="1">
      <alignment horizontal="center"/>
    </xf>
    <xf numFmtId="0" fontId="7" fillId="41" borderId="0" xfId="0" applyFont="1" applyFill="1" applyBorder="1" applyAlignment="1">
      <alignment horizontal="center"/>
    </xf>
    <xf numFmtId="0" fontId="7" fillId="39" borderId="12" xfId="0" applyFont="1" applyFill="1" applyBorder="1" applyAlignment="1">
      <alignment horizontal="center"/>
    </xf>
    <xf numFmtId="0" fontId="0" fillId="41" borderId="0" xfId="0" applyFill="1"/>
    <xf numFmtId="0" fontId="5" fillId="0" borderId="10" xfId="0" applyFont="1" applyBorder="1"/>
    <xf numFmtId="10" fontId="5" fillId="58" borderId="176" xfId="0" applyNumberFormat="1" applyFont="1" applyFill="1" applyBorder="1" applyAlignment="1">
      <alignment horizontal="center"/>
    </xf>
    <xf numFmtId="10" fontId="5" fillId="58" borderId="177" xfId="0" applyNumberFormat="1" applyFont="1" applyFill="1" applyBorder="1" applyAlignment="1">
      <alignment horizontal="center"/>
    </xf>
    <xf numFmtId="0" fontId="5" fillId="58" borderId="177" xfId="0" applyFont="1" applyFill="1" applyBorder="1" applyAlignment="1">
      <alignment horizontal="center"/>
    </xf>
    <xf numFmtId="2" fontId="5" fillId="58" borderId="177" xfId="0" applyNumberFormat="1" applyFont="1" applyFill="1" applyBorder="1" applyAlignment="1">
      <alignment horizontal="center"/>
    </xf>
    <xf numFmtId="3" fontId="8" fillId="58" borderId="177" xfId="0" applyNumberFormat="1" applyFont="1" applyFill="1" applyBorder="1" applyAlignment="1">
      <alignment horizontal="center" vertical="center"/>
    </xf>
    <xf numFmtId="0" fontId="5" fillId="58" borderId="12" xfId="0" applyFont="1" applyFill="1" applyBorder="1" applyAlignment="1">
      <alignment horizontal="center"/>
    </xf>
    <xf numFmtId="180" fontId="15" fillId="41" borderId="15" xfId="0" applyNumberFormat="1" applyFont="1" applyFill="1" applyBorder="1" applyAlignment="1">
      <alignment horizontal="center"/>
    </xf>
    <xf numFmtId="168" fontId="5" fillId="0" borderId="178" xfId="0" applyNumberFormat="1" applyFont="1" applyBorder="1" applyAlignment="1">
      <alignment horizontal="center" vertical="center"/>
    </xf>
    <xf numFmtId="168" fontId="5" fillId="0" borderId="178" xfId="0" applyNumberFormat="1" applyFont="1" applyBorder="1" applyAlignment="1">
      <alignment horizontal="center"/>
    </xf>
    <xf numFmtId="167" fontId="51" fillId="0" borderId="178" xfId="0" applyNumberFormat="1" applyFont="1" applyFill="1" applyBorder="1" applyAlignment="1">
      <alignment horizontal="center" vertical="center"/>
    </xf>
    <xf numFmtId="186" fontId="5" fillId="0" borderId="178" xfId="0" applyNumberFormat="1" applyFont="1" applyBorder="1" applyAlignment="1">
      <alignment horizontal="center" vertical="center"/>
    </xf>
    <xf numFmtId="0" fontId="5" fillId="39" borderId="178" xfId="0" applyFont="1" applyFill="1" applyBorder="1" applyAlignment="1">
      <alignment horizontal="center" vertical="center"/>
    </xf>
    <xf numFmtId="169" fontId="8" fillId="47" borderId="178" xfId="0" applyNumberFormat="1" applyFont="1" applyFill="1" applyBorder="1" applyAlignment="1">
      <alignment horizontal="center" vertical="center"/>
    </xf>
    <xf numFmtId="3" fontId="5" fillId="39" borderId="178" xfId="0" applyNumberFormat="1" applyFont="1" applyFill="1" applyBorder="1" applyAlignment="1">
      <alignment horizontal="center" vertical="center"/>
    </xf>
    <xf numFmtId="3" fontId="8" fillId="0" borderId="178" xfId="0" applyNumberFormat="1" applyFont="1" applyFill="1" applyBorder="1" applyAlignment="1">
      <alignment horizontal="center" vertical="center"/>
    </xf>
    <xf numFmtId="0" fontId="5" fillId="24" borderId="178" xfId="0" applyFont="1" applyFill="1" applyBorder="1" applyAlignment="1">
      <alignment horizontal="center" vertical="center"/>
    </xf>
    <xf numFmtId="3" fontId="5" fillId="0" borderId="178" xfId="0" applyNumberFormat="1" applyFont="1" applyBorder="1" applyAlignment="1">
      <alignment horizontal="center" vertical="center"/>
    </xf>
    <xf numFmtId="0" fontId="5" fillId="0" borderId="178" xfId="0" applyFont="1" applyBorder="1" applyAlignment="1">
      <alignment horizontal="center" vertical="center"/>
    </xf>
    <xf numFmtId="0" fontId="5" fillId="24" borderId="11" xfId="0" applyFont="1" applyFill="1" applyBorder="1" applyAlignment="1">
      <alignment horizontal="center" vertical="center" wrapText="1"/>
    </xf>
    <xf numFmtId="180" fontId="8" fillId="41" borderId="31" xfId="0" applyNumberFormat="1" applyFont="1" applyFill="1" applyBorder="1" applyAlignment="1"/>
    <xf numFmtId="10" fontId="8" fillId="43" borderId="178" xfId="203" applyNumberFormat="1" applyFont="1" applyFill="1" applyBorder="1" applyAlignment="1">
      <alignment horizontal="center" vertical="center"/>
    </xf>
    <xf numFmtId="168" fontId="8" fillId="43" borderId="178" xfId="203" applyNumberFormat="1" applyFont="1" applyFill="1" applyBorder="1" applyAlignment="1">
      <alignment horizontal="center" vertical="center"/>
    </xf>
    <xf numFmtId="167" fontId="8" fillId="43" borderId="178" xfId="0" applyNumberFormat="1" applyFont="1" applyFill="1" applyBorder="1" applyAlignment="1">
      <alignment horizontal="center" vertical="center"/>
    </xf>
    <xf numFmtId="186" fontId="8" fillId="43" borderId="178" xfId="0" applyNumberFormat="1" applyFont="1" applyFill="1" applyBorder="1" applyAlignment="1">
      <alignment horizontal="center" vertical="center"/>
    </xf>
    <xf numFmtId="4" fontId="8" fillId="43" borderId="178" xfId="0" applyNumberFormat="1" applyFont="1" applyFill="1" applyBorder="1" applyAlignment="1">
      <alignment horizontal="center" vertical="center"/>
    </xf>
    <xf numFmtId="169" fontId="8" fillId="43" borderId="179" xfId="0" applyNumberFormat="1" applyFont="1" applyFill="1" applyBorder="1" applyAlignment="1">
      <alignment horizontal="center" vertical="center"/>
    </xf>
    <xf numFmtId="3" fontId="8" fillId="43" borderId="178" xfId="0" applyNumberFormat="1" applyFont="1" applyFill="1" applyBorder="1" applyAlignment="1">
      <alignment horizontal="center" vertical="center"/>
    </xf>
    <xf numFmtId="0" fontId="8" fillId="43" borderId="178" xfId="0" applyFont="1" applyFill="1" applyBorder="1" applyAlignment="1">
      <alignment horizontal="center" vertical="center"/>
    </xf>
    <xf numFmtId="0" fontId="8" fillId="43" borderId="11" xfId="0" applyFont="1" applyFill="1" applyBorder="1" applyAlignment="1">
      <alignment horizontal="center" vertical="center"/>
    </xf>
    <xf numFmtId="2" fontId="7" fillId="39" borderId="13" xfId="0" applyNumberFormat="1" applyFont="1" applyFill="1" applyBorder="1" applyAlignment="1">
      <alignment horizontal="center" vertical="center"/>
    </xf>
    <xf numFmtId="3" fontId="7" fillId="39" borderId="13" xfId="0" applyNumberFormat="1" applyFont="1" applyFill="1" applyBorder="1" applyAlignment="1">
      <alignment horizontal="center" vertical="center"/>
    </xf>
    <xf numFmtId="169" fontId="5" fillId="0" borderId="0" xfId="0" applyNumberFormat="1" applyFont="1"/>
    <xf numFmtId="2" fontId="8" fillId="58" borderId="10" xfId="0" applyNumberFormat="1" applyFont="1" applyFill="1" applyBorder="1"/>
    <xf numFmtId="2" fontId="8" fillId="58" borderId="10" xfId="0" applyNumberFormat="1" applyFont="1" applyFill="1" applyBorder="1" applyAlignment="1">
      <alignment horizontal="right"/>
    </xf>
    <xf numFmtId="2" fontId="7" fillId="58" borderId="10" xfId="0" applyNumberFormat="1" applyFont="1" applyFill="1" applyBorder="1" applyAlignment="1">
      <alignment horizontal="center"/>
    </xf>
    <xf numFmtId="0" fontId="7" fillId="58" borderId="10" xfId="0" applyFont="1" applyFill="1" applyBorder="1" applyAlignment="1">
      <alignment horizontal="center"/>
    </xf>
    <xf numFmtId="2" fontId="8" fillId="58" borderId="10" xfId="0" applyNumberFormat="1" applyFont="1" applyFill="1" applyBorder="1" applyAlignment="1">
      <alignment horizontal="center"/>
    </xf>
    <xf numFmtId="0" fontId="8" fillId="58" borderId="10" xfId="0" applyFont="1" applyFill="1" applyBorder="1" applyAlignment="1">
      <alignment horizontal="center"/>
    </xf>
    <xf numFmtId="0" fontId="8" fillId="58" borderId="10" xfId="0" applyFont="1" applyFill="1" applyBorder="1"/>
    <xf numFmtId="0" fontId="8" fillId="58" borderId="0" xfId="0" applyFont="1" applyFill="1"/>
    <xf numFmtId="2" fontId="8" fillId="58" borderId="0" xfId="0" applyNumberFormat="1" applyFont="1" applyFill="1"/>
    <xf numFmtId="0" fontId="0" fillId="58" borderId="0" xfId="0" applyFill="1"/>
    <xf numFmtId="0" fontId="15" fillId="58" borderId="15" xfId="0" applyFont="1" applyFill="1" applyBorder="1"/>
    <xf numFmtId="0" fontId="15" fillId="58" borderId="14" xfId="0" applyFont="1" applyFill="1" applyBorder="1"/>
    <xf numFmtId="0" fontId="15" fillId="58" borderId="12" xfId="0" applyFont="1" applyFill="1" applyBorder="1"/>
    <xf numFmtId="2" fontId="8" fillId="43" borderId="10" xfId="0" applyNumberFormat="1" applyFont="1" applyFill="1" applyBorder="1"/>
    <xf numFmtId="2" fontId="8" fillId="43" borderId="10" xfId="0" applyNumberFormat="1" applyFont="1" applyFill="1" applyBorder="1" applyAlignment="1">
      <alignment horizontal="right"/>
    </xf>
    <xf numFmtId="2" fontId="7" fillId="43" borderId="10" xfId="0" applyNumberFormat="1" applyFont="1" applyFill="1" applyBorder="1" applyAlignment="1">
      <alignment horizontal="center"/>
    </xf>
    <xf numFmtId="0" fontId="7" fillId="43" borderId="10" xfId="0" applyFont="1" applyFill="1" applyBorder="1" applyAlignment="1">
      <alignment horizontal="center"/>
    </xf>
    <xf numFmtId="2" fontId="8" fillId="43" borderId="10" xfId="0" applyNumberFormat="1" applyFont="1" applyFill="1" applyBorder="1" applyAlignment="1">
      <alignment horizontal="center"/>
    </xf>
    <xf numFmtId="0" fontId="8" fillId="43" borderId="10" xfId="0" applyFont="1" applyFill="1" applyBorder="1"/>
    <xf numFmtId="0" fontId="8" fillId="43" borderId="0" xfId="0" applyFont="1" applyFill="1"/>
    <xf numFmtId="2" fontId="8" fillId="43" borderId="0" xfId="0" applyNumberFormat="1" applyFont="1" applyFill="1"/>
    <xf numFmtId="0" fontId="0" fillId="43" borderId="0" xfId="0" applyFill="1"/>
    <xf numFmtId="2" fontId="8" fillId="55" borderId="10" xfId="0" applyNumberFormat="1" applyFont="1" applyFill="1" applyBorder="1"/>
    <xf numFmtId="2" fontId="8" fillId="55" borderId="10" xfId="0" applyNumberFormat="1" applyFont="1" applyFill="1" applyBorder="1" applyAlignment="1">
      <alignment horizontal="right"/>
    </xf>
    <xf numFmtId="2" fontId="7" fillId="55" borderId="10" xfId="0" applyNumberFormat="1" applyFont="1" applyFill="1" applyBorder="1" applyAlignment="1">
      <alignment horizontal="center"/>
    </xf>
    <xf numFmtId="0" fontId="7" fillId="55" borderId="10" xfId="0" applyFont="1" applyFill="1" applyBorder="1" applyAlignment="1">
      <alignment horizontal="center"/>
    </xf>
    <xf numFmtId="0" fontId="8" fillId="55" borderId="10" xfId="0" applyFont="1" applyFill="1" applyBorder="1"/>
    <xf numFmtId="0" fontId="8" fillId="55" borderId="0" xfId="0" applyFont="1" applyFill="1"/>
    <xf numFmtId="2" fontId="8" fillId="55" borderId="0" xfId="0" applyNumberFormat="1" applyFont="1" applyFill="1"/>
    <xf numFmtId="0" fontId="0" fillId="55" borderId="0" xfId="0" applyFill="1"/>
    <xf numFmtId="2" fontId="8" fillId="44" borderId="10" xfId="0" applyNumberFormat="1" applyFont="1" applyFill="1" applyBorder="1"/>
    <xf numFmtId="2" fontId="8" fillId="44" borderId="10" xfId="0" applyNumberFormat="1" applyFont="1" applyFill="1" applyBorder="1" applyAlignment="1">
      <alignment horizontal="right"/>
    </xf>
    <xf numFmtId="2" fontId="7" fillId="44" borderId="10" xfId="0" applyNumberFormat="1" applyFont="1" applyFill="1" applyBorder="1" applyAlignment="1">
      <alignment horizontal="center"/>
    </xf>
    <xf numFmtId="0" fontId="7" fillId="44" borderId="10" xfId="0" applyFont="1" applyFill="1" applyBorder="1" applyAlignment="1">
      <alignment horizontal="center"/>
    </xf>
    <xf numFmtId="0" fontId="8" fillId="44" borderId="10" xfId="0" applyFont="1" applyFill="1" applyBorder="1"/>
    <xf numFmtId="0" fontId="8" fillId="44" borderId="0" xfId="0" applyFont="1" applyFill="1"/>
    <xf numFmtId="2" fontId="8" fillId="44" borderId="0" xfId="0" applyNumberFormat="1" applyFont="1" applyFill="1"/>
    <xf numFmtId="0" fontId="0" fillId="44" borderId="0" xfId="0" applyFill="1"/>
    <xf numFmtId="2" fontId="8" fillId="59" borderId="10" xfId="0" applyNumberFormat="1" applyFont="1" applyFill="1" applyBorder="1"/>
    <xf numFmtId="2" fontId="8" fillId="59" borderId="10" xfId="0" applyNumberFormat="1" applyFont="1" applyFill="1" applyBorder="1" applyAlignment="1">
      <alignment horizontal="right"/>
    </xf>
    <xf numFmtId="2" fontId="7" fillId="59" borderId="10" xfId="0" applyNumberFormat="1" applyFont="1" applyFill="1" applyBorder="1" applyAlignment="1">
      <alignment horizontal="center"/>
    </xf>
    <xf numFmtId="0" fontId="7" fillId="59" borderId="10" xfId="0" applyFont="1" applyFill="1" applyBorder="1" applyAlignment="1">
      <alignment horizontal="center"/>
    </xf>
    <xf numFmtId="2" fontId="8" fillId="59" borderId="10" xfId="0" applyNumberFormat="1" applyFont="1" applyFill="1" applyBorder="1" applyAlignment="1">
      <alignment horizontal="center"/>
    </xf>
    <xf numFmtId="0" fontId="8" fillId="59" borderId="10" xfId="0" applyFont="1" applyFill="1" applyBorder="1" applyAlignment="1">
      <alignment horizontal="center"/>
    </xf>
    <xf numFmtId="0" fontId="8" fillId="59" borderId="10" xfId="0" applyFont="1" applyFill="1" applyBorder="1"/>
    <xf numFmtId="0" fontId="8" fillId="59" borderId="0" xfId="0" applyFont="1" applyFill="1"/>
    <xf numFmtId="2" fontId="8" fillId="59" borderId="0" xfId="0" applyNumberFormat="1" applyFont="1" applyFill="1"/>
    <xf numFmtId="0" fontId="0" fillId="59" borderId="0" xfId="0" applyFill="1"/>
    <xf numFmtId="175" fontId="8" fillId="43" borderId="10" xfId="0" applyNumberFormat="1" applyFont="1" applyFill="1" applyBorder="1" applyAlignment="1">
      <alignment horizontal="right"/>
    </xf>
    <xf numFmtId="175" fontId="8" fillId="55" borderId="10" xfId="0" applyNumberFormat="1" applyFont="1" applyFill="1" applyBorder="1" applyAlignment="1">
      <alignment horizontal="right"/>
    </xf>
    <xf numFmtId="175" fontId="5" fillId="43" borderId="10" xfId="0" applyNumberFormat="1" applyFont="1" applyFill="1" applyBorder="1"/>
    <xf numFmtId="175" fontId="5" fillId="43" borderId="28" xfId="0" applyNumberFormat="1" applyFont="1" applyFill="1" applyBorder="1"/>
    <xf numFmtId="0" fontId="5" fillId="43" borderId="51" xfId="0" applyFont="1" applyFill="1" applyBorder="1"/>
    <xf numFmtId="0" fontId="5" fillId="43" borderId="10" xfId="0" applyFont="1" applyFill="1" applyBorder="1"/>
    <xf numFmtId="0" fontId="5" fillId="43" borderId="135" xfId="0" applyFont="1" applyFill="1" applyBorder="1"/>
    <xf numFmtId="0" fontId="5" fillId="43" borderId="29" xfId="0" applyFont="1" applyFill="1" applyBorder="1"/>
    <xf numFmtId="0" fontId="5" fillId="43" borderId="0" xfId="0" applyFont="1" applyFill="1"/>
    <xf numFmtId="0" fontId="5" fillId="43" borderId="28" xfId="0" applyFont="1" applyFill="1" applyBorder="1"/>
    <xf numFmtId="175" fontId="5" fillId="55" borderId="10" xfId="0" applyNumberFormat="1" applyFont="1" applyFill="1" applyBorder="1"/>
    <xf numFmtId="175" fontId="5" fillId="55" borderId="28" xfId="0" applyNumberFormat="1" applyFont="1" applyFill="1" applyBorder="1"/>
    <xf numFmtId="175" fontId="5" fillId="43" borderId="29" xfId="0" applyNumberFormat="1" applyFont="1" applyFill="1" applyBorder="1"/>
    <xf numFmtId="175" fontId="5" fillId="43" borderId="30" xfId="0" applyNumberFormat="1" applyFont="1" applyFill="1" applyBorder="1"/>
    <xf numFmtId="175" fontId="5" fillId="43" borderId="51" xfId="0" applyNumberFormat="1" applyFont="1" applyFill="1" applyBorder="1"/>
    <xf numFmtId="0" fontId="146" fillId="43" borderId="10" xfId="0" applyFont="1" applyFill="1" applyBorder="1"/>
    <xf numFmtId="175" fontId="5" fillId="55" borderId="29" xfId="0" applyNumberFormat="1" applyFont="1" applyFill="1" applyBorder="1"/>
    <xf numFmtId="175" fontId="8" fillId="43" borderId="10" xfId="0" applyNumberFormat="1" applyFont="1" applyFill="1" applyBorder="1"/>
    <xf numFmtId="175" fontId="8" fillId="55" borderId="10" xfId="0" applyNumberFormat="1" applyFont="1" applyFill="1" applyBorder="1"/>
    <xf numFmtId="175" fontId="5" fillId="55" borderId="10" xfId="0" applyNumberFormat="1" applyFont="1" applyFill="1" applyBorder="1" applyAlignment="1">
      <alignment horizontal="right"/>
    </xf>
    <xf numFmtId="175" fontId="5" fillId="44" borderId="10" xfId="0" applyNumberFormat="1" applyFont="1" applyFill="1" applyBorder="1" applyAlignment="1">
      <alignment horizontal="right"/>
    </xf>
    <xf numFmtId="175" fontId="8" fillId="44" borderId="10" xfId="0" applyNumberFormat="1" applyFont="1" applyFill="1" applyBorder="1" applyAlignment="1">
      <alignment horizontal="right"/>
    </xf>
    <xf numFmtId="175" fontId="5" fillId="55" borderId="15" xfId="0" applyNumberFormat="1" applyFont="1" applyFill="1" applyBorder="1" applyAlignment="1">
      <alignment horizontal="right"/>
    </xf>
    <xf numFmtId="175" fontId="5" fillId="44" borderId="15" xfId="0" applyNumberFormat="1" applyFont="1" applyFill="1" applyBorder="1" applyAlignment="1">
      <alignment horizontal="right"/>
    </xf>
    <xf numFmtId="175" fontId="0" fillId="55" borderId="10" xfId="0" applyNumberFormat="1" applyFill="1" applyBorder="1" applyAlignment="1">
      <alignment horizontal="right"/>
    </xf>
    <xf numFmtId="175" fontId="0" fillId="44" borderId="10" xfId="0" applyNumberFormat="1" applyFill="1" applyBorder="1" applyAlignment="1">
      <alignment horizontal="right"/>
    </xf>
    <xf numFmtId="175" fontId="5" fillId="44" borderId="10" xfId="0" applyNumberFormat="1" applyFont="1" applyFill="1" applyBorder="1"/>
    <xf numFmtId="175" fontId="5" fillId="44" borderId="28" xfId="0" applyNumberFormat="1" applyFont="1" applyFill="1" applyBorder="1"/>
    <xf numFmtId="0" fontId="5" fillId="44" borderId="51" xfId="0" applyFont="1" applyFill="1" applyBorder="1"/>
    <xf numFmtId="0" fontId="5" fillId="44" borderId="10" xfId="0" applyFont="1" applyFill="1" applyBorder="1"/>
    <xf numFmtId="0" fontId="5" fillId="44" borderId="135" xfId="0" applyFont="1" applyFill="1" applyBorder="1"/>
    <xf numFmtId="0" fontId="5" fillId="44" borderId="29" xfId="0" applyFont="1" applyFill="1" applyBorder="1"/>
    <xf numFmtId="0" fontId="5" fillId="44" borderId="0" xfId="0" applyFont="1" applyFill="1"/>
    <xf numFmtId="0" fontId="5" fillId="44" borderId="28" xfId="0" applyFont="1" applyFill="1" applyBorder="1"/>
    <xf numFmtId="175" fontId="5" fillId="44" borderId="30" xfId="0" applyNumberFormat="1" applyFont="1" applyFill="1" applyBorder="1"/>
    <xf numFmtId="175" fontId="5" fillId="44" borderId="51" xfId="0" applyNumberFormat="1" applyFont="1" applyFill="1" applyBorder="1"/>
    <xf numFmtId="0" fontId="146" fillId="44" borderId="10" xfId="0" applyFont="1" applyFill="1" applyBorder="1"/>
    <xf numFmtId="175" fontId="8" fillId="44" borderId="10" xfId="0" applyNumberFormat="1" applyFont="1" applyFill="1" applyBorder="1"/>
    <xf numFmtId="2" fontId="8" fillId="43" borderId="0" xfId="0" applyNumberFormat="1" applyFont="1" applyFill="1" applyBorder="1"/>
    <xf numFmtId="2" fontId="8" fillId="55" borderId="0" xfId="0" applyNumberFormat="1" applyFont="1" applyFill="1" applyBorder="1"/>
    <xf numFmtId="2" fontId="8" fillId="55" borderId="15" xfId="0" applyNumberFormat="1" applyFont="1" applyFill="1" applyBorder="1"/>
    <xf numFmtId="2" fontId="7" fillId="55" borderId="14" xfId="0" applyNumberFormat="1" applyFont="1" applyFill="1" applyBorder="1" applyAlignment="1">
      <alignment horizontal="center"/>
    </xf>
    <xf numFmtId="0" fontId="7" fillId="55" borderId="12" xfId="0" applyFont="1" applyFill="1" applyBorder="1" applyAlignment="1">
      <alignment horizontal="center"/>
    </xf>
    <xf numFmtId="2" fontId="8" fillId="44" borderId="0" xfId="0" applyNumberFormat="1" applyFont="1" applyFill="1" applyBorder="1"/>
    <xf numFmtId="2" fontId="8" fillId="44" borderId="15" xfId="0" applyNumberFormat="1" applyFont="1" applyFill="1" applyBorder="1"/>
    <xf numFmtId="2" fontId="7" fillId="44" borderId="14" xfId="0" applyNumberFormat="1" applyFont="1" applyFill="1" applyBorder="1" applyAlignment="1">
      <alignment horizontal="center"/>
    </xf>
    <xf numFmtId="175" fontId="7" fillId="43" borderId="0" xfId="0" applyNumberFormat="1" applyFont="1" applyFill="1" applyBorder="1" applyAlignment="1">
      <alignment horizontal="center"/>
    </xf>
    <xf numFmtId="0" fontId="7" fillId="43" borderId="0" xfId="0" applyFont="1" applyFill="1" applyBorder="1" applyAlignment="1">
      <alignment horizontal="center"/>
    </xf>
    <xf numFmtId="175" fontId="7" fillId="55" borderId="0" xfId="0" applyNumberFormat="1" applyFont="1" applyFill="1" applyBorder="1" applyAlignment="1">
      <alignment horizontal="center"/>
    </xf>
    <xf numFmtId="0" fontId="7" fillId="55" borderId="0" xfId="0" applyFont="1" applyFill="1" applyBorder="1" applyAlignment="1">
      <alignment horizontal="center"/>
    </xf>
    <xf numFmtId="175" fontId="7" fillId="44" borderId="0" xfId="0" applyNumberFormat="1" applyFont="1" applyFill="1" applyBorder="1" applyAlignment="1">
      <alignment horizontal="center"/>
    </xf>
    <xf numFmtId="0" fontId="7" fillId="44" borderId="0" xfId="0" applyFont="1" applyFill="1" applyBorder="1" applyAlignment="1">
      <alignment horizontal="center"/>
    </xf>
    <xf numFmtId="175" fontId="7" fillId="43" borderId="10" xfId="0" applyNumberFormat="1" applyFont="1" applyFill="1" applyBorder="1" applyAlignment="1">
      <alignment horizontal="center"/>
    </xf>
    <xf numFmtId="175" fontId="7" fillId="55" borderId="10" xfId="0" applyNumberFormat="1" applyFont="1" applyFill="1" applyBorder="1" applyAlignment="1">
      <alignment horizontal="center"/>
    </xf>
    <xf numFmtId="175" fontId="7" fillId="44" borderId="10" xfId="0" applyNumberFormat="1" applyFont="1" applyFill="1" applyBorder="1" applyAlignment="1">
      <alignment horizontal="center"/>
    </xf>
    <xf numFmtId="175" fontId="5" fillId="43" borderId="10" xfId="0" applyNumberFormat="1" applyFont="1" applyFill="1" applyBorder="1" applyAlignment="1">
      <alignment horizontal="right"/>
    </xf>
    <xf numFmtId="175" fontId="0" fillId="43" borderId="10" xfId="0" applyNumberFormat="1" applyFill="1" applyBorder="1" applyAlignment="1">
      <alignment horizontal="right"/>
    </xf>
    <xf numFmtId="175" fontId="5" fillId="43" borderId="15" xfId="0" applyNumberFormat="1" applyFont="1" applyFill="1" applyBorder="1" applyAlignment="1">
      <alignment horizontal="right"/>
    </xf>
    <xf numFmtId="14" fontId="8" fillId="43" borderId="0" xfId="0" applyNumberFormat="1" applyFont="1" applyFill="1"/>
    <xf numFmtId="0" fontId="52" fillId="43" borderId="0" xfId="0" applyFont="1" applyFill="1"/>
    <xf numFmtId="14" fontId="8" fillId="55" borderId="0" xfId="0" applyNumberFormat="1" applyFont="1" applyFill="1"/>
    <xf numFmtId="0" fontId="52" fillId="55" borderId="0" xfId="0" applyFont="1" applyFill="1"/>
    <xf numFmtId="14" fontId="8" fillId="44" borderId="0" xfId="0" applyNumberFormat="1" applyFont="1" applyFill="1"/>
    <xf numFmtId="0" fontId="52" fillId="44" borderId="0" xfId="0" applyFont="1" applyFill="1"/>
    <xf numFmtId="175" fontId="7" fillId="41" borderId="10" xfId="0" applyNumberFormat="1" applyFont="1" applyFill="1" applyBorder="1" applyAlignment="1">
      <alignment horizontal="center"/>
    </xf>
    <xf numFmtId="175" fontId="5" fillId="41" borderId="10" xfId="0" applyNumberFormat="1" applyFont="1" applyFill="1" applyBorder="1" applyAlignment="1">
      <alignment horizontal="right"/>
    </xf>
    <xf numFmtId="175" fontId="5" fillId="41" borderId="15" xfId="0" applyNumberFormat="1" applyFont="1" applyFill="1" applyBorder="1" applyAlignment="1">
      <alignment horizontal="right"/>
    </xf>
    <xf numFmtId="14" fontId="8" fillId="41" borderId="0" xfId="0" applyNumberFormat="1" applyFont="1" applyFill="1"/>
    <xf numFmtId="2" fontId="8" fillId="41" borderId="0" xfId="0" applyNumberFormat="1" applyFont="1" applyFill="1"/>
    <xf numFmtId="0" fontId="52" fillId="41" borderId="0" xfId="0" applyFont="1" applyFill="1"/>
    <xf numFmtId="0" fontId="7" fillId="41" borderId="12" xfId="0" applyFont="1" applyFill="1" applyBorder="1" applyAlignment="1">
      <alignment horizontal="center"/>
    </xf>
    <xf numFmtId="2" fontId="7" fillId="41" borderId="10" xfId="0" applyNumberFormat="1" applyFont="1" applyFill="1" applyBorder="1" applyAlignment="1">
      <alignment horizontal="center"/>
    </xf>
    <xf numFmtId="175" fontId="8" fillId="41" borderId="10" xfId="0" applyNumberFormat="1" applyFont="1" applyFill="1" applyBorder="1" applyAlignment="1">
      <alignment horizontal="right"/>
    </xf>
    <xf numFmtId="175" fontId="5" fillId="41" borderId="10" xfId="0" applyNumberFormat="1" applyFont="1" applyFill="1" applyBorder="1"/>
    <xf numFmtId="175" fontId="5" fillId="41" borderId="28" xfId="0" applyNumberFormat="1" applyFont="1" applyFill="1" applyBorder="1"/>
    <xf numFmtId="0" fontId="5" fillId="41" borderId="51" xfId="0" applyFont="1" applyFill="1" applyBorder="1"/>
    <xf numFmtId="0" fontId="5" fillId="41" borderId="10" xfId="0" applyFont="1" applyFill="1" applyBorder="1"/>
    <xf numFmtId="0" fontId="5" fillId="41" borderId="135" xfId="0" applyFont="1" applyFill="1" applyBorder="1"/>
    <xf numFmtId="0" fontId="5" fillId="41" borderId="29" xfId="0" applyFont="1" applyFill="1" applyBorder="1"/>
    <xf numFmtId="0" fontId="5" fillId="41" borderId="28" xfId="0" applyFont="1" applyFill="1" applyBorder="1"/>
    <xf numFmtId="175" fontId="5" fillId="44" borderId="29" xfId="0" applyNumberFormat="1" applyFont="1" applyFill="1" applyBorder="1"/>
    <xf numFmtId="175" fontId="5" fillId="41" borderId="29" xfId="0" applyNumberFormat="1" applyFont="1" applyFill="1" applyBorder="1"/>
    <xf numFmtId="175" fontId="5" fillId="41" borderId="30" xfId="0" applyNumberFormat="1" applyFont="1" applyFill="1" applyBorder="1"/>
    <xf numFmtId="175" fontId="5" fillId="41" borderId="51" xfId="0" applyNumberFormat="1" applyFont="1" applyFill="1" applyBorder="1"/>
    <xf numFmtId="0" fontId="146" fillId="41" borderId="10" xfId="0" applyFont="1" applyFill="1" applyBorder="1"/>
    <xf numFmtId="2" fontId="8" fillId="58" borderId="55" xfId="0" applyNumberFormat="1" applyFont="1" applyFill="1" applyBorder="1"/>
    <xf numFmtId="2" fontId="8" fillId="58" borderId="54" xfId="0" applyNumberFormat="1" applyFont="1" applyFill="1" applyBorder="1"/>
    <xf numFmtId="2" fontId="8" fillId="58" borderId="52" xfId="0" applyNumberFormat="1" applyFont="1" applyFill="1" applyBorder="1"/>
    <xf numFmtId="2" fontId="7" fillId="58" borderId="12" xfId="0" applyNumberFormat="1" applyFont="1" applyFill="1" applyBorder="1" applyAlignment="1">
      <alignment horizontal="center"/>
    </xf>
    <xf numFmtId="2" fontId="8" fillId="58" borderId="13" xfId="0" applyNumberFormat="1" applyFont="1" applyFill="1" applyBorder="1"/>
    <xf numFmtId="175" fontId="8" fillId="58" borderId="10" xfId="0" applyNumberFormat="1" applyFont="1" applyFill="1" applyBorder="1" applyAlignment="1">
      <alignment horizontal="right"/>
    </xf>
    <xf numFmtId="175" fontId="5" fillId="58" borderId="10" xfId="0" applyNumberFormat="1" applyFont="1" applyFill="1" applyBorder="1"/>
    <xf numFmtId="175" fontId="5" fillId="58" borderId="28" xfId="0" applyNumberFormat="1" applyFont="1" applyFill="1" applyBorder="1"/>
    <xf numFmtId="0" fontId="5" fillId="58" borderId="51" xfId="0" applyFont="1" applyFill="1" applyBorder="1"/>
    <xf numFmtId="0" fontId="5" fillId="58" borderId="10" xfId="0" applyFont="1" applyFill="1" applyBorder="1"/>
    <xf numFmtId="0" fontId="5" fillId="58" borderId="135" xfId="0" applyFont="1" applyFill="1" applyBorder="1"/>
    <xf numFmtId="0" fontId="5" fillId="58" borderId="0" xfId="0" applyFont="1" applyFill="1"/>
    <xf numFmtId="0" fontId="5" fillId="58" borderId="28" xfId="0" applyFont="1" applyFill="1" applyBorder="1"/>
    <xf numFmtId="175" fontId="5" fillId="58" borderId="29" xfId="0" applyNumberFormat="1" applyFont="1" applyFill="1" applyBorder="1"/>
    <xf numFmtId="175" fontId="5" fillId="58" borderId="30" xfId="0" applyNumberFormat="1" applyFont="1" applyFill="1" applyBorder="1"/>
    <xf numFmtId="175" fontId="5" fillId="58" borderId="51" xfId="0" applyNumberFormat="1" applyFont="1" applyFill="1" applyBorder="1"/>
    <xf numFmtId="0" fontId="146" fillId="58" borderId="10" xfId="0" applyFont="1" applyFill="1" applyBorder="1"/>
    <xf numFmtId="175" fontId="8" fillId="58" borderId="10" xfId="0" applyNumberFormat="1" applyFont="1" applyFill="1" applyBorder="1"/>
    <xf numFmtId="2" fontId="8" fillId="58" borderId="0" xfId="0" applyNumberFormat="1" applyFont="1" applyFill="1" applyBorder="1"/>
    <xf numFmtId="2" fontId="8" fillId="58" borderId="15" xfId="0" applyNumberFormat="1" applyFont="1" applyFill="1" applyBorder="1"/>
    <xf numFmtId="2" fontId="7" fillId="58" borderId="14" xfId="0" applyNumberFormat="1" applyFont="1" applyFill="1" applyBorder="1" applyAlignment="1">
      <alignment horizontal="center"/>
    </xf>
    <xf numFmtId="0" fontId="7" fillId="58" borderId="12" xfId="0" applyFont="1" applyFill="1" applyBorder="1" applyAlignment="1">
      <alignment horizontal="center"/>
    </xf>
    <xf numFmtId="0" fontId="8" fillId="39" borderId="12" xfId="0" applyFont="1" applyFill="1" applyBorder="1" applyAlignment="1">
      <alignment horizontal="center" vertical="center"/>
    </xf>
    <xf numFmtId="3" fontId="8" fillId="39" borderId="177" xfId="0" applyNumberFormat="1" applyFont="1" applyFill="1" applyBorder="1" applyAlignment="1">
      <alignment horizontal="center" vertical="center"/>
    </xf>
    <xf numFmtId="3" fontId="8" fillId="39" borderId="177" xfId="0" applyNumberFormat="1" applyFont="1" applyFill="1" applyBorder="1" applyAlignment="1">
      <alignment horizontal="center"/>
    </xf>
    <xf numFmtId="4" fontId="8" fillId="39" borderId="177" xfId="0" applyNumberFormat="1" applyFont="1" applyFill="1" applyBorder="1" applyAlignment="1">
      <alignment horizontal="center" vertical="center"/>
    </xf>
    <xf numFmtId="167" fontId="8" fillId="39" borderId="177" xfId="0" applyNumberFormat="1" applyFont="1" applyFill="1" applyBorder="1" applyAlignment="1">
      <alignment horizontal="center" vertical="center"/>
    </xf>
    <xf numFmtId="168" fontId="8" fillId="39" borderId="177" xfId="203" applyNumberFormat="1" applyFont="1" applyFill="1" applyBorder="1" applyAlignment="1">
      <alignment horizontal="center" vertical="center"/>
    </xf>
    <xf numFmtId="10" fontId="8" fillId="39" borderId="177" xfId="203" applyNumberFormat="1" applyFont="1" applyFill="1" applyBorder="1" applyAlignment="1">
      <alignment horizontal="center" vertical="center"/>
    </xf>
    <xf numFmtId="0" fontId="7" fillId="39" borderId="0" xfId="0" applyFont="1" applyFill="1" applyBorder="1" applyAlignment="1">
      <alignment horizontal="center"/>
    </xf>
    <xf numFmtId="175" fontId="7" fillId="39" borderId="0" xfId="0" applyNumberFormat="1" applyFont="1" applyFill="1" applyBorder="1" applyAlignment="1">
      <alignment horizontal="center"/>
    </xf>
    <xf numFmtId="2" fontId="8" fillId="39" borderId="0" xfId="0" applyNumberFormat="1" applyFont="1" applyFill="1" applyBorder="1"/>
    <xf numFmtId="0" fontId="8" fillId="39" borderId="0" xfId="0" applyFont="1" applyFill="1"/>
    <xf numFmtId="2" fontId="8" fillId="39" borderId="0" xfId="0" applyNumberFormat="1" applyFont="1" applyFill="1"/>
    <xf numFmtId="0" fontId="8" fillId="39" borderId="10" xfId="0" applyFont="1" applyFill="1" applyBorder="1"/>
    <xf numFmtId="2" fontId="8" fillId="39" borderId="10" xfId="0" applyNumberFormat="1" applyFont="1" applyFill="1" applyBorder="1" applyAlignment="1">
      <alignment horizontal="right"/>
    </xf>
    <xf numFmtId="2" fontId="8" fillId="39" borderId="10" xfId="0" applyNumberFormat="1" applyFont="1" applyFill="1" applyBorder="1"/>
    <xf numFmtId="175" fontId="8" fillId="39" borderId="10" xfId="0" applyNumberFormat="1" applyFont="1" applyFill="1" applyBorder="1"/>
    <xf numFmtId="175" fontId="5" fillId="39" borderId="10" xfId="0" applyNumberFormat="1" applyFont="1" applyFill="1" applyBorder="1"/>
    <xf numFmtId="0" fontId="146" fillId="39" borderId="10" xfId="0" applyFont="1" applyFill="1" applyBorder="1"/>
    <xf numFmtId="175" fontId="5" fillId="39" borderId="51" xfId="0" applyNumberFormat="1" applyFont="1" applyFill="1" applyBorder="1"/>
    <xf numFmtId="175" fontId="5" fillId="39" borderId="30" xfId="0" applyNumberFormat="1" applyFont="1" applyFill="1" applyBorder="1"/>
    <xf numFmtId="175" fontId="5" fillId="39" borderId="28" xfId="0" applyNumberFormat="1" applyFont="1" applyFill="1" applyBorder="1"/>
    <xf numFmtId="175" fontId="5" fillId="39" borderId="29" xfId="0" applyNumberFormat="1" applyFont="1" applyFill="1" applyBorder="1"/>
    <xf numFmtId="0" fontId="5" fillId="39" borderId="28" xfId="0" applyFont="1" applyFill="1" applyBorder="1"/>
    <xf numFmtId="0" fontId="5" fillId="39" borderId="29" xfId="0" applyFont="1" applyFill="1" applyBorder="1"/>
    <xf numFmtId="0" fontId="5" fillId="39" borderId="135" xfId="0" applyFont="1" applyFill="1" applyBorder="1"/>
    <xf numFmtId="0" fontId="5" fillId="39" borderId="10" xfId="0" applyFont="1" applyFill="1" applyBorder="1"/>
    <xf numFmtId="0" fontId="5" fillId="39" borderId="51" xfId="0" applyFont="1" applyFill="1" applyBorder="1"/>
    <xf numFmtId="175" fontId="8" fillId="39" borderId="10" xfId="0" applyNumberFormat="1" applyFont="1" applyFill="1" applyBorder="1" applyAlignment="1">
      <alignment horizontal="right"/>
    </xf>
    <xf numFmtId="0" fontId="7" fillId="39" borderId="10" xfId="0" applyFont="1" applyFill="1" applyBorder="1" applyAlignment="1">
      <alignment horizontal="center"/>
    </xf>
    <xf numFmtId="2" fontId="7" fillId="39" borderId="10" xfId="0" applyNumberFormat="1" applyFont="1" applyFill="1" applyBorder="1" applyAlignment="1">
      <alignment horizontal="center"/>
    </xf>
    <xf numFmtId="0" fontId="52" fillId="39" borderId="0" xfId="0" applyFont="1" applyFill="1"/>
    <xf numFmtId="14" fontId="8" fillId="39" borderId="0" xfId="0" applyNumberFormat="1" applyFont="1" applyFill="1"/>
    <xf numFmtId="175" fontId="5" fillId="39" borderId="10" xfId="0" applyNumberFormat="1" applyFont="1" applyFill="1" applyBorder="1" applyAlignment="1">
      <alignment horizontal="right"/>
    </xf>
    <xf numFmtId="175" fontId="0" fillId="39" borderId="10" xfId="0" applyNumberFormat="1" applyFill="1" applyBorder="1" applyAlignment="1">
      <alignment horizontal="right"/>
    </xf>
    <xf numFmtId="175" fontId="5" fillId="39" borderId="15" xfId="0" applyNumberFormat="1" applyFont="1" applyFill="1" applyBorder="1" applyAlignment="1">
      <alignment horizontal="right"/>
    </xf>
    <xf numFmtId="175" fontId="7" fillId="39" borderId="10" xfId="0" applyNumberFormat="1" applyFont="1" applyFill="1" applyBorder="1" applyAlignment="1">
      <alignment horizontal="center"/>
    </xf>
    <xf numFmtId="2" fontId="7" fillId="39" borderId="14" xfId="0" applyNumberFormat="1" applyFont="1" applyFill="1" applyBorder="1" applyAlignment="1">
      <alignment horizontal="center"/>
    </xf>
    <xf numFmtId="2" fontId="8" fillId="39" borderId="15" xfId="0" applyNumberFormat="1" applyFont="1" applyFill="1" applyBorder="1"/>
    <xf numFmtId="169" fontId="8" fillId="39" borderId="179" xfId="0" applyNumberFormat="1" applyFont="1" applyFill="1" applyBorder="1" applyAlignment="1">
      <alignment horizontal="center" vertical="center"/>
    </xf>
    <xf numFmtId="0" fontId="8" fillId="39" borderId="177" xfId="0" applyFont="1" applyFill="1" applyBorder="1" applyAlignment="1">
      <alignment horizontal="center" vertical="center" wrapText="1"/>
    </xf>
    <xf numFmtId="186" fontId="8" fillId="39" borderId="177" xfId="0" applyNumberFormat="1" applyFont="1" applyFill="1" applyBorder="1" applyAlignment="1">
      <alignment horizontal="center" vertical="center"/>
    </xf>
    <xf numFmtId="180" fontId="8" fillId="39" borderId="15" xfId="0" applyNumberFormat="1" applyFont="1" applyFill="1" applyBorder="1" applyAlignment="1"/>
    <xf numFmtId="2" fontId="7" fillId="41" borderId="14" xfId="0" applyNumberFormat="1" applyFont="1" applyFill="1" applyBorder="1" applyAlignment="1">
      <alignment horizontal="center"/>
    </xf>
    <xf numFmtId="2" fontId="8" fillId="41" borderId="15" xfId="0" applyNumberFormat="1" applyFont="1" applyFill="1" applyBorder="1"/>
    <xf numFmtId="0" fontId="8" fillId="60" borderId="181" xfId="0" applyFont="1" applyFill="1" applyBorder="1" applyAlignment="1">
      <alignment horizontal="center" vertical="center"/>
    </xf>
    <xf numFmtId="0" fontId="8" fillId="60" borderId="179" xfId="0" applyFont="1" applyFill="1" applyBorder="1" applyAlignment="1">
      <alignment horizontal="center" vertical="center"/>
    </xf>
    <xf numFmtId="3" fontId="8" fillId="60" borderId="179" xfId="0" applyNumberFormat="1" applyFont="1" applyFill="1" applyBorder="1" applyAlignment="1">
      <alignment horizontal="center" vertical="center"/>
    </xf>
    <xf numFmtId="169" fontId="8" fillId="60" borderId="179" xfId="0" applyNumberFormat="1" applyFont="1" applyFill="1" applyBorder="1" applyAlignment="1">
      <alignment horizontal="center" vertical="center"/>
    </xf>
    <xf numFmtId="4" fontId="8" fillId="60" borderId="179" xfId="0" applyNumberFormat="1" applyFont="1" applyFill="1" applyBorder="1" applyAlignment="1">
      <alignment horizontal="center" vertical="center"/>
    </xf>
    <xf numFmtId="185" fontId="8" fillId="60" borderId="179" xfId="0" applyNumberFormat="1" applyFont="1" applyFill="1" applyBorder="1" applyAlignment="1">
      <alignment horizontal="center" vertical="center"/>
    </xf>
    <xf numFmtId="167" fontId="8" fillId="60" borderId="179" xfId="0" applyNumberFormat="1" applyFont="1" applyFill="1" applyBorder="1" applyAlignment="1">
      <alignment horizontal="center" vertical="center"/>
    </xf>
    <xf numFmtId="168" fontId="8" fillId="60" borderId="179" xfId="203" applyNumberFormat="1" applyFont="1" applyFill="1" applyBorder="1" applyAlignment="1">
      <alignment horizontal="center" vertical="center"/>
    </xf>
    <xf numFmtId="10" fontId="8" fillId="60" borderId="179" xfId="203" applyNumberFormat="1" applyFont="1" applyFill="1" applyBorder="1" applyAlignment="1">
      <alignment horizontal="center" vertical="center"/>
    </xf>
    <xf numFmtId="180" fontId="52" fillId="60" borderId="180" xfId="0" applyNumberFormat="1" applyFont="1" applyFill="1" applyBorder="1" applyAlignment="1">
      <alignment horizontal="center" vertical="center"/>
    </xf>
    <xf numFmtId="0" fontId="8" fillId="60" borderId="11" xfId="0" applyFont="1" applyFill="1" applyBorder="1" applyAlignment="1">
      <alignment horizontal="center" vertical="center"/>
    </xf>
    <xf numFmtId="0" fontId="8" fillId="60" borderId="178" xfId="0" applyFont="1" applyFill="1" applyBorder="1" applyAlignment="1">
      <alignment horizontal="center" vertical="center"/>
    </xf>
    <xf numFmtId="3" fontId="8" fillId="60" borderId="178" xfId="0" applyNumberFormat="1" applyFont="1" applyFill="1" applyBorder="1" applyAlignment="1">
      <alignment horizontal="center" vertical="center"/>
    </xf>
    <xf numFmtId="169" fontId="8" fillId="60" borderId="178" xfId="0" applyNumberFormat="1" applyFont="1" applyFill="1" applyBorder="1" applyAlignment="1">
      <alignment horizontal="center" vertical="center"/>
    </xf>
    <xf numFmtId="4" fontId="8" fillId="60" borderId="178" xfId="0" applyNumberFormat="1" applyFont="1" applyFill="1" applyBorder="1" applyAlignment="1">
      <alignment horizontal="center" vertical="center"/>
    </xf>
    <xf numFmtId="185" fontId="8" fillId="60" borderId="178" xfId="0" applyNumberFormat="1" applyFont="1" applyFill="1" applyBorder="1" applyAlignment="1">
      <alignment horizontal="center" vertical="center"/>
    </xf>
    <xf numFmtId="167" fontId="8" fillId="60" borderId="178" xfId="0" applyNumberFormat="1" applyFont="1" applyFill="1" applyBorder="1" applyAlignment="1">
      <alignment horizontal="center" vertical="center"/>
    </xf>
    <xf numFmtId="168" fontId="8" fillId="60" borderId="178" xfId="203" applyNumberFormat="1" applyFont="1" applyFill="1" applyBorder="1" applyAlignment="1">
      <alignment horizontal="center" vertical="center"/>
    </xf>
    <xf numFmtId="10" fontId="8" fillId="60" borderId="178" xfId="203" applyNumberFormat="1" applyFont="1" applyFill="1" applyBorder="1" applyAlignment="1">
      <alignment horizontal="center" vertical="center"/>
    </xf>
    <xf numFmtId="0" fontId="8" fillId="55" borderId="12" xfId="0" applyFont="1" applyFill="1" applyBorder="1" applyAlignment="1">
      <alignment horizontal="center" vertical="center"/>
    </xf>
    <xf numFmtId="0" fontId="8" fillId="55" borderId="177" xfId="0" applyFont="1" applyFill="1" applyBorder="1" applyAlignment="1">
      <alignment horizontal="center" vertical="center"/>
    </xf>
    <xf numFmtId="3" fontId="8" fillId="55" borderId="177" xfId="0" applyNumberFormat="1" applyFont="1" applyFill="1" applyBorder="1" applyAlignment="1">
      <alignment horizontal="center" vertical="center"/>
    </xf>
    <xf numFmtId="3" fontId="8" fillId="55" borderId="177" xfId="0" applyNumberFormat="1" applyFont="1" applyFill="1" applyBorder="1" applyAlignment="1">
      <alignment horizontal="center"/>
    </xf>
    <xf numFmtId="169" fontId="8" fillId="55" borderId="177" xfId="0" applyNumberFormat="1" applyFont="1" applyFill="1" applyBorder="1" applyAlignment="1">
      <alignment horizontal="center" vertical="center"/>
    </xf>
    <xf numFmtId="4" fontId="8" fillId="55" borderId="177" xfId="0" applyNumberFormat="1" applyFont="1" applyFill="1" applyBorder="1" applyAlignment="1">
      <alignment horizontal="center" vertical="center"/>
    </xf>
    <xf numFmtId="185" fontId="51" fillId="55" borderId="177" xfId="0" applyNumberFormat="1" applyFont="1" applyFill="1" applyBorder="1" applyAlignment="1">
      <alignment horizontal="center" vertical="center"/>
    </xf>
    <xf numFmtId="167" fontId="8" fillId="55" borderId="177" xfId="0" applyNumberFormat="1" applyFont="1" applyFill="1" applyBorder="1" applyAlignment="1">
      <alignment horizontal="center" vertical="center"/>
    </xf>
    <xf numFmtId="168" fontId="8" fillId="55" borderId="177" xfId="203" applyNumberFormat="1" applyFont="1" applyFill="1" applyBorder="1" applyAlignment="1">
      <alignment horizontal="center" vertical="center"/>
    </xf>
    <xf numFmtId="10" fontId="8" fillId="55" borderId="177" xfId="203" applyNumberFormat="1" applyFont="1" applyFill="1" applyBorder="1" applyAlignment="1">
      <alignment horizontal="center" vertical="center"/>
    </xf>
    <xf numFmtId="180" fontId="8" fillId="55" borderId="180" xfId="0" applyNumberFormat="1" applyFont="1" applyFill="1" applyBorder="1" applyAlignment="1"/>
    <xf numFmtId="0" fontId="0" fillId="41" borderId="0" xfId="0" applyFill="1"/>
    <xf numFmtId="175" fontId="5" fillId="50" borderId="10" xfId="0" applyNumberFormat="1" applyFont="1" applyFill="1" applyBorder="1" applyAlignment="1">
      <alignment horizontal="right"/>
    </xf>
    <xf numFmtId="0" fontId="8" fillId="39" borderId="12" xfId="0" applyFont="1" applyFill="1" applyBorder="1" applyAlignment="1">
      <alignment horizontal="center"/>
    </xf>
    <xf numFmtId="3" fontId="8" fillId="39" borderId="10" xfId="0" applyNumberFormat="1" applyFont="1" applyFill="1" applyBorder="1" applyAlignment="1">
      <alignment horizontal="center" vertical="center"/>
    </xf>
    <xf numFmtId="4" fontId="41" fillId="39" borderId="16" xfId="184" applyNumberFormat="1" applyFont="1" applyFill="1" applyBorder="1" applyAlignment="1">
      <alignment horizontal="center" vertical="center"/>
    </xf>
    <xf numFmtId="167" fontId="8" fillId="39" borderId="10" xfId="0" applyNumberFormat="1" applyFont="1" applyFill="1" applyBorder="1" applyAlignment="1">
      <alignment horizontal="center"/>
    </xf>
    <xf numFmtId="181" fontId="12" fillId="39" borderId="10" xfId="203" applyNumberFormat="1" applyFont="1" applyFill="1" applyBorder="1" applyAlignment="1">
      <alignment horizontal="center"/>
    </xf>
    <xf numFmtId="0" fontId="26" fillId="39" borderId="0" xfId="0" applyFont="1" applyFill="1"/>
    <xf numFmtId="4" fontId="41" fillId="39" borderId="10" xfId="184" applyNumberFormat="1" applyFont="1" applyFill="1" applyBorder="1" applyAlignment="1">
      <alignment horizontal="center" vertical="center"/>
    </xf>
    <xf numFmtId="0" fontId="8" fillId="39" borderId="10" xfId="0" applyFont="1" applyFill="1" applyBorder="1" applyAlignment="1">
      <alignment horizontal="center" wrapText="1"/>
    </xf>
    <xf numFmtId="3" fontId="54" fillId="39" borderId="16" xfId="173" applyNumberFormat="1" applyFont="1" applyFill="1" applyBorder="1" applyAlignment="1">
      <alignment horizontal="center" vertical="center"/>
    </xf>
    <xf numFmtId="4" fontId="8" fillId="39" borderId="10" xfId="0" applyNumberFormat="1" applyFont="1" applyFill="1" applyBorder="1" applyAlignment="1">
      <alignment horizontal="center"/>
    </xf>
    <xf numFmtId="172" fontId="8" fillId="39" borderId="10" xfId="0" applyNumberFormat="1" applyFont="1" applyFill="1" applyBorder="1" applyAlignment="1">
      <alignment horizontal="center"/>
    </xf>
    <xf numFmtId="0" fontId="10" fillId="39" borderId="12" xfId="0" applyFont="1" applyFill="1" applyBorder="1" applyAlignment="1">
      <alignment horizontal="center"/>
    </xf>
    <xf numFmtId="3" fontId="40" fillId="39" borderId="10" xfId="0" applyNumberFormat="1" applyFont="1" applyFill="1" applyBorder="1" applyAlignment="1">
      <alignment horizontal="center" vertical="center"/>
    </xf>
    <xf numFmtId="3" fontId="10" fillId="39" borderId="10" xfId="0" applyNumberFormat="1" applyFont="1" applyFill="1" applyBorder="1" applyAlignment="1">
      <alignment horizontal="center" vertical="center"/>
    </xf>
    <xf numFmtId="4" fontId="79" fillId="39" borderId="16" xfId="184" applyNumberFormat="1" applyFont="1" applyFill="1" applyBorder="1" applyAlignment="1">
      <alignment horizontal="center" vertical="center"/>
    </xf>
    <xf numFmtId="167" fontId="10" fillId="39" borderId="10" xfId="0" applyNumberFormat="1" applyFont="1" applyFill="1" applyBorder="1" applyAlignment="1">
      <alignment horizontal="center"/>
    </xf>
    <xf numFmtId="181" fontId="45" fillId="39" borderId="10" xfId="0" applyNumberFormat="1" applyFont="1" applyFill="1" applyBorder="1" applyAlignment="1">
      <alignment horizontal="center"/>
    </xf>
    <xf numFmtId="175" fontId="57" fillId="39" borderId="0" xfId="0" applyNumberFormat="1" applyFont="1" applyFill="1"/>
    <xf numFmtId="4" fontId="0" fillId="39" borderId="0" xfId="0" applyNumberFormat="1" applyFill="1"/>
    <xf numFmtId="4" fontId="79" fillId="39" borderId="10" xfId="184" applyNumberFormat="1" applyFont="1" applyFill="1" applyBorder="1" applyAlignment="1">
      <alignment horizontal="center" vertical="center"/>
    </xf>
    <xf numFmtId="181" fontId="10" fillId="39" borderId="10" xfId="0" applyNumberFormat="1" applyFont="1" applyFill="1" applyBorder="1" applyAlignment="1">
      <alignment horizontal="center"/>
    </xf>
    <xf numFmtId="0" fontId="10" fillId="39" borderId="10" xfId="0" applyFont="1" applyFill="1" applyBorder="1" applyAlignment="1">
      <alignment horizontal="center" wrapText="1"/>
    </xf>
    <xf numFmtId="4" fontId="10" fillId="39" borderId="10" xfId="0" applyNumberFormat="1" applyFont="1" applyFill="1" applyBorder="1" applyAlignment="1">
      <alignment horizontal="center"/>
    </xf>
    <xf numFmtId="175" fontId="57" fillId="39" borderId="0" xfId="0" applyNumberFormat="1" applyFont="1" applyFill="1" applyBorder="1" applyAlignment="1">
      <alignment horizontal="center"/>
    </xf>
    <xf numFmtId="175" fontId="0" fillId="39" borderId="0" xfId="0" applyNumberFormat="1" applyFill="1" applyBorder="1"/>
    <xf numFmtId="0" fontId="8" fillId="41" borderId="12" xfId="0" applyFont="1" applyFill="1" applyBorder="1" applyAlignment="1">
      <alignment horizontal="center"/>
    </xf>
    <xf numFmtId="4" fontId="41" fillId="41" borderId="16" xfId="184" applyNumberFormat="1" applyFont="1" applyFill="1" applyBorder="1" applyAlignment="1">
      <alignment horizontal="center" vertical="center"/>
    </xf>
    <xf numFmtId="0" fontId="82" fillId="41" borderId="0" xfId="0" applyFont="1" applyFill="1"/>
    <xf numFmtId="4" fontId="41" fillId="41" borderId="10" xfId="184" applyNumberFormat="1" applyFont="1" applyFill="1" applyBorder="1" applyAlignment="1">
      <alignment horizontal="center" vertical="center"/>
    </xf>
    <xf numFmtId="167" fontId="10" fillId="41" borderId="10" xfId="0" applyNumberFormat="1" applyFont="1" applyFill="1" applyBorder="1" applyAlignment="1">
      <alignment horizontal="center"/>
    </xf>
    <xf numFmtId="181" fontId="10" fillId="41" borderId="13" xfId="203" applyNumberFormat="1" applyFont="1" applyFill="1" applyBorder="1" applyAlignment="1">
      <alignment horizontal="center"/>
    </xf>
    <xf numFmtId="175" fontId="0" fillId="41" borderId="0" xfId="0" applyNumberFormat="1" applyFill="1" applyBorder="1"/>
    <xf numFmtId="181" fontId="10" fillId="41" borderId="13" xfId="0" applyNumberFormat="1" applyFont="1" applyFill="1" applyBorder="1" applyAlignment="1">
      <alignment horizontal="center" vertical="center"/>
    </xf>
    <xf numFmtId="0" fontId="10" fillId="41" borderId="12" xfId="0" applyFont="1" applyFill="1" applyBorder="1" applyAlignment="1">
      <alignment horizontal="center"/>
    </xf>
    <xf numFmtId="3" fontId="40" fillId="41" borderId="10" xfId="0" applyNumberFormat="1" applyFont="1" applyFill="1" applyBorder="1" applyAlignment="1">
      <alignment horizontal="center" vertical="center"/>
    </xf>
    <xf numFmtId="4" fontId="79" fillId="41" borderId="16" xfId="184" applyNumberFormat="1" applyFont="1" applyFill="1" applyBorder="1" applyAlignment="1">
      <alignment horizontal="center" vertical="center"/>
    </xf>
    <xf numFmtId="4" fontId="79" fillId="41" borderId="10" xfId="184" applyNumberFormat="1" applyFont="1" applyFill="1" applyBorder="1" applyAlignment="1">
      <alignment horizontal="center" vertical="center"/>
    </xf>
    <xf numFmtId="181" fontId="83" fillId="39" borderId="10" xfId="0" applyNumberFormat="1" applyFont="1" applyFill="1" applyBorder="1" applyAlignment="1">
      <alignment horizontal="center"/>
    </xf>
    <xf numFmtId="3" fontId="86" fillId="39" borderId="10" xfId="0" applyNumberFormat="1" applyFont="1" applyFill="1" applyBorder="1" applyAlignment="1">
      <alignment horizontal="center" vertical="center"/>
    </xf>
    <xf numFmtId="175" fontId="87" fillId="39" borderId="0" xfId="0" applyNumberFormat="1" applyFont="1" applyFill="1"/>
    <xf numFmtId="181" fontId="10" fillId="39" borderId="10" xfId="203" applyNumberFormat="1" applyFont="1" applyFill="1" applyBorder="1" applyAlignment="1">
      <alignment horizontal="center"/>
    </xf>
    <xf numFmtId="181" fontId="86" fillId="39" borderId="10" xfId="0" applyNumberFormat="1" applyFont="1" applyFill="1" applyBorder="1" applyAlignment="1">
      <alignment horizontal="center"/>
    </xf>
    <xf numFmtId="0" fontId="53" fillId="41" borderId="10" xfId="0" applyFont="1" applyFill="1" applyBorder="1" applyAlignment="1">
      <alignment horizontal="center" wrapText="1"/>
    </xf>
    <xf numFmtId="2" fontId="51" fillId="0" borderId="10" xfId="0" applyNumberFormat="1" applyFont="1" applyBorder="1" applyAlignment="1">
      <alignment horizontal="center"/>
    </xf>
    <xf numFmtId="171" fontId="10" fillId="0" borderId="10" xfId="0" applyNumberFormat="1" applyFont="1" applyFill="1" applyBorder="1" applyAlignment="1">
      <alignment horizontal="center"/>
    </xf>
    <xf numFmtId="187" fontId="10" fillId="0" borderId="10" xfId="0" applyNumberFormat="1" applyFont="1" applyFill="1" applyBorder="1" applyAlignment="1">
      <alignment horizontal="center"/>
    </xf>
    <xf numFmtId="0" fontId="150" fillId="0" borderId="92" xfId="255" applyFont="1" applyBorder="1" applyAlignment="1">
      <alignment horizontal="center" vertical="center" wrapText="1"/>
    </xf>
    <xf numFmtId="0" fontId="150" fillId="0" borderId="93" xfId="255" applyFont="1" applyBorder="1" applyAlignment="1">
      <alignment horizontal="center" vertical="center" wrapText="1"/>
    </xf>
    <xf numFmtId="0" fontId="150" fillId="0" borderId="98" xfId="255" applyFont="1" applyBorder="1" applyAlignment="1">
      <alignment horizontal="center" vertical="center" wrapText="1"/>
    </xf>
    <xf numFmtId="0" fontId="150" fillId="0" borderId="75" xfId="255" applyFont="1" applyBorder="1" applyAlignment="1">
      <alignment horizontal="center" vertical="center" wrapText="1"/>
    </xf>
    <xf numFmtId="0" fontId="8" fillId="0" borderId="12" xfId="0" applyFont="1" applyFill="1" applyBorder="1" applyAlignment="1">
      <alignment vertical="center" wrapText="1"/>
    </xf>
    <xf numFmtId="0" fontId="59" fillId="0" borderId="16" xfId="173" applyFont="1" applyBorder="1" applyAlignment="1">
      <alignment horizontal="center" vertical="center" wrapText="1"/>
    </xf>
    <xf numFmtId="0" fontId="104" fillId="41" borderId="10" xfId="0" applyFont="1" applyFill="1" applyBorder="1"/>
    <xf numFmtId="0" fontId="151" fillId="41" borderId="0" xfId="256" applyFill="1" applyAlignment="1" applyProtection="1"/>
    <xf numFmtId="3" fontId="135" fillId="24" borderId="10" xfId="0" applyNumberFormat="1" applyFont="1" applyFill="1" applyBorder="1" applyAlignment="1">
      <alignment horizontal="center" vertical="center"/>
    </xf>
    <xf numFmtId="171" fontId="54" fillId="0" borderId="33" xfId="184" applyNumberFormat="1" applyFont="1" applyFill="1" applyBorder="1" applyAlignment="1">
      <alignment horizontal="center" vertical="center"/>
    </xf>
    <xf numFmtId="4" fontId="54" fillId="0" borderId="10" xfId="184" applyNumberFormat="1" applyFont="1" applyFill="1" applyBorder="1" applyAlignment="1">
      <alignment horizontal="center" vertical="center"/>
    </xf>
    <xf numFmtId="4" fontId="54" fillId="0" borderId="16" xfId="184" applyNumberFormat="1" applyFont="1" applyFill="1" applyBorder="1" applyAlignment="1">
      <alignment horizontal="center" vertical="center"/>
    </xf>
    <xf numFmtId="4" fontId="54" fillId="41" borderId="16" xfId="184" applyNumberFormat="1" applyFont="1" applyFill="1" applyBorder="1" applyAlignment="1">
      <alignment horizontal="center" vertical="center"/>
    </xf>
    <xf numFmtId="4" fontId="54" fillId="41" borderId="10" xfId="184" applyNumberFormat="1" applyFont="1" applyFill="1" applyBorder="1" applyAlignment="1">
      <alignment horizontal="center" vertical="center"/>
    </xf>
    <xf numFmtId="172" fontId="13" fillId="39" borderId="10" xfId="0" applyNumberFormat="1" applyFont="1" applyFill="1" applyBorder="1" applyAlignment="1">
      <alignment horizontal="center"/>
    </xf>
    <xf numFmtId="0" fontId="3" fillId="0" borderId="0" xfId="257" applyAlignment="1">
      <alignment horizontal="center" vertical="center"/>
    </xf>
    <xf numFmtId="0" fontId="3" fillId="0" borderId="0" xfId="257" applyAlignment="1">
      <alignment vertical="center"/>
    </xf>
    <xf numFmtId="0" fontId="153" fillId="0" borderId="0" xfId="257" applyFont="1" applyAlignment="1">
      <alignment horizontal="left" vertical="center"/>
    </xf>
    <xf numFmtId="0" fontId="152" fillId="61" borderId="10" xfId="257" applyFont="1" applyFill="1" applyBorder="1" applyAlignment="1">
      <alignment vertical="center"/>
    </xf>
    <xf numFmtId="0" fontId="3" fillId="0" borderId="10" xfId="257" applyBorder="1" applyAlignment="1">
      <alignment vertical="center"/>
    </xf>
    <xf numFmtId="0" fontId="154" fillId="0" borderId="0" xfId="257" applyFont="1" applyAlignment="1">
      <alignment vertical="center"/>
    </xf>
    <xf numFmtId="165" fontId="7" fillId="25" borderId="32" xfId="157" applyFont="1" applyFill="1" applyBorder="1" applyAlignment="1">
      <alignment horizontal="center"/>
    </xf>
    <xf numFmtId="0" fontId="0" fillId="0" borderId="0" xfId="0"/>
    <xf numFmtId="178" fontId="10" fillId="41" borderId="10" xfId="0" applyNumberFormat="1" applyFont="1" applyFill="1" applyBorder="1" applyAlignment="1">
      <alignment horizontal="center"/>
    </xf>
    <xf numFmtId="0" fontId="8" fillId="62" borderId="12" xfId="0" applyFont="1" applyFill="1" applyBorder="1" applyAlignment="1">
      <alignment vertical="center" wrapText="1"/>
    </xf>
    <xf numFmtId="0" fontId="89" fillId="41" borderId="98" xfId="0" applyFont="1" applyFill="1" applyBorder="1" applyAlignment="1">
      <alignment wrapText="1"/>
    </xf>
    <xf numFmtId="178" fontId="10" fillId="41" borderId="16" xfId="0" applyNumberFormat="1" applyFont="1" applyFill="1" applyBorder="1" applyAlignment="1">
      <alignment horizontal="center"/>
    </xf>
    <xf numFmtId="2" fontId="10" fillId="41" borderId="16" xfId="0" applyNumberFormat="1" applyFont="1" applyFill="1" applyBorder="1" applyAlignment="1">
      <alignment horizontal="center"/>
    </xf>
    <xf numFmtId="1" fontId="37" fillId="24" borderId="10" xfId="0" applyNumberFormat="1" applyFont="1" applyFill="1" applyBorder="1" applyAlignment="1">
      <alignment horizontal="center"/>
    </xf>
    <xf numFmtId="1" fontId="37" fillId="41" borderId="10" xfId="0" applyNumberFormat="1" applyFont="1" applyFill="1" applyBorder="1" applyAlignment="1">
      <alignment horizontal="center"/>
    </xf>
    <xf numFmtId="2" fontId="8" fillId="41" borderId="10" xfId="177" applyNumberFormat="1" applyFont="1" applyFill="1" applyBorder="1" applyAlignment="1">
      <alignment horizontal="right"/>
    </xf>
    <xf numFmtId="2" fontId="8" fillId="41" borderId="10" xfId="0" applyNumberFormat="1" applyFont="1" applyFill="1" applyBorder="1" applyAlignment="1"/>
    <xf numFmtId="0" fontId="8" fillId="52" borderId="10" xfId="0" applyFont="1" applyFill="1" applyBorder="1" applyAlignment="1">
      <alignment horizontal="center" vertical="center" wrapText="1"/>
    </xf>
    <xf numFmtId="4" fontId="8" fillId="52" borderId="10" xfId="0" applyNumberFormat="1" applyFont="1" applyFill="1" applyBorder="1" applyAlignment="1">
      <alignment horizontal="center" vertical="center"/>
    </xf>
    <xf numFmtId="167" fontId="51" fillId="52" borderId="10" xfId="0" applyNumberFormat="1" applyFont="1" applyFill="1" applyBorder="1" applyAlignment="1">
      <alignment horizontal="center" vertical="center"/>
    </xf>
    <xf numFmtId="3" fontId="8" fillId="54" borderId="10" xfId="0" applyNumberFormat="1" applyFont="1" applyFill="1" applyBorder="1" applyAlignment="1">
      <alignment horizontal="center" vertical="center"/>
    </xf>
    <xf numFmtId="3" fontId="8" fillId="50" borderId="10" xfId="0" applyNumberFormat="1" applyFont="1" applyFill="1" applyBorder="1" applyAlignment="1">
      <alignment horizontal="center" vertical="center"/>
    </xf>
    <xf numFmtId="10" fontId="8" fillId="52" borderId="10" xfId="203" applyNumberFormat="1" applyFont="1" applyFill="1" applyBorder="1" applyAlignment="1">
      <alignment horizontal="center" vertical="center"/>
    </xf>
    <xf numFmtId="3" fontId="8" fillId="55" borderId="10" xfId="0" applyNumberFormat="1" applyFont="1" applyFill="1" applyBorder="1" applyAlignment="1">
      <alignment horizontal="center" vertical="center"/>
    </xf>
    <xf numFmtId="3" fontId="8" fillId="42" borderId="10" xfId="0" applyNumberFormat="1" applyFont="1" applyFill="1" applyBorder="1" applyAlignment="1">
      <alignment horizontal="center" vertical="center"/>
    </xf>
    <xf numFmtId="3" fontId="8" fillId="53" borderId="10" xfId="0" applyNumberFormat="1" applyFont="1" applyFill="1" applyBorder="1" applyAlignment="1">
      <alignment horizontal="center" vertical="center"/>
    </xf>
    <xf numFmtId="171" fontId="8" fillId="51" borderId="10" xfId="0" applyNumberFormat="1" applyFont="1" applyFill="1" applyBorder="1" applyAlignment="1">
      <alignment horizontal="center" vertical="center"/>
    </xf>
    <xf numFmtId="0" fontId="153" fillId="61" borderId="0" xfId="0" applyFont="1" applyFill="1" applyAlignment="1"/>
    <xf numFmtId="0" fontId="0" fillId="61" borderId="0" xfId="0" applyFill="1" applyAlignment="1">
      <alignment horizontal="center" vertical="center"/>
    </xf>
    <xf numFmtId="0" fontId="0" fillId="61" borderId="40" xfId="0" applyFill="1" applyBorder="1" applyAlignment="1">
      <alignment horizontal="center" vertical="center"/>
    </xf>
    <xf numFmtId="0" fontId="0" fillId="61" borderId="43" xfId="0" applyFill="1" applyBorder="1" applyAlignment="1">
      <alignment horizontal="center" vertical="center"/>
    </xf>
    <xf numFmtId="0" fontId="0" fillId="61" borderId="57" xfId="0" applyFill="1" applyBorder="1" applyAlignment="1">
      <alignment horizontal="center" vertical="center"/>
    </xf>
    <xf numFmtId="0" fontId="0" fillId="61" borderId="42" xfId="0" applyFill="1" applyBorder="1" applyAlignment="1">
      <alignment horizontal="center" vertical="center"/>
    </xf>
    <xf numFmtId="0" fontId="0" fillId="61" borderId="48" xfId="0" applyFill="1" applyBorder="1" applyAlignment="1">
      <alignment horizontal="center" vertical="center"/>
    </xf>
    <xf numFmtId="0" fontId="0" fillId="61" borderId="13" xfId="0" applyFill="1" applyBorder="1" applyAlignment="1">
      <alignment horizontal="center" vertical="center"/>
    </xf>
    <xf numFmtId="0" fontId="0" fillId="61" borderId="11" xfId="0" applyFill="1" applyBorder="1" applyAlignment="1">
      <alignment horizontal="center" vertical="center"/>
    </xf>
    <xf numFmtId="0" fontId="0" fillId="61" borderId="69" xfId="0" applyFill="1" applyBorder="1" applyAlignment="1">
      <alignment horizontal="center" vertical="center"/>
    </xf>
    <xf numFmtId="0" fontId="158" fillId="39" borderId="0" xfId="0" applyFont="1" applyFill="1"/>
    <xf numFmtId="9" fontId="34" fillId="0" borderId="0" xfId="0" applyNumberFormat="1" applyFont="1"/>
    <xf numFmtId="0" fontId="124" fillId="39" borderId="0" xfId="0" applyFont="1" applyFill="1"/>
    <xf numFmtId="0" fontId="8" fillId="61" borderId="0" xfId="0" applyFont="1" applyFill="1"/>
    <xf numFmtId="0" fontId="0" fillId="0" borderId="0" xfId="0"/>
    <xf numFmtId="0" fontId="159" fillId="39" borderId="93" xfId="255" applyFont="1" applyFill="1" applyBorder="1" applyAlignment="1">
      <alignment horizontal="center" vertical="center" wrapText="1"/>
    </xf>
    <xf numFmtId="0" fontId="160" fillId="0" borderId="0" xfId="0" applyFont="1" applyAlignment="1">
      <alignment horizontal="left"/>
    </xf>
    <xf numFmtId="0" fontId="160" fillId="0" borderId="0" xfId="0" applyFont="1" applyAlignment="1">
      <alignment horizontal="center"/>
    </xf>
    <xf numFmtId="0" fontId="153" fillId="0" borderId="0" xfId="0" applyFont="1" applyAlignment="1">
      <alignment horizontal="left"/>
    </xf>
    <xf numFmtId="0" fontId="0" fillId="0" borderId="0" xfId="0" applyAlignment="1">
      <alignment horizontal="center" vertical="center"/>
    </xf>
    <xf numFmtId="0" fontId="127" fillId="35" borderId="70" xfId="195" applyFont="1" applyFill="1" applyBorder="1" applyAlignment="1">
      <alignment horizontal="center" vertical="center" wrapText="1"/>
    </xf>
    <xf numFmtId="0" fontId="127" fillId="35" borderId="101" xfId="195" applyFont="1" applyFill="1" applyBorder="1" applyAlignment="1">
      <alignment horizontal="center" vertical="center" wrapText="1"/>
    </xf>
    <xf numFmtId="0" fontId="127" fillId="35" borderId="61" xfId="195" applyFont="1" applyFill="1" applyBorder="1" applyAlignment="1">
      <alignment horizontal="center" vertical="center" wrapText="1"/>
    </xf>
    <xf numFmtId="0" fontId="127" fillId="35" borderId="102" xfId="195" applyFont="1" applyFill="1" applyBorder="1" applyAlignment="1">
      <alignment horizontal="center" vertical="center" wrapText="1"/>
    </xf>
    <xf numFmtId="0" fontId="127" fillId="35" borderId="103" xfId="195" applyFont="1" applyFill="1" applyBorder="1" applyAlignment="1">
      <alignment horizontal="center" vertical="center" wrapText="1"/>
    </xf>
    <xf numFmtId="0" fontId="127" fillId="35" borderId="104" xfId="195" applyFont="1" applyFill="1" applyBorder="1" applyAlignment="1">
      <alignment horizontal="center" vertical="center" wrapText="1"/>
    </xf>
    <xf numFmtId="0" fontId="160" fillId="35" borderId="103" xfId="195" applyFont="1" applyFill="1" applyBorder="1" applyAlignment="1">
      <alignment horizontal="center" vertical="center" wrapText="1"/>
    </xf>
    <xf numFmtId="0" fontId="0" fillId="0" borderId="0" xfId="0" applyAlignment="1">
      <alignment vertical="center" wrapText="1"/>
    </xf>
    <xf numFmtId="0" fontId="127" fillId="0" borderId="105" xfId="195" applyFont="1" applyFill="1" applyBorder="1" applyAlignment="1">
      <alignment horizontal="center" wrapText="1"/>
    </xf>
    <xf numFmtId="0" fontId="127" fillId="0" borderId="106" xfId="195" applyFont="1" applyFill="1" applyBorder="1" applyAlignment="1">
      <alignment horizontal="center" wrapText="1"/>
    </xf>
    <xf numFmtId="0" fontId="127" fillId="0" borderId="108" xfId="195" applyFont="1" applyFill="1" applyBorder="1" applyAlignment="1">
      <alignment horizontal="center" wrapText="1"/>
    </xf>
    <xf numFmtId="0" fontId="127" fillId="0" borderId="109" xfId="195" applyFont="1" applyFill="1" applyBorder="1" applyAlignment="1">
      <alignment horizontal="right" wrapText="1"/>
    </xf>
    <xf numFmtId="0" fontId="127" fillId="0" borderId="110" xfId="195" applyFont="1" applyFill="1" applyBorder="1" applyAlignment="1">
      <alignment horizontal="right" wrapText="1"/>
    </xf>
    <xf numFmtId="0" fontId="127" fillId="0" borderId="106" xfId="195" applyFont="1" applyFill="1" applyBorder="1" applyAlignment="1">
      <alignment horizontal="right" wrapText="1"/>
    </xf>
    <xf numFmtId="0" fontId="127" fillId="0" borderId="111" xfId="195" applyFont="1" applyFill="1" applyBorder="1" applyAlignment="1">
      <alignment horizontal="center" wrapText="1"/>
    </xf>
    <xf numFmtId="0" fontId="127" fillId="0" borderId="112" xfId="195" applyFont="1" applyFill="1" applyBorder="1" applyAlignment="1">
      <alignment horizontal="center" wrapText="1"/>
    </xf>
    <xf numFmtId="0" fontId="127" fillId="0" borderId="113" xfId="195" applyFont="1" applyFill="1" applyBorder="1" applyAlignment="1">
      <alignment horizontal="center" wrapText="1"/>
    </xf>
    <xf numFmtId="0" fontId="127" fillId="0" borderId="114" xfId="195" applyFont="1" applyFill="1" applyBorder="1" applyAlignment="1">
      <alignment horizontal="right" wrapText="1"/>
    </xf>
    <xf numFmtId="0" fontId="127" fillId="0" borderId="115" xfId="195" applyFont="1" applyFill="1" applyBorder="1" applyAlignment="1">
      <alignment horizontal="right" wrapText="1"/>
    </xf>
    <xf numFmtId="0" fontId="127" fillId="0" borderId="112" xfId="195" applyFont="1" applyFill="1" applyBorder="1" applyAlignment="1">
      <alignment horizontal="right" wrapText="1"/>
    </xf>
    <xf numFmtId="0" fontId="127" fillId="0" borderId="128" xfId="195" applyFont="1" applyFill="1" applyBorder="1" applyAlignment="1">
      <alignment horizontal="center" wrapText="1"/>
    </xf>
    <xf numFmtId="0" fontId="127" fillId="0" borderId="129" xfId="195" applyFont="1" applyFill="1" applyBorder="1" applyAlignment="1">
      <alignment horizontal="center" wrapText="1"/>
    </xf>
    <xf numFmtId="0" fontId="127" fillId="0" borderId="131" xfId="195" applyFont="1" applyFill="1" applyBorder="1" applyAlignment="1">
      <alignment horizontal="center" wrapText="1"/>
    </xf>
    <xf numFmtId="0" fontId="127" fillId="0" borderId="132" xfId="195" applyFont="1" applyFill="1" applyBorder="1" applyAlignment="1">
      <alignment horizontal="right" wrapText="1"/>
    </xf>
    <xf numFmtId="0" fontId="127" fillId="0" borderId="133" xfId="195" applyFont="1" applyFill="1" applyBorder="1" applyAlignment="1">
      <alignment horizontal="right" wrapText="1"/>
    </xf>
    <xf numFmtId="0" fontId="127" fillId="0" borderId="129" xfId="195" applyFont="1" applyFill="1" applyBorder="1" applyAlignment="1">
      <alignment horizontal="right" wrapText="1"/>
    </xf>
    <xf numFmtId="0" fontId="127" fillId="0" borderId="116" xfId="195" applyFont="1" applyFill="1" applyBorder="1" applyAlignment="1">
      <alignment horizontal="center" wrapText="1"/>
    </xf>
    <xf numFmtId="0" fontId="127" fillId="0" borderId="117" xfId="195" applyFont="1" applyFill="1" applyBorder="1" applyAlignment="1">
      <alignment horizontal="center" wrapText="1"/>
    </xf>
    <xf numFmtId="0" fontId="127" fillId="0" borderId="119" xfId="195" applyFont="1" applyFill="1" applyBorder="1" applyAlignment="1">
      <alignment horizontal="center" wrapText="1"/>
    </xf>
    <xf numFmtId="0" fontId="127" fillId="0" borderId="120" xfId="195" applyFont="1" applyFill="1" applyBorder="1" applyAlignment="1">
      <alignment horizontal="right" wrapText="1"/>
    </xf>
    <xf numFmtId="0" fontId="127" fillId="0" borderId="121" xfId="195" applyFont="1" applyFill="1" applyBorder="1" applyAlignment="1">
      <alignment horizontal="right" wrapText="1"/>
    </xf>
    <xf numFmtId="0" fontId="127" fillId="0" borderId="117" xfId="195" applyFont="1" applyFill="1" applyBorder="1" applyAlignment="1">
      <alignment horizontal="right" wrapText="1"/>
    </xf>
    <xf numFmtId="175" fontId="127" fillId="0" borderId="110" xfId="195" applyNumberFormat="1" applyFont="1" applyFill="1" applyBorder="1" applyAlignment="1">
      <alignment horizontal="right" wrapText="1"/>
    </xf>
    <xf numFmtId="175" fontId="127" fillId="0" borderId="115" xfId="195" applyNumberFormat="1" applyFont="1" applyFill="1" applyBorder="1" applyAlignment="1">
      <alignment horizontal="right" wrapText="1"/>
    </xf>
    <xf numFmtId="175" fontId="127" fillId="0" borderId="133" xfId="195" applyNumberFormat="1" applyFont="1" applyFill="1" applyBorder="1" applyAlignment="1">
      <alignment horizontal="right" wrapText="1"/>
    </xf>
    <xf numFmtId="175" fontId="127" fillId="0" borderId="121" xfId="195" applyNumberFormat="1" applyFont="1" applyFill="1" applyBorder="1" applyAlignment="1">
      <alignment horizontal="right" wrapText="1"/>
    </xf>
    <xf numFmtId="4" fontId="160" fillId="0" borderId="70" xfId="195" applyNumberFormat="1" applyFont="1" applyFill="1" applyBorder="1" applyAlignment="1">
      <alignment horizontal="right" wrapText="1"/>
    </xf>
    <xf numFmtId="4" fontId="160" fillId="0" borderId="71" xfId="195" applyNumberFormat="1" applyFont="1" applyFill="1" applyBorder="1" applyAlignment="1">
      <alignment horizontal="right" wrapText="1"/>
    </xf>
    <xf numFmtId="4" fontId="160" fillId="0" borderId="39" xfId="195" applyNumberFormat="1" applyFont="1" applyFill="1" applyBorder="1" applyAlignment="1">
      <alignment horizontal="right" wrapText="1"/>
    </xf>
    <xf numFmtId="4" fontId="160" fillId="0" borderId="74" xfId="195" applyNumberFormat="1" applyFont="1" applyFill="1" applyBorder="1" applyAlignment="1">
      <alignment horizontal="right" wrapText="1"/>
    </xf>
    <xf numFmtId="4" fontId="160" fillId="0" borderId="67" xfId="195" applyNumberFormat="1" applyFont="1" applyFill="1" applyBorder="1" applyAlignment="1">
      <alignment horizontal="right" wrapText="1"/>
    </xf>
    <xf numFmtId="4" fontId="160" fillId="0" borderId="75" xfId="195" applyNumberFormat="1" applyFont="1" applyFill="1" applyBorder="1" applyAlignment="1">
      <alignment horizontal="right" wrapText="1"/>
    </xf>
    <xf numFmtId="181" fontId="52" fillId="41" borderId="10" xfId="0" applyNumberFormat="1" applyFont="1" applyFill="1" applyBorder="1" applyAlignment="1">
      <alignment horizontal="center"/>
    </xf>
    <xf numFmtId="175" fontId="121" fillId="39" borderId="0" xfId="0" applyNumberFormat="1" applyFont="1" applyFill="1" applyAlignment="1">
      <alignment vertical="center"/>
    </xf>
    <xf numFmtId="0" fontId="34" fillId="41" borderId="0" xfId="0" applyFont="1" applyFill="1" applyAlignment="1">
      <alignment horizontal="center"/>
    </xf>
    <xf numFmtId="3" fontId="161" fillId="52" borderId="10" xfId="0" applyNumberFormat="1" applyFont="1" applyFill="1" applyBorder="1" applyAlignment="1">
      <alignment horizontal="center"/>
    </xf>
    <xf numFmtId="3" fontId="161" fillId="52" borderId="10" xfId="0" applyNumberFormat="1" applyFont="1" applyFill="1" applyBorder="1" applyAlignment="1">
      <alignment horizontal="center" vertical="center"/>
    </xf>
    <xf numFmtId="171" fontId="8" fillId="0" borderId="12" xfId="0" applyNumberFormat="1" applyFont="1" applyFill="1" applyBorder="1" applyAlignment="1">
      <alignment horizontal="center"/>
    </xf>
    <xf numFmtId="0" fontId="0" fillId="0" borderId="0" xfId="0"/>
    <xf numFmtId="0" fontId="8" fillId="39" borderId="12" xfId="0" applyFont="1" applyFill="1" applyBorder="1" applyAlignment="1">
      <alignment vertical="center" wrapText="1"/>
    </xf>
    <xf numFmtId="0" fontId="157" fillId="55" borderId="0" xfId="0" applyFont="1" applyFill="1"/>
    <xf numFmtId="0" fontId="156" fillId="55" borderId="0" xfId="0" applyFont="1" applyFill="1"/>
    <xf numFmtId="0" fontId="0" fillId="42" borderId="0" xfId="0" applyFill="1"/>
    <xf numFmtId="0" fontId="157" fillId="42" borderId="0" xfId="0" applyFont="1" applyFill="1"/>
    <xf numFmtId="0" fontId="156" fillId="42" borderId="0" xfId="0" applyFont="1" applyFill="1"/>
    <xf numFmtId="0" fontId="0" fillId="63" borderId="0" xfId="0" applyFill="1"/>
    <xf numFmtId="0" fontId="0" fillId="63" borderId="0" xfId="0" applyFill="1" applyAlignment="1">
      <alignment horizontal="center"/>
    </xf>
    <xf numFmtId="0" fontId="0" fillId="63" borderId="0" xfId="0" applyFill="1" applyAlignment="1">
      <alignment horizontal="left"/>
    </xf>
    <xf numFmtId="0" fontId="160" fillId="63" borderId="0" xfId="0" applyFont="1" applyFill="1" applyAlignment="1">
      <alignment horizontal="left"/>
    </xf>
    <xf numFmtId="0" fontId="160" fillId="63" borderId="0" xfId="0" applyFont="1" applyFill="1" applyAlignment="1">
      <alignment horizontal="center"/>
    </xf>
    <xf numFmtId="0" fontId="0" fillId="63" borderId="0" xfId="0" applyFill="1" applyAlignment="1">
      <alignment vertical="center" wrapText="1"/>
    </xf>
    <xf numFmtId="175" fontId="0" fillId="63" borderId="0" xfId="0" applyNumberFormat="1" applyFill="1"/>
    <xf numFmtId="0" fontId="8" fillId="61" borderId="12" xfId="0" applyFont="1" applyFill="1" applyBorder="1" applyAlignment="1">
      <alignment vertical="center" wrapText="1"/>
    </xf>
    <xf numFmtId="0" fontId="8" fillId="61" borderId="12" xfId="0" applyFont="1" applyFill="1" applyBorder="1" applyAlignment="1">
      <alignment horizontal="center"/>
    </xf>
    <xf numFmtId="3" fontId="8" fillId="61" borderId="10" xfId="0" applyNumberFormat="1" applyFont="1" applyFill="1" applyBorder="1" applyAlignment="1">
      <alignment horizontal="center" vertical="center"/>
    </xf>
    <xf numFmtId="4" fontId="54" fillId="61" borderId="16" xfId="184" applyNumberFormat="1" applyFont="1" applyFill="1" applyBorder="1" applyAlignment="1">
      <alignment horizontal="center" vertical="center"/>
    </xf>
    <xf numFmtId="167" fontId="8" fillId="61" borderId="10" xfId="0" applyNumberFormat="1" applyFont="1" applyFill="1" applyBorder="1" applyAlignment="1">
      <alignment horizontal="center"/>
    </xf>
    <xf numFmtId="181" fontId="12" fillId="61" borderId="10" xfId="203" applyNumberFormat="1" applyFont="1" applyFill="1" applyBorder="1" applyAlignment="1">
      <alignment horizontal="center"/>
    </xf>
    <xf numFmtId="0" fontId="26" fillId="61" borderId="0" xfId="0" applyFont="1" applyFill="1"/>
    <xf numFmtId="0" fontId="0" fillId="61" borderId="0" xfId="0" applyFill="1"/>
    <xf numFmtId="171" fontId="0" fillId="61" borderId="0" xfId="0" applyNumberFormat="1" applyFill="1"/>
    <xf numFmtId="0" fontId="150" fillId="61" borderId="93" xfId="255" applyFont="1" applyFill="1" applyBorder="1" applyAlignment="1">
      <alignment horizontal="center" vertical="center" wrapText="1"/>
    </xf>
    <xf numFmtId="4" fontId="54" fillId="61" borderId="10" xfId="184" applyNumberFormat="1" applyFont="1" applyFill="1" applyBorder="1" applyAlignment="1">
      <alignment horizontal="center" vertical="center"/>
    </xf>
    <xf numFmtId="0" fontId="150" fillId="61" borderId="98" xfId="255" applyFont="1" applyFill="1" applyBorder="1" applyAlignment="1">
      <alignment horizontal="center" vertical="center" wrapText="1"/>
    </xf>
    <xf numFmtId="9" fontId="163" fillId="41" borderId="10" xfId="203" applyFont="1" applyFill="1" applyBorder="1" applyAlignment="1">
      <alignment horizontal="center"/>
    </xf>
    <xf numFmtId="0" fontId="0" fillId="0" borderId="0" xfId="0"/>
    <xf numFmtId="0" fontId="0" fillId="0" borderId="0" xfId="0"/>
    <xf numFmtId="0" fontId="0" fillId="0" borderId="0" xfId="0"/>
    <xf numFmtId="0" fontId="8" fillId="0" borderId="0" xfId="0" applyFont="1" applyFill="1" applyBorder="1" applyAlignment="1">
      <alignment vertical="center" wrapText="1"/>
    </xf>
    <xf numFmtId="4" fontId="54" fillId="0" borderId="20" xfId="184" applyNumberFormat="1" applyFont="1" applyFill="1" applyBorder="1" applyAlignment="1">
      <alignment horizontal="center" vertical="center"/>
    </xf>
    <xf numFmtId="181" fontId="12" fillId="0" borderId="38" xfId="203" applyNumberFormat="1" applyFont="1" applyFill="1" applyBorder="1" applyAlignment="1">
      <alignment horizontal="center"/>
    </xf>
    <xf numFmtId="0" fontId="150" fillId="0" borderId="0" xfId="255" applyFont="1" applyBorder="1" applyAlignment="1">
      <alignment horizontal="center" vertical="center" wrapText="1"/>
    </xf>
    <xf numFmtId="3" fontId="119" fillId="39" borderId="10" xfId="0" applyNumberFormat="1" applyFont="1" applyFill="1" applyBorder="1" applyAlignment="1">
      <alignment horizontal="center" vertical="center"/>
    </xf>
    <xf numFmtId="0" fontId="8" fillId="0" borderId="12" xfId="0" applyFont="1" applyFill="1" applyBorder="1" applyAlignment="1">
      <alignment horizontal="center" vertical="center" wrapText="1"/>
    </xf>
    <xf numFmtId="4" fontId="0" fillId="0" borderId="0" xfId="0" applyNumberFormat="1" applyAlignment="1">
      <alignment vertical="center"/>
    </xf>
    <xf numFmtId="0" fontId="128" fillId="0" borderId="0" xfId="0" applyFont="1" applyAlignment="1">
      <alignment vertical="center"/>
    </xf>
    <xf numFmtId="0" fontId="155" fillId="0" borderId="0" xfId="0" applyFont="1" applyAlignment="1">
      <alignment vertical="center"/>
    </xf>
    <xf numFmtId="4" fontId="75" fillId="0" borderId="0" xfId="196" applyNumberFormat="1" applyFont="1" applyFill="1" applyBorder="1" applyAlignment="1">
      <alignment horizontal="right" vertical="center" wrapText="1"/>
    </xf>
    <xf numFmtId="0" fontId="75" fillId="35" borderId="28" xfId="196" applyFont="1" applyFill="1" applyBorder="1" applyAlignment="1">
      <alignment horizontal="center" vertical="center"/>
    </xf>
    <xf numFmtId="4" fontId="75" fillId="35" borderId="28" xfId="196" applyNumberFormat="1" applyFont="1" applyFill="1" applyBorder="1" applyAlignment="1">
      <alignment horizontal="center" vertical="center"/>
    </xf>
    <xf numFmtId="4" fontId="3" fillId="0" borderId="0" xfId="257" applyNumberFormat="1" applyAlignment="1">
      <alignment horizontal="center" vertical="center"/>
    </xf>
    <xf numFmtId="0" fontId="0" fillId="63" borderId="71" xfId="0" applyFill="1" applyBorder="1"/>
    <xf numFmtId="0" fontId="0" fillId="63" borderId="74" xfId="0" applyFill="1" applyBorder="1"/>
    <xf numFmtId="0" fontId="0" fillId="63" borderId="75" xfId="0" applyFill="1" applyBorder="1"/>
    <xf numFmtId="0" fontId="0" fillId="63" borderId="22" xfId="0" applyFill="1" applyBorder="1"/>
    <xf numFmtId="4" fontId="160" fillId="0" borderId="27" xfId="195" applyNumberFormat="1" applyFont="1" applyFill="1" applyBorder="1" applyAlignment="1">
      <alignment horizontal="right" wrapText="1"/>
    </xf>
    <xf numFmtId="4" fontId="160" fillId="0" borderId="22" xfId="195" applyNumberFormat="1" applyFont="1" applyFill="1" applyBorder="1" applyAlignment="1">
      <alignment horizontal="right" wrapText="1"/>
    </xf>
    <xf numFmtId="0" fontId="2" fillId="41" borderId="0" xfId="257" applyFont="1" applyFill="1" applyAlignment="1">
      <alignment vertical="center"/>
    </xf>
    <xf numFmtId="0" fontId="0" fillId="0" borderId="0" xfId="0"/>
    <xf numFmtId="0" fontId="127" fillId="0" borderId="0" xfId="195" applyFont="1" applyFill="1" applyBorder="1" applyAlignment="1">
      <alignment horizontal="center" wrapText="1"/>
    </xf>
    <xf numFmtId="0" fontId="127" fillId="0" borderId="0" xfId="195" applyFont="1" applyFill="1" applyBorder="1" applyAlignment="1">
      <alignment horizontal="left" wrapText="1"/>
    </xf>
    <xf numFmtId="0" fontId="127" fillId="0" borderId="0" xfId="195" applyFont="1" applyFill="1" applyBorder="1" applyAlignment="1">
      <alignment horizontal="right" wrapText="1"/>
    </xf>
    <xf numFmtId="175" fontId="127" fillId="0" borderId="0" xfId="195" applyNumberFormat="1" applyFont="1" applyFill="1" applyBorder="1" applyAlignment="1">
      <alignment horizontal="right" wrapText="1"/>
    </xf>
    <xf numFmtId="4" fontId="160" fillId="0" borderId="0" xfId="195" applyNumberFormat="1" applyFont="1" applyFill="1" applyBorder="1" applyAlignment="1">
      <alignment horizontal="right" wrapText="1"/>
    </xf>
    <xf numFmtId="0" fontId="0" fillId="63" borderId="0" xfId="0" applyFill="1" applyBorder="1"/>
    <xf numFmtId="175" fontId="127" fillId="0" borderId="108" xfId="195" applyNumberFormat="1" applyFont="1" applyFill="1" applyBorder="1" applyAlignment="1">
      <alignment horizontal="right" wrapText="1"/>
    </xf>
    <xf numFmtId="4" fontId="127" fillId="0" borderId="108" xfId="195" applyNumberFormat="1" applyFont="1" applyFill="1" applyBorder="1" applyAlignment="1">
      <alignment horizontal="right" wrapText="1"/>
    </xf>
    <xf numFmtId="175" fontId="127" fillId="0" borderId="113" xfId="195" applyNumberFormat="1" applyFont="1" applyFill="1" applyBorder="1" applyAlignment="1">
      <alignment horizontal="right" wrapText="1"/>
    </xf>
    <xf numFmtId="4" fontId="160" fillId="0" borderId="114" xfId="195" applyNumberFormat="1" applyFont="1" applyFill="1" applyBorder="1" applyAlignment="1">
      <alignment horizontal="right" wrapText="1"/>
    </xf>
    <xf numFmtId="4" fontId="127" fillId="0" borderId="113" xfId="195" applyNumberFormat="1" applyFont="1" applyFill="1" applyBorder="1" applyAlignment="1">
      <alignment horizontal="right" wrapText="1"/>
    </xf>
    <xf numFmtId="175" fontId="127" fillId="0" borderId="119" xfId="195" applyNumberFormat="1" applyFont="1" applyFill="1" applyBorder="1" applyAlignment="1">
      <alignment horizontal="right" wrapText="1"/>
    </xf>
    <xf numFmtId="4" fontId="160" fillId="0" borderId="120" xfId="195" applyNumberFormat="1" applyFont="1" applyFill="1" applyBorder="1" applyAlignment="1">
      <alignment horizontal="right" wrapText="1"/>
    </xf>
    <xf numFmtId="4" fontId="127" fillId="0" borderId="119" xfId="195" applyNumberFormat="1" applyFont="1" applyFill="1" applyBorder="1" applyAlignment="1">
      <alignment horizontal="right" wrapText="1"/>
    </xf>
    <xf numFmtId="2" fontId="135" fillId="41" borderId="10" xfId="177" applyNumberFormat="1" applyFont="1" applyFill="1" applyBorder="1" applyAlignment="1">
      <alignment horizontal="right"/>
    </xf>
    <xf numFmtId="0" fontId="134" fillId="0" borderId="0" xfId="257" applyFont="1" applyAlignment="1">
      <alignment vertical="center"/>
    </xf>
    <xf numFmtId="9" fontId="163" fillId="61" borderId="10" xfId="203" applyFont="1" applyFill="1" applyBorder="1" applyAlignment="1">
      <alignment horizontal="center"/>
    </xf>
    <xf numFmtId="176" fontId="0" fillId="0" borderId="0" xfId="0" applyNumberFormat="1"/>
    <xf numFmtId="4" fontId="41" fillId="0" borderId="20" xfId="184" applyNumberFormat="1" applyFont="1" applyFill="1" applyBorder="1" applyAlignment="1">
      <alignment horizontal="center" vertical="center"/>
    </xf>
    <xf numFmtId="4" fontId="41" fillId="0" borderId="46" xfId="184" applyNumberFormat="1" applyFont="1" applyFill="1" applyBorder="1" applyAlignment="1">
      <alignment horizontal="center" vertical="center"/>
    </xf>
    <xf numFmtId="167" fontId="8" fillId="0" borderId="46" xfId="0" applyNumberFormat="1" applyFont="1" applyFill="1" applyBorder="1" applyAlignment="1">
      <alignment horizontal="center"/>
    </xf>
    <xf numFmtId="4" fontId="128" fillId="0" borderId="70" xfId="195" applyNumberFormat="1" applyFont="1" applyFill="1" applyBorder="1" applyAlignment="1">
      <alignment horizontal="right" wrapText="1"/>
    </xf>
    <xf numFmtId="4" fontId="160" fillId="0" borderId="109" xfId="195" applyNumberFormat="1" applyFont="1" applyFill="1" applyBorder="1" applyAlignment="1">
      <alignment horizontal="right" wrapText="1"/>
    </xf>
    <xf numFmtId="0" fontId="59" fillId="39" borderId="16" xfId="173" applyFont="1" applyFill="1" applyBorder="1" applyAlignment="1">
      <alignment horizontal="center" vertical="center" wrapText="1"/>
    </xf>
    <xf numFmtId="180" fontId="52" fillId="54" borderId="10" xfId="0" applyNumberFormat="1" applyFont="1" applyFill="1" applyBorder="1" applyAlignment="1">
      <alignment horizontal="center"/>
    </xf>
    <xf numFmtId="0" fontId="8" fillId="39" borderId="12" xfId="0" applyFont="1" applyFill="1" applyBorder="1" applyAlignment="1">
      <alignment horizontal="center" vertical="center" wrapText="1"/>
    </xf>
    <xf numFmtId="0" fontId="0" fillId="0" borderId="0" xfId="0"/>
    <xf numFmtId="0" fontId="168" fillId="42" borderId="0" xfId="0" applyFont="1" applyFill="1"/>
    <xf numFmtId="0" fontId="0" fillId="0" borderId="0" xfId="0" applyFont="1" applyBorder="1" applyAlignment="1">
      <alignment horizontal="center" vertical="center"/>
    </xf>
    <xf numFmtId="0" fontId="127" fillId="0" borderId="0" xfId="196" applyFont="1" applyFill="1" applyBorder="1" applyAlignment="1">
      <alignment horizontal="center" vertical="center" wrapText="1"/>
    </xf>
    <xf numFmtId="4" fontId="128" fillId="0" borderId="39" xfId="195" applyNumberFormat="1" applyFont="1" applyFill="1" applyBorder="1" applyAlignment="1">
      <alignment horizontal="right" wrapText="1"/>
    </xf>
    <xf numFmtId="0" fontId="0" fillId="0" borderId="0" xfId="0"/>
    <xf numFmtId="0" fontId="114" fillId="39" borderId="0" xfId="0" applyFont="1" applyFill="1"/>
    <xf numFmtId="0" fontId="156" fillId="51" borderId="0" xfId="0" applyFont="1" applyFill="1"/>
    <xf numFmtId="0" fontId="0" fillId="51" borderId="0" xfId="0" applyFill="1"/>
    <xf numFmtId="4" fontId="8" fillId="51" borderId="0" xfId="0" applyNumberFormat="1" applyFont="1" applyFill="1" applyAlignment="1">
      <alignment horizontal="center"/>
    </xf>
    <xf numFmtId="2" fontId="8" fillId="51" borderId="0" xfId="0" applyNumberFormat="1" applyFont="1" applyFill="1" applyBorder="1"/>
    <xf numFmtId="4" fontId="8" fillId="51" borderId="10" xfId="0" applyNumberFormat="1" applyFont="1" applyFill="1" applyBorder="1" applyAlignment="1">
      <alignment horizontal="center"/>
    </xf>
    <xf numFmtId="0" fontId="8" fillId="51" borderId="10" xfId="0" applyFont="1" applyFill="1" applyBorder="1"/>
    <xf numFmtId="178" fontId="8" fillId="51" borderId="10" xfId="0" applyNumberFormat="1" applyFont="1" applyFill="1" applyBorder="1" applyAlignment="1">
      <alignment horizontal="center"/>
    </xf>
    <xf numFmtId="2" fontId="8" fillId="51" borderId="10" xfId="0" applyNumberFormat="1" applyFont="1" applyFill="1" applyBorder="1"/>
    <xf numFmtId="0" fontId="127" fillId="51" borderId="55" xfId="196" applyFont="1" applyFill="1" applyBorder="1" applyAlignment="1">
      <alignment horizontal="center" vertical="center" wrapText="1"/>
    </xf>
    <xf numFmtId="2" fontId="8" fillId="51" borderId="10" xfId="177" applyNumberFormat="1" applyFont="1" applyFill="1" applyBorder="1" applyAlignment="1">
      <alignment horizontal="right"/>
    </xf>
    <xf numFmtId="0" fontId="8" fillId="51" borderId="0" xfId="0" applyFont="1" applyFill="1"/>
    <xf numFmtId="0" fontId="0" fillId="51" borderId="0" xfId="0" applyFill="1" applyAlignment="1">
      <alignment horizontal="center" vertical="center"/>
    </xf>
    <xf numFmtId="0" fontId="0" fillId="51" borderId="43" xfId="0" applyFill="1" applyBorder="1" applyAlignment="1">
      <alignment horizontal="center" vertical="center"/>
    </xf>
    <xf numFmtId="0" fontId="0" fillId="51" borderId="42" xfId="0" applyFill="1" applyBorder="1" applyAlignment="1">
      <alignment horizontal="center" vertical="center"/>
    </xf>
    <xf numFmtId="0" fontId="0" fillId="51" borderId="48" xfId="0" applyFill="1" applyBorder="1" applyAlignment="1">
      <alignment horizontal="center" vertical="center"/>
    </xf>
    <xf numFmtId="0" fontId="0" fillId="51" borderId="13" xfId="0" applyFill="1" applyBorder="1" applyAlignment="1">
      <alignment horizontal="center" vertical="center"/>
    </xf>
    <xf numFmtId="0" fontId="0" fillId="51" borderId="11" xfId="0" applyFill="1" applyBorder="1" applyAlignment="1">
      <alignment horizontal="center" vertical="center"/>
    </xf>
    <xf numFmtId="0" fontId="0" fillId="51" borderId="69" xfId="0" applyFill="1" applyBorder="1" applyAlignment="1">
      <alignment horizontal="center" vertical="center"/>
    </xf>
    <xf numFmtId="0" fontId="0" fillId="51" borderId="52" xfId="0" applyFill="1" applyBorder="1" applyAlignment="1">
      <alignment horizontal="center" vertical="center"/>
    </xf>
    <xf numFmtId="0" fontId="157" fillId="51" borderId="0" xfId="0" applyFont="1" applyFill="1"/>
    <xf numFmtId="0" fontId="0" fillId="51" borderId="55" xfId="0" applyFill="1" applyBorder="1" applyAlignment="1">
      <alignment horizontal="center" vertical="center"/>
    </xf>
    <xf numFmtId="0" fontId="0" fillId="51" borderId="54" xfId="0" applyFill="1" applyBorder="1" applyAlignment="1">
      <alignment horizontal="center" vertical="center"/>
    </xf>
    <xf numFmtId="0" fontId="0" fillId="51" borderId="53" xfId="0" applyFill="1" applyBorder="1" applyAlignment="1">
      <alignment horizontal="center" vertical="center"/>
    </xf>
    <xf numFmtId="0" fontId="0" fillId="51" borderId="22" xfId="0" applyFill="1" applyBorder="1" applyAlignment="1">
      <alignment horizontal="center" vertical="center"/>
    </xf>
    <xf numFmtId="0" fontId="0" fillId="51" borderId="52" xfId="0" applyFont="1" applyFill="1" applyBorder="1" applyAlignment="1">
      <alignment horizontal="center" vertical="center"/>
    </xf>
    <xf numFmtId="0" fontId="156" fillId="64" borderId="0" xfId="0" applyFont="1" applyFill="1"/>
    <xf numFmtId="0" fontId="8" fillId="64" borderId="10" xfId="0" applyFont="1" applyFill="1" applyBorder="1" applyAlignment="1">
      <alignment horizontal="center"/>
    </xf>
    <xf numFmtId="4" fontId="8" fillId="64" borderId="10" xfId="0" applyNumberFormat="1" applyFont="1" applyFill="1" applyBorder="1" applyAlignment="1">
      <alignment horizontal="center"/>
    </xf>
    <xf numFmtId="3" fontId="8" fillId="64" borderId="10" xfId="0" applyNumberFormat="1" applyFont="1" applyFill="1" applyBorder="1" applyAlignment="1">
      <alignment horizontal="center"/>
    </xf>
    <xf numFmtId="178" fontId="8" fillId="64" borderId="10" xfId="0" applyNumberFormat="1" applyFont="1" applyFill="1" applyBorder="1" applyAlignment="1">
      <alignment horizontal="center"/>
    </xf>
    <xf numFmtId="2" fontId="8" fillId="64" borderId="10" xfId="0" applyNumberFormat="1" applyFont="1" applyFill="1" applyBorder="1" applyAlignment="1">
      <alignment horizontal="center"/>
    </xf>
    <xf numFmtId="0" fontId="7" fillId="64" borderId="10" xfId="0" applyFont="1" applyFill="1" applyBorder="1" applyAlignment="1">
      <alignment horizontal="center"/>
    </xf>
    <xf numFmtId="4" fontId="7" fillId="64" borderId="10" xfId="0" applyNumberFormat="1" applyFont="1" applyFill="1" applyBorder="1" applyAlignment="1">
      <alignment horizontal="center"/>
    </xf>
    <xf numFmtId="0" fontId="0" fillId="64" borderId="0" xfId="0" applyFill="1"/>
    <xf numFmtId="0" fontId="153" fillId="64" borderId="0" xfId="0" applyFont="1" applyFill="1" applyAlignment="1"/>
    <xf numFmtId="0" fontId="0" fillId="64" borderId="0" xfId="0" applyFill="1" applyAlignment="1">
      <alignment horizontal="center" vertical="center"/>
    </xf>
    <xf numFmtId="0" fontId="0" fillId="64" borderId="40" xfId="0" applyFill="1" applyBorder="1" applyAlignment="1">
      <alignment horizontal="center" vertical="center"/>
    </xf>
    <xf numFmtId="0" fontId="0" fillId="64" borderId="43" xfId="0" applyFill="1" applyBorder="1" applyAlignment="1">
      <alignment horizontal="center" vertical="center"/>
    </xf>
    <xf numFmtId="0" fontId="0" fillId="64" borderId="57" xfId="0" applyFill="1" applyBorder="1" applyAlignment="1">
      <alignment horizontal="center" vertical="center"/>
    </xf>
    <xf numFmtId="0" fontId="0" fillId="64" borderId="52" xfId="0" applyFill="1" applyBorder="1" applyAlignment="1">
      <alignment horizontal="center" vertical="center"/>
    </xf>
    <xf numFmtId="16" fontId="0" fillId="64" borderId="55" xfId="0" applyNumberFormat="1" applyFill="1" applyBorder="1" applyAlignment="1">
      <alignment horizontal="center" vertical="center"/>
    </xf>
    <xf numFmtId="0" fontId="0" fillId="64" borderId="134" xfId="0" applyFill="1" applyBorder="1" applyAlignment="1">
      <alignment horizontal="center" vertical="center"/>
    </xf>
    <xf numFmtId="4" fontId="8" fillId="55" borderId="0" xfId="0" applyNumberFormat="1" applyFont="1" applyFill="1" applyAlignment="1">
      <alignment horizontal="center"/>
    </xf>
    <xf numFmtId="4" fontId="8" fillId="55" borderId="10" xfId="0" applyNumberFormat="1" applyFont="1" applyFill="1" applyBorder="1" applyAlignment="1">
      <alignment horizontal="center"/>
    </xf>
    <xf numFmtId="178" fontId="8" fillId="55" borderId="10" xfId="0" applyNumberFormat="1" applyFont="1" applyFill="1" applyBorder="1" applyAlignment="1">
      <alignment horizontal="center"/>
    </xf>
    <xf numFmtId="0" fontId="127" fillId="55" borderId="55" xfId="196" applyFont="1" applyFill="1" applyBorder="1" applyAlignment="1">
      <alignment horizontal="center" vertical="center" wrapText="1"/>
    </xf>
    <xf numFmtId="2" fontId="8" fillId="55" borderId="10" xfId="177" applyNumberFormat="1" applyFont="1" applyFill="1" applyBorder="1" applyAlignment="1">
      <alignment horizontal="right"/>
    </xf>
    <xf numFmtId="4" fontId="7" fillId="55" borderId="10" xfId="0" applyNumberFormat="1" applyFont="1" applyFill="1" applyBorder="1" applyAlignment="1">
      <alignment horizontal="center"/>
    </xf>
    <xf numFmtId="171" fontId="8" fillId="55" borderId="10" xfId="0" applyNumberFormat="1" applyFont="1" applyFill="1" applyBorder="1" applyAlignment="1">
      <alignment horizontal="center"/>
    </xf>
    <xf numFmtId="175" fontId="8" fillId="55" borderId="10" xfId="0" applyNumberFormat="1" applyFont="1" applyFill="1" applyBorder="1" applyAlignment="1">
      <alignment horizontal="center"/>
    </xf>
    <xf numFmtId="2" fontId="135" fillId="55" borderId="10" xfId="177" applyNumberFormat="1" applyFont="1" applyFill="1" applyBorder="1" applyAlignment="1">
      <alignment horizontal="right"/>
    </xf>
    <xf numFmtId="0" fontId="153" fillId="55" borderId="0" xfId="0" applyFont="1" applyFill="1" applyAlignment="1"/>
    <xf numFmtId="0" fontId="0" fillId="55" borderId="0" xfId="0" applyFill="1" applyAlignment="1">
      <alignment horizontal="center" vertical="center"/>
    </xf>
    <xf numFmtId="0" fontId="0" fillId="55" borderId="40" xfId="0" applyFill="1" applyBorder="1" applyAlignment="1">
      <alignment horizontal="center" vertical="center"/>
    </xf>
    <xf numFmtId="0" fontId="0" fillId="55" borderId="43" xfId="0" applyFill="1" applyBorder="1" applyAlignment="1">
      <alignment horizontal="center" vertical="center"/>
    </xf>
    <xf numFmtId="0" fontId="0" fillId="55" borderId="57" xfId="0" applyFill="1" applyBorder="1" applyAlignment="1">
      <alignment horizontal="center" vertical="center"/>
    </xf>
    <xf numFmtId="0" fontId="0" fillId="55" borderId="42" xfId="0" applyFill="1" applyBorder="1" applyAlignment="1">
      <alignment horizontal="center" vertical="center"/>
    </xf>
    <xf numFmtId="0" fontId="0" fillId="55" borderId="48" xfId="0" applyFill="1" applyBorder="1" applyAlignment="1">
      <alignment horizontal="center" vertical="center"/>
    </xf>
    <xf numFmtId="0" fontId="0" fillId="55" borderId="13" xfId="0" applyFill="1" applyBorder="1" applyAlignment="1">
      <alignment horizontal="center" vertical="center"/>
    </xf>
    <xf numFmtId="0" fontId="0" fillId="55" borderId="11" xfId="0" applyFill="1" applyBorder="1" applyAlignment="1">
      <alignment horizontal="center" vertical="center"/>
    </xf>
    <xf numFmtId="0" fontId="0" fillId="55" borderId="69" xfId="0" applyFill="1" applyBorder="1" applyAlignment="1">
      <alignment horizontal="center" vertical="center"/>
    </xf>
    <xf numFmtId="0" fontId="0" fillId="55" borderId="52" xfId="0" applyFill="1" applyBorder="1" applyAlignment="1">
      <alignment horizontal="center" vertical="center"/>
    </xf>
    <xf numFmtId="16" fontId="0" fillId="55" borderId="55" xfId="0" applyNumberFormat="1" applyFill="1" applyBorder="1" applyAlignment="1">
      <alignment horizontal="center" vertical="center"/>
    </xf>
    <xf numFmtId="0" fontId="0" fillId="55" borderId="134" xfId="0" applyFill="1" applyBorder="1" applyAlignment="1">
      <alignment horizontal="center" vertical="center"/>
    </xf>
    <xf numFmtId="0" fontId="0" fillId="55" borderId="54" xfId="0" applyFill="1" applyBorder="1" applyAlignment="1">
      <alignment horizontal="center" vertical="center"/>
    </xf>
    <xf numFmtId="0" fontId="0" fillId="55" borderId="55" xfId="0" applyFill="1" applyBorder="1" applyAlignment="1">
      <alignment horizontal="center" vertical="center"/>
    </xf>
    <xf numFmtId="0" fontId="0" fillId="55" borderId="53" xfId="0" applyFill="1" applyBorder="1" applyAlignment="1">
      <alignment horizontal="center" vertical="center"/>
    </xf>
    <xf numFmtId="0" fontId="0" fillId="55" borderId="52" xfId="0" applyFont="1" applyFill="1" applyBorder="1" applyAlignment="1">
      <alignment horizontal="center" vertical="center"/>
    </xf>
    <xf numFmtId="0" fontId="124" fillId="55" borderId="22" xfId="0" applyFont="1" applyFill="1" applyBorder="1" applyAlignment="1">
      <alignment horizontal="center" vertical="center"/>
    </xf>
    <xf numFmtId="0" fontId="0" fillId="55" borderId="22" xfId="0" applyFill="1" applyBorder="1" applyAlignment="1">
      <alignment horizontal="center" vertical="center"/>
    </xf>
    <xf numFmtId="0" fontId="169" fillId="65" borderId="0" xfId="0" applyFont="1" applyFill="1"/>
    <xf numFmtId="0" fontId="156" fillId="65" borderId="0" xfId="0" applyFont="1" applyFill="1"/>
    <xf numFmtId="0" fontId="0" fillId="65" borderId="0" xfId="0" applyFill="1"/>
    <xf numFmtId="4" fontId="8" fillId="65" borderId="0" xfId="0" applyNumberFormat="1" applyFont="1" applyFill="1" applyAlignment="1">
      <alignment horizontal="center"/>
    </xf>
    <xf numFmtId="2" fontId="8" fillId="65" borderId="0" xfId="0" applyNumberFormat="1" applyFont="1" applyFill="1" applyBorder="1"/>
    <xf numFmtId="0" fontId="8" fillId="65" borderId="10" xfId="0" applyFont="1" applyFill="1" applyBorder="1" applyAlignment="1">
      <alignment horizontal="center"/>
    </xf>
    <xf numFmtId="4" fontId="8" fillId="65" borderId="10" xfId="0" applyNumberFormat="1" applyFont="1" applyFill="1" applyBorder="1" applyAlignment="1">
      <alignment horizontal="center"/>
    </xf>
    <xf numFmtId="3" fontId="8" fillId="65" borderId="10" xfId="0" applyNumberFormat="1" applyFont="1" applyFill="1" applyBorder="1" applyAlignment="1">
      <alignment horizontal="center"/>
    </xf>
    <xf numFmtId="0" fontId="8" fillId="65" borderId="10" xfId="0" applyFont="1" applyFill="1" applyBorder="1"/>
    <xf numFmtId="178" fontId="8" fillId="65" borderId="10" xfId="0" applyNumberFormat="1" applyFont="1" applyFill="1" applyBorder="1" applyAlignment="1">
      <alignment horizontal="center"/>
    </xf>
    <xf numFmtId="2" fontId="8" fillId="65" borderId="10" xfId="0" applyNumberFormat="1" applyFont="1" applyFill="1" applyBorder="1"/>
    <xf numFmtId="2" fontId="8" fillId="65" borderId="10" xfId="0" applyNumberFormat="1" applyFont="1" applyFill="1" applyBorder="1" applyAlignment="1">
      <alignment horizontal="center"/>
    </xf>
    <xf numFmtId="0" fontId="127" fillId="65" borderId="55" xfId="196" applyFont="1" applyFill="1" applyBorder="1" applyAlignment="1">
      <alignment horizontal="center" vertical="center" wrapText="1"/>
    </xf>
    <xf numFmtId="2" fontId="8" fillId="65" borderId="10" xfId="177" applyNumberFormat="1" applyFont="1" applyFill="1" applyBorder="1" applyAlignment="1">
      <alignment horizontal="right"/>
    </xf>
    <xf numFmtId="0" fontId="8" fillId="65" borderId="0" xfId="0" applyFont="1" applyFill="1"/>
    <xf numFmtId="0" fontId="7" fillId="65" borderId="10" xfId="0" applyFont="1" applyFill="1" applyBorder="1" applyAlignment="1">
      <alignment horizontal="center"/>
    </xf>
    <xf numFmtId="4" fontId="7" fillId="65" borderId="10" xfId="0" applyNumberFormat="1" applyFont="1" applyFill="1" applyBorder="1" applyAlignment="1">
      <alignment horizontal="center"/>
    </xf>
    <xf numFmtId="171" fontId="8" fillId="65" borderId="10" xfId="0" applyNumberFormat="1" applyFont="1" applyFill="1" applyBorder="1" applyAlignment="1">
      <alignment horizontal="center"/>
    </xf>
    <xf numFmtId="175" fontId="8" fillId="65" borderId="10" xfId="0" applyNumberFormat="1" applyFont="1" applyFill="1" applyBorder="1" applyAlignment="1">
      <alignment horizontal="center"/>
    </xf>
    <xf numFmtId="2" fontId="135" fillId="65" borderId="10" xfId="177" applyNumberFormat="1" applyFont="1" applyFill="1" applyBorder="1" applyAlignment="1">
      <alignment horizontal="right"/>
    </xf>
    <xf numFmtId="0" fontId="153" fillId="65" borderId="0" xfId="0" applyFont="1" applyFill="1" applyAlignment="1"/>
    <xf numFmtId="0" fontId="0" fillId="65" borderId="0" xfId="0" applyFill="1" applyAlignment="1">
      <alignment horizontal="center" vertical="center"/>
    </xf>
    <xf numFmtId="0" fontId="0" fillId="65" borderId="40" xfId="0" applyFill="1" applyBorder="1" applyAlignment="1">
      <alignment horizontal="center" vertical="center"/>
    </xf>
    <xf numFmtId="0" fontId="0" fillId="65" borderId="43" xfId="0" applyFill="1" applyBorder="1" applyAlignment="1">
      <alignment horizontal="center" vertical="center"/>
    </xf>
    <xf numFmtId="0" fontId="0" fillId="65" borderId="57" xfId="0" applyFill="1" applyBorder="1" applyAlignment="1">
      <alignment horizontal="center" vertical="center"/>
    </xf>
    <xf numFmtId="0" fontId="0" fillId="65" borderId="42" xfId="0" applyFill="1" applyBorder="1" applyAlignment="1">
      <alignment horizontal="center" vertical="center"/>
    </xf>
    <xf numFmtId="0" fontId="0" fillId="65" borderId="48" xfId="0" applyFill="1" applyBorder="1" applyAlignment="1">
      <alignment horizontal="center" vertical="center"/>
    </xf>
    <xf numFmtId="0" fontId="0" fillId="65" borderId="13" xfId="0" applyFill="1" applyBorder="1" applyAlignment="1">
      <alignment horizontal="center" vertical="center"/>
    </xf>
    <xf numFmtId="0" fontId="0" fillId="65" borderId="11" xfId="0" applyFill="1" applyBorder="1" applyAlignment="1">
      <alignment horizontal="center" vertical="center"/>
    </xf>
    <xf numFmtId="0" fontId="0" fillId="65" borderId="69" xfId="0" applyFill="1" applyBorder="1" applyAlignment="1">
      <alignment horizontal="center" vertical="center"/>
    </xf>
    <xf numFmtId="0" fontId="0" fillId="65" borderId="52" xfId="0" applyFill="1" applyBorder="1" applyAlignment="1">
      <alignment horizontal="center" vertical="center"/>
    </xf>
    <xf numFmtId="16" fontId="0" fillId="65" borderId="55" xfId="0" applyNumberFormat="1" applyFill="1" applyBorder="1" applyAlignment="1">
      <alignment horizontal="center" vertical="center"/>
    </xf>
    <xf numFmtId="0" fontId="0" fillId="65" borderId="134" xfId="0" applyFill="1" applyBorder="1" applyAlignment="1">
      <alignment horizontal="center" vertical="center"/>
    </xf>
    <xf numFmtId="0" fontId="0" fillId="65" borderId="54" xfId="0" applyFill="1" applyBorder="1" applyAlignment="1">
      <alignment horizontal="center" vertical="center"/>
    </xf>
    <xf numFmtId="0" fontId="0" fillId="65" borderId="55" xfId="0" applyFill="1" applyBorder="1" applyAlignment="1">
      <alignment horizontal="center" vertical="center"/>
    </xf>
    <xf numFmtId="0" fontId="0" fillId="65" borderId="53" xfId="0" applyFill="1" applyBorder="1" applyAlignment="1">
      <alignment horizontal="center" vertical="center"/>
    </xf>
    <xf numFmtId="4" fontId="0" fillId="65" borderId="52" xfId="0" applyNumberFormat="1" applyFont="1" applyFill="1" applyBorder="1" applyAlignment="1">
      <alignment horizontal="center" vertical="center"/>
    </xf>
    <xf numFmtId="0" fontId="0" fillId="65" borderId="22" xfId="0" applyFill="1" applyBorder="1" applyAlignment="1">
      <alignment horizontal="center" vertical="center"/>
    </xf>
    <xf numFmtId="0" fontId="0" fillId="65" borderId="52" xfId="0" applyFont="1" applyFill="1" applyBorder="1" applyAlignment="1">
      <alignment horizontal="center" vertical="center"/>
    </xf>
    <xf numFmtId="0" fontId="0" fillId="62" borderId="0" xfId="0" applyFill="1"/>
    <xf numFmtId="0" fontId="157" fillId="62" borderId="0" xfId="0" applyFont="1" applyFill="1"/>
    <xf numFmtId="0" fontId="156" fillId="62" borderId="0" xfId="0" applyFont="1" applyFill="1"/>
    <xf numFmtId="4" fontId="8" fillId="62" borderId="0" xfId="0" applyNumberFormat="1" applyFont="1" applyFill="1" applyAlignment="1">
      <alignment horizontal="center"/>
    </xf>
    <xf numFmtId="2" fontId="8" fillId="62" borderId="0" xfId="0" applyNumberFormat="1" applyFont="1" applyFill="1" applyBorder="1"/>
    <xf numFmtId="0" fontId="8" fillId="62" borderId="10" xfId="0" applyFont="1" applyFill="1" applyBorder="1" applyAlignment="1">
      <alignment horizontal="center"/>
    </xf>
    <xf numFmtId="4" fontId="8" fillId="62" borderId="10" xfId="0" applyNumberFormat="1" applyFont="1" applyFill="1" applyBorder="1" applyAlignment="1">
      <alignment horizontal="center"/>
    </xf>
    <xf numFmtId="3" fontId="8" fillId="62" borderId="10" xfId="0" applyNumberFormat="1" applyFont="1" applyFill="1" applyBorder="1" applyAlignment="1">
      <alignment horizontal="center"/>
    </xf>
    <xf numFmtId="0" fontId="8" fillId="62" borderId="10" xfId="0" applyFont="1" applyFill="1" applyBorder="1"/>
    <xf numFmtId="178" fontId="8" fillId="62" borderId="10" xfId="0" applyNumberFormat="1" applyFont="1" applyFill="1" applyBorder="1" applyAlignment="1">
      <alignment horizontal="center"/>
    </xf>
    <xf numFmtId="2" fontId="8" fillId="62" borderId="10" xfId="0" applyNumberFormat="1" applyFont="1" applyFill="1" applyBorder="1"/>
    <xf numFmtId="2" fontId="8" fillId="62" borderId="10" xfId="0" applyNumberFormat="1" applyFont="1" applyFill="1" applyBorder="1" applyAlignment="1">
      <alignment horizontal="center"/>
    </xf>
    <xf numFmtId="0" fontId="127" fillId="62" borderId="55" xfId="196" applyFont="1" applyFill="1" applyBorder="1" applyAlignment="1">
      <alignment horizontal="center" vertical="center" wrapText="1"/>
    </xf>
    <xf numFmtId="2" fontId="8" fillId="62" borderId="10" xfId="177" applyNumberFormat="1" applyFont="1" applyFill="1" applyBorder="1" applyAlignment="1">
      <alignment horizontal="right"/>
    </xf>
    <xf numFmtId="0" fontId="8" fillId="62" borderId="0" xfId="0" applyFont="1" applyFill="1"/>
    <xf numFmtId="0" fontId="7" fillId="62" borderId="10" xfId="0" applyFont="1" applyFill="1" applyBorder="1" applyAlignment="1">
      <alignment horizontal="center"/>
    </xf>
    <xf numFmtId="4" fontId="7" fillId="62" borderId="10" xfId="0" applyNumberFormat="1" applyFont="1" applyFill="1" applyBorder="1" applyAlignment="1">
      <alignment horizontal="center"/>
    </xf>
    <xf numFmtId="0" fontId="153" fillId="62" borderId="0" xfId="0" applyFont="1" applyFill="1" applyAlignment="1"/>
    <xf numFmtId="0" fontId="0" fillId="62" borderId="0" xfId="0" applyFill="1" applyAlignment="1">
      <alignment horizontal="center" vertical="center"/>
    </xf>
    <xf numFmtId="0" fontId="0" fillId="62" borderId="40" xfId="0" applyFill="1" applyBorder="1" applyAlignment="1">
      <alignment horizontal="center" vertical="center"/>
    </xf>
    <xf numFmtId="0" fontId="0" fillId="62" borderId="43" xfId="0" applyFill="1" applyBorder="1" applyAlignment="1">
      <alignment horizontal="center" vertical="center"/>
    </xf>
    <xf numFmtId="0" fontId="0" fillId="62" borderId="57" xfId="0" applyFill="1" applyBorder="1" applyAlignment="1">
      <alignment horizontal="center" vertical="center"/>
    </xf>
    <xf numFmtId="0" fontId="0" fillId="62" borderId="42" xfId="0" applyFill="1" applyBorder="1" applyAlignment="1">
      <alignment horizontal="center" vertical="center"/>
    </xf>
    <xf numFmtId="0" fontId="0" fillId="62" borderId="48" xfId="0" applyFill="1" applyBorder="1" applyAlignment="1">
      <alignment horizontal="center" vertical="center"/>
    </xf>
    <xf numFmtId="0" fontId="0" fillId="62" borderId="13" xfId="0" applyFill="1" applyBorder="1" applyAlignment="1">
      <alignment horizontal="center" vertical="center"/>
    </xf>
    <xf numFmtId="0" fontId="0" fillId="62" borderId="11" xfId="0" applyFill="1" applyBorder="1" applyAlignment="1">
      <alignment horizontal="center" vertical="center"/>
    </xf>
    <xf numFmtId="0" fontId="0" fillId="62" borderId="69" xfId="0" applyFill="1" applyBorder="1" applyAlignment="1">
      <alignment horizontal="center" vertical="center"/>
    </xf>
    <xf numFmtId="0" fontId="0" fillId="62" borderId="52" xfId="0" applyFill="1" applyBorder="1" applyAlignment="1">
      <alignment horizontal="center" vertical="center"/>
    </xf>
    <xf numFmtId="16" fontId="0" fillId="62" borderId="55" xfId="0" applyNumberFormat="1" applyFill="1" applyBorder="1" applyAlignment="1">
      <alignment horizontal="center" vertical="center"/>
    </xf>
    <xf numFmtId="0" fontId="0" fillId="62" borderId="134" xfId="0" applyFill="1" applyBorder="1" applyAlignment="1">
      <alignment horizontal="center" vertical="center"/>
    </xf>
    <xf numFmtId="0" fontId="0" fillId="62" borderId="54" xfId="0" applyFill="1" applyBorder="1" applyAlignment="1">
      <alignment horizontal="center" vertical="center"/>
    </xf>
    <xf numFmtId="0" fontId="0" fillId="62" borderId="55" xfId="0" applyFill="1" applyBorder="1" applyAlignment="1">
      <alignment horizontal="center" vertical="center"/>
    </xf>
    <xf numFmtId="0" fontId="0" fillId="62" borderId="53" xfId="0" applyFill="1" applyBorder="1" applyAlignment="1">
      <alignment horizontal="center" vertical="center"/>
    </xf>
    <xf numFmtId="0" fontId="0" fillId="62" borderId="52" xfId="0" applyFont="1" applyFill="1" applyBorder="1" applyAlignment="1">
      <alignment horizontal="center" vertical="center"/>
    </xf>
    <xf numFmtId="0" fontId="0" fillId="62" borderId="22" xfId="0" applyFill="1" applyBorder="1" applyAlignment="1">
      <alignment horizontal="center" vertical="center"/>
    </xf>
    <xf numFmtId="0" fontId="157" fillId="66" borderId="0" xfId="0" applyFont="1" applyFill="1"/>
    <xf numFmtId="0" fontId="156" fillId="66" borderId="0" xfId="0" applyFont="1" applyFill="1"/>
    <xf numFmtId="0" fontId="0" fillId="66" borderId="0" xfId="0" applyFill="1"/>
    <xf numFmtId="4" fontId="8" fillId="66" borderId="0" xfId="0" applyNumberFormat="1" applyFont="1" applyFill="1" applyAlignment="1">
      <alignment horizontal="center"/>
    </xf>
    <xf numFmtId="2" fontId="8" fillId="66" borderId="0" xfId="0" applyNumberFormat="1" applyFont="1" applyFill="1" applyBorder="1"/>
    <xf numFmtId="0" fontId="8" fillId="66" borderId="10" xfId="0" applyFont="1" applyFill="1" applyBorder="1" applyAlignment="1">
      <alignment horizontal="center"/>
    </xf>
    <xf numFmtId="4" fontId="8" fillId="66" borderId="10" xfId="0" applyNumberFormat="1" applyFont="1" applyFill="1" applyBorder="1" applyAlignment="1">
      <alignment horizontal="center"/>
    </xf>
    <xf numFmtId="3" fontId="8" fillId="66" borderId="10" xfId="0" applyNumberFormat="1" applyFont="1" applyFill="1" applyBorder="1" applyAlignment="1">
      <alignment horizontal="center"/>
    </xf>
    <xf numFmtId="0" fontId="8" fillId="66" borderId="10" xfId="0" applyFont="1" applyFill="1" applyBorder="1"/>
    <xf numFmtId="178" fontId="8" fillId="66" borderId="10" xfId="0" applyNumberFormat="1" applyFont="1" applyFill="1" applyBorder="1" applyAlignment="1">
      <alignment horizontal="center"/>
    </xf>
    <xf numFmtId="2" fontId="8" fillId="66" borderId="10" xfId="0" applyNumberFormat="1" applyFont="1" applyFill="1" applyBorder="1"/>
    <xf numFmtId="2" fontId="8" fillId="66" borderId="10" xfId="0" applyNumberFormat="1" applyFont="1" applyFill="1" applyBorder="1" applyAlignment="1">
      <alignment horizontal="center"/>
    </xf>
    <xf numFmtId="0" fontId="127" fillId="66" borderId="55" xfId="196" applyFont="1" applyFill="1" applyBorder="1" applyAlignment="1">
      <alignment horizontal="center" vertical="center" wrapText="1"/>
    </xf>
    <xf numFmtId="2" fontId="8" fillId="66" borderId="10" xfId="177" applyNumberFormat="1" applyFont="1" applyFill="1" applyBorder="1" applyAlignment="1">
      <alignment horizontal="right"/>
    </xf>
    <xf numFmtId="0" fontId="8" fillId="66" borderId="0" xfId="0" applyFont="1" applyFill="1"/>
    <xf numFmtId="0" fontId="7" fillId="66" borderId="10" xfId="0" applyFont="1" applyFill="1" applyBorder="1" applyAlignment="1">
      <alignment horizontal="center"/>
    </xf>
    <xf numFmtId="4" fontId="7" fillId="66" borderId="10" xfId="0" applyNumberFormat="1" applyFont="1" applyFill="1" applyBorder="1" applyAlignment="1">
      <alignment horizontal="center"/>
    </xf>
    <xf numFmtId="0" fontId="153" fillId="66" borderId="0" xfId="0" applyFont="1" applyFill="1" applyAlignment="1"/>
    <xf numFmtId="0" fontId="0" fillId="66" borderId="0" xfId="0" applyFill="1" applyAlignment="1">
      <alignment horizontal="center" vertical="center"/>
    </xf>
    <xf numFmtId="0" fontId="0" fillId="66" borderId="40" xfId="0" applyFill="1" applyBorder="1" applyAlignment="1">
      <alignment horizontal="center" vertical="center"/>
    </xf>
    <xf numFmtId="0" fontId="0" fillId="66" borderId="43" xfId="0" applyFill="1" applyBorder="1" applyAlignment="1">
      <alignment horizontal="center" vertical="center"/>
    </xf>
    <xf numFmtId="0" fontId="0" fillId="66" borderId="57" xfId="0" applyFill="1" applyBorder="1" applyAlignment="1">
      <alignment horizontal="center" vertical="center"/>
    </xf>
    <xf numFmtId="0" fontId="0" fillId="66" borderId="42" xfId="0" applyFill="1" applyBorder="1" applyAlignment="1">
      <alignment horizontal="center" vertical="center"/>
    </xf>
    <xf numFmtId="0" fontId="0" fillId="66" borderId="48" xfId="0" applyFill="1" applyBorder="1" applyAlignment="1">
      <alignment horizontal="center" vertical="center"/>
    </xf>
    <xf numFmtId="0" fontId="0" fillId="66" borderId="13" xfId="0" applyFill="1" applyBorder="1" applyAlignment="1">
      <alignment horizontal="center" vertical="center"/>
    </xf>
    <xf numFmtId="0" fontId="0" fillId="66" borderId="11" xfId="0" applyFill="1" applyBorder="1" applyAlignment="1">
      <alignment horizontal="center" vertical="center"/>
    </xf>
    <xf numFmtId="0" fontId="0" fillId="66" borderId="69" xfId="0" applyFill="1" applyBorder="1" applyAlignment="1">
      <alignment horizontal="center" vertical="center"/>
    </xf>
    <xf numFmtId="0" fontId="0" fillId="66" borderId="52" xfId="0" applyFill="1" applyBorder="1" applyAlignment="1">
      <alignment horizontal="center" vertical="center"/>
    </xf>
    <xf numFmtId="16" fontId="0" fillId="66" borderId="55" xfId="0" applyNumberFormat="1" applyFill="1" applyBorder="1" applyAlignment="1">
      <alignment horizontal="center" vertical="center"/>
    </xf>
    <xf numFmtId="0" fontId="0" fillId="66" borderId="134" xfId="0" applyFill="1" applyBorder="1" applyAlignment="1">
      <alignment horizontal="center" vertical="center"/>
    </xf>
    <xf numFmtId="0" fontId="0" fillId="66" borderId="54" xfId="0" applyFill="1" applyBorder="1" applyAlignment="1">
      <alignment horizontal="center" vertical="center"/>
    </xf>
    <xf numFmtId="0" fontId="0" fillId="66" borderId="55" xfId="0" applyFill="1" applyBorder="1" applyAlignment="1">
      <alignment horizontal="center" vertical="center"/>
    </xf>
    <xf numFmtId="0" fontId="0" fillId="66" borderId="53" xfId="0" applyFill="1" applyBorder="1" applyAlignment="1">
      <alignment horizontal="center" vertical="center"/>
    </xf>
    <xf numFmtId="0" fontId="0" fillId="66" borderId="52" xfId="0" applyFont="1" applyFill="1" applyBorder="1" applyAlignment="1">
      <alignment horizontal="center" vertical="center"/>
    </xf>
    <xf numFmtId="0" fontId="0" fillId="66" borderId="22" xfId="0" applyFill="1" applyBorder="1" applyAlignment="1">
      <alignment horizontal="center" vertical="center"/>
    </xf>
    <xf numFmtId="0" fontId="5" fillId="66" borderId="54" xfId="0" applyFont="1" applyFill="1" applyBorder="1" applyAlignment="1">
      <alignment horizontal="center" vertical="center"/>
    </xf>
    <xf numFmtId="0" fontId="166" fillId="60" borderId="0" xfId="0" applyFont="1" applyFill="1"/>
    <xf numFmtId="0" fontId="0" fillId="60" borderId="0" xfId="0" applyFill="1"/>
    <xf numFmtId="0" fontId="170" fillId="60" borderId="0" xfId="0" applyFont="1" applyFill="1"/>
    <xf numFmtId="0" fontId="153" fillId="60" borderId="0" xfId="0" applyFont="1" applyFill="1" applyAlignment="1">
      <alignment horizontal="left"/>
    </xf>
    <xf numFmtId="0" fontId="0" fillId="60" borderId="0" xfId="0" applyFill="1" applyAlignment="1">
      <alignment horizontal="center" vertical="center"/>
    </xf>
    <xf numFmtId="0" fontId="127" fillId="60" borderId="10" xfId="195" applyFont="1" applyFill="1" applyBorder="1" applyAlignment="1">
      <alignment horizontal="center" vertical="center" wrapText="1"/>
    </xf>
    <xf numFmtId="0" fontId="160" fillId="60" borderId="10" xfId="195" applyFont="1" applyFill="1" applyBorder="1" applyAlignment="1">
      <alignment horizontal="center" vertical="center" wrapText="1"/>
    </xf>
    <xf numFmtId="0" fontId="0" fillId="60" borderId="10" xfId="0" applyFill="1" applyBorder="1"/>
    <xf numFmtId="0" fontId="0" fillId="60" borderId="10" xfId="0" applyFill="1" applyBorder="1" applyAlignment="1">
      <alignment horizontal="center"/>
    </xf>
    <xf numFmtId="0" fontId="15" fillId="60" borderId="10" xfId="0" applyFont="1" applyFill="1" applyBorder="1"/>
    <xf numFmtId="0" fontId="170" fillId="67" borderId="0" xfId="0" applyFont="1" applyFill="1"/>
    <xf numFmtId="0" fontId="165" fillId="67" borderId="0" xfId="0" applyFont="1" applyFill="1"/>
    <xf numFmtId="0" fontId="5" fillId="67" borderId="0" xfId="0" applyFont="1" applyFill="1"/>
    <xf numFmtId="4" fontId="8" fillId="67" borderId="0" xfId="0" applyNumberFormat="1" applyFont="1" applyFill="1" applyAlignment="1">
      <alignment horizontal="center"/>
    </xf>
    <xf numFmtId="2" fontId="8" fillId="67" borderId="0" xfId="0" applyNumberFormat="1" applyFont="1" applyFill="1" applyBorder="1"/>
    <xf numFmtId="0" fontId="8" fillId="67" borderId="10" xfId="0" applyFont="1" applyFill="1" applyBorder="1" applyAlignment="1">
      <alignment horizontal="center"/>
    </xf>
    <xf numFmtId="4" fontId="8" fillId="67" borderId="10" xfId="0" applyNumberFormat="1" applyFont="1" applyFill="1" applyBorder="1" applyAlignment="1">
      <alignment horizontal="center"/>
    </xf>
    <xf numFmtId="3" fontId="8" fillId="67" borderId="10" xfId="0" applyNumberFormat="1" applyFont="1" applyFill="1" applyBorder="1" applyAlignment="1">
      <alignment horizontal="center"/>
    </xf>
    <xf numFmtId="0" fontId="8" fillId="67" borderId="10" xfId="0" applyFont="1" applyFill="1" applyBorder="1"/>
    <xf numFmtId="178" fontId="8" fillId="67" borderId="10" xfId="0" applyNumberFormat="1" applyFont="1" applyFill="1" applyBorder="1" applyAlignment="1">
      <alignment horizontal="center"/>
    </xf>
    <xf numFmtId="2" fontId="8" fillId="67" borderId="10" xfId="0" applyNumberFormat="1" applyFont="1" applyFill="1" applyBorder="1"/>
    <xf numFmtId="2" fontId="8" fillId="67" borderId="10" xfId="0" applyNumberFormat="1" applyFont="1" applyFill="1" applyBorder="1" applyAlignment="1">
      <alignment horizontal="center"/>
    </xf>
    <xf numFmtId="2" fontId="8" fillId="67" borderId="10" xfId="177" applyNumberFormat="1" applyFont="1" applyFill="1" applyBorder="1" applyAlignment="1">
      <alignment horizontal="right"/>
    </xf>
    <xf numFmtId="0" fontId="8" fillId="67" borderId="0" xfId="0" applyFont="1" applyFill="1"/>
    <xf numFmtId="0" fontId="7" fillId="67" borderId="10" xfId="0" applyFont="1" applyFill="1" applyBorder="1" applyAlignment="1">
      <alignment horizontal="center"/>
    </xf>
    <xf numFmtId="4" fontId="7" fillId="67" borderId="10" xfId="0" applyNumberFormat="1" applyFont="1" applyFill="1" applyBorder="1" applyAlignment="1">
      <alignment horizontal="center"/>
    </xf>
    <xf numFmtId="171" fontId="8" fillId="67" borderId="10" xfId="0" applyNumberFormat="1" applyFont="1" applyFill="1" applyBorder="1" applyAlignment="1">
      <alignment horizontal="center"/>
    </xf>
    <xf numFmtId="175" fontId="8" fillId="67" borderId="10" xfId="0" applyNumberFormat="1" applyFont="1" applyFill="1" applyBorder="1" applyAlignment="1">
      <alignment horizontal="center"/>
    </xf>
    <xf numFmtId="0" fontId="172" fillId="67" borderId="0" xfId="0" applyFont="1" applyFill="1" applyAlignment="1"/>
    <xf numFmtId="0" fontId="5" fillId="67" borderId="0" xfId="0" applyFont="1" applyFill="1" applyAlignment="1">
      <alignment horizontal="center" vertical="center"/>
    </xf>
    <xf numFmtId="0" fontId="5" fillId="67" borderId="40" xfId="0" applyFont="1" applyFill="1" applyBorder="1" applyAlignment="1">
      <alignment horizontal="center" vertical="center"/>
    </xf>
    <xf numFmtId="0" fontId="5" fillId="67" borderId="43" xfId="0" applyFont="1" applyFill="1" applyBorder="1" applyAlignment="1">
      <alignment horizontal="center" vertical="center"/>
    </xf>
    <xf numFmtId="0" fontId="5" fillId="67" borderId="57" xfId="0" applyFont="1" applyFill="1" applyBorder="1" applyAlignment="1">
      <alignment horizontal="center" vertical="center"/>
    </xf>
    <xf numFmtId="0" fontId="5" fillId="67" borderId="42" xfId="0" applyFont="1" applyFill="1" applyBorder="1" applyAlignment="1">
      <alignment horizontal="center" vertical="center"/>
    </xf>
    <xf numFmtId="0" fontId="5" fillId="67" borderId="48" xfId="0" applyFont="1" applyFill="1" applyBorder="1" applyAlignment="1">
      <alignment horizontal="center" vertical="center"/>
    </xf>
    <xf numFmtId="0" fontId="5" fillId="67" borderId="13" xfId="0" applyFont="1" applyFill="1" applyBorder="1" applyAlignment="1">
      <alignment horizontal="center" vertical="center"/>
    </xf>
    <xf numFmtId="0" fontId="5" fillId="67" borderId="11" xfId="0" applyFont="1" applyFill="1" applyBorder="1" applyAlignment="1">
      <alignment horizontal="center" vertical="center"/>
    </xf>
    <xf numFmtId="0" fontId="5" fillId="67" borderId="69" xfId="0" applyFont="1" applyFill="1" applyBorder="1" applyAlignment="1">
      <alignment horizontal="center" vertical="center"/>
    </xf>
    <xf numFmtId="0" fontId="5" fillId="67" borderId="52" xfId="0" applyFont="1" applyFill="1" applyBorder="1" applyAlignment="1">
      <alignment horizontal="center" vertical="center"/>
    </xf>
    <xf numFmtId="16" fontId="5" fillId="67" borderId="55" xfId="0" applyNumberFormat="1" applyFont="1" applyFill="1" applyBorder="1" applyAlignment="1">
      <alignment horizontal="center" vertical="center"/>
    </xf>
    <xf numFmtId="0" fontId="5" fillId="67" borderId="134" xfId="0" applyFont="1" applyFill="1" applyBorder="1" applyAlignment="1">
      <alignment horizontal="center" vertical="center"/>
    </xf>
    <xf numFmtId="0" fontId="5" fillId="67" borderId="54" xfId="0" applyFont="1" applyFill="1" applyBorder="1" applyAlignment="1">
      <alignment horizontal="center" vertical="center"/>
    </xf>
    <xf numFmtId="0" fontId="5" fillId="67" borderId="55" xfId="0" applyFont="1" applyFill="1" applyBorder="1" applyAlignment="1">
      <alignment horizontal="center" vertical="center"/>
    </xf>
    <xf numFmtId="0" fontId="5" fillId="67" borderId="53" xfId="0" applyFont="1" applyFill="1" applyBorder="1" applyAlignment="1">
      <alignment horizontal="center" vertical="center"/>
    </xf>
    <xf numFmtId="0" fontId="160" fillId="67" borderId="55" xfId="196" applyFont="1" applyFill="1" applyBorder="1" applyAlignment="1">
      <alignment horizontal="center" vertical="center" wrapText="1"/>
    </xf>
    <xf numFmtId="0" fontId="5" fillId="67" borderId="22" xfId="0" applyFont="1" applyFill="1" applyBorder="1" applyAlignment="1">
      <alignment horizontal="center" vertical="center"/>
    </xf>
    <xf numFmtId="0" fontId="168" fillId="68" borderId="0" xfId="0" applyFont="1" applyFill="1"/>
    <xf numFmtId="0" fontId="156" fillId="68" borderId="0" xfId="0" applyFont="1" applyFill="1"/>
    <xf numFmtId="0" fontId="0" fillId="68" borderId="0" xfId="0" applyFill="1"/>
    <xf numFmtId="4" fontId="8" fillId="68" borderId="0" xfId="0" applyNumberFormat="1" applyFont="1" applyFill="1" applyAlignment="1">
      <alignment horizontal="center"/>
    </xf>
    <xf numFmtId="2" fontId="8" fillId="68" borderId="0" xfId="0" applyNumberFormat="1" applyFont="1" applyFill="1" applyBorder="1"/>
    <xf numFmtId="0" fontId="8" fillId="68" borderId="10" xfId="0" applyFont="1" applyFill="1" applyBorder="1" applyAlignment="1">
      <alignment horizontal="center"/>
    </xf>
    <xf numFmtId="4" fontId="8" fillId="68" borderId="10" xfId="0" applyNumberFormat="1" applyFont="1" applyFill="1" applyBorder="1" applyAlignment="1">
      <alignment horizontal="center"/>
    </xf>
    <xf numFmtId="3" fontId="8" fillId="68" borderId="10" xfId="0" applyNumberFormat="1" applyFont="1" applyFill="1" applyBorder="1" applyAlignment="1">
      <alignment horizontal="center"/>
    </xf>
    <xf numFmtId="0" fontId="8" fillId="68" borderId="10" xfId="0" applyFont="1" applyFill="1" applyBorder="1"/>
    <xf numFmtId="178" fontId="8" fillId="68" borderId="10" xfId="0" applyNumberFormat="1" applyFont="1" applyFill="1" applyBorder="1" applyAlignment="1">
      <alignment horizontal="center"/>
    </xf>
    <xf numFmtId="2" fontId="8" fillId="68" borderId="10" xfId="0" applyNumberFormat="1" applyFont="1" applyFill="1" applyBorder="1"/>
    <xf numFmtId="2" fontId="8" fillId="68" borderId="10" xfId="0" applyNumberFormat="1" applyFont="1" applyFill="1" applyBorder="1" applyAlignment="1">
      <alignment horizontal="center"/>
    </xf>
    <xf numFmtId="0" fontId="127" fillId="68" borderId="55" xfId="196" applyFont="1" applyFill="1" applyBorder="1" applyAlignment="1">
      <alignment horizontal="center" vertical="center" wrapText="1"/>
    </xf>
    <xf numFmtId="2" fontId="8" fillId="68" borderId="10" xfId="177" applyNumberFormat="1" applyFont="1" applyFill="1" applyBorder="1" applyAlignment="1">
      <alignment horizontal="right"/>
    </xf>
    <xf numFmtId="0" fontId="8" fillId="68" borderId="0" xfId="0" applyFont="1" applyFill="1"/>
    <xf numFmtId="0" fontId="7" fillId="68" borderId="10" xfId="0" applyFont="1" applyFill="1" applyBorder="1" applyAlignment="1">
      <alignment horizontal="center"/>
    </xf>
    <xf numFmtId="4" fontId="7" fillId="68" borderId="10" xfId="0" applyNumberFormat="1" applyFont="1" applyFill="1" applyBorder="1" applyAlignment="1">
      <alignment horizontal="center"/>
    </xf>
    <xf numFmtId="0" fontId="153" fillId="68" borderId="0" xfId="0" applyFont="1" applyFill="1" applyAlignment="1"/>
    <xf numFmtId="0" fontId="0" fillId="68" borderId="0" xfId="0" applyFill="1" applyAlignment="1">
      <alignment horizontal="center" vertical="center"/>
    </xf>
    <xf numFmtId="0" fontId="0" fillId="68" borderId="40" xfId="0" applyFill="1" applyBorder="1" applyAlignment="1">
      <alignment horizontal="center" vertical="center"/>
    </xf>
    <xf numFmtId="0" fontId="0" fillId="68" borderId="43" xfId="0" applyFill="1" applyBorder="1" applyAlignment="1">
      <alignment horizontal="center" vertical="center"/>
    </xf>
    <xf numFmtId="0" fontId="0" fillId="68" borderId="57" xfId="0" applyFill="1" applyBorder="1" applyAlignment="1">
      <alignment horizontal="center" vertical="center"/>
    </xf>
    <xf numFmtId="0" fontId="0" fillId="68" borderId="42" xfId="0" applyFill="1" applyBorder="1" applyAlignment="1">
      <alignment horizontal="center" vertical="center"/>
    </xf>
    <xf numFmtId="0" fontId="0" fillId="68" borderId="48" xfId="0" applyFill="1" applyBorder="1" applyAlignment="1">
      <alignment horizontal="center" vertical="center"/>
    </xf>
    <xf numFmtId="0" fontId="0" fillId="68" borderId="13" xfId="0" applyFill="1" applyBorder="1" applyAlignment="1">
      <alignment horizontal="center" vertical="center"/>
    </xf>
    <xf numFmtId="0" fontId="0" fillId="68" borderId="11" xfId="0" applyFill="1" applyBorder="1" applyAlignment="1">
      <alignment horizontal="center" vertical="center"/>
    </xf>
    <xf numFmtId="0" fontId="0" fillId="68" borderId="69" xfId="0" applyFill="1" applyBorder="1" applyAlignment="1">
      <alignment horizontal="center" vertical="center"/>
    </xf>
    <xf numFmtId="0" fontId="0" fillId="68" borderId="52" xfId="0" applyFill="1" applyBorder="1" applyAlignment="1">
      <alignment horizontal="center" vertical="center"/>
    </xf>
    <xf numFmtId="16" fontId="0" fillId="68" borderId="55" xfId="0" applyNumberFormat="1" applyFill="1" applyBorder="1" applyAlignment="1">
      <alignment horizontal="center" vertical="center"/>
    </xf>
    <xf numFmtId="0" fontId="0" fillId="68" borderId="134" xfId="0" applyFill="1" applyBorder="1" applyAlignment="1">
      <alignment horizontal="center" vertical="center"/>
    </xf>
    <xf numFmtId="0" fontId="0" fillId="68" borderId="54" xfId="0" applyFill="1" applyBorder="1" applyAlignment="1">
      <alignment horizontal="center" vertical="center"/>
    </xf>
    <xf numFmtId="0" fontId="0" fillId="68" borderId="55" xfId="0" applyFill="1" applyBorder="1" applyAlignment="1">
      <alignment horizontal="center" vertical="center"/>
    </xf>
    <xf numFmtId="0" fontId="0" fillId="68" borderId="53" xfId="0" applyFill="1" applyBorder="1" applyAlignment="1">
      <alignment horizontal="center" vertical="center"/>
    </xf>
    <xf numFmtId="0" fontId="0" fillId="68" borderId="52" xfId="0" applyFont="1" applyFill="1" applyBorder="1" applyAlignment="1">
      <alignment horizontal="center" vertical="center"/>
    </xf>
    <xf numFmtId="0" fontId="0" fillId="68" borderId="22" xfId="0" applyFill="1" applyBorder="1" applyAlignment="1">
      <alignment horizontal="center" vertical="center"/>
    </xf>
    <xf numFmtId="4" fontId="0" fillId="68" borderId="52" xfId="0" applyNumberFormat="1" applyFont="1" applyFill="1" applyBorder="1" applyAlignment="1">
      <alignment horizontal="center" vertical="center"/>
    </xf>
    <xf numFmtId="0" fontId="168" fillId="69" borderId="0" xfId="0" applyFont="1" applyFill="1"/>
    <xf numFmtId="0" fontId="156" fillId="69" borderId="0" xfId="0" applyFont="1" applyFill="1"/>
    <xf numFmtId="0" fontId="0" fillId="69" borderId="0" xfId="0" applyFill="1"/>
    <xf numFmtId="4" fontId="8" fillId="69" borderId="0" xfId="0" applyNumberFormat="1" applyFont="1" applyFill="1" applyAlignment="1">
      <alignment horizontal="center"/>
    </xf>
    <xf numFmtId="2" fontId="8" fillId="69" borderId="0" xfId="0" applyNumberFormat="1" applyFont="1" applyFill="1" applyBorder="1"/>
    <xf numFmtId="0" fontId="8" fillId="69" borderId="10" xfId="0" applyFont="1" applyFill="1" applyBorder="1" applyAlignment="1">
      <alignment horizontal="center"/>
    </xf>
    <xf numFmtId="4" fontId="8" fillId="69" borderId="10" xfId="0" applyNumberFormat="1" applyFont="1" applyFill="1" applyBorder="1" applyAlignment="1">
      <alignment horizontal="center"/>
    </xf>
    <xf numFmtId="3" fontId="8" fillId="69" borderId="10" xfId="0" applyNumberFormat="1" applyFont="1" applyFill="1" applyBorder="1" applyAlignment="1">
      <alignment horizontal="center"/>
    </xf>
    <xf numFmtId="0" fontId="8" fillId="69" borderId="10" xfId="0" applyFont="1" applyFill="1" applyBorder="1"/>
    <xf numFmtId="178" fontId="8" fillId="69" borderId="10" xfId="0" applyNumberFormat="1" applyFont="1" applyFill="1" applyBorder="1" applyAlignment="1">
      <alignment horizontal="center"/>
    </xf>
    <xf numFmtId="2" fontId="8" fillId="69" borderId="10" xfId="0" applyNumberFormat="1" applyFont="1" applyFill="1" applyBorder="1"/>
    <xf numFmtId="2" fontId="8" fillId="69" borderId="10" xfId="0" applyNumberFormat="1" applyFont="1" applyFill="1" applyBorder="1" applyAlignment="1">
      <alignment horizontal="center"/>
    </xf>
    <xf numFmtId="0" fontId="127" fillId="69" borderId="55" xfId="196" applyFont="1" applyFill="1" applyBorder="1" applyAlignment="1">
      <alignment horizontal="center" vertical="center" wrapText="1"/>
    </xf>
    <xf numFmtId="2" fontId="8" fillId="69" borderId="10" xfId="177" applyNumberFormat="1" applyFont="1" applyFill="1" applyBorder="1" applyAlignment="1">
      <alignment horizontal="right"/>
    </xf>
    <xf numFmtId="0" fontId="8" fillId="69" borderId="0" xfId="0" applyFont="1" applyFill="1"/>
    <xf numFmtId="0" fontId="7" fillId="69" borderId="10" xfId="0" applyFont="1" applyFill="1" applyBorder="1" applyAlignment="1">
      <alignment horizontal="center"/>
    </xf>
    <xf numFmtId="4" fontId="7" fillId="69" borderId="10" xfId="0" applyNumberFormat="1" applyFont="1" applyFill="1" applyBorder="1" applyAlignment="1">
      <alignment horizontal="center"/>
    </xf>
    <xf numFmtId="0" fontId="153" fillId="69" borderId="0" xfId="0" applyFont="1" applyFill="1" applyAlignment="1"/>
    <xf numFmtId="0" fontId="0" fillId="69" borderId="0" xfId="0" applyFill="1" applyAlignment="1">
      <alignment horizontal="center" vertical="center"/>
    </xf>
    <xf numFmtId="0" fontId="0" fillId="69" borderId="40" xfId="0" applyFill="1" applyBorder="1" applyAlignment="1">
      <alignment horizontal="center" vertical="center"/>
    </xf>
    <xf numFmtId="0" fontId="0" fillId="69" borderId="43" xfId="0" applyFill="1" applyBorder="1" applyAlignment="1">
      <alignment horizontal="center" vertical="center"/>
    </xf>
    <xf numFmtId="0" fontId="0" fillId="69" borderId="57" xfId="0" applyFill="1" applyBorder="1" applyAlignment="1">
      <alignment horizontal="center" vertical="center"/>
    </xf>
    <xf numFmtId="0" fontId="0" fillId="69" borderId="42" xfId="0" applyFill="1" applyBorder="1" applyAlignment="1">
      <alignment horizontal="center" vertical="center"/>
    </xf>
    <xf numFmtId="0" fontId="0" fillId="69" borderId="48" xfId="0" applyFill="1" applyBorder="1" applyAlignment="1">
      <alignment horizontal="center" vertical="center"/>
    </xf>
    <xf numFmtId="0" fontId="0" fillId="69" borderId="13" xfId="0" applyFill="1" applyBorder="1" applyAlignment="1">
      <alignment horizontal="center" vertical="center"/>
    </xf>
    <xf numFmtId="0" fontId="0" fillId="69" borderId="11" xfId="0" applyFill="1" applyBorder="1" applyAlignment="1">
      <alignment horizontal="center" vertical="center"/>
    </xf>
    <xf numFmtId="0" fontId="0" fillId="69" borderId="69" xfId="0" applyFill="1" applyBorder="1" applyAlignment="1">
      <alignment horizontal="center" vertical="center"/>
    </xf>
    <xf numFmtId="0" fontId="0" fillId="69" borderId="52" xfId="0" applyFill="1" applyBorder="1" applyAlignment="1">
      <alignment horizontal="center" vertical="center"/>
    </xf>
    <xf numFmtId="16" fontId="0" fillId="69" borderId="55" xfId="0" applyNumberFormat="1" applyFill="1" applyBorder="1" applyAlignment="1">
      <alignment horizontal="center" vertical="center"/>
    </xf>
    <xf numFmtId="0" fontId="0" fillId="69" borderId="134" xfId="0" applyFill="1" applyBorder="1" applyAlignment="1">
      <alignment horizontal="center" vertical="center"/>
    </xf>
    <xf numFmtId="0" fontId="0" fillId="69" borderId="54" xfId="0" applyFill="1" applyBorder="1" applyAlignment="1">
      <alignment horizontal="center" vertical="center"/>
    </xf>
    <xf numFmtId="0" fontId="0" fillId="69" borderId="55" xfId="0" applyFill="1" applyBorder="1" applyAlignment="1">
      <alignment horizontal="center" vertical="center"/>
    </xf>
    <xf numFmtId="0" fontId="0" fillId="69" borderId="53" xfId="0" applyFill="1" applyBorder="1" applyAlignment="1">
      <alignment horizontal="center" vertical="center"/>
    </xf>
    <xf numFmtId="4" fontId="0" fillId="69" borderId="52" xfId="0" applyNumberFormat="1" applyFont="1" applyFill="1" applyBorder="1" applyAlignment="1">
      <alignment horizontal="center" vertical="center"/>
    </xf>
    <xf numFmtId="0" fontId="0" fillId="69" borderId="22" xfId="0" applyFill="1" applyBorder="1" applyAlignment="1">
      <alignment horizontal="center" vertical="center"/>
    </xf>
    <xf numFmtId="0" fontId="0" fillId="69" borderId="52" xfId="0" applyFont="1" applyFill="1" applyBorder="1" applyAlignment="1">
      <alignment horizontal="center" vertical="center"/>
    </xf>
    <xf numFmtId="0" fontId="157" fillId="69" borderId="0" xfId="0" applyFont="1" applyFill="1"/>
    <xf numFmtId="0" fontId="34" fillId="39" borderId="0" xfId="0" applyFont="1" applyFill="1"/>
    <xf numFmtId="175" fontId="8" fillId="39" borderId="10" xfId="0" applyNumberFormat="1" applyFont="1" applyFill="1" applyBorder="1" applyAlignment="1">
      <alignment horizontal="center" vertical="center"/>
    </xf>
    <xf numFmtId="175" fontId="135" fillId="41" borderId="10" xfId="0" applyNumberFormat="1" applyFont="1" applyFill="1" applyBorder="1" applyAlignment="1">
      <alignment horizontal="center"/>
    </xf>
    <xf numFmtId="0" fontId="8" fillId="40" borderId="10" xfId="0" applyFont="1" applyFill="1" applyBorder="1" applyAlignment="1">
      <alignment horizontal="center"/>
    </xf>
    <xf numFmtId="4" fontId="8" fillId="40" borderId="10" xfId="0" applyNumberFormat="1" applyFont="1" applyFill="1" applyBorder="1" applyAlignment="1">
      <alignment horizontal="center"/>
    </xf>
    <xf numFmtId="0" fontId="8" fillId="60" borderId="10" xfId="0" applyFont="1" applyFill="1" applyBorder="1" applyAlignment="1">
      <alignment wrapText="1"/>
    </xf>
    <xf numFmtId="0" fontId="8" fillId="60" borderId="10" xfId="0" applyFont="1" applyFill="1" applyBorder="1" applyAlignment="1">
      <alignment horizontal="center" wrapText="1"/>
    </xf>
    <xf numFmtId="14" fontId="124" fillId="0" borderId="0" xfId="0" applyNumberFormat="1" applyFont="1"/>
    <xf numFmtId="0" fontId="5" fillId="65" borderId="22" xfId="0" applyFont="1" applyFill="1" applyBorder="1" applyAlignment="1">
      <alignment horizontal="center" vertical="center"/>
    </xf>
    <xf numFmtId="4" fontId="176" fillId="0" borderId="10" xfId="257" applyNumberFormat="1" applyFont="1" applyBorder="1" applyAlignment="1">
      <alignment horizontal="center" vertical="center"/>
    </xf>
    <xf numFmtId="3" fontId="177" fillId="61" borderId="10" xfId="257" applyNumberFormat="1" applyFont="1" applyFill="1" applyBorder="1" applyAlignment="1">
      <alignment horizontal="center" vertical="center"/>
    </xf>
    <xf numFmtId="169" fontId="176" fillId="0" borderId="10" xfId="257" applyNumberFormat="1" applyFont="1" applyBorder="1" applyAlignment="1">
      <alignment horizontal="center" vertical="center"/>
    </xf>
    <xf numFmtId="4" fontId="176" fillId="0" borderId="0" xfId="257" applyNumberFormat="1" applyFont="1" applyAlignment="1">
      <alignment horizontal="center" vertical="center"/>
    </xf>
    <xf numFmtId="3" fontId="176" fillId="0" borderId="10" xfId="257" applyNumberFormat="1" applyFont="1" applyBorder="1" applyAlignment="1">
      <alignment horizontal="center" vertical="center"/>
    </xf>
    <xf numFmtId="0" fontId="157" fillId="65" borderId="0" xfId="0" applyFont="1" applyFill="1"/>
    <xf numFmtId="4" fontId="127" fillId="65" borderId="55" xfId="196" applyNumberFormat="1" applyFont="1" applyFill="1" applyBorder="1" applyAlignment="1">
      <alignment horizontal="center" vertical="center" wrapText="1"/>
    </xf>
    <xf numFmtId="0" fontId="15" fillId="65" borderId="54" xfId="0" applyFont="1" applyFill="1" applyBorder="1" applyAlignment="1">
      <alignment horizontal="center" vertical="center"/>
    </xf>
    <xf numFmtId="0" fontId="156" fillId="70" borderId="0" xfId="0" applyFont="1" applyFill="1"/>
    <xf numFmtId="0" fontId="0" fillId="70" borderId="0" xfId="0" applyFill="1"/>
    <xf numFmtId="4" fontId="8" fillId="70" borderId="0" xfId="0" applyNumberFormat="1" applyFont="1" applyFill="1" applyAlignment="1">
      <alignment horizontal="center"/>
    </xf>
    <xf numFmtId="2" fontId="8" fillId="70" borderId="0" xfId="0" applyNumberFormat="1" applyFont="1" applyFill="1" applyBorder="1"/>
    <xf numFmtId="0" fontId="8" fillId="70" borderId="10" xfId="0" applyFont="1" applyFill="1" applyBorder="1" applyAlignment="1">
      <alignment horizontal="center"/>
    </xf>
    <xf numFmtId="4" fontId="8" fillId="70" borderId="10" xfId="0" applyNumberFormat="1" applyFont="1" applyFill="1" applyBorder="1" applyAlignment="1">
      <alignment horizontal="center"/>
    </xf>
    <xf numFmtId="3" fontId="8" fillId="70" borderId="10" xfId="0" applyNumberFormat="1" applyFont="1" applyFill="1" applyBorder="1" applyAlignment="1">
      <alignment horizontal="center"/>
    </xf>
    <xf numFmtId="0" fontId="8" fillId="70" borderId="10" xfId="0" applyFont="1" applyFill="1" applyBorder="1"/>
    <xf numFmtId="178" fontId="8" fillId="70" borderId="10" xfId="0" applyNumberFormat="1" applyFont="1" applyFill="1" applyBorder="1" applyAlignment="1">
      <alignment horizontal="center"/>
    </xf>
    <xf numFmtId="2" fontId="8" fillId="70" borderId="10" xfId="0" applyNumberFormat="1" applyFont="1" applyFill="1" applyBorder="1"/>
    <xf numFmtId="2" fontId="8" fillId="70" borderId="10" xfId="0" applyNumberFormat="1" applyFont="1" applyFill="1" applyBorder="1" applyAlignment="1">
      <alignment horizontal="center"/>
    </xf>
    <xf numFmtId="0" fontId="127" fillId="70" borderId="55" xfId="196" applyFont="1" applyFill="1" applyBorder="1" applyAlignment="1">
      <alignment horizontal="center" vertical="center" wrapText="1"/>
    </xf>
    <xf numFmtId="2" fontId="8" fillId="70" borderId="10" xfId="177" applyNumberFormat="1" applyFont="1" applyFill="1" applyBorder="1" applyAlignment="1">
      <alignment horizontal="right"/>
    </xf>
    <xf numFmtId="0" fontId="8" fillId="70" borderId="0" xfId="0" applyFont="1" applyFill="1"/>
    <xf numFmtId="0" fontId="7" fillId="70" borderId="10" xfId="0" applyFont="1" applyFill="1" applyBorder="1" applyAlignment="1">
      <alignment horizontal="center"/>
    </xf>
    <xf numFmtId="4" fontId="7" fillId="70" borderId="10" xfId="0" applyNumberFormat="1" applyFont="1" applyFill="1" applyBorder="1" applyAlignment="1">
      <alignment horizontal="center"/>
    </xf>
    <xf numFmtId="0" fontId="153" fillId="70" borderId="0" xfId="0" applyFont="1" applyFill="1" applyAlignment="1"/>
    <xf numFmtId="0" fontId="0" fillId="70" borderId="0" xfId="0" applyFill="1" applyAlignment="1">
      <alignment horizontal="center" vertical="center"/>
    </xf>
    <xf numFmtId="0" fontId="0" fillId="70" borderId="40" xfId="0" applyFill="1" applyBorder="1" applyAlignment="1">
      <alignment horizontal="center" vertical="center"/>
    </xf>
    <xf numFmtId="0" fontId="0" fillId="70" borderId="43" xfId="0" applyFill="1" applyBorder="1" applyAlignment="1">
      <alignment horizontal="center" vertical="center"/>
    </xf>
    <xf numFmtId="0" fontId="0" fillId="70" borderId="57" xfId="0" applyFill="1" applyBorder="1" applyAlignment="1">
      <alignment horizontal="center" vertical="center"/>
    </xf>
    <xf numFmtId="0" fontId="0" fillId="70" borderId="42" xfId="0" applyFill="1" applyBorder="1" applyAlignment="1">
      <alignment horizontal="center" vertical="center"/>
    </xf>
    <xf numFmtId="0" fontId="0" fillId="70" borderId="48" xfId="0" applyFill="1" applyBorder="1" applyAlignment="1">
      <alignment horizontal="center" vertical="center"/>
    </xf>
    <xf numFmtId="0" fontId="5" fillId="70" borderId="13" xfId="0" applyFont="1" applyFill="1" applyBorder="1" applyAlignment="1">
      <alignment horizontal="center" vertical="center"/>
    </xf>
    <xf numFmtId="0" fontId="0" fillId="70" borderId="11" xfId="0" applyFill="1" applyBorder="1" applyAlignment="1">
      <alignment horizontal="center" vertical="center"/>
    </xf>
    <xf numFmtId="0" fontId="5" fillId="70" borderId="69" xfId="0" applyFont="1" applyFill="1" applyBorder="1" applyAlignment="1">
      <alignment horizontal="center" vertical="center"/>
    </xf>
    <xf numFmtId="0" fontId="0" fillId="70" borderId="52" xfId="0" applyFill="1" applyBorder="1" applyAlignment="1">
      <alignment horizontal="center" vertical="center"/>
    </xf>
    <xf numFmtId="16" fontId="0" fillId="70" borderId="55" xfId="0" applyNumberFormat="1" applyFill="1" applyBorder="1" applyAlignment="1">
      <alignment horizontal="center" vertical="center"/>
    </xf>
    <xf numFmtId="0" fontId="0" fillId="70" borderId="134" xfId="0" applyFill="1" applyBorder="1" applyAlignment="1">
      <alignment horizontal="center" vertical="center"/>
    </xf>
    <xf numFmtId="0" fontId="0" fillId="70" borderId="54" xfId="0" applyFill="1" applyBorder="1" applyAlignment="1">
      <alignment horizontal="center" vertical="center"/>
    </xf>
    <xf numFmtId="0" fontId="0" fillId="70" borderId="55" xfId="0" applyFill="1" applyBorder="1" applyAlignment="1">
      <alignment horizontal="center" vertical="center"/>
    </xf>
    <xf numFmtId="0" fontId="0" fillId="70" borderId="53" xfId="0" applyFill="1" applyBorder="1" applyAlignment="1">
      <alignment horizontal="center" vertical="center"/>
    </xf>
    <xf numFmtId="0" fontId="0" fillId="70" borderId="52" xfId="0" applyFont="1" applyFill="1" applyBorder="1" applyAlignment="1">
      <alignment horizontal="center" vertical="center"/>
    </xf>
    <xf numFmtId="0" fontId="0" fillId="70" borderId="22" xfId="0" applyFill="1" applyBorder="1" applyAlignment="1">
      <alignment horizontal="center" vertical="center"/>
    </xf>
    <xf numFmtId="0" fontId="166" fillId="48" borderId="0" xfId="0" applyFont="1" applyFill="1"/>
    <xf numFmtId="0" fontId="0" fillId="48" borderId="0" xfId="0" applyFill="1"/>
    <xf numFmtId="0" fontId="170" fillId="48" borderId="0" xfId="0" applyFont="1" applyFill="1"/>
    <xf numFmtId="0" fontId="153" fillId="48" borderId="0" xfId="0" applyFont="1" applyFill="1" applyAlignment="1">
      <alignment horizontal="left"/>
    </xf>
    <xf numFmtId="0" fontId="0" fillId="48" borderId="0" xfId="0" applyFill="1" applyAlignment="1">
      <alignment horizontal="center" vertical="center"/>
    </xf>
    <xf numFmtId="0" fontId="127" fillId="48" borderId="10" xfId="195" applyFont="1" applyFill="1" applyBorder="1" applyAlignment="1">
      <alignment horizontal="center" vertical="center" wrapText="1"/>
    </xf>
    <xf numFmtId="0" fontId="160" fillId="48" borderId="10" xfId="195" applyFont="1" applyFill="1" applyBorder="1" applyAlignment="1">
      <alignment horizontal="center" vertical="center" wrapText="1"/>
    </xf>
    <xf numFmtId="0" fontId="0" fillId="48" borderId="10" xfId="0" applyFill="1" applyBorder="1"/>
    <xf numFmtId="0" fontId="0" fillId="48" borderId="10" xfId="0" applyFill="1" applyBorder="1" applyAlignment="1">
      <alignment horizontal="center"/>
    </xf>
    <xf numFmtId="0" fontId="15" fillId="48" borderId="10" xfId="0" applyFont="1" applyFill="1" applyBorder="1"/>
    <xf numFmtId="0" fontId="166" fillId="49" borderId="0" xfId="0" applyFont="1" applyFill="1"/>
    <xf numFmtId="0" fontId="0" fillId="49" borderId="0" xfId="0" applyFill="1"/>
    <xf numFmtId="0" fontId="168" fillId="49" borderId="0" xfId="0" applyFont="1" applyFill="1"/>
    <xf numFmtId="0" fontId="153" fillId="49" borderId="0" xfId="0" applyFont="1" applyFill="1" applyAlignment="1">
      <alignment horizontal="left"/>
    </xf>
    <xf numFmtId="0" fontId="0" fillId="49" borderId="0" xfId="0" applyFill="1" applyAlignment="1">
      <alignment horizontal="center" vertical="center"/>
    </xf>
    <xf numFmtId="0" fontId="127" fillId="49" borderId="10" xfId="195" applyFont="1" applyFill="1" applyBorder="1" applyAlignment="1">
      <alignment horizontal="center" vertical="center" wrapText="1"/>
    </xf>
    <xf numFmtId="0" fontId="160" fillId="49" borderId="10" xfId="195" applyFont="1" applyFill="1" applyBorder="1" applyAlignment="1">
      <alignment horizontal="center" vertical="center" wrapText="1"/>
    </xf>
    <xf numFmtId="0" fontId="0" fillId="49" borderId="10" xfId="0" applyFill="1" applyBorder="1"/>
    <xf numFmtId="0" fontId="0" fillId="49" borderId="10" xfId="0" applyFill="1" applyBorder="1" applyAlignment="1">
      <alignment horizontal="center"/>
    </xf>
    <xf numFmtId="0" fontId="5" fillId="49" borderId="10" xfId="0" applyFont="1" applyFill="1" applyBorder="1"/>
    <xf numFmtId="0" fontId="0" fillId="49" borderId="13" xfId="0" applyFill="1" applyBorder="1"/>
    <xf numFmtId="0" fontId="0" fillId="49" borderId="13" xfId="0" applyFill="1" applyBorder="1" applyAlignment="1">
      <alignment horizontal="center"/>
    </xf>
    <xf numFmtId="0" fontId="15" fillId="49" borderId="13" xfId="0" applyFont="1" applyFill="1" applyBorder="1"/>
    <xf numFmtId="3" fontId="8" fillId="44" borderId="12" xfId="0" applyNumberFormat="1" applyFont="1" applyFill="1" applyBorder="1" applyAlignment="1">
      <alignment horizontal="center"/>
    </xf>
    <xf numFmtId="3" fontId="8" fillId="51" borderId="12" xfId="0" applyNumberFormat="1" applyFont="1" applyFill="1" applyBorder="1" applyAlignment="1">
      <alignment horizontal="center"/>
    </xf>
    <xf numFmtId="3" fontId="8" fillId="44" borderId="15" xfId="0" applyNumberFormat="1" applyFont="1" applyFill="1" applyBorder="1" applyAlignment="1">
      <alignment horizontal="center" vertical="center"/>
    </xf>
    <xf numFmtId="170" fontId="8" fillId="44" borderId="15" xfId="203" applyNumberFormat="1" applyFont="1" applyFill="1" applyBorder="1" applyAlignment="1">
      <alignment horizontal="center" vertical="center"/>
    </xf>
    <xf numFmtId="3" fontId="8" fillId="44" borderId="15" xfId="203" applyNumberFormat="1" applyFont="1" applyFill="1" applyBorder="1" applyAlignment="1">
      <alignment horizontal="center" vertical="center"/>
    </xf>
    <xf numFmtId="3" fontId="8" fillId="51" borderId="15" xfId="0" applyNumberFormat="1" applyFont="1" applyFill="1" applyBorder="1" applyAlignment="1">
      <alignment horizontal="center" vertical="center"/>
    </xf>
    <xf numFmtId="3" fontId="8" fillId="51" borderId="15" xfId="203" applyNumberFormat="1" applyFont="1" applyFill="1" applyBorder="1" applyAlignment="1">
      <alignment horizontal="center" vertical="center"/>
    </xf>
    <xf numFmtId="3" fontId="8" fillId="54" borderId="13" xfId="0" applyNumberFormat="1" applyFont="1" applyFill="1" applyBorder="1" applyAlignment="1">
      <alignment horizontal="center" vertical="center"/>
    </xf>
    <xf numFmtId="3" fontId="8" fillId="51" borderId="16" xfId="0" applyNumberFormat="1" applyFont="1" applyFill="1" applyBorder="1" applyAlignment="1">
      <alignment horizontal="center" vertical="center"/>
    </xf>
    <xf numFmtId="180" fontId="129" fillId="52" borderId="10" xfId="0" applyNumberFormat="1" applyFont="1" applyFill="1" applyBorder="1" applyAlignment="1">
      <alignment horizontal="center"/>
    </xf>
    <xf numFmtId="0" fontId="166" fillId="39" borderId="0" xfId="0" applyFont="1" applyFill="1"/>
    <xf numFmtId="0" fontId="156" fillId="39" borderId="0" xfId="0" applyFont="1" applyFill="1"/>
    <xf numFmtId="0" fontId="178" fillId="39" borderId="0" xfId="0" applyFont="1" applyFill="1"/>
    <xf numFmtId="0" fontId="157" fillId="39" borderId="0" xfId="0" applyFont="1" applyFill="1"/>
    <xf numFmtId="0" fontId="179" fillId="39" borderId="0" xfId="0" applyFont="1" applyFill="1"/>
    <xf numFmtId="175" fontId="156" fillId="39" borderId="0" xfId="0" applyNumberFormat="1" applyFont="1" applyFill="1"/>
    <xf numFmtId="166" fontId="10" fillId="41" borderId="10" xfId="0" applyNumberFormat="1" applyFont="1" applyFill="1" applyBorder="1" applyAlignment="1">
      <alignment horizontal="center"/>
    </xf>
    <xf numFmtId="0" fontId="168" fillId="71" borderId="0" xfId="0" applyFont="1" applyFill="1"/>
    <xf numFmtId="0" fontId="156" fillId="71" borderId="0" xfId="0" applyFont="1" applyFill="1"/>
    <xf numFmtId="0" fontId="0" fillId="71" borderId="0" xfId="0" applyFill="1"/>
    <xf numFmtId="0" fontId="179" fillId="71" borderId="0" xfId="0" applyFont="1" applyFill="1"/>
    <xf numFmtId="4" fontId="8" fillId="71" borderId="0" xfId="0" applyNumberFormat="1" applyFont="1" applyFill="1" applyAlignment="1">
      <alignment horizontal="center"/>
    </xf>
    <xf numFmtId="2" fontId="8" fillId="71" borderId="0" xfId="0" applyNumberFormat="1" applyFont="1" applyFill="1" applyBorder="1"/>
    <xf numFmtId="0" fontId="8" fillId="71" borderId="10" xfId="0" applyFont="1" applyFill="1" applyBorder="1" applyAlignment="1">
      <alignment horizontal="center"/>
    </xf>
    <xf numFmtId="4" fontId="8" fillId="71" borderId="10" xfId="0" applyNumberFormat="1" applyFont="1" applyFill="1" applyBorder="1" applyAlignment="1">
      <alignment horizontal="center"/>
    </xf>
    <xf numFmtId="3" fontId="8" fillId="71" borderId="10" xfId="0" applyNumberFormat="1" applyFont="1" applyFill="1" applyBorder="1" applyAlignment="1">
      <alignment horizontal="center"/>
    </xf>
    <xf numFmtId="0" fontId="8" fillId="71" borderId="10" xfId="0" applyFont="1" applyFill="1" applyBorder="1"/>
    <xf numFmtId="178" fontId="8" fillId="71" borderId="10" xfId="0" applyNumberFormat="1" applyFont="1" applyFill="1" applyBorder="1" applyAlignment="1">
      <alignment horizontal="center"/>
    </xf>
    <xf numFmtId="2" fontId="8" fillId="71" borderId="10" xfId="0" applyNumberFormat="1" applyFont="1" applyFill="1" applyBorder="1"/>
    <xf numFmtId="2" fontId="8" fillId="71" borderId="10" xfId="0" applyNumberFormat="1" applyFont="1" applyFill="1" applyBorder="1" applyAlignment="1">
      <alignment horizontal="center"/>
    </xf>
    <xf numFmtId="0" fontId="127" fillId="71" borderId="55" xfId="196" applyFont="1" applyFill="1" applyBorder="1" applyAlignment="1">
      <alignment horizontal="center" vertical="center" wrapText="1"/>
    </xf>
    <xf numFmtId="2" fontId="8" fillId="71" borderId="10" xfId="177" applyNumberFormat="1" applyFont="1" applyFill="1" applyBorder="1" applyAlignment="1">
      <alignment horizontal="right"/>
    </xf>
    <xf numFmtId="0" fontId="8" fillId="71" borderId="0" xfId="0" applyFont="1" applyFill="1"/>
    <xf numFmtId="0" fontId="7" fillId="71" borderId="10" xfId="0" applyFont="1" applyFill="1" applyBorder="1" applyAlignment="1">
      <alignment horizontal="center"/>
    </xf>
    <xf numFmtId="4" fontId="7" fillId="71" borderId="10" xfId="0" applyNumberFormat="1" applyFont="1" applyFill="1" applyBorder="1" applyAlignment="1">
      <alignment horizontal="center"/>
    </xf>
    <xf numFmtId="0" fontId="153" fillId="71" borderId="0" xfId="0" applyFont="1" applyFill="1" applyAlignment="1"/>
    <xf numFmtId="0" fontId="0" fillId="71" borderId="0" xfId="0" applyFill="1" applyAlignment="1">
      <alignment horizontal="center" vertical="center"/>
    </xf>
    <xf numFmtId="0" fontId="0" fillId="71" borderId="40" xfId="0" applyFill="1" applyBorder="1" applyAlignment="1">
      <alignment horizontal="center" vertical="center"/>
    </xf>
    <xf numFmtId="0" fontId="0" fillId="71" borderId="43" xfId="0" applyFill="1" applyBorder="1" applyAlignment="1">
      <alignment horizontal="center" vertical="center"/>
    </xf>
    <xf numFmtId="0" fontId="0" fillId="71" borderId="57" xfId="0" applyFill="1" applyBorder="1" applyAlignment="1">
      <alignment horizontal="center" vertical="center"/>
    </xf>
    <xf numFmtId="0" fontId="0" fillId="71" borderId="42" xfId="0" applyFill="1" applyBorder="1" applyAlignment="1">
      <alignment horizontal="center" vertical="center"/>
    </xf>
    <xf numFmtId="0" fontId="0" fillId="71" borderId="48" xfId="0" applyFill="1" applyBorder="1" applyAlignment="1">
      <alignment horizontal="center" vertical="center"/>
    </xf>
    <xf numFmtId="0" fontId="0" fillId="71" borderId="13" xfId="0" applyFill="1" applyBorder="1" applyAlignment="1">
      <alignment horizontal="center" vertical="center"/>
    </xf>
    <xf numFmtId="0" fontId="0" fillId="71" borderId="11" xfId="0" applyFill="1" applyBorder="1" applyAlignment="1">
      <alignment horizontal="center" vertical="center"/>
    </xf>
    <xf numFmtId="0" fontId="0" fillId="71" borderId="69" xfId="0" applyFill="1" applyBorder="1" applyAlignment="1">
      <alignment horizontal="center" vertical="center"/>
    </xf>
    <xf numFmtId="0" fontId="0" fillId="71" borderId="52" xfId="0" applyFill="1" applyBorder="1" applyAlignment="1">
      <alignment horizontal="center" vertical="center"/>
    </xf>
    <xf numFmtId="16" fontId="0" fillId="71" borderId="55" xfId="0" applyNumberFormat="1" applyFill="1" applyBorder="1" applyAlignment="1">
      <alignment horizontal="center" vertical="center"/>
    </xf>
    <xf numFmtId="0" fontId="0" fillId="71" borderId="134" xfId="0" applyFill="1" applyBorder="1" applyAlignment="1">
      <alignment horizontal="center" vertical="center"/>
    </xf>
    <xf numFmtId="0" fontId="0" fillId="71" borderId="54" xfId="0" applyFill="1" applyBorder="1" applyAlignment="1">
      <alignment horizontal="center" vertical="center"/>
    </xf>
    <xf numFmtId="0" fontId="0" fillId="71" borderId="55" xfId="0" applyFill="1" applyBorder="1" applyAlignment="1">
      <alignment horizontal="center" vertical="center"/>
    </xf>
    <xf numFmtId="0" fontId="0" fillId="71" borderId="53" xfId="0" applyFill="1" applyBorder="1" applyAlignment="1">
      <alignment horizontal="center" vertical="center"/>
    </xf>
    <xf numFmtId="4" fontId="0" fillId="71" borderId="52" xfId="0" applyNumberFormat="1" applyFont="1" applyFill="1" applyBorder="1" applyAlignment="1">
      <alignment horizontal="center" vertical="center"/>
    </xf>
    <xf numFmtId="0" fontId="0" fillId="71" borderId="22" xfId="0" applyFill="1" applyBorder="1" applyAlignment="1">
      <alignment horizontal="center" vertical="center"/>
    </xf>
    <xf numFmtId="0" fontId="0" fillId="71" borderId="52" xfId="0" applyFont="1" applyFill="1" applyBorder="1" applyAlignment="1">
      <alignment horizontal="center" vertical="center"/>
    </xf>
    <xf numFmtId="4" fontId="0" fillId="71" borderId="22" xfId="0" applyNumberFormat="1" applyFill="1" applyBorder="1" applyAlignment="1">
      <alignment horizontal="center" vertical="center"/>
    </xf>
    <xf numFmtId="0" fontId="0" fillId="67" borderId="0" xfId="0" applyFill="1"/>
    <xf numFmtId="0" fontId="153" fillId="67" borderId="0" xfId="0" applyFont="1" applyFill="1" applyAlignment="1">
      <alignment horizontal="left"/>
    </xf>
    <xf numFmtId="0" fontId="0" fillId="67" borderId="0" xfId="0" applyFill="1" applyAlignment="1">
      <alignment horizontal="center" vertical="center"/>
    </xf>
    <xf numFmtId="0" fontId="127" fillId="67" borderId="10" xfId="195" applyFont="1" applyFill="1" applyBorder="1" applyAlignment="1">
      <alignment horizontal="center" vertical="center" wrapText="1"/>
    </xf>
    <xf numFmtId="0" fontId="160" fillId="67" borderId="10" xfId="195" applyFont="1" applyFill="1" applyBorder="1" applyAlignment="1">
      <alignment horizontal="center" vertical="center" wrapText="1"/>
    </xf>
    <xf numFmtId="0" fontId="0" fillId="67" borderId="10" xfId="0" applyFill="1" applyBorder="1"/>
    <xf numFmtId="0" fontId="0" fillId="67" borderId="10" xfId="0" applyFill="1" applyBorder="1" applyAlignment="1">
      <alignment horizontal="center"/>
    </xf>
    <xf numFmtId="175" fontId="15" fillId="67" borderId="10" xfId="0" applyNumberFormat="1" applyFont="1" applyFill="1" applyBorder="1"/>
    <xf numFmtId="0" fontId="15" fillId="67" borderId="10" xfId="0" applyFont="1" applyFill="1" applyBorder="1"/>
    <xf numFmtId="0" fontId="5" fillId="67" borderId="10" xfId="0" applyFont="1" applyFill="1" applyBorder="1"/>
    <xf numFmtId="0" fontId="180" fillId="67" borderId="0" xfId="0" applyFont="1" applyFill="1"/>
    <xf numFmtId="0" fontId="181" fillId="67" borderId="0" xfId="0" applyFont="1" applyFill="1"/>
    <xf numFmtId="0" fontId="182" fillId="0" borderId="0" xfId="0" applyFont="1"/>
    <xf numFmtId="0" fontId="0" fillId="39" borderId="10" xfId="0" applyFill="1" applyBorder="1"/>
    <xf numFmtId="9" fontId="10" fillId="39" borderId="10" xfId="203" applyFont="1" applyFill="1" applyBorder="1" applyAlignment="1">
      <alignment horizontal="center"/>
    </xf>
    <xf numFmtId="0" fontId="0" fillId="0" borderId="13" xfId="0" applyFill="1" applyBorder="1" applyAlignment="1"/>
    <xf numFmtId="3" fontId="8" fillId="73" borderId="10" xfId="0" applyNumberFormat="1" applyFont="1" applyFill="1" applyBorder="1" applyAlignment="1">
      <alignment horizontal="center"/>
    </xf>
    <xf numFmtId="3" fontId="8" fillId="74" borderId="10" xfId="0" applyNumberFormat="1" applyFont="1" applyFill="1" applyBorder="1" applyAlignment="1">
      <alignment horizontal="center"/>
    </xf>
    <xf numFmtId="3" fontId="8" fillId="75" borderId="12" xfId="0" applyNumberFormat="1" applyFont="1" applyFill="1" applyBorder="1" applyAlignment="1">
      <alignment horizontal="center"/>
    </xf>
    <xf numFmtId="3" fontId="8" fillId="73" borderId="10" xfId="0" applyNumberFormat="1" applyFont="1" applyFill="1" applyBorder="1" applyAlignment="1">
      <alignment horizontal="center" vertical="center"/>
    </xf>
    <xf numFmtId="0" fontId="8" fillId="73" borderId="10" xfId="0" applyFont="1" applyFill="1" applyBorder="1" applyAlignment="1">
      <alignment horizontal="center"/>
    </xf>
    <xf numFmtId="3" fontId="8" fillId="76" borderId="10" xfId="0" applyNumberFormat="1" applyFont="1" applyFill="1" applyBorder="1" applyAlignment="1">
      <alignment horizontal="center"/>
    </xf>
    <xf numFmtId="0" fontId="8" fillId="76" borderId="10" xfId="0" applyFont="1" applyFill="1" applyBorder="1" applyAlignment="1">
      <alignment horizontal="center" vertical="center"/>
    </xf>
    <xf numFmtId="0" fontId="0" fillId="72" borderId="0" xfId="0" applyFill="1"/>
    <xf numFmtId="169" fontId="8" fillId="39" borderId="63" xfId="0" applyNumberFormat="1" applyFont="1" applyFill="1" applyBorder="1" applyAlignment="1">
      <alignment horizontal="center" vertical="center"/>
    </xf>
    <xf numFmtId="169" fontId="8" fillId="39" borderId="80" xfId="0" applyNumberFormat="1" applyFont="1" applyFill="1" applyBorder="1" applyAlignment="1">
      <alignment horizontal="center" vertical="center"/>
    </xf>
    <xf numFmtId="169" fontId="8" fillId="39" borderId="64" xfId="0" applyNumberFormat="1" applyFont="1" applyFill="1" applyBorder="1" applyAlignment="1">
      <alignment horizontal="center" vertical="center"/>
    </xf>
    <xf numFmtId="175" fontId="8" fillId="66" borderId="10" xfId="0" applyNumberFormat="1" applyFont="1" applyFill="1" applyBorder="1" applyAlignment="1">
      <alignment horizontal="center"/>
    </xf>
    <xf numFmtId="171" fontId="7" fillId="65" borderId="10" xfId="0" applyNumberFormat="1" applyFont="1" applyFill="1" applyBorder="1" applyAlignment="1">
      <alignment horizontal="center"/>
    </xf>
    <xf numFmtId="169" fontId="8" fillId="55" borderId="10" xfId="0" applyNumberFormat="1" applyFont="1" applyFill="1" applyBorder="1" applyAlignment="1">
      <alignment horizontal="center" vertical="center"/>
    </xf>
    <xf numFmtId="175" fontId="10" fillId="39" borderId="10" xfId="0" applyNumberFormat="1" applyFont="1" applyFill="1" applyBorder="1" applyAlignment="1">
      <alignment horizontal="center"/>
    </xf>
    <xf numFmtId="0" fontId="0" fillId="77" borderId="0" xfId="0" applyFill="1"/>
    <xf numFmtId="4" fontId="8" fillId="77" borderId="0" xfId="0" applyNumberFormat="1" applyFont="1" applyFill="1" applyAlignment="1">
      <alignment horizontal="center"/>
    </xf>
    <xf numFmtId="2" fontId="8" fillId="77" borderId="0" xfId="0" applyNumberFormat="1" applyFont="1" applyFill="1" applyBorder="1"/>
    <xf numFmtId="0" fontId="8" fillId="77" borderId="10" xfId="0" applyFont="1" applyFill="1" applyBorder="1" applyAlignment="1">
      <alignment horizontal="center"/>
    </xf>
    <xf numFmtId="4" fontId="8" fillId="77" borderId="10" xfId="0" applyNumberFormat="1" applyFont="1" applyFill="1" applyBorder="1" applyAlignment="1">
      <alignment horizontal="center"/>
    </xf>
    <xf numFmtId="3" fontId="8" fillId="77" borderId="10" xfId="0" applyNumberFormat="1" applyFont="1" applyFill="1" applyBorder="1" applyAlignment="1">
      <alignment horizontal="center"/>
    </xf>
    <xf numFmtId="0" fontId="8" fillId="77" borderId="10" xfId="0" applyFont="1" applyFill="1" applyBorder="1"/>
    <xf numFmtId="178" fontId="8" fillId="77" borderId="10" xfId="0" applyNumberFormat="1" applyFont="1" applyFill="1" applyBorder="1" applyAlignment="1">
      <alignment horizontal="center"/>
    </xf>
    <xf numFmtId="2" fontId="8" fillId="77" borderId="10" xfId="0" applyNumberFormat="1" applyFont="1" applyFill="1" applyBorder="1"/>
    <xf numFmtId="2" fontId="8" fillId="77" borderId="10" xfId="0" applyNumberFormat="1" applyFont="1" applyFill="1" applyBorder="1" applyAlignment="1">
      <alignment horizontal="center"/>
    </xf>
    <xf numFmtId="0" fontId="127" fillId="77" borderId="55" xfId="196" applyFont="1" applyFill="1" applyBorder="1" applyAlignment="1">
      <alignment horizontal="center" vertical="center" wrapText="1"/>
    </xf>
    <xf numFmtId="2" fontId="8" fillId="77" borderId="10" xfId="177" applyNumberFormat="1" applyFont="1" applyFill="1" applyBorder="1" applyAlignment="1">
      <alignment horizontal="right"/>
    </xf>
    <xf numFmtId="0" fontId="8" fillId="77" borderId="0" xfId="0" applyFont="1" applyFill="1"/>
    <xf numFmtId="0" fontId="7" fillId="77" borderId="10" xfId="0" applyFont="1" applyFill="1" applyBorder="1" applyAlignment="1">
      <alignment horizontal="center"/>
    </xf>
    <xf numFmtId="4" fontId="7" fillId="77" borderId="10" xfId="0" applyNumberFormat="1" applyFont="1" applyFill="1" applyBorder="1" applyAlignment="1">
      <alignment horizontal="center"/>
    </xf>
    <xf numFmtId="0" fontId="153" fillId="77" borderId="0" xfId="0" applyFont="1" applyFill="1" applyAlignment="1"/>
    <xf numFmtId="0" fontId="0" fillId="77" borderId="0" xfId="0" applyFill="1" applyAlignment="1">
      <alignment horizontal="center" vertical="center"/>
    </xf>
    <xf numFmtId="0" fontId="0" fillId="77" borderId="40" xfId="0" applyFill="1" applyBorder="1" applyAlignment="1">
      <alignment horizontal="center" vertical="center"/>
    </xf>
    <xf numFmtId="0" fontId="0" fillId="77" borderId="43" xfId="0" applyFill="1" applyBorder="1" applyAlignment="1">
      <alignment horizontal="center" vertical="center"/>
    </xf>
    <xf numFmtId="0" fontId="0" fillId="77" borderId="57" xfId="0" applyFill="1" applyBorder="1" applyAlignment="1">
      <alignment horizontal="center" vertical="center"/>
    </xf>
    <xf numFmtId="0" fontId="0" fillId="77" borderId="42" xfId="0" applyFill="1" applyBorder="1" applyAlignment="1">
      <alignment horizontal="center" vertical="center"/>
    </xf>
    <xf numFmtId="0" fontId="0" fillId="77" borderId="48" xfId="0" applyFill="1" applyBorder="1" applyAlignment="1">
      <alignment horizontal="center" vertical="center"/>
    </xf>
    <xf numFmtId="0" fontId="0" fillId="77" borderId="13" xfId="0" applyFill="1" applyBorder="1" applyAlignment="1">
      <alignment horizontal="center" vertical="center"/>
    </xf>
    <xf numFmtId="0" fontId="0" fillId="77" borderId="11" xfId="0" applyFill="1" applyBorder="1" applyAlignment="1">
      <alignment horizontal="center" vertical="center"/>
    </xf>
    <xf numFmtId="0" fontId="0" fillId="77" borderId="69" xfId="0" applyFill="1" applyBorder="1" applyAlignment="1">
      <alignment horizontal="center" vertical="center"/>
    </xf>
    <xf numFmtId="0" fontId="0" fillId="77" borderId="52" xfId="0" applyFill="1" applyBorder="1" applyAlignment="1">
      <alignment horizontal="center" vertical="center"/>
    </xf>
    <xf numFmtId="16" fontId="0" fillId="77" borderId="55" xfId="0" applyNumberFormat="1" applyFill="1" applyBorder="1" applyAlignment="1">
      <alignment horizontal="center" vertical="center"/>
    </xf>
    <xf numFmtId="0" fontId="0" fillId="77" borderId="134" xfId="0" applyFill="1" applyBorder="1" applyAlignment="1">
      <alignment horizontal="center" vertical="center"/>
    </xf>
    <xf numFmtId="0" fontId="0" fillId="77" borderId="54" xfId="0" applyFill="1" applyBorder="1" applyAlignment="1">
      <alignment horizontal="center" vertical="center"/>
    </xf>
    <xf numFmtId="0" fontId="0" fillId="77" borderId="55" xfId="0" applyFill="1" applyBorder="1" applyAlignment="1">
      <alignment horizontal="center" vertical="center"/>
    </xf>
    <xf numFmtId="0" fontId="0" fillId="77" borderId="53" xfId="0" applyFill="1" applyBorder="1" applyAlignment="1">
      <alignment horizontal="center" vertical="center"/>
    </xf>
    <xf numFmtId="4" fontId="0" fillId="77" borderId="52" xfId="0" applyNumberFormat="1" applyFont="1" applyFill="1" applyBorder="1" applyAlignment="1">
      <alignment horizontal="center" vertical="center"/>
    </xf>
    <xf numFmtId="0" fontId="0" fillId="77" borderId="22" xfId="0" applyFill="1" applyBorder="1" applyAlignment="1">
      <alignment horizontal="center" vertical="center"/>
    </xf>
    <xf numFmtId="4" fontId="0" fillId="77" borderId="22" xfId="0" applyNumberFormat="1" applyFill="1" applyBorder="1" applyAlignment="1">
      <alignment horizontal="center" vertical="center"/>
    </xf>
    <xf numFmtId="0" fontId="0" fillId="77" borderId="52" xfId="0" applyFont="1" applyFill="1" applyBorder="1" applyAlignment="1">
      <alignment horizontal="center" vertical="center"/>
    </xf>
    <xf numFmtId="0" fontId="170" fillId="77" borderId="0" xfId="0" applyFont="1" applyFill="1"/>
    <xf numFmtId="0" fontId="165" fillId="77" borderId="0" xfId="0" applyFont="1" applyFill="1"/>
    <xf numFmtId="0" fontId="5" fillId="77" borderId="0" xfId="0" applyFont="1" applyFill="1"/>
    <xf numFmtId="0" fontId="186" fillId="77" borderId="0" xfId="0" applyFont="1" applyFill="1"/>
    <xf numFmtId="0" fontId="0" fillId="0" borderId="0" xfId="0"/>
    <xf numFmtId="0" fontId="38" fillId="0" borderId="28" xfId="0" applyFont="1" applyFill="1" applyBorder="1"/>
    <xf numFmtId="0" fontId="168" fillId="45" borderId="0" xfId="0" applyFont="1" applyFill="1"/>
    <xf numFmtId="0" fontId="156" fillId="45" borderId="0" xfId="0" applyFont="1" applyFill="1"/>
    <xf numFmtId="0" fontId="0" fillId="45" borderId="0" xfId="0" applyFill="1"/>
    <xf numFmtId="4" fontId="0" fillId="0" borderId="52" xfId="0" applyNumberFormat="1" applyFont="1" applyBorder="1" applyAlignment="1">
      <alignment horizontal="center" vertical="center"/>
    </xf>
    <xf numFmtId="4" fontId="127" fillId="0" borderId="55" xfId="196" applyNumberFormat="1" applyFont="1" applyFill="1" applyBorder="1" applyAlignment="1">
      <alignment horizontal="center" vertical="center" wrapText="1"/>
    </xf>
    <xf numFmtId="175" fontId="37" fillId="39" borderId="10" xfId="0" applyNumberFormat="1" applyFont="1" applyFill="1" applyBorder="1" applyAlignment="1">
      <alignment horizontal="right"/>
    </xf>
    <xf numFmtId="0" fontId="10" fillId="39" borderId="0" xfId="0" applyFont="1" applyFill="1"/>
    <xf numFmtId="171" fontId="34" fillId="0" borderId="0" xfId="0" applyNumberFormat="1" applyFont="1"/>
    <xf numFmtId="0" fontId="0" fillId="0" borderId="0" xfId="0" applyAlignment="1">
      <alignment horizontal="center"/>
    </xf>
    <xf numFmtId="0" fontId="0" fillId="0" borderId="0" xfId="0"/>
    <xf numFmtId="0" fontId="0" fillId="0" borderId="0" xfId="0" applyAlignment="1">
      <alignment horizontal="center"/>
    </xf>
    <xf numFmtId="4" fontId="176" fillId="39" borderId="0" xfId="257" applyNumberFormat="1" applyFont="1" applyFill="1" applyAlignment="1">
      <alignment horizontal="center" vertical="center"/>
    </xf>
    <xf numFmtId="0" fontId="155" fillId="39" borderId="0" xfId="0" applyFont="1" applyFill="1" applyAlignment="1">
      <alignment vertical="center"/>
    </xf>
    <xf numFmtId="0" fontId="127" fillId="0" borderId="27" xfId="195" applyFont="1" applyFill="1" applyBorder="1" applyAlignment="1">
      <alignment horizontal="center" vertical="center" wrapText="1"/>
    </xf>
    <xf numFmtId="0" fontId="127" fillId="0" borderId="146" xfId="195" applyFont="1" applyFill="1" applyBorder="1" applyAlignment="1">
      <alignment horizontal="center" vertical="center" wrapText="1"/>
    </xf>
    <xf numFmtId="0" fontId="127" fillId="0" borderId="165" xfId="195" applyFont="1" applyFill="1" applyBorder="1" applyAlignment="1">
      <alignment horizontal="left" vertical="center" wrapText="1"/>
    </xf>
    <xf numFmtId="0" fontId="127" fillId="0" borderId="147" xfId="195" applyFont="1" applyFill="1" applyBorder="1" applyAlignment="1">
      <alignment horizontal="center" vertical="center" wrapText="1"/>
    </xf>
    <xf numFmtId="0" fontId="127" fillId="0" borderId="182" xfId="195" applyFont="1" applyFill="1" applyBorder="1" applyAlignment="1">
      <alignment horizontal="right" vertical="center" wrapText="1"/>
    </xf>
    <xf numFmtId="0" fontId="127" fillId="0" borderId="183" xfId="195" applyFont="1" applyFill="1" applyBorder="1" applyAlignment="1">
      <alignment horizontal="right" vertical="center" wrapText="1"/>
    </xf>
    <xf numFmtId="0" fontId="127" fillId="0" borderId="146" xfId="195" applyFont="1" applyFill="1" applyBorder="1" applyAlignment="1">
      <alignment horizontal="right" vertical="center" wrapText="1"/>
    </xf>
    <xf numFmtId="175" fontId="127" fillId="0" borderId="147" xfId="195" applyNumberFormat="1" applyFont="1" applyFill="1" applyBorder="1" applyAlignment="1">
      <alignment horizontal="right" vertical="center" wrapText="1"/>
    </xf>
    <xf numFmtId="4" fontId="160" fillId="0" borderId="182" xfId="195" applyNumberFormat="1" applyFont="1" applyFill="1" applyBorder="1" applyAlignment="1">
      <alignment horizontal="right" vertical="center" wrapText="1"/>
    </xf>
    <xf numFmtId="4" fontId="127" fillId="0" borderId="147" xfId="195" applyNumberFormat="1" applyFont="1" applyFill="1" applyBorder="1" applyAlignment="1">
      <alignment horizontal="right" vertical="center" wrapText="1"/>
    </xf>
    <xf numFmtId="0" fontId="114" fillId="63" borderId="0" xfId="0" applyFont="1" applyFill="1" applyBorder="1"/>
    <xf numFmtId="4" fontId="0" fillId="63" borderId="0" xfId="0" applyNumberFormat="1" applyFill="1"/>
    <xf numFmtId="4" fontId="5" fillId="63" borderId="0" xfId="0" applyNumberFormat="1" applyFont="1" applyFill="1"/>
    <xf numFmtId="0" fontId="0" fillId="61" borderId="13" xfId="0" applyFill="1" applyBorder="1" applyAlignment="1">
      <alignment horizontal="center" vertical="center" wrapText="1"/>
    </xf>
    <xf numFmtId="0" fontId="187" fillId="0" borderId="22" xfId="0" applyFont="1" applyBorder="1" applyAlignment="1">
      <alignment horizontal="center" vertical="center"/>
    </xf>
    <xf numFmtId="0" fontId="160" fillId="0" borderId="22" xfId="0" applyFont="1" applyBorder="1" applyAlignment="1">
      <alignment horizontal="center" vertical="center"/>
    </xf>
    <xf numFmtId="4" fontId="152" fillId="0" borderId="0" xfId="0" applyNumberFormat="1" applyFont="1" applyAlignment="1">
      <alignment vertical="center"/>
    </xf>
    <xf numFmtId="0" fontId="0" fillId="44" borderId="0" xfId="0" applyFill="1" applyAlignment="1">
      <alignment vertical="center"/>
    </xf>
    <xf numFmtId="0" fontId="0" fillId="44" borderId="0" xfId="0" applyFill="1" applyAlignment="1">
      <alignment horizontal="center" vertical="center"/>
    </xf>
    <xf numFmtId="0" fontId="0" fillId="44" borderId="0" xfId="0" applyFill="1" applyAlignment="1">
      <alignment horizontal="center"/>
    </xf>
    <xf numFmtId="0" fontId="152" fillId="44" borderId="0" xfId="0" applyFont="1" applyFill="1" applyAlignment="1"/>
    <xf numFmtId="0" fontId="0" fillId="44" borderId="0" xfId="0" applyFill="1" applyAlignment="1">
      <alignment horizontal="left"/>
    </xf>
    <xf numFmtId="4" fontId="152" fillId="44" borderId="10" xfId="0" applyNumberFormat="1" applyFont="1" applyFill="1" applyBorder="1" applyAlignment="1">
      <alignment horizontal="center" vertical="center"/>
    </xf>
    <xf numFmtId="0" fontId="160" fillId="67" borderId="12" xfId="195" applyFont="1" applyFill="1" applyBorder="1" applyAlignment="1">
      <alignment horizontal="center" vertical="center" wrapText="1"/>
    </xf>
    <xf numFmtId="0" fontId="0" fillId="39" borderId="45" xfId="0" applyFill="1" applyBorder="1"/>
    <xf numFmtId="0" fontId="127" fillId="39" borderId="76" xfId="195" applyFont="1" applyFill="1" applyBorder="1" applyAlignment="1">
      <alignment horizontal="center" vertical="center" wrapText="1"/>
    </xf>
    <xf numFmtId="178" fontId="8" fillId="0" borderId="10" xfId="0" applyNumberFormat="1" applyFont="1" applyFill="1" applyBorder="1" applyAlignment="1">
      <alignment horizontal="center"/>
    </xf>
    <xf numFmtId="4" fontId="127" fillId="0" borderId="146" xfId="195" applyNumberFormat="1" applyFont="1" applyFill="1" applyBorder="1" applyAlignment="1">
      <alignment horizontal="right" vertical="center" wrapText="1"/>
    </xf>
    <xf numFmtId="175" fontId="8" fillId="58" borderId="10" xfId="0" applyNumberFormat="1" applyFont="1" applyFill="1" applyBorder="1" applyAlignment="1">
      <alignment horizontal="center"/>
    </xf>
    <xf numFmtId="175" fontId="7" fillId="58" borderId="10" xfId="0" applyNumberFormat="1" applyFont="1" applyFill="1" applyBorder="1" applyAlignment="1">
      <alignment horizontal="center"/>
    </xf>
    <xf numFmtId="175" fontId="5" fillId="58" borderId="177" xfId="0" applyNumberFormat="1" applyFont="1" applyFill="1" applyBorder="1" applyAlignment="1">
      <alignment horizontal="center"/>
    </xf>
    <xf numFmtId="175" fontId="119" fillId="41" borderId="10" xfId="0" applyNumberFormat="1" applyFont="1" applyFill="1" applyBorder="1" applyAlignment="1">
      <alignment horizontal="center"/>
    </xf>
    <xf numFmtId="0" fontId="188" fillId="0" borderId="4" xfId="196" applyFont="1" applyFill="1" applyBorder="1" applyAlignment="1">
      <alignment horizontal="center" vertical="center" wrapText="1"/>
    </xf>
    <xf numFmtId="0" fontId="188" fillId="0" borderId="4" xfId="196" applyFont="1" applyFill="1" applyBorder="1" applyAlignment="1">
      <alignment horizontal="left" vertical="center" wrapText="1"/>
    </xf>
    <xf numFmtId="4" fontId="188" fillId="0" borderId="4" xfId="196" applyNumberFormat="1" applyFont="1" applyFill="1" applyBorder="1" applyAlignment="1">
      <alignment horizontal="right" vertical="center" wrapText="1"/>
    </xf>
    <xf numFmtId="0" fontId="0" fillId="0" borderId="0" xfId="0"/>
    <xf numFmtId="2" fontId="34" fillId="0" borderId="0" xfId="0" applyNumberFormat="1" applyFont="1"/>
    <xf numFmtId="175" fontId="37" fillId="41" borderId="28" xfId="0" applyNumberFormat="1" applyFont="1" applyFill="1" applyBorder="1" applyAlignment="1">
      <alignment horizontal="center" vertical="center"/>
    </xf>
    <xf numFmtId="175" fontId="38" fillId="41" borderId="28" xfId="0" applyNumberFormat="1" applyFont="1" applyFill="1" applyBorder="1" applyAlignment="1">
      <alignment horizontal="center" vertical="center"/>
    </xf>
    <xf numFmtId="175" fontId="37" fillId="41" borderId="157" xfId="0" applyNumberFormat="1" applyFont="1" applyFill="1" applyBorder="1" applyAlignment="1">
      <alignment horizontal="center" vertical="center"/>
    </xf>
    <xf numFmtId="0" fontId="8" fillId="77" borderId="12" xfId="0" applyFont="1" applyFill="1" applyBorder="1" applyAlignment="1">
      <alignment vertical="center" wrapText="1"/>
    </xf>
    <xf numFmtId="0" fontId="59" fillId="77" borderId="16" xfId="173" applyFont="1" applyFill="1" applyBorder="1" applyAlignment="1">
      <alignment horizontal="center" vertical="center" wrapText="1"/>
    </xf>
    <xf numFmtId="0" fontId="156" fillId="73" borderId="0" xfId="0" applyFont="1" applyFill="1"/>
    <xf numFmtId="0" fontId="0" fillId="73" borderId="0" xfId="0" applyFill="1"/>
    <xf numFmtId="0" fontId="179" fillId="73" borderId="0" xfId="0" applyFont="1" applyFill="1"/>
    <xf numFmtId="4" fontId="8" fillId="73" borderId="0" xfId="0" applyNumberFormat="1" applyFont="1" applyFill="1" applyAlignment="1">
      <alignment horizontal="center"/>
    </xf>
    <xf numFmtId="2" fontId="8" fillId="73" borderId="0" xfId="0" applyNumberFormat="1" applyFont="1" applyFill="1" applyBorder="1"/>
    <xf numFmtId="4" fontId="8" fillId="73" borderId="10" xfId="0" applyNumberFormat="1" applyFont="1" applyFill="1" applyBorder="1" applyAlignment="1">
      <alignment horizontal="center"/>
    </xf>
    <xf numFmtId="0" fontId="8" fillId="73" borderId="10" xfId="0" applyFont="1" applyFill="1" applyBorder="1"/>
    <xf numFmtId="178" fontId="8" fillId="73" borderId="10" xfId="0" applyNumberFormat="1" applyFont="1" applyFill="1" applyBorder="1" applyAlignment="1">
      <alignment horizontal="center"/>
    </xf>
    <xf numFmtId="2" fontId="8" fillId="73" borderId="10" xfId="0" applyNumberFormat="1" applyFont="1" applyFill="1" applyBorder="1"/>
    <xf numFmtId="2" fontId="8" fillId="73" borderId="10" xfId="0" applyNumberFormat="1" applyFont="1" applyFill="1" applyBorder="1" applyAlignment="1">
      <alignment horizontal="center"/>
    </xf>
    <xf numFmtId="0" fontId="127" fillId="73" borderId="55" xfId="196" applyFont="1" applyFill="1" applyBorder="1" applyAlignment="1">
      <alignment horizontal="center" vertical="center" wrapText="1"/>
    </xf>
    <xf numFmtId="2" fontId="8" fillId="73" borderId="10" xfId="177" applyNumberFormat="1" applyFont="1" applyFill="1" applyBorder="1" applyAlignment="1">
      <alignment horizontal="right"/>
    </xf>
    <xf numFmtId="0" fontId="8" fillId="73" borderId="0" xfId="0" applyFont="1" applyFill="1"/>
    <xf numFmtId="0" fontId="7" fillId="73" borderId="10" xfId="0" applyFont="1" applyFill="1" applyBorder="1" applyAlignment="1">
      <alignment horizontal="center"/>
    </xf>
    <xf numFmtId="4" fontId="7" fillId="73" borderId="10" xfId="0" applyNumberFormat="1" applyFont="1" applyFill="1" applyBorder="1" applyAlignment="1">
      <alignment horizontal="center"/>
    </xf>
    <xf numFmtId="0" fontId="153" fillId="73" borderId="0" xfId="0" applyFont="1" applyFill="1" applyAlignment="1"/>
    <xf numFmtId="0" fontId="0" fillId="73" borderId="0" xfId="0" applyFill="1" applyAlignment="1">
      <alignment horizontal="center" vertical="center"/>
    </xf>
    <xf numFmtId="0" fontId="0" fillId="73" borderId="40" xfId="0" applyFill="1" applyBorder="1" applyAlignment="1">
      <alignment horizontal="center" vertical="center"/>
    </xf>
    <xf numFmtId="0" fontId="0" fillId="73" borderId="43" xfId="0" applyFill="1" applyBorder="1" applyAlignment="1">
      <alignment horizontal="center" vertical="center"/>
    </xf>
    <xf numFmtId="0" fontId="0" fillId="73" borderId="57" xfId="0" applyFill="1" applyBorder="1" applyAlignment="1">
      <alignment horizontal="center" vertical="center"/>
    </xf>
    <xf numFmtId="0" fontId="0" fillId="73" borderId="42" xfId="0" applyFill="1" applyBorder="1" applyAlignment="1">
      <alignment horizontal="center" vertical="center"/>
    </xf>
    <xf numFmtId="0" fontId="0" fillId="73" borderId="48" xfId="0" applyFill="1" applyBorder="1" applyAlignment="1">
      <alignment horizontal="center" vertical="center"/>
    </xf>
    <xf numFmtId="0" fontId="0" fillId="73" borderId="13" xfId="0" applyFill="1" applyBorder="1" applyAlignment="1">
      <alignment horizontal="center" vertical="center"/>
    </xf>
    <xf numFmtId="0" fontId="0" fillId="73" borderId="11" xfId="0" applyFill="1" applyBorder="1" applyAlignment="1">
      <alignment horizontal="center" vertical="center"/>
    </xf>
    <xf numFmtId="0" fontId="0" fillId="73" borderId="69" xfId="0" applyFill="1" applyBorder="1" applyAlignment="1">
      <alignment horizontal="center" vertical="center"/>
    </xf>
    <xf numFmtId="0" fontId="0" fillId="73" borderId="52" xfId="0" applyFill="1" applyBorder="1" applyAlignment="1">
      <alignment horizontal="center" vertical="center"/>
    </xf>
    <xf numFmtId="16" fontId="0" fillId="73" borderId="55" xfId="0" applyNumberFormat="1" applyFill="1" applyBorder="1" applyAlignment="1">
      <alignment horizontal="center" vertical="center"/>
    </xf>
    <xf numFmtId="0" fontId="0" fillId="73" borderId="134" xfId="0" applyFill="1" applyBorder="1" applyAlignment="1">
      <alignment horizontal="center" vertical="center"/>
    </xf>
    <xf numFmtId="0" fontId="0" fillId="73" borderId="54" xfId="0" applyFill="1" applyBorder="1" applyAlignment="1">
      <alignment horizontal="center" vertical="center"/>
    </xf>
    <xf numFmtId="0" fontId="0" fillId="73" borderId="55" xfId="0" applyFill="1" applyBorder="1" applyAlignment="1">
      <alignment horizontal="center" vertical="center"/>
    </xf>
    <xf numFmtId="0" fontId="0" fillId="73" borderId="53" xfId="0" applyFill="1" applyBorder="1" applyAlignment="1">
      <alignment horizontal="center" vertical="center"/>
    </xf>
    <xf numFmtId="4" fontId="0" fillId="73" borderId="52" xfId="0" applyNumberFormat="1" applyFont="1" applyFill="1" applyBorder="1" applyAlignment="1">
      <alignment horizontal="center" vertical="center"/>
    </xf>
    <xf numFmtId="0" fontId="0" fillId="73" borderId="22" xfId="0" applyFill="1" applyBorder="1" applyAlignment="1">
      <alignment horizontal="center" vertical="center"/>
    </xf>
    <xf numFmtId="0" fontId="0" fillId="73" borderId="52" xfId="0" applyFont="1" applyFill="1" applyBorder="1" applyAlignment="1">
      <alignment horizontal="center" vertical="center"/>
    </xf>
    <xf numFmtId="0" fontId="5" fillId="73" borderId="0" xfId="0" applyFont="1" applyFill="1"/>
    <xf numFmtId="0" fontId="145" fillId="73" borderId="0" xfId="0" applyFont="1" applyFill="1"/>
    <xf numFmtId="0" fontId="189" fillId="73" borderId="0" xfId="0" applyFont="1" applyFill="1"/>
    <xf numFmtId="0" fontId="166" fillId="73" borderId="0" xfId="0" applyFont="1" applyFill="1"/>
    <xf numFmtId="4" fontId="127" fillId="73" borderId="55" xfId="196" applyNumberFormat="1" applyFont="1" applyFill="1" applyBorder="1" applyAlignment="1">
      <alignment horizontal="center" vertical="center" wrapText="1"/>
    </xf>
    <xf numFmtId="0" fontId="8" fillId="78" borderId="12" xfId="0" applyFont="1" applyFill="1" applyBorder="1" applyAlignment="1">
      <alignment vertical="center" wrapText="1"/>
    </xf>
    <xf numFmtId="0" fontId="124" fillId="0" borderId="22" xfId="0" applyFont="1" applyBorder="1" applyAlignment="1">
      <alignment horizontal="center" vertical="center"/>
    </xf>
    <xf numFmtId="0" fontId="0" fillId="0" borderId="0" xfId="0"/>
    <xf numFmtId="0" fontId="0" fillId="72" borderId="0" xfId="0" applyFill="1" applyAlignment="1">
      <alignment vertical="center"/>
    </xf>
    <xf numFmtId="175" fontId="0" fillId="72" borderId="0" xfId="0" applyNumberFormat="1" applyFill="1"/>
    <xf numFmtId="0" fontId="5" fillId="72" borderId="0" xfId="0" applyFont="1" applyFill="1"/>
    <xf numFmtId="4" fontId="152" fillId="72" borderId="0" xfId="0" applyNumberFormat="1" applyFont="1" applyFill="1" applyAlignment="1">
      <alignment vertical="center"/>
    </xf>
    <xf numFmtId="175" fontId="57" fillId="42" borderId="0" xfId="0" applyNumberFormat="1" applyFont="1" applyFill="1"/>
    <xf numFmtId="0" fontId="146" fillId="0" borderId="0" xfId="0" applyFont="1"/>
    <xf numFmtId="178" fontId="10" fillId="39" borderId="10" xfId="0" applyNumberFormat="1" applyFont="1" applyFill="1" applyBorder="1" applyAlignment="1">
      <alignment horizontal="center"/>
    </xf>
    <xf numFmtId="2" fontId="37" fillId="41" borderId="10" xfId="0" applyNumberFormat="1" applyFont="1" applyFill="1" applyBorder="1" applyAlignment="1">
      <alignment horizontal="center" vertical="center"/>
    </xf>
    <xf numFmtId="175" fontId="37" fillId="41" borderId="28" xfId="196" applyNumberFormat="1" applyFont="1" applyFill="1" applyBorder="1" applyAlignment="1">
      <alignment horizontal="center"/>
    </xf>
    <xf numFmtId="175" fontId="37" fillId="41" borderId="10" xfId="0" applyNumberFormat="1" applyFont="1" applyFill="1" applyBorder="1"/>
    <xf numFmtId="175" fontId="37" fillId="41" borderId="15" xfId="0" applyNumberFormat="1" applyFont="1" applyFill="1" applyBorder="1"/>
    <xf numFmtId="175" fontId="37" fillId="41" borderId="10" xfId="0" applyNumberFormat="1" applyFont="1" applyFill="1" applyBorder="1" applyAlignment="1"/>
    <xf numFmtId="175" fontId="37" fillId="41" borderId="10" xfId="0" applyNumberFormat="1" applyFont="1" applyFill="1" applyBorder="1" applyAlignment="1">
      <alignment horizontal="right"/>
    </xf>
    <xf numFmtId="0" fontId="37" fillId="41" borderId="28" xfId="0" applyFont="1" applyFill="1" applyBorder="1"/>
    <xf numFmtId="175" fontId="37" fillId="39" borderId="28" xfId="196" applyNumberFormat="1" applyFont="1" applyFill="1" applyBorder="1" applyAlignment="1">
      <alignment horizontal="center"/>
    </xf>
    <xf numFmtId="2" fontId="8" fillId="61" borderId="10" xfId="0" applyNumberFormat="1" applyFont="1" applyFill="1" applyBorder="1" applyAlignment="1">
      <alignment horizontal="center"/>
    </xf>
    <xf numFmtId="0" fontId="8" fillId="61" borderId="10" xfId="0" applyFont="1" applyFill="1" applyBorder="1" applyAlignment="1">
      <alignment horizontal="center"/>
    </xf>
    <xf numFmtId="4" fontId="37" fillId="0" borderId="10" xfId="0" applyNumberFormat="1" applyFont="1" applyBorder="1" applyAlignment="1">
      <alignment horizontal="center"/>
    </xf>
    <xf numFmtId="178" fontId="8" fillId="39" borderId="10" xfId="0" applyNumberFormat="1" applyFont="1" applyFill="1" applyBorder="1" applyAlignment="1">
      <alignment horizontal="center"/>
    </xf>
    <xf numFmtId="2" fontId="135" fillId="26" borderId="10" xfId="0" applyNumberFormat="1" applyFont="1" applyFill="1" applyBorder="1" applyAlignment="1">
      <alignment horizontal="center"/>
    </xf>
    <xf numFmtId="2" fontId="163" fillId="39" borderId="10" xfId="0" applyNumberFormat="1" applyFont="1" applyFill="1" applyBorder="1" applyAlignment="1">
      <alignment horizontal="center"/>
    </xf>
    <xf numFmtId="175" fontId="10" fillId="26" borderId="10" xfId="0" applyNumberFormat="1" applyFont="1" applyFill="1" applyBorder="1" applyAlignment="1">
      <alignment horizontal="center"/>
    </xf>
    <xf numFmtId="3" fontId="161" fillId="52" borderId="10" xfId="0" applyNumberFormat="1" applyFont="1" applyFill="1" applyBorder="1" applyAlignment="1">
      <alignment horizontal="center" vertical="center"/>
    </xf>
    <xf numFmtId="0" fontId="124" fillId="55" borderId="0" xfId="0" applyFont="1" applyFill="1"/>
    <xf numFmtId="0" fontId="119" fillId="0" borderId="10" xfId="0" applyFont="1" applyFill="1" applyBorder="1" applyAlignment="1">
      <alignment horizontal="center"/>
    </xf>
    <xf numFmtId="0" fontId="7" fillId="39" borderId="0" xfId="0" applyFont="1" applyFill="1" applyAlignment="1">
      <alignment horizontal="center"/>
    </xf>
    <xf numFmtId="2" fontId="119" fillId="0" borderId="10" xfId="0" applyNumberFormat="1" applyFont="1" applyBorder="1" applyAlignment="1">
      <alignment horizontal="center"/>
    </xf>
    <xf numFmtId="0" fontId="15" fillId="39" borderId="10" xfId="0" applyFont="1" applyFill="1" applyBorder="1"/>
    <xf numFmtId="180" fontId="45" fillId="44" borderId="10" xfId="0" applyNumberFormat="1" applyFont="1" applyFill="1" applyBorder="1" applyAlignment="1">
      <alignment horizontal="left"/>
    </xf>
    <xf numFmtId="176" fontId="8" fillId="39" borderId="10" xfId="0" applyNumberFormat="1" applyFont="1" applyFill="1" applyBorder="1" applyAlignment="1">
      <alignment horizontal="center"/>
    </xf>
    <xf numFmtId="2" fontId="135" fillId="26" borderId="10" xfId="0" applyNumberFormat="1" applyFont="1" applyFill="1" applyBorder="1"/>
    <xf numFmtId="175" fontId="10" fillId="41" borderId="0" xfId="0" applyNumberFormat="1" applyFont="1" applyFill="1" applyBorder="1" applyAlignment="1">
      <alignment horizontal="center" vertical="center"/>
    </xf>
    <xf numFmtId="175" fontId="0" fillId="0" borderId="0" xfId="0" applyNumberFormat="1" applyBorder="1"/>
    <xf numFmtId="2" fontId="10" fillId="41" borderId="0" xfId="0" applyNumberFormat="1" applyFont="1" applyFill="1" applyBorder="1" applyAlignment="1">
      <alignment horizontal="center" vertical="center"/>
    </xf>
    <xf numFmtId="2" fontId="10" fillId="0" borderId="0" xfId="0" applyNumberFormat="1" applyFont="1" applyFill="1" applyBorder="1" applyAlignment="1">
      <alignment horizontal="center" vertical="center"/>
    </xf>
    <xf numFmtId="0" fontId="8" fillId="78" borderId="12" xfId="0" applyFont="1" applyFill="1" applyBorder="1" applyAlignment="1">
      <alignment horizontal="center" vertical="center" wrapText="1"/>
    </xf>
    <xf numFmtId="0" fontId="8" fillId="78" borderId="10" xfId="0" applyFont="1" applyFill="1" applyBorder="1" applyAlignment="1">
      <alignment wrapText="1"/>
    </xf>
    <xf numFmtId="175" fontId="119" fillId="26" borderId="10" xfId="0" applyNumberFormat="1" applyFont="1" applyFill="1" applyBorder="1" applyAlignment="1">
      <alignment horizontal="center"/>
    </xf>
    <xf numFmtId="178" fontId="119" fillId="26" borderId="10" xfId="0" applyNumberFormat="1" applyFont="1" applyFill="1" applyBorder="1" applyAlignment="1">
      <alignment horizontal="center"/>
    </xf>
    <xf numFmtId="175" fontId="5" fillId="41" borderId="0" xfId="0" applyNumberFormat="1" applyFont="1" applyFill="1"/>
    <xf numFmtId="2" fontId="0" fillId="39" borderId="0" xfId="0" applyNumberFormat="1" applyFill="1"/>
    <xf numFmtId="2" fontId="0" fillId="41" borderId="0" xfId="0" applyNumberFormat="1" applyFill="1"/>
    <xf numFmtId="4" fontId="198" fillId="79" borderId="75" xfId="0" applyNumberFormat="1" applyFont="1" applyFill="1" applyBorder="1" applyAlignment="1">
      <alignment horizontal="center"/>
    </xf>
    <xf numFmtId="0" fontId="0" fillId="41" borderId="0" xfId="0" applyFill="1"/>
    <xf numFmtId="171" fontId="10" fillId="0" borderId="0" xfId="0" applyNumberFormat="1" applyFont="1" applyBorder="1" applyAlignment="1">
      <alignment horizontal="center"/>
    </xf>
    <xf numFmtId="0" fontId="8" fillId="80" borderId="12" xfId="0" applyFont="1" applyFill="1" applyBorder="1" applyAlignment="1">
      <alignment vertical="center" wrapText="1"/>
    </xf>
    <xf numFmtId="0" fontId="59" fillId="80" borderId="16" xfId="173" applyFont="1" applyFill="1" applyBorder="1" applyAlignment="1">
      <alignment horizontal="center" vertical="center" wrapText="1"/>
    </xf>
    <xf numFmtId="0" fontId="170" fillId="78" borderId="0" xfId="0" applyFont="1" applyFill="1"/>
    <xf numFmtId="0" fontId="165" fillId="78" borderId="0" xfId="0" applyFont="1" applyFill="1"/>
    <xf numFmtId="0" fontId="5" fillId="78" borderId="0" xfId="0" applyFont="1" applyFill="1"/>
    <xf numFmtId="4" fontId="8" fillId="78" borderId="0" xfId="0" applyNumberFormat="1" applyFont="1" applyFill="1" applyAlignment="1">
      <alignment horizontal="center"/>
    </xf>
    <xf numFmtId="0" fontId="179" fillId="78" borderId="0" xfId="0" applyFont="1" applyFill="1"/>
    <xf numFmtId="0" fontId="0" fillId="78" borderId="0" xfId="0" applyFill="1"/>
    <xf numFmtId="2" fontId="8" fillId="78" borderId="0" xfId="0" applyNumberFormat="1" applyFont="1" applyFill="1" applyBorder="1"/>
    <xf numFmtId="0" fontId="8" fillId="78" borderId="10" xfId="0" applyFont="1" applyFill="1" applyBorder="1" applyAlignment="1">
      <alignment horizontal="center"/>
    </xf>
    <xf numFmtId="4" fontId="8" fillId="78" borderId="10" xfId="0" applyNumberFormat="1" applyFont="1" applyFill="1" applyBorder="1" applyAlignment="1">
      <alignment horizontal="center"/>
    </xf>
    <xf numFmtId="3" fontId="8" fillId="78" borderId="10" xfId="0" applyNumberFormat="1" applyFont="1" applyFill="1" applyBorder="1" applyAlignment="1">
      <alignment horizontal="center"/>
    </xf>
    <xf numFmtId="0" fontId="8" fillId="78" borderId="10" xfId="0" applyFont="1" applyFill="1" applyBorder="1"/>
    <xf numFmtId="178" fontId="8" fillId="78" borderId="10" xfId="0" applyNumberFormat="1" applyFont="1" applyFill="1" applyBorder="1" applyAlignment="1">
      <alignment horizontal="center"/>
    </xf>
    <xf numFmtId="2" fontId="8" fillId="78" borderId="10" xfId="0" applyNumberFormat="1" applyFont="1" applyFill="1" applyBorder="1"/>
    <xf numFmtId="2" fontId="8" fillId="78" borderId="10" xfId="0" applyNumberFormat="1" applyFont="1" applyFill="1" applyBorder="1" applyAlignment="1">
      <alignment horizontal="center"/>
    </xf>
    <xf numFmtId="2" fontId="8" fillId="78" borderId="10" xfId="177" applyNumberFormat="1" applyFont="1" applyFill="1" applyBorder="1" applyAlignment="1">
      <alignment horizontal="right"/>
    </xf>
    <xf numFmtId="0" fontId="8" fillId="78" borderId="0" xfId="0" applyFont="1" applyFill="1"/>
    <xf numFmtId="0" fontId="7" fillId="78" borderId="10" xfId="0" applyFont="1" applyFill="1" applyBorder="1" applyAlignment="1">
      <alignment horizontal="center"/>
    </xf>
    <xf numFmtId="4" fontId="7" fillId="78" borderId="10" xfId="0" applyNumberFormat="1" applyFont="1" applyFill="1" applyBorder="1" applyAlignment="1">
      <alignment horizontal="center"/>
    </xf>
    <xf numFmtId="171" fontId="8" fillId="78" borderId="10" xfId="0" applyNumberFormat="1" applyFont="1" applyFill="1" applyBorder="1" applyAlignment="1">
      <alignment horizontal="center"/>
    </xf>
    <xf numFmtId="175" fontId="8" fillId="78" borderId="10" xfId="0" applyNumberFormat="1" applyFont="1" applyFill="1" applyBorder="1" applyAlignment="1">
      <alignment horizontal="center"/>
    </xf>
    <xf numFmtId="0" fontId="172" fillId="78" borderId="0" xfId="0" applyFont="1" applyFill="1" applyAlignment="1"/>
    <xf numFmtId="0" fontId="5" fillId="78" borderId="0" xfId="0" applyFont="1" applyFill="1" applyAlignment="1">
      <alignment horizontal="center" vertical="center"/>
    </xf>
    <xf numFmtId="0" fontId="5" fillId="78" borderId="40" xfId="0" applyFont="1" applyFill="1" applyBorder="1" applyAlignment="1">
      <alignment horizontal="center" vertical="center"/>
    </xf>
    <xf numFmtId="0" fontId="5" fillId="78" borderId="43" xfId="0" applyFont="1" applyFill="1" applyBorder="1" applyAlignment="1">
      <alignment horizontal="center" vertical="center"/>
    </xf>
    <xf numFmtId="0" fontId="5" fillId="78" borderId="57" xfId="0" applyFont="1" applyFill="1" applyBorder="1" applyAlignment="1">
      <alignment horizontal="center" vertical="center"/>
    </xf>
    <xf numFmtId="0" fontId="5" fillId="78" borderId="42" xfId="0" applyFont="1" applyFill="1" applyBorder="1" applyAlignment="1">
      <alignment horizontal="center" vertical="center"/>
    </xf>
    <xf numFmtId="0" fontId="5" fillId="78" borderId="48" xfId="0" applyFont="1" applyFill="1" applyBorder="1" applyAlignment="1">
      <alignment horizontal="center" vertical="center"/>
    </xf>
    <xf numFmtId="0" fontId="5" fillId="78" borderId="13" xfId="0" applyFont="1" applyFill="1" applyBorder="1" applyAlignment="1">
      <alignment horizontal="center" vertical="center"/>
    </xf>
    <xf numFmtId="0" fontId="5" fillId="78" borderId="11" xfId="0" applyFont="1" applyFill="1" applyBorder="1" applyAlignment="1">
      <alignment horizontal="center" vertical="center"/>
    </xf>
    <xf numFmtId="0" fontId="5" fillId="78" borderId="69" xfId="0" applyFont="1" applyFill="1" applyBorder="1" applyAlignment="1">
      <alignment horizontal="center" vertical="center"/>
    </xf>
    <xf numFmtId="0" fontId="5" fillId="78" borderId="52" xfId="0" applyFont="1" applyFill="1" applyBorder="1" applyAlignment="1">
      <alignment horizontal="center" vertical="center"/>
    </xf>
    <xf numFmtId="16" fontId="5" fillId="78" borderId="55" xfId="0" applyNumberFormat="1" applyFont="1" applyFill="1" applyBorder="1" applyAlignment="1">
      <alignment horizontal="center" vertical="center"/>
    </xf>
    <xf numFmtId="0" fontId="5" fillId="78" borderId="134" xfId="0" applyFont="1" applyFill="1" applyBorder="1" applyAlignment="1">
      <alignment horizontal="center" vertical="center"/>
    </xf>
    <xf numFmtId="0" fontId="5" fillId="78" borderId="54" xfId="0" applyFont="1" applyFill="1" applyBorder="1" applyAlignment="1">
      <alignment horizontal="center" vertical="center"/>
    </xf>
    <xf numFmtId="0" fontId="5" fillId="78" borderId="55" xfId="0" applyFont="1" applyFill="1" applyBorder="1" applyAlignment="1">
      <alignment horizontal="center" vertical="center"/>
    </xf>
    <xf numFmtId="0" fontId="5" fillId="78" borderId="53" xfId="0" applyFont="1" applyFill="1" applyBorder="1" applyAlignment="1">
      <alignment horizontal="center" vertical="center"/>
    </xf>
    <xf numFmtId="0" fontId="160" fillId="78" borderId="55" xfId="196" applyFont="1" applyFill="1" applyBorder="1" applyAlignment="1">
      <alignment horizontal="center" vertical="center" wrapText="1"/>
    </xf>
    <xf numFmtId="0" fontId="5" fillId="78" borderId="22" xfId="0" applyFont="1" applyFill="1" applyBorder="1" applyAlignment="1">
      <alignment horizontal="center" vertical="center"/>
    </xf>
    <xf numFmtId="0" fontId="205" fillId="48" borderId="10" xfId="195" applyFont="1" applyFill="1" applyBorder="1" applyAlignment="1">
      <alignment horizontal="center" vertical="center" wrapText="1"/>
    </xf>
    <xf numFmtId="0" fontId="0" fillId="0" borderId="0" xfId="0"/>
    <xf numFmtId="0" fontId="152" fillId="49" borderId="70" xfId="0" applyFont="1" applyFill="1" applyBorder="1" applyAlignment="1">
      <alignment horizontal="center" vertical="center"/>
    </xf>
    <xf numFmtId="0" fontId="152" fillId="49" borderId="71" xfId="0" applyFont="1" applyFill="1" applyBorder="1" applyAlignment="1">
      <alignment horizontal="center" vertical="center"/>
    </xf>
    <xf numFmtId="0" fontId="15" fillId="39" borderId="0" xfId="0" applyFont="1" applyFill="1"/>
    <xf numFmtId="0" fontId="206" fillId="64" borderId="0" xfId="0" applyFont="1" applyFill="1" applyAlignment="1"/>
    <xf numFmtId="0" fontId="207" fillId="51" borderId="55" xfId="0" applyFont="1" applyFill="1" applyBorder="1" applyAlignment="1">
      <alignment vertical="center"/>
    </xf>
    <xf numFmtId="3" fontId="119" fillId="24" borderId="10" xfId="0" applyNumberFormat="1" applyFont="1" applyFill="1" applyBorder="1" applyAlignment="1">
      <alignment horizontal="center" vertical="center"/>
    </xf>
    <xf numFmtId="0" fontId="0" fillId="39" borderId="0" xfId="0" applyFill="1" applyAlignment="1">
      <alignment horizontal="center" vertical="center"/>
    </xf>
    <xf numFmtId="4" fontId="114" fillId="0" borderId="0" xfId="0" applyNumberFormat="1" applyFont="1" applyAlignment="1">
      <alignment horizontal="center"/>
    </xf>
    <xf numFmtId="4" fontId="120" fillId="0" borderId="0" xfId="0" applyNumberFormat="1" applyFont="1" applyAlignment="1">
      <alignment horizontal="center"/>
    </xf>
    <xf numFmtId="189" fontId="37" fillId="0" borderId="0" xfId="0" applyNumberFormat="1" applyFont="1" applyAlignment="1">
      <alignment horizontal="center"/>
    </xf>
    <xf numFmtId="14" fontId="114" fillId="39" borderId="0" xfId="0" applyNumberFormat="1" applyFont="1" applyFill="1" applyAlignment="1">
      <alignment horizontal="center"/>
    </xf>
    <xf numFmtId="2" fontId="135" fillId="26" borderId="10" xfId="0" applyNumberFormat="1" applyFont="1" applyFill="1" applyBorder="1" applyAlignment="1">
      <alignment horizontal="right"/>
    </xf>
    <xf numFmtId="171" fontId="15" fillId="39" borderId="0" xfId="0" applyNumberFormat="1" applyFont="1" applyFill="1"/>
    <xf numFmtId="175" fontId="57" fillId="39" borderId="0" xfId="0" applyNumberFormat="1" applyFont="1" applyFill="1" applyAlignment="1">
      <alignment horizontal="center"/>
    </xf>
    <xf numFmtId="2" fontId="135" fillId="41" borderId="10" xfId="0" applyNumberFormat="1" applyFont="1" applyFill="1" applyBorder="1" applyAlignment="1">
      <alignment horizontal="center"/>
    </xf>
    <xf numFmtId="171" fontId="0" fillId="24" borderId="0" xfId="0" applyNumberFormat="1" applyFill="1"/>
    <xf numFmtId="0" fontId="114" fillId="48" borderId="10" xfId="0" applyFont="1" applyFill="1" applyBorder="1"/>
    <xf numFmtId="0" fontId="0" fillId="0" borderId="0" xfId="0"/>
    <xf numFmtId="0" fontId="5" fillId="67" borderId="10" xfId="0" applyFont="1" applyFill="1" applyBorder="1" applyAlignment="1">
      <alignment horizontal="center"/>
    </xf>
    <xf numFmtId="0" fontId="0" fillId="0" borderId="0" xfId="0"/>
    <xf numFmtId="2" fontId="119" fillId="41" borderId="10" xfId="0" applyNumberFormat="1" applyFont="1" applyFill="1" applyBorder="1" applyAlignment="1">
      <alignment horizontal="center" vertical="center"/>
    </xf>
    <xf numFmtId="175" fontId="10" fillId="0" borderId="10" xfId="0" applyNumberFormat="1" applyFont="1" applyFill="1" applyBorder="1" applyAlignment="1">
      <alignment horizontal="center"/>
    </xf>
    <xf numFmtId="0" fontId="5" fillId="39" borderId="0" xfId="0" applyFont="1" applyFill="1" applyAlignment="1">
      <alignment horizontal="center"/>
    </xf>
    <xf numFmtId="2" fontId="34" fillId="39" borderId="0" xfId="0" applyNumberFormat="1" applyFont="1" applyFill="1"/>
    <xf numFmtId="4" fontId="8" fillId="42" borderId="10" xfId="0" applyNumberFormat="1" applyFont="1" applyFill="1" applyBorder="1" applyAlignment="1">
      <alignment horizontal="center" vertical="center"/>
    </xf>
    <xf numFmtId="171" fontId="135" fillId="39" borderId="10" xfId="0" applyNumberFormat="1" applyFont="1" applyFill="1" applyBorder="1" applyAlignment="1">
      <alignment horizontal="center" vertical="center"/>
    </xf>
    <xf numFmtId="175" fontId="8" fillId="42" borderId="10" xfId="0" applyNumberFormat="1" applyFont="1" applyFill="1" applyBorder="1" applyAlignment="1">
      <alignment horizontal="center" vertical="center"/>
    </xf>
    <xf numFmtId="2" fontId="8" fillId="42" borderId="10" xfId="0" applyNumberFormat="1" applyFont="1" applyFill="1" applyBorder="1" applyAlignment="1">
      <alignment horizontal="center" vertical="center"/>
    </xf>
    <xf numFmtId="0" fontId="10" fillId="45" borderId="10" xfId="0" applyFont="1" applyFill="1" applyBorder="1" applyAlignment="1">
      <alignment wrapText="1"/>
    </xf>
    <xf numFmtId="0" fontId="10" fillId="45" borderId="10" xfId="0" applyFont="1" applyFill="1" applyBorder="1" applyAlignment="1">
      <alignment horizontal="center" wrapText="1"/>
    </xf>
    <xf numFmtId="2" fontId="119" fillId="45" borderId="10" xfId="0" applyNumberFormat="1" applyFont="1" applyFill="1" applyBorder="1" applyAlignment="1">
      <alignment horizontal="center" vertical="center"/>
    </xf>
    <xf numFmtId="175" fontId="10" fillId="45" borderId="10" xfId="0" applyNumberFormat="1" applyFont="1" applyFill="1" applyBorder="1" applyAlignment="1">
      <alignment horizontal="center" vertical="center"/>
    </xf>
    <xf numFmtId="1" fontId="10" fillId="45" borderId="10" xfId="0" applyNumberFormat="1" applyFont="1" applyFill="1" applyBorder="1" applyAlignment="1">
      <alignment horizontal="center" vertical="center"/>
    </xf>
    <xf numFmtId="175" fontId="10" fillId="45" borderId="10" xfId="0" applyNumberFormat="1" applyFont="1" applyFill="1" applyBorder="1" applyAlignment="1">
      <alignment horizontal="center"/>
    </xf>
    <xf numFmtId="9" fontId="163" fillId="45" borderId="10" xfId="203" applyFont="1" applyFill="1" applyBorder="1" applyAlignment="1">
      <alignment horizontal="center"/>
    </xf>
    <xf numFmtId="0" fontId="39" fillId="45" borderId="10" xfId="0" applyFont="1" applyFill="1" applyBorder="1" applyAlignment="1">
      <alignment horizontal="center"/>
    </xf>
    <xf numFmtId="0" fontId="5" fillId="45" borderId="0" xfId="0" applyFont="1" applyFill="1"/>
    <xf numFmtId="4" fontId="3" fillId="0" borderId="0" xfId="257" applyNumberFormat="1" applyAlignment="1">
      <alignment vertical="center"/>
    </xf>
    <xf numFmtId="4" fontId="1" fillId="72" borderId="0" xfId="257" applyNumberFormat="1" applyFont="1" applyFill="1" applyAlignment="1">
      <alignment horizontal="center" vertical="center"/>
    </xf>
    <xf numFmtId="0" fontId="1" fillId="72" borderId="0" xfId="257" applyFont="1" applyFill="1" applyAlignment="1">
      <alignment vertical="center"/>
    </xf>
    <xf numFmtId="4" fontId="3" fillId="72" borderId="0" xfId="257" applyNumberFormat="1" applyFill="1" applyAlignment="1">
      <alignment vertical="center"/>
    </xf>
    <xf numFmtId="4" fontId="128" fillId="81" borderId="0" xfId="257" applyNumberFormat="1" applyFont="1" applyFill="1" applyAlignment="1">
      <alignment vertical="center"/>
    </xf>
    <xf numFmtId="0" fontId="0" fillId="0" borderId="0" xfId="0"/>
    <xf numFmtId="0" fontId="0" fillId="0" borderId="0" xfId="0"/>
    <xf numFmtId="2" fontId="34" fillId="49" borderId="0" xfId="0" applyNumberFormat="1" applyFont="1" applyFill="1"/>
    <xf numFmtId="175" fontId="135" fillId="47" borderId="10" xfId="0" applyNumberFormat="1" applyFont="1" applyFill="1" applyBorder="1" applyAlignment="1">
      <alignment horizontal="right"/>
    </xf>
    <xf numFmtId="14" fontId="126" fillId="39" borderId="10" xfId="0" applyNumberFormat="1" applyFont="1" applyFill="1" applyBorder="1" applyAlignment="1">
      <alignment horizontal="center"/>
    </xf>
    <xf numFmtId="175" fontId="129" fillId="41" borderId="10" xfId="0" applyNumberFormat="1" applyFont="1" applyFill="1" applyBorder="1" applyAlignment="1">
      <alignment horizontal="center" vertical="center"/>
    </xf>
    <xf numFmtId="4" fontId="210" fillId="41" borderId="10" xfId="0" applyNumberFormat="1" applyFont="1" applyFill="1" applyBorder="1" applyAlignment="1">
      <alignment horizontal="center" vertical="center"/>
    </xf>
    <xf numFmtId="4" fontId="211" fillId="0" borderId="0" xfId="0" applyNumberFormat="1" applyFont="1" applyFill="1" applyAlignment="1">
      <alignment horizontal="center"/>
    </xf>
    <xf numFmtId="0" fontId="129" fillId="0" borderId="12" xfId="0" applyFont="1" applyFill="1" applyBorder="1" applyAlignment="1">
      <alignment vertical="center" wrapText="1"/>
    </xf>
    <xf numFmtId="0" fontId="129" fillId="61" borderId="12" xfId="0" applyFont="1" applyFill="1" applyBorder="1" applyAlignment="1">
      <alignment vertical="center" wrapText="1"/>
    </xf>
    <xf numFmtId="0" fontId="210" fillId="39" borderId="10" xfId="0" applyFont="1" applyFill="1" applyBorder="1" applyAlignment="1">
      <alignment horizontal="center" wrapText="1"/>
    </xf>
    <xf numFmtId="3" fontId="212" fillId="39" borderId="16" xfId="173" applyNumberFormat="1" applyFont="1" applyFill="1" applyBorder="1" applyAlignment="1">
      <alignment horizontal="center" vertical="center"/>
    </xf>
    <xf numFmtId="0" fontId="129" fillId="80" borderId="12" xfId="0" applyFont="1" applyFill="1" applyBorder="1" applyAlignment="1">
      <alignment horizontal="center" vertical="center" wrapText="1"/>
    </xf>
    <xf numFmtId="171" fontId="129" fillId="39" borderId="10" xfId="0" applyNumberFormat="1" applyFont="1" applyFill="1" applyBorder="1" applyAlignment="1">
      <alignment horizontal="center" vertical="center"/>
    </xf>
    <xf numFmtId="2" fontId="8" fillId="0" borderId="12" xfId="0" applyNumberFormat="1" applyFont="1" applyFill="1" applyBorder="1" applyAlignment="1">
      <alignment horizontal="center"/>
    </xf>
    <xf numFmtId="2" fontId="8" fillId="0" borderId="15" xfId="0" applyNumberFormat="1" applyFont="1" applyFill="1" applyBorder="1" applyAlignment="1">
      <alignment horizontal="center"/>
    </xf>
    <xf numFmtId="2" fontId="8" fillId="41" borderId="13" xfId="0" applyNumberFormat="1" applyFont="1" applyFill="1" applyBorder="1" applyAlignment="1">
      <alignment horizontal="center"/>
    </xf>
    <xf numFmtId="2" fontId="8" fillId="0" borderId="16" xfId="0" applyNumberFormat="1" applyFont="1" applyFill="1" applyBorder="1" applyAlignment="1">
      <alignment horizontal="center"/>
    </xf>
    <xf numFmtId="2" fontId="135" fillId="39" borderId="41" xfId="0" applyNumberFormat="1" applyFont="1" applyFill="1" applyBorder="1" applyAlignment="1">
      <alignment horizontal="center"/>
    </xf>
    <xf numFmtId="14" fontId="86" fillId="41" borderId="10" xfId="0" applyNumberFormat="1" applyFont="1" applyFill="1" applyBorder="1" applyAlignment="1">
      <alignment horizontal="center"/>
    </xf>
    <xf numFmtId="2" fontId="8" fillId="50" borderId="10" xfId="0" applyNumberFormat="1" applyFont="1" applyFill="1" applyBorder="1" applyAlignment="1">
      <alignment horizontal="right"/>
    </xf>
    <xf numFmtId="0" fontId="59" fillId="69" borderId="16" xfId="173" applyFont="1" applyFill="1" applyBorder="1" applyAlignment="1">
      <alignment horizontal="center" vertical="center" wrapText="1"/>
    </xf>
    <xf numFmtId="3" fontId="80" fillId="69" borderId="10" xfId="0" applyNumberFormat="1" applyFont="1" applyFill="1" applyBorder="1" applyAlignment="1">
      <alignment horizontal="center" vertical="center"/>
    </xf>
    <xf numFmtId="2" fontId="135" fillId="0" borderId="10" xfId="0" applyNumberFormat="1" applyFont="1" applyFill="1" applyBorder="1"/>
    <xf numFmtId="0" fontId="190" fillId="0" borderId="71" xfId="0" applyFont="1" applyBorder="1" applyAlignment="1">
      <alignment horizontal="center"/>
    </xf>
    <xf numFmtId="0" fontId="146" fillId="0" borderId="10" xfId="0" applyFont="1" applyBorder="1"/>
    <xf numFmtId="0" fontId="196" fillId="0" borderId="10" xfId="0" applyFont="1" applyBorder="1" applyAlignment="1">
      <alignment horizontal="center"/>
    </xf>
    <xf numFmtId="187" fontId="198" fillId="0" borderId="10" xfId="0" applyNumberFormat="1" applyFont="1" applyBorder="1" applyAlignment="1">
      <alignment horizontal="center"/>
    </xf>
    <xf numFmtId="0" fontId="190" fillId="0" borderId="10" xfId="0" applyFont="1" applyBorder="1" applyAlignment="1">
      <alignment horizontal="right"/>
    </xf>
    <xf numFmtId="9" fontId="194" fillId="0" borderId="10" xfId="0" applyNumberFormat="1" applyFont="1" applyBorder="1" applyAlignment="1">
      <alignment horizontal="right"/>
    </xf>
    <xf numFmtId="0" fontId="193" fillId="0" borderId="10" xfId="0" applyFont="1" applyBorder="1" applyAlignment="1">
      <alignment horizontal="right"/>
    </xf>
    <xf numFmtId="0" fontId="190" fillId="0" borderId="137" xfId="0" applyFont="1" applyBorder="1" applyAlignment="1">
      <alignment horizontal="center"/>
    </xf>
    <xf numFmtId="0" fontId="190" fillId="0" borderId="74" xfId="0" applyFont="1" applyBorder="1" applyAlignment="1">
      <alignment horizontal="center"/>
    </xf>
    <xf numFmtId="0" fontId="191" fillId="0" borderId="71" xfId="0" applyFont="1" applyBorder="1" applyAlignment="1">
      <alignment horizontal="center"/>
    </xf>
    <xf numFmtId="0" fontId="192" fillId="0" borderId="10" xfId="0" applyFont="1" applyBorder="1" applyAlignment="1">
      <alignment horizontal="right"/>
    </xf>
    <xf numFmtId="0" fontId="192" fillId="0" borderId="10" xfId="0" applyFont="1" applyBorder="1"/>
    <xf numFmtId="0" fontId="190" fillId="0" borderId="10" xfId="0" applyFont="1" applyBorder="1" applyAlignment="1">
      <alignment horizontal="center"/>
    </xf>
    <xf numFmtId="0" fontId="196" fillId="0" borderId="10" xfId="0" applyFont="1" applyBorder="1"/>
    <xf numFmtId="0" fontId="195" fillId="0" borderId="10" xfId="0" applyFont="1" applyBorder="1" applyAlignment="1">
      <alignment horizontal="right"/>
    </xf>
    <xf numFmtId="0" fontId="195" fillId="0" borderId="10" xfId="0" applyFont="1" applyBorder="1"/>
    <xf numFmtId="0" fontId="197" fillId="0" borderId="10" xfId="0" applyFont="1" applyBorder="1" applyAlignment="1">
      <alignment horizontal="center"/>
    </xf>
    <xf numFmtId="0" fontId="193" fillId="39" borderId="10" xfId="0" applyFont="1" applyFill="1" applyBorder="1" applyAlignment="1">
      <alignment horizontal="right"/>
    </xf>
    <xf numFmtId="0" fontId="124" fillId="0" borderId="10" xfId="0" applyFont="1" applyBorder="1"/>
    <xf numFmtId="169" fontId="34" fillId="41" borderId="13" xfId="0" applyNumberFormat="1" applyFont="1" applyFill="1" applyBorder="1"/>
    <xf numFmtId="169" fontId="34" fillId="41" borderId="20" xfId="0" applyNumberFormat="1" applyFont="1" applyFill="1" applyBorder="1"/>
    <xf numFmtId="169" fontId="34" fillId="39" borderId="16" xfId="0" applyNumberFormat="1" applyFont="1" applyFill="1" applyBorder="1"/>
    <xf numFmtId="0" fontId="214" fillId="0" borderId="4" xfId="266" applyFont="1" applyFill="1" applyBorder="1" applyAlignment="1">
      <alignment horizontal="right" wrapText="1"/>
    </xf>
    <xf numFmtId="180" fontId="12" fillId="44" borderId="12" xfId="0" applyNumberFormat="1" applyFont="1" applyFill="1" applyBorder="1" applyAlignment="1">
      <alignment horizontal="center"/>
    </xf>
    <xf numFmtId="0" fontId="34" fillId="41" borderId="38" xfId="0" applyFont="1" applyFill="1" applyBorder="1"/>
    <xf numFmtId="0" fontId="34" fillId="0" borderId="38" xfId="0" applyFont="1" applyBorder="1"/>
    <xf numFmtId="0" fontId="34" fillId="0" borderId="17" xfId="0" applyFont="1" applyBorder="1"/>
    <xf numFmtId="0" fontId="5" fillId="41" borderId="12" xfId="0" applyFont="1" applyFill="1" applyBorder="1"/>
    <xf numFmtId="169" fontId="34" fillId="41" borderId="10" xfId="0" applyNumberFormat="1" applyFont="1" applyFill="1" applyBorder="1"/>
    <xf numFmtId="0" fontId="5" fillId="0" borderId="12" xfId="0" applyFont="1" applyBorder="1"/>
    <xf numFmtId="0" fontId="5" fillId="41" borderId="11" xfId="0" applyFont="1" applyFill="1" applyBorder="1"/>
    <xf numFmtId="0" fontId="34" fillId="41" borderId="17" xfId="0" applyFont="1" applyFill="1" applyBorder="1"/>
    <xf numFmtId="169" fontId="34" fillId="41" borderId="16" xfId="0" applyNumberFormat="1" applyFont="1" applyFill="1" applyBorder="1"/>
    <xf numFmtId="0" fontId="214" fillId="82" borderId="30" xfId="266" applyFont="1" applyFill="1" applyBorder="1" applyAlignment="1">
      <alignment horizontal="center"/>
    </xf>
    <xf numFmtId="0" fontId="214" fillId="0" borderId="184" xfId="266" applyFont="1" applyFill="1" applyBorder="1" applyAlignment="1">
      <alignment horizontal="right" wrapText="1"/>
    </xf>
    <xf numFmtId="0" fontId="214" fillId="0" borderId="185" xfId="266" applyFont="1" applyFill="1" applyBorder="1" applyAlignment="1">
      <alignment horizontal="right" wrapText="1"/>
    </xf>
    <xf numFmtId="0" fontId="34" fillId="39" borderId="31" xfId="0" applyFont="1" applyFill="1" applyBorder="1"/>
    <xf numFmtId="0" fontId="214" fillId="0" borderId="186" xfId="266" applyFont="1" applyFill="1" applyBorder="1" applyAlignment="1">
      <alignment horizontal="right" wrapText="1"/>
    </xf>
    <xf numFmtId="0" fontId="34" fillId="41" borderId="156" xfId="0" applyFont="1" applyFill="1" applyBorder="1"/>
    <xf numFmtId="0" fontId="214" fillId="0" borderId="187" xfId="266" applyFont="1" applyFill="1" applyBorder="1" applyAlignment="1">
      <alignment horizontal="right" wrapText="1"/>
    </xf>
    <xf numFmtId="0" fontId="214" fillId="0" borderId="188" xfId="266" applyFont="1" applyFill="1" applyBorder="1" applyAlignment="1">
      <alignment horizontal="right" wrapText="1"/>
    </xf>
    <xf numFmtId="0" fontId="34" fillId="41" borderId="32" xfId="0" applyFont="1" applyFill="1" applyBorder="1"/>
    <xf numFmtId="0" fontId="34" fillId="41" borderId="31" xfId="0" applyFont="1" applyFill="1" applyBorder="1"/>
    <xf numFmtId="0" fontId="34" fillId="0" borderId="32" xfId="0" applyFont="1" applyBorder="1"/>
    <xf numFmtId="0" fontId="34" fillId="0" borderId="31" xfId="0" applyFont="1" applyBorder="1"/>
    <xf numFmtId="0" fontId="214" fillId="0" borderId="189" xfId="266" applyFont="1" applyFill="1" applyBorder="1" applyAlignment="1">
      <alignment horizontal="right" wrapText="1"/>
    </xf>
    <xf numFmtId="0" fontId="214" fillId="0" borderId="190" xfId="266" applyFont="1" applyFill="1" applyBorder="1" applyAlignment="1">
      <alignment horizontal="right" wrapText="1"/>
    </xf>
    <xf numFmtId="0" fontId="34" fillId="41" borderId="15" xfId="0" applyFont="1" applyFill="1" applyBorder="1"/>
    <xf numFmtId="0" fontId="34" fillId="0" borderId="15" xfId="0" applyFont="1" applyBorder="1"/>
    <xf numFmtId="0" fontId="5" fillId="41" borderId="15" xfId="0" applyFont="1" applyFill="1" applyBorder="1"/>
    <xf numFmtId="169" fontId="34" fillId="39" borderId="10" xfId="0" applyNumberFormat="1" applyFont="1" applyFill="1" applyBorder="1"/>
    <xf numFmtId="0" fontId="34" fillId="39" borderId="15" xfId="0" applyFont="1" applyFill="1" applyBorder="1"/>
    <xf numFmtId="0" fontId="214" fillId="39" borderId="189" xfId="266" applyFont="1" applyFill="1" applyBorder="1" applyAlignment="1">
      <alignment horizontal="right" wrapText="1"/>
    </xf>
    <xf numFmtId="0" fontId="214" fillId="39" borderId="184" xfId="266" applyFont="1" applyFill="1" applyBorder="1" applyAlignment="1">
      <alignment horizontal="right" wrapText="1"/>
    </xf>
    <xf numFmtId="0" fontId="0" fillId="0" borderId="0" xfId="0"/>
    <xf numFmtId="175" fontId="121" fillId="0" borderId="0" xfId="0" applyNumberFormat="1" applyFont="1"/>
    <xf numFmtId="175" fontId="121" fillId="39" borderId="0" xfId="0" applyNumberFormat="1" applyFont="1" applyFill="1"/>
    <xf numFmtId="175" fontId="124" fillId="41" borderId="0" xfId="0" applyNumberFormat="1" applyFont="1" applyFill="1"/>
    <xf numFmtId="2" fontId="8" fillId="47" borderId="10" xfId="0" applyNumberFormat="1" applyFont="1" applyFill="1" applyBorder="1" applyAlignment="1">
      <alignment horizontal="center"/>
    </xf>
    <xf numFmtId="2" fontId="135" fillId="47" borderId="10" xfId="0" applyNumberFormat="1" applyFont="1" applyFill="1" applyBorder="1"/>
    <xf numFmtId="175" fontId="8" fillId="75" borderId="10" xfId="0" applyNumberFormat="1" applyFont="1" applyFill="1" applyBorder="1" applyAlignment="1">
      <alignment horizontal="right"/>
    </xf>
    <xf numFmtId="2" fontId="8" fillId="75" borderId="10" xfId="0" applyNumberFormat="1" applyFont="1" applyFill="1" applyBorder="1" applyAlignment="1">
      <alignment horizontal="right"/>
    </xf>
    <xf numFmtId="2" fontId="8" fillId="75" borderId="10" xfId="0" applyNumberFormat="1" applyFont="1" applyFill="1" applyBorder="1" applyAlignment="1">
      <alignment horizontal="center"/>
    </xf>
    <xf numFmtId="2" fontId="8" fillId="80" borderId="10" xfId="0" applyNumberFormat="1" applyFont="1" applyFill="1" applyBorder="1" applyAlignment="1">
      <alignment horizontal="right"/>
    </xf>
    <xf numFmtId="175" fontId="8" fillId="80" borderId="10" xfId="0" applyNumberFormat="1" applyFont="1" applyFill="1" applyBorder="1"/>
    <xf numFmtId="175" fontId="5" fillId="80" borderId="10" xfId="0" applyNumberFormat="1" applyFont="1" applyFill="1" applyBorder="1"/>
    <xf numFmtId="175" fontId="5" fillId="80" borderId="28" xfId="0" applyNumberFormat="1" applyFont="1" applyFill="1" applyBorder="1"/>
    <xf numFmtId="0" fontId="5" fillId="80" borderId="29" xfId="0" applyFont="1" applyFill="1" applyBorder="1"/>
    <xf numFmtId="2" fontId="8" fillId="80" borderId="10" xfId="0" applyNumberFormat="1" applyFont="1" applyFill="1" applyBorder="1" applyAlignment="1">
      <alignment horizontal="center"/>
    </xf>
    <xf numFmtId="174" fontId="51" fillId="41" borderId="0" xfId="0" applyNumberFormat="1" applyFont="1" applyFill="1"/>
    <xf numFmtId="166" fontId="0" fillId="0" borderId="0" xfId="0" applyNumberFormat="1"/>
    <xf numFmtId="178" fontId="135" fillId="41" borderId="10" xfId="0" applyNumberFormat="1" applyFont="1" applyFill="1" applyBorder="1" applyAlignment="1">
      <alignment horizontal="center"/>
    </xf>
    <xf numFmtId="2" fontId="135" fillId="39" borderId="10" xfId="0" applyNumberFormat="1" applyFont="1" applyFill="1" applyBorder="1" applyAlignment="1">
      <alignment horizontal="center"/>
    </xf>
    <xf numFmtId="175" fontId="121" fillId="41" borderId="0" xfId="0" applyNumberFormat="1" applyFont="1" applyFill="1"/>
    <xf numFmtId="2" fontId="135" fillId="47" borderId="10" xfId="0" applyNumberFormat="1" applyFont="1" applyFill="1" applyBorder="1" applyAlignment="1">
      <alignment horizontal="center"/>
    </xf>
    <xf numFmtId="178" fontId="135" fillId="47" borderId="10" xfId="0" applyNumberFormat="1" applyFont="1" applyFill="1" applyBorder="1" applyAlignment="1">
      <alignment horizontal="center"/>
    </xf>
    <xf numFmtId="178" fontId="135" fillId="26" borderId="10" xfId="0" applyNumberFormat="1" applyFont="1" applyFill="1" applyBorder="1"/>
    <xf numFmtId="175" fontId="135" fillId="0" borderId="10" xfId="0" applyNumberFormat="1" applyFont="1" applyFill="1" applyBorder="1"/>
    <xf numFmtId="2" fontId="135" fillId="0" borderId="10" xfId="0" applyNumberFormat="1" applyFont="1" applyBorder="1" applyAlignment="1"/>
    <xf numFmtId="2" fontId="135" fillId="0" borderId="10" xfId="0" applyNumberFormat="1" applyFont="1" applyFill="1" applyBorder="1" applyAlignment="1">
      <alignment horizontal="center"/>
    </xf>
    <xf numFmtId="0" fontId="135" fillId="0" borderId="0" xfId="0" applyFont="1" applyFill="1"/>
    <xf numFmtId="175" fontId="5" fillId="45" borderId="0" xfId="0" applyNumberFormat="1" applyFont="1" applyFill="1"/>
    <xf numFmtId="2" fontId="135" fillId="0" borderId="10" xfId="0" applyNumberFormat="1" applyFont="1" applyBorder="1" applyAlignment="1">
      <alignment horizontal="center"/>
    </xf>
    <xf numFmtId="171" fontId="8" fillId="39" borderId="10" xfId="0" applyNumberFormat="1" applyFont="1" applyFill="1" applyBorder="1" applyAlignment="1">
      <alignment horizontal="center"/>
    </xf>
    <xf numFmtId="4" fontId="0" fillId="0" borderId="10" xfId="0" applyNumberFormat="1" applyBorder="1" applyAlignment="1">
      <alignment horizontal="center"/>
    </xf>
    <xf numFmtId="0" fontId="47" fillId="39" borderId="10" xfId="0" applyFont="1" applyFill="1" applyBorder="1" applyAlignment="1">
      <alignment vertical="center" wrapText="1"/>
    </xf>
    <xf numFmtId="0" fontId="10" fillId="39" borderId="10" xfId="0" applyFont="1" applyFill="1" applyBorder="1" applyAlignment="1">
      <alignment horizontal="center" vertical="center" wrapText="1"/>
    </xf>
    <xf numFmtId="171" fontId="10" fillId="39" borderId="10" xfId="0" applyNumberFormat="1" applyFont="1" applyFill="1" applyBorder="1" applyAlignment="1">
      <alignment horizontal="center" vertical="center"/>
    </xf>
    <xf numFmtId="2" fontId="10" fillId="39" borderId="10" xfId="0" applyNumberFormat="1" applyFont="1" applyFill="1" applyBorder="1" applyAlignment="1">
      <alignment horizontal="center" vertical="center"/>
    </xf>
    <xf numFmtId="3" fontId="53" fillId="39" borderId="10" xfId="0" applyNumberFormat="1" applyFont="1" applyFill="1" applyBorder="1" applyAlignment="1">
      <alignment horizontal="center" vertical="center"/>
    </xf>
    <xf numFmtId="181" fontId="86" fillId="39" borderId="10" xfId="0" applyNumberFormat="1" applyFont="1" applyFill="1" applyBorder="1" applyAlignment="1">
      <alignment horizontal="center" vertical="center"/>
    </xf>
    <xf numFmtId="0" fontId="0" fillId="39" borderId="0" xfId="0" applyFill="1" applyAlignment="1">
      <alignment vertical="center"/>
    </xf>
    <xf numFmtId="0" fontId="47" fillId="39" borderId="10" xfId="0" applyFont="1" applyFill="1" applyBorder="1" applyAlignment="1">
      <alignment wrapText="1"/>
    </xf>
    <xf numFmtId="166" fontId="10" fillId="39" borderId="10" xfId="0" applyNumberFormat="1" applyFont="1" applyFill="1" applyBorder="1" applyAlignment="1">
      <alignment horizontal="center" vertical="center"/>
    </xf>
    <xf numFmtId="165" fontId="35" fillId="27" borderId="161" xfId="157" applyFont="1" applyFill="1" applyBorder="1" applyAlignment="1">
      <alignment horizontal="center"/>
    </xf>
    <xf numFmtId="165" fontId="35" fillId="27" borderId="162" xfId="157" applyFont="1" applyFill="1" applyBorder="1" applyAlignment="1">
      <alignment horizontal="center"/>
    </xf>
    <xf numFmtId="165" fontId="35" fillId="27" borderId="163" xfId="157" applyFont="1" applyFill="1" applyBorder="1" applyAlignment="1">
      <alignment horizontal="center"/>
    </xf>
    <xf numFmtId="14" fontId="35" fillId="27" borderId="160" xfId="157" applyNumberFormat="1" applyFont="1" applyFill="1" applyBorder="1" applyAlignment="1">
      <alignment horizontal="center"/>
    </xf>
    <xf numFmtId="165" fontId="35" fillId="27" borderId="23" xfId="157" applyFont="1" applyFill="1" applyBorder="1" applyAlignment="1">
      <alignment horizontal="center"/>
    </xf>
    <xf numFmtId="165" fontId="35" fillId="27" borderId="25" xfId="157" applyFont="1" applyFill="1" applyBorder="1" applyAlignment="1">
      <alignment horizontal="center"/>
    </xf>
    <xf numFmtId="15" fontId="7" fillId="25" borderId="17" xfId="157" applyNumberFormat="1" applyFont="1" applyFill="1" applyBorder="1" applyAlignment="1">
      <alignment horizontal="center"/>
    </xf>
    <xf numFmtId="165" fontId="7" fillId="25" borderId="18" xfId="157" applyFont="1" applyFill="1" applyBorder="1" applyAlignment="1">
      <alignment horizontal="center"/>
    </xf>
    <xf numFmtId="165" fontId="7" fillId="25" borderId="32" xfId="157" applyFont="1" applyFill="1" applyBorder="1" applyAlignment="1">
      <alignment horizontal="center"/>
    </xf>
    <xf numFmtId="165" fontId="7" fillId="25" borderId="11" xfId="157" applyFont="1" applyFill="1" applyBorder="1" applyAlignment="1">
      <alignment horizontal="center"/>
    </xf>
    <xf numFmtId="0" fontId="0" fillId="0" borderId="19" xfId="0" applyBorder="1" applyAlignment="1">
      <alignment horizontal="center"/>
    </xf>
    <xf numFmtId="0" fontId="0" fillId="0" borderId="31" xfId="0" applyBorder="1" applyAlignment="1">
      <alignment horizontal="center"/>
    </xf>
    <xf numFmtId="10" fontId="8" fillId="51" borderId="10" xfId="203" applyNumberFormat="1" applyFont="1" applyFill="1" applyBorder="1" applyAlignment="1">
      <alignment horizontal="center" vertical="center"/>
    </xf>
    <xf numFmtId="3" fontId="8" fillId="42" borderId="10" xfId="0" applyNumberFormat="1" applyFont="1" applyFill="1" applyBorder="1" applyAlignment="1">
      <alignment horizontal="center" vertical="center"/>
    </xf>
    <xf numFmtId="0" fontId="8" fillId="42" borderId="10" xfId="0" applyFont="1" applyFill="1" applyBorder="1" applyAlignment="1">
      <alignment horizontal="center" vertical="center"/>
    </xf>
    <xf numFmtId="4" fontId="8" fillId="42" borderId="10" xfId="0" applyNumberFormat="1" applyFont="1" applyFill="1" applyBorder="1" applyAlignment="1">
      <alignment horizontal="center" vertical="center"/>
    </xf>
    <xf numFmtId="167" fontId="8" fillId="42" borderId="10" xfId="0" applyNumberFormat="1" applyFont="1" applyFill="1" applyBorder="1" applyAlignment="1">
      <alignment horizontal="center" vertical="center"/>
    </xf>
    <xf numFmtId="10" fontId="8" fillId="42" borderId="10" xfId="203" applyNumberFormat="1" applyFont="1" applyFill="1" applyBorder="1" applyAlignment="1">
      <alignment horizontal="center" vertical="center"/>
    </xf>
    <xf numFmtId="3" fontId="0" fillId="51" borderId="10" xfId="0" applyNumberFormat="1" applyFill="1" applyBorder="1" applyAlignment="1">
      <alignment horizontal="center"/>
    </xf>
    <xf numFmtId="0" fontId="0" fillId="51" borderId="10" xfId="0" applyFill="1" applyBorder="1" applyAlignment="1">
      <alignment horizontal="center"/>
    </xf>
    <xf numFmtId="0" fontId="135" fillId="51" borderId="10" xfId="0" applyFont="1" applyFill="1" applyBorder="1" applyAlignment="1">
      <alignment horizontal="center" vertical="center"/>
    </xf>
    <xf numFmtId="0" fontId="8" fillId="51" borderId="10" xfId="0" applyFont="1" applyFill="1" applyBorder="1" applyAlignment="1">
      <alignment horizontal="center" vertical="center"/>
    </xf>
    <xf numFmtId="10" fontId="8" fillId="44" borderId="10" xfId="203" applyNumberFormat="1" applyFont="1" applyFill="1" applyBorder="1" applyAlignment="1">
      <alignment horizontal="center" vertical="center"/>
    </xf>
    <xf numFmtId="3" fontId="8" fillId="51" borderId="10" xfId="0" applyNumberFormat="1" applyFont="1" applyFill="1" applyBorder="1" applyAlignment="1">
      <alignment horizontal="center" vertical="center"/>
    </xf>
    <xf numFmtId="2" fontId="8" fillId="51" borderId="10" xfId="0" applyNumberFormat="1" applyFont="1" applyFill="1" applyBorder="1" applyAlignment="1">
      <alignment horizontal="center" vertical="center" wrapText="1"/>
    </xf>
    <xf numFmtId="4" fontId="8" fillId="51" borderId="10" xfId="0" applyNumberFormat="1" applyFont="1" applyFill="1" applyBorder="1" applyAlignment="1">
      <alignment horizontal="center" vertical="center"/>
    </xf>
    <xf numFmtId="167" fontId="8" fillId="51" borderId="10" xfId="0" applyNumberFormat="1" applyFont="1" applyFill="1" applyBorder="1" applyAlignment="1">
      <alignment horizontal="center" vertical="center"/>
    </xf>
    <xf numFmtId="3" fontId="8" fillId="44" borderId="10" xfId="0" applyNumberFormat="1" applyFont="1" applyFill="1" applyBorder="1" applyAlignment="1">
      <alignment horizontal="center" vertical="center"/>
    </xf>
    <xf numFmtId="0" fontId="8" fillId="44" borderId="10" xfId="0" applyFont="1" applyFill="1" applyBorder="1" applyAlignment="1">
      <alignment horizontal="center" vertical="center"/>
    </xf>
    <xf numFmtId="4" fontId="8" fillId="44" borderId="10" xfId="0" applyNumberFormat="1" applyFont="1" applyFill="1" applyBorder="1" applyAlignment="1">
      <alignment horizontal="center" vertical="center"/>
    </xf>
    <xf numFmtId="0" fontId="0" fillId="44" borderId="10" xfId="0" applyFill="1" applyBorder="1" applyAlignment="1">
      <alignment horizontal="center" vertical="center" wrapText="1"/>
    </xf>
    <xf numFmtId="167" fontId="8" fillId="44" borderId="10" xfId="0" applyNumberFormat="1" applyFont="1" applyFill="1" applyBorder="1" applyAlignment="1">
      <alignment horizontal="center" vertical="center"/>
    </xf>
    <xf numFmtId="0" fontId="8" fillId="75" borderId="10" xfId="0" applyFont="1" applyFill="1" applyBorder="1" applyAlignment="1">
      <alignment horizontal="center" vertical="center"/>
    </xf>
    <xf numFmtId="171" fontId="8" fillId="51" borderId="10" xfId="0" applyNumberFormat="1" applyFont="1" applyFill="1" applyBorder="1" applyAlignment="1">
      <alignment horizontal="center" vertical="center"/>
    </xf>
    <xf numFmtId="3" fontId="8" fillId="77" borderId="10" xfId="0" applyNumberFormat="1" applyFont="1" applyFill="1" applyBorder="1" applyAlignment="1">
      <alignment horizontal="center" vertical="center"/>
    </xf>
    <xf numFmtId="3" fontId="8" fillId="77" borderId="13" xfId="0" applyNumberFormat="1" applyFont="1" applyFill="1" applyBorder="1" applyAlignment="1">
      <alignment horizontal="center" vertical="center"/>
    </xf>
    <xf numFmtId="3" fontId="8" fillId="77" borderId="16" xfId="0" applyNumberFormat="1" applyFont="1" applyFill="1" applyBorder="1" applyAlignment="1">
      <alignment horizontal="center" vertical="center"/>
    </xf>
    <xf numFmtId="0" fontId="8" fillId="53" borderId="10" xfId="0" applyFont="1" applyFill="1" applyBorder="1" applyAlignment="1">
      <alignment horizontal="center" vertical="center" wrapText="1"/>
    </xf>
    <xf numFmtId="0" fontId="8" fillId="54" borderId="10" xfId="0" applyFont="1" applyFill="1" applyBorder="1" applyAlignment="1">
      <alignment horizontal="center" vertical="center"/>
    </xf>
    <xf numFmtId="0" fontId="8" fillId="54" borderId="10" xfId="0" applyFont="1" applyFill="1" applyBorder="1" applyAlignment="1">
      <alignment horizontal="center" vertical="center" wrapText="1"/>
    </xf>
    <xf numFmtId="3" fontId="8" fillId="53" borderId="10" xfId="0" applyNumberFormat="1" applyFont="1" applyFill="1" applyBorder="1" applyAlignment="1">
      <alignment horizontal="center" vertical="center"/>
    </xf>
    <xf numFmtId="4" fontId="8" fillId="53" borderId="10" xfId="0" applyNumberFormat="1" applyFont="1" applyFill="1" applyBorder="1" applyAlignment="1">
      <alignment horizontal="center" vertical="center"/>
    </xf>
    <xf numFmtId="167" fontId="8" fillId="53" borderId="10" xfId="0" applyNumberFormat="1" applyFont="1" applyFill="1" applyBorder="1" applyAlignment="1">
      <alignment horizontal="center" vertical="center"/>
    </xf>
    <xf numFmtId="10" fontId="8" fillId="53" borderId="10" xfId="203" applyNumberFormat="1" applyFont="1" applyFill="1" applyBorder="1" applyAlignment="1">
      <alignment horizontal="center" vertical="center"/>
    </xf>
    <xf numFmtId="3" fontId="8" fillId="54" borderId="10" xfId="0" applyNumberFormat="1" applyFont="1" applyFill="1" applyBorder="1" applyAlignment="1">
      <alignment horizontal="center" vertical="center"/>
    </xf>
    <xf numFmtId="4" fontId="8" fillId="54" borderId="10" xfId="0" applyNumberFormat="1" applyFont="1" applyFill="1" applyBorder="1" applyAlignment="1">
      <alignment horizontal="center" vertical="center"/>
    </xf>
    <xf numFmtId="167" fontId="8" fillId="54" borderId="10" xfId="0" applyNumberFormat="1" applyFont="1" applyFill="1" applyBorder="1" applyAlignment="1">
      <alignment horizontal="center" vertical="center"/>
    </xf>
    <xf numFmtId="10" fontId="8" fillId="54" borderId="10" xfId="203" applyNumberFormat="1" applyFont="1" applyFill="1" applyBorder="1" applyAlignment="1">
      <alignment horizontal="center" vertical="center"/>
    </xf>
    <xf numFmtId="169" fontId="8" fillId="44" borderId="10" xfId="0" applyNumberFormat="1" applyFont="1" applyFill="1" applyBorder="1" applyAlignment="1">
      <alignment horizontal="center" vertical="center"/>
    </xf>
    <xf numFmtId="10" fontId="51" fillId="54" borderId="10" xfId="203" applyNumberFormat="1" applyFont="1" applyFill="1" applyBorder="1" applyAlignment="1">
      <alignment horizontal="center" vertical="center"/>
    </xf>
    <xf numFmtId="167" fontId="51" fillId="54" borderId="10" xfId="0" applyNumberFormat="1" applyFont="1" applyFill="1" applyBorder="1" applyAlignment="1">
      <alignment horizontal="center" vertical="center"/>
    </xf>
    <xf numFmtId="10" fontId="8" fillId="55" borderId="10" xfId="203" applyNumberFormat="1" applyFont="1" applyFill="1" applyBorder="1" applyAlignment="1">
      <alignment horizontal="center" vertical="center"/>
    </xf>
    <xf numFmtId="3" fontId="8" fillId="50" borderId="10" xfId="0" applyNumberFormat="1" applyFont="1" applyFill="1" applyBorder="1" applyAlignment="1">
      <alignment horizontal="center" vertical="center"/>
    </xf>
    <xf numFmtId="0" fontId="8" fillId="50" borderId="10" xfId="0" applyFont="1" applyFill="1" applyBorder="1" applyAlignment="1">
      <alignment horizontal="center" vertical="center"/>
    </xf>
    <xf numFmtId="4" fontId="8" fillId="50" borderId="10" xfId="0" applyNumberFormat="1" applyFont="1" applyFill="1" applyBorder="1" applyAlignment="1">
      <alignment horizontal="center" vertical="center"/>
    </xf>
    <xf numFmtId="167" fontId="8" fillId="50" borderId="10" xfId="0" applyNumberFormat="1" applyFont="1" applyFill="1" applyBorder="1" applyAlignment="1">
      <alignment horizontal="center" vertical="center"/>
    </xf>
    <xf numFmtId="3" fontId="8" fillId="77" borderId="20" xfId="0" applyNumberFormat="1" applyFont="1" applyFill="1" applyBorder="1" applyAlignment="1">
      <alignment horizontal="center" vertical="center"/>
    </xf>
    <xf numFmtId="0" fontId="8" fillId="55" borderId="10" xfId="0" applyFont="1" applyFill="1" applyBorder="1" applyAlignment="1">
      <alignment horizontal="center" vertical="center"/>
    </xf>
    <xf numFmtId="0" fontId="8" fillId="50" borderId="10" xfId="0" applyFont="1" applyFill="1" applyBorder="1" applyAlignment="1">
      <alignment horizontal="center" vertical="center" wrapText="1"/>
    </xf>
    <xf numFmtId="4" fontId="8" fillId="55" borderId="10" xfId="0" applyNumberFormat="1" applyFont="1" applyFill="1" applyBorder="1" applyAlignment="1">
      <alignment horizontal="center" vertical="center"/>
    </xf>
    <xf numFmtId="10" fontId="8" fillId="53" borderId="13" xfId="203" applyNumberFormat="1" applyFont="1" applyFill="1" applyBorder="1" applyAlignment="1">
      <alignment horizontal="center" vertical="center"/>
    </xf>
    <xf numFmtId="10" fontId="8" fillId="53" borderId="16" xfId="203" applyNumberFormat="1" applyFont="1" applyFill="1" applyBorder="1" applyAlignment="1">
      <alignment horizontal="center" vertical="center"/>
    </xf>
    <xf numFmtId="0" fontId="8" fillId="53" borderId="13" xfId="0" applyFont="1" applyFill="1" applyBorder="1" applyAlignment="1">
      <alignment horizontal="center" vertical="center"/>
    </xf>
    <xf numFmtId="0" fontId="8" fillId="53" borderId="16" xfId="0" applyFont="1" applyFill="1" applyBorder="1" applyAlignment="1">
      <alignment horizontal="center" vertical="center"/>
    </xf>
    <xf numFmtId="0" fontId="8" fillId="55" borderId="10" xfId="0" applyFont="1" applyFill="1" applyBorder="1" applyAlignment="1">
      <alignment horizontal="center" vertical="center" wrapText="1"/>
    </xf>
    <xf numFmtId="167" fontId="8" fillId="55" borderId="10" xfId="0" applyNumberFormat="1" applyFont="1" applyFill="1" applyBorder="1" applyAlignment="1">
      <alignment horizontal="center" vertical="center"/>
    </xf>
    <xf numFmtId="165" fontId="7" fillId="25" borderId="19" xfId="157" applyFont="1" applyFill="1" applyBorder="1" applyAlignment="1">
      <alignment horizontal="center"/>
    </xf>
    <xf numFmtId="165" fontId="7" fillId="25" borderId="31" xfId="157" applyFont="1" applyFill="1" applyBorder="1" applyAlignment="1">
      <alignment horizontal="center"/>
    </xf>
    <xf numFmtId="0" fontId="7" fillId="0" borderId="0" xfId="0" applyFont="1" applyFill="1" applyAlignment="1">
      <alignment horizontal="center"/>
    </xf>
    <xf numFmtId="3" fontId="7" fillId="25" borderId="10" xfId="0" applyNumberFormat="1" applyFont="1" applyFill="1" applyBorder="1" applyAlignment="1">
      <alignment horizontal="center" vertical="center"/>
    </xf>
    <xf numFmtId="3" fontId="7" fillId="25" borderId="10" xfId="0" applyNumberFormat="1" applyFont="1" applyFill="1" applyBorder="1" applyAlignment="1">
      <alignment horizontal="center" vertical="center" wrapText="1"/>
    </xf>
    <xf numFmtId="0" fontId="7" fillId="25" borderId="18" xfId="157" applyNumberFormat="1" applyFont="1" applyFill="1" applyBorder="1" applyAlignment="1">
      <alignment horizontal="center"/>
    </xf>
    <xf numFmtId="0" fontId="7" fillId="25" borderId="32" xfId="157" applyNumberFormat="1" applyFont="1" applyFill="1" applyBorder="1" applyAlignment="1">
      <alignment horizontal="center"/>
    </xf>
    <xf numFmtId="3" fontId="7" fillId="25" borderId="13" xfId="0" applyNumberFormat="1" applyFont="1" applyFill="1" applyBorder="1" applyAlignment="1">
      <alignment horizontal="center" vertical="center"/>
    </xf>
    <xf numFmtId="0" fontId="8" fillId="53" borderId="10" xfId="0" applyFont="1" applyFill="1" applyBorder="1" applyAlignment="1">
      <alignment horizontal="center" vertical="center"/>
    </xf>
    <xf numFmtId="0" fontId="8" fillId="39" borderId="13" xfId="0" applyFont="1" applyFill="1" applyBorder="1" applyAlignment="1">
      <alignment horizontal="center" vertical="center"/>
    </xf>
    <xf numFmtId="0" fontId="8" fillId="39" borderId="16" xfId="0" applyFont="1" applyFill="1" applyBorder="1" applyAlignment="1">
      <alignment horizontal="center" vertical="center"/>
    </xf>
    <xf numFmtId="3" fontId="8" fillId="53" borderId="13" xfId="0" applyNumberFormat="1" applyFont="1" applyFill="1" applyBorder="1" applyAlignment="1">
      <alignment horizontal="center" vertical="center"/>
    </xf>
    <xf numFmtId="3" fontId="8" fillId="53" borderId="16" xfId="0" applyNumberFormat="1" applyFont="1" applyFill="1" applyBorder="1" applyAlignment="1">
      <alignment horizontal="center" vertical="center"/>
    </xf>
    <xf numFmtId="4" fontId="0" fillId="53" borderId="13" xfId="0" applyNumberFormat="1" applyFill="1" applyBorder="1" applyAlignment="1">
      <alignment horizontal="center" vertical="center" wrapText="1"/>
    </xf>
    <xf numFmtId="4" fontId="0" fillId="53" borderId="16" xfId="0" applyNumberFormat="1" applyFill="1" applyBorder="1" applyAlignment="1">
      <alignment horizontal="center" vertical="center" wrapText="1"/>
    </xf>
    <xf numFmtId="4" fontId="8" fillId="53" borderId="13" xfId="0" applyNumberFormat="1" applyFont="1" applyFill="1" applyBorder="1" applyAlignment="1">
      <alignment horizontal="center" vertical="center"/>
    </xf>
    <xf numFmtId="4" fontId="8" fillId="53" borderId="16" xfId="0" applyNumberFormat="1" applyFont="1" applyFill="1" applyBorder="1" applyAlignment="1">
      <alignment horizontal="center" vertical="center"/>
    </xf>
    <xf numFmtId="10" fontId="8" fillId="52" borderId="10" xfId="203" applyNumberFormat="1" applyFont="1" applyFill="1" applyBorder="1" applyAlignment="1">
      <alignment horizontal="center" vertical="center"/>
    </xf>
    <xf numFmtId="10" fontId="8" fillId="50" borderId="10" xfId="203" applyNumberFormat="1" applyFont="1" applyFill="1" applyBorder="1" applyAlignment="1">
      <alignment horizontal="center" vertical="center"/>
    </xf>
    <xf numFmtId="3" fontId="8" fillId="55" borderId="10" xfId="0" applyNumberFormat="1" applyFont="1" applyFill="1" applyBorder="1" applyAlignment="1">
      <alignment horizontal="center" vertical="center"/>
    </xf>
    <xf numFmtId="10" fontId="8" fillId="55" borderId="10" xfId="0" applyNumberFormat="1" applyFont="1" applyFill="1" applyBorder="1" applyAlignment="1">
      <alignment horizontal="center" vertical="center"/>
    </xf>
    <xf numFmtId="0" fontId="8" fillId="52" borderId="10" xfId="0" applyFont="1" applyFill="1" applyBorder="1" applyAlignment="1">
      <alignment horizontal="center" vertical="center"/>
    </xf>
    <xf numFmtId="0" fontId="8" fillId="52" borderId="10" xfId="0" applyFont="1" applyFill="1" applyBorder="1" applyAlignment="1">
      <alignment horizontal="center" vertical="center" wrapText="1"/>
    </xf>
    <xf numFmtId="3" fontId="161" fillId="52" borderId="10" xfId="0" applyNumberFormat="1" applyFont="1" applyFill="1" applyBorder="1" applyAlignment="1">
      <alignment horizontal="center" vertical="center"/>
    </xf>
    <xf numFmtId="4" fontId="8" fillId="52" borderId="10" xfId="0" applyNumberFormat="1" applyFont="1" applyFill="1" applyBorder="1" applyAlignment="1">
      <alignment horizontal="center" vertical="center"/>
    </xf>
    <xf numFmtId="167" fontId="51" fillId="52" borderId="10" xfId="0" applyNumberFormat="1" applyFont="1" applyFill="1" applyBorder="1" applyAlignment="1">
      <alignment horizontal="center" vertical="center"/>
    </xf>
    <xf numFmtId="0" fontId="8" fillId="73" borderId="10" xfId="0" applyFont="1" applyFill="1" applyBorder="1" applyAlignment="1">
      <alignment horizontal="center" vertical="center"/>
    </xf>
    <xf numFmtId="167" fontId="51" fillId="50" borderId="10" xfId="0" applyNumberFormat="1" applyFont="1" applyFill="1" applyBorder="1" applyAlignment="1">
      <alignment horizontal="center" vertical="center"/>
    </xf>
    <xf numFmtId="0" fontId="6" fillId="25" borderId="12" xfId="0" applyFont="1" applyFill="1" applyBorder="1" applyAlignment="1">
      <alignment horizontal="center"/>
    </xf>
    <xf numFmtId="0" fontId="6" fillId="25" borderId="15" xfId="0" applyFont="1" applyFill="1" applyBorder="1" applyAlignment="1">
      <alignment horizontal="center"/>
    </xf>
    <xf numFmtId="0" fontId="7" fillId="25" borderId="12" xfId="0" applyFont="1" applyFill="1" applyBorder="1" applyAlignment="1">
      <alignment horizontal="center"/>
    </xf>
    <xf numFmtId="0" fontId="7" fillId="25" borderId="14" xfId="0" applyFont="1" applyFill="1" applyBorder="1" applyAlignment="1">
      <alignment horizontal="center"/>
    </xf>
    <xf numFmtId="0" fontId="7" fillId="25" borderId="15" xfId="0" applyFont="1" applyFill="1" applyBorder="1" applyAlignment="1">
      <alignment horizontal="center"/>
    </xf>
    <xf numFmtId="0" fontId="6" fillId="48" borderId="12" xfId="0" applyFont="1" applyFill="1" applyBorder="1" applyAlignment="1">
      <alignment horizontal="center"/>
    </xf>
    <xf numFmtId="0" fontId="6" fillId="48" borderId="15" xfId="0" applyFont="1" applyFill="1" applyBorder="1" applyAlignment="1">
      <alignment horizontal="center"/>
    </xf>
    <xf numFmtId="0" fontId="6" fillId="25" borderId="10" xfId="0" applyFont="1" applyFill="1" applyBorder="1" applyAlignment="1">
      <alignment horizontal="center"/>
    </xf>
    <xf numFmtId="14" fontId="46" fillId="25" borderId="10" xfId="0" applyNumberFormat="1" applyFont="1" applyFill="1" applyBorder="1" applyAlignment="1">
      <alignment horizontal="center"/>
    </xf>
    <xf numFmtId="0" fontId="46" fillId="25" borderId="10" xfId="0" applyFont="1" applyFill="1" applyBorder="1" applyAlignment="1">
      <alignment horizontal="center"/>
    </xf>
    <xf numFmtId="0" fontId="46" fillId="51" borderId="12" xfId="0" applyFont="1" applyFill="1" applyBorder="1" applyAlignment="1">
      <alignment horizontal="center"/>
    </xf>
    <xf numFmtId="0" fontId="46" fillId="51" borderId="15" xfId="0" applyFont="1" applyFill="1" applyBorder="1" applyAlignment="1">
      <alignment horizontal="center"/>
    </xf>
    <xf numFmtId="0" fontId="7" fillId="41" borderId="0" xfId="0" applyFont="1" applyFill="1" applyBorder="1" applyAlignment="1">
      <alignment horizontal="center"/>
    </xf>
    <xf numFmtId="0" fontId="7" fillId="37" borderId="11" xfId="0" applyFont="1" applyFill="1" applyBorder="1" applyAlignment="1">
      <alignment horizontal="center"/>
    </xf>
    <xf numFmtId="0" fontId="7" fillId="37" borderId="19" xfId="0" applyFont="1" applyFill="1" applyBorder="1" applyAlignment="1">
      <alignment horizontal="center"/>
    </xf>
    <xf numFmtId="0" fontId="7" fillId="57" borderId="12" xfId="0" applyFont="1" applyFill="1" applyBorder="1" applyAlignment="1">
      <alignment horizontal="center"/>
    </xf>
    <xf numFmtId="0" fontId="7" fillId="57" borderId="14" xfId="0" applyFont="1" applyFill="1" applyBorder="1" applyAlignment="1">
      <alignment horizontal="center"/>
    </xf>
    <xf numFmtId="0" fontId="7" fillId="57" borderId="15" xfId="0" applyFont="1" applyFill="1" applyBorder="1" applyAlignment="1">
      <alignment horizontal="center"/>
    </xf>
    <xf numFmtId="0" fontId="7" fillId="44" borderId="12" xfId="0" applyFont="1" applyFill="1" applyBorder="1" applyAlignment="1">
      <alignment horizontal="center"/>
    </xf>
    <xf numFmtId="0" fontId="7" fillId="44" borderId="14" xfId="0" applyFont="1" applyFill="1" applyBorder="1" applyAlignment="1">
      <alignment horizontal="center"/>
    </xf>
    <xf numFmtId="0" fontId="7" fillId="44" borderId="15" xfId="0" applyFont="1" applyFill="1" applyBorder="1" applyAlignment="1">
      <alignment horizontal="center"/>
    </xf>
    <xf numFmtId="0" fontId="139" fillId="57" borderId="12" xfId="0" applyFont="1" applyFill="1" applyBorder="1" applyAlignment="1">
      <alignment horizontal="center"/>
    </xf>
    <xf numFmtId="0" fontId="139" fillId="57" borderId="14" xfId="0" applyFont="1" applyFill="1" applyBorder="1" applyAlignment="1">
      <alignment horizontal="center"/>
    </xf>
    <xf numFmtId="0" fontId="139" fillId="57" borderId="15" xfId="0" applyFont="1" applyFill="1" applyBorder="1" applyAlignment="1">
      <alignment horizontal="center"/>
    </xf>
    <xf numFmtId="0" fontId="7" fillId="38" borderId="12" xfId="0" applyFont="1" applyFill="1" applyBorder="1" applyAlignment="1">
      <alignment horizontal="center"/>
    </xf>
    <xf numFmtId="0" fontId="7" fillId="38" borderId="14" xfId="0" applyFont="1" applyFill="1" applyBorder="1" applyAlignment="1">
      <alignment horizontal="center"/>
    </xf>
    <xf numFmtId="0" fontId="7" fillId="38" borderId="15" xfId="0" applyFont="1" applyFill="1" applyBorder="1" applyAlignment="1">
      <alignment horizontal="center"/>
    </xf>
    <xf numFmtId="0" fontId="139" fillId="57" borderId="19" xfId="0" applyFont="1" applyFill="1" applyBorder="1" applyAlignment="1">
      <alignment horizontal="center"/>
    </xf>
    <xf numFmtId="0" fontId="7" fillId="48" borderId="12" xfId="0" applyFont="1" applyFill="1" applyBorder="1" applyAlignment="1">
      <alignment horizontal="center"/>
    </xf>
    <xf numFmtId="0" fontId="7" fillId="48" borderId="14" xfId="0" applyFont="1" applyFill="1" applyBorder="1" applyAlignment="1">
      <alignment horizontal="center"/>
    </xf>
    <xf numFmtId="0" fontId="7" fillId="48" borderId="15" xfId="0" applyFont="1" applyFill="1" applyBorder="1" applyAlignment="1">
      <alignment horizontal="center"/>
    </xf>
    <xf numFmtId="0" fontId="139" fillId="25" borderId="17" xfId="0" applyFont="1" applyFill="1" applyBorder="1" applyAlignment="1">
      <alignment horizontal="center"/>
    </xf>
    <xf numFmtId="0" fontId="139" fillId="25" borderId="18" xfId="0" applyFont="1" applyFill="1" applyBorder="1" applyAlignment="1">
      <alignment horizontal="center"/>
    </xf>
    <xf numFmtId="0" fontId="7" fillId="25" borderId="17" xfId="0" applyFont="1" applyFill="1" applyBorder="1" applyAlignment="1">
      <alignment horizontal="center"/>
    </xf>
    <xf numFmtId="0" fontId="7" fillId="25" borderId="18" xfId="0" applyFont="1" applyFill="1" applyBorder="1" applyAlignment="1">
      <alignment horizontal="center"/>
    </xf>
    <xf numFmtId="0" fontId="141" fillId="25" borderId="12" xfId="0" applyFont="1" applyFill="1" applyBorder="1" applyAlignment="1">
      <alignment horizontal="center"/>
    </xf>
    <xf numFmtId="0" fontId="141" fillId="25" borderId="14" xfId="0" applyFont="1" applyFill="1" applyBorder="1" applyAlignment="1">
      <alignment horizontal="center"/>
    </xf>
    <xf numFmtId="0" fontId="141" fillId="25" borderId="15" xfId="0" applyFont="1" applyFill="1" applyBorder="1" applyAlignment="1">
      <alignment horizontal="center"/>
    </xf>
    <xf numFmtId="0" fontId="13" fillId="25" borderId="12" xfId="0" applyFont="1" applyFill="1" applyBorder="1" applyAlignment="1">
      <alignment horizontal="center"/>
    </xf>
    <xf numFmtId="0" fontId="13" fillId="25" borderId="14" xfId="0" applyFont="1" applyFill="1" applyBorder="1" applyAlignment="1">
      <alignment horizontal="center"/>
    </xf>
    <xf numFmtId="0" fontId="13" fillId="25" borderId="15" xfId="0" applyFont="1" applyFill="1" applyBorder="1" applyAlignment="1">
      <alignment horizontal="center"/>
    </xf>
    <xf numFmtId="0" fontId="78" fillId="25" borderId="12" xfId="0" applyFont="1" applyFill="1" applyBorder="1" applyAlignment="1">
      <alignment horizontal="center"/>
    </xf>
    <xf numFmtId="0" fontId="78" fillId="25" borderId="15" xfId="0" applyFont="1" applyFill="1" applyBorder="1" applyAlignment="1">
      <alignment horizontal="center"/>
    </xf>
    <xf numFmtId="0" fontId="78" fillId="25" borderId="10" xfId="0" applyFont="1" applyFill="1" applyBorder="1" applyAlignment="1">
      <alignment horizontal="center"/>
    </xf>
    <xf numFmtId="14" fontId="53" fillId="25" borderId="10" xfId="0" applyNumberFormat="1" applyFont="1" applyFill="1" applyBorder="1" applyAlignment="1">
      <alignment horizontal="center"/>
    </xf>
    <xf numFmtId="0" fontId="53" fillId="25" borderId="10" xfId="0" applyFont="1" applyFill="1" applyBorder="1" applyAlignment="1">
      <alignment horizontal="center"/>
    </xf>
    <xf numFmtId="0" fontId="7" fillId="38" borderId="11" xfId="0" applyFont="1" applyFill="1" applyBorder="1" applyAlignment="1">
      <alignment horizontal="center"/>
    </xf>
    <xf numFmtId="0" fontId="7" fillId="38" borderId="19" xfId="0" applyFont="1" applyFill="1" applyBorder="1" applyAlignment="1">
      <alignment horizontal="center"/>
    </xf>
    <xf numFmtId="0" fontId="136" fillId="25" borderId="12" xfId="0" applyFont="1" applyFill="1" applyBorder="1" applyAlignment="1">
      <alignment horizontal="center"/>
    </xf>
    <xf numFmtId="0" fontId="136" fillId="25" borderId="14" xfId="0" applyFont="1" applyFill="1" applyBorder="1" applyAlignment="1">
      <alignment horizontal="center"/>
    </xf>
    <xf numFmtId="0" fontId="136" fillId="25" borderId="15" xfId="0" applyFont="1" applyFill="1" applyBorder="1" applyAlignment="1">
      <alignment horizontal="center"/>
    </xf>
    <xf numFmtId="0" fontId="144" fillId="25" borderId="12" xfId="0" applyFont="1" applyFill="1" applyBorder="1" applyAlignment="1">
      <alignment horizontal="center"/>
    </xf>
    <xf numFmtId="0" fontId="144" fillId="25" borderId="14" xfId="0" applyFont="1" applyFill="1" applyBorder="1" applyAlignment="1">
      <alignment horizontal="center"/>
    </xf>
    <xf numFmtId="0" fontId="144" fillId="25" borderId="15" xfId="0" applyFont="1" applyFill="1" applyBorder="1" applyAlignment="1">
      <alignment horizontal="center"/>
    </xf>
    <xf numFmtId="0" fontId="144" fillId="39" borderId="12" xfId="0" applyFont="1" applyFill="1" applyBorder="1" applyAlignment="1">
      <alignment horizontal="center"/>
    </xf>
    <xf numFmtId="0" fontId="144" fillId="39" borderId="14" xfId="0" applyFont="1" applyFill="1" applyBorder="1" applyAlignment="1">
      <alignment horizontal="center"/>
    </xf>
    <xf numFmtId="0" fontId="144" fillId="39" borderId="15" xfId="0" applyFont="1" applyFill="1" applyBorder="1" applyAlignment="1">
      <alignment horizontal="center"/>
    </xf>
    <xf numFmtId="0" fontId="136" fillId="56" borderId="17" xfId="0" applyFont="1" applyFill="1" applyBorder="1" applyAlignment="1">
      <alignment horizontal="center"/>
    </xf>
    <xf numFmtId="0" fontId="136" fillId="56" borderId="18" xfId="0" applyFont="1" applyFill="1" applyBorder="1" applyAlignment="1">
      <alignment horizontal="center"/>
    </xf>
    <xf numFmtId="0" fontId="8" fillId="39" borderId="17" xfId="0" applyFont="1" applyFill="1" applyBorder="1" applyAlignment="1">
      <alignment horizontal="center"/>
    </xf>
    <xf numFmtId="0" fontId="8" fillId="39" borderId="18" xfId="0" applyFont="1" applyFill="1" applyBorder="1" applyAlignment="1">
      <alignment horizontal="center"/>
    </xf>
    <xf numFmtId="0" fontId="7" fillId="47" borderId="12" xfId="0" applyFont="1" applyFill="1" applyBorder="1" applyAlignment="1">
      <alignment horizontal="center"/>
    </xf>
    <xf numFmtId="0" fontId="7" fillId="47" borderId="14" xfId="0" applyFont="1" applyFill="1" applyBorder="1" applyAlignment="1">
      <alignment horizontal="center"/>
    </xf>
    <xf numFmtId="0" fontId="7" fillId="47" borderId="15" xfId="0" applyFont="1" applyFill="1" applyBorder="1" applyAlignment="1">
      <alignment horizontal="center"/>
    </xf>
    <xf numFmtId="0" fontId="6" fillId="47" borderId="12" xfId="0" applyFont="1" applyFill="1" applyBorder="1" applyAlignment="1">
      <alignment horizontal="center"/>
    </xf>
    <xf numFmtId="0" fontId="6" fillId="47" borderId="15" xfId="0" applyFont="1" applyFill="1" applyBorder="1" applyAlignment="1">
      <alignment horizontal="center"/>
    </xf>
    <xf numFmtId="0" fontId="7" fillId="41" borderId="0" xfId="0" applyFont="1" applyFill="1" applyBorder="1" applyAlignment="1">
      <alignment horizontal="center" wrapText="1"/>
    </xf>
    <xf numFmtId="0" fontId="7" fillId="39" borderId="12" xfId="0" applyFont="1" applyFill="1" applyBorder="1" applyAlignment="1">
      <alignment horizontal="center"/>
    </xf>
    <xf numFmtId="0" fontId="7" fillId="39" borderId="14" xfId="0" applyFont="1" applyFill="1" applyBorder="1" applyAlignment="1">
      <alignment horizontal="center"/>
    </xf>
    <xf numFmtId="0" fontId="7" fillId="39" borderId="15" xfId="0" applyFont="1" applyFill="1" applyBorder="1" applyAlignment="1">
      <alignment horizontal="center"/>
    </xf>
    <xf numFmtId="0" fontId="7" fillId="25" borderId="12" xfId="0" applyFont="1" applyFill="1" applyBorder="1" applyAlignment="1">
      <alignment horizontal="center" wrapText="1"/>
    </xf>
    <xf numFmtId="0" fontId="7" fillId="25" borderId="14" xfId="0" applyFont="1" applyFill="1" applyBorder="1" applyAlignment="1">
      <alignment horizontal="center" wrapText="1"/>
    </xf>
    <xf numFmtId="0" fontId="7" fillId="25" borderId="15" xfId="0" applyFont="1" applyFill="1" applyBorder="1" applyAlignment="1">
      <alignment horizontal="center" wrapText="1"/>
    </xf>
    <xf numFmtId="0" fontId="136" fillId="25" borderId="17" xfId="0" applyFont="1" applyFill="1" applyBorder="1" applyAlignment="1">
      <alignment horizontal="center"/>
    </xf>
    <xf numFmtId="0" fontId="136" fillId="25" borderId="18" xfId="0" applyFont="1" applyFill="1" applyBorder="1" applyAlignment="1">
      <alignment horizontal="center"/>
    </xf>
    <xf numFmtId="0" fontId="7" fillId="39" borderId="17" xfId="0" applyFont="1" applyFill="1" applyBorder="1" applyAlignment="1">
      <alignment horizontal="center"/>
    </xf>
    <xf numFmtId="0" fontId="7" fillId="39" borderId="18" xfId="0" applyFont="1" applyFill="1" applyBorder="1" applyAlignment="1">
      <alignment horizontal="center"/>
    </xf>
    <xf numFmtId="0" fontId="53" fillId="25" borderId="12" xfId="0" applyFont="1" applyFill="1" applyBorder="1" applyAlignment="1">
      <alignment horizontal="center"/>
    </xf>
    <xf numFmtId="0" fontId="53" fillId="56" borderId="12" xfId="0" applyFont="1" applyFill="1" applyBorder="1" applyAlignment="1">
      <alignment horizontal="center"/>
    </xf>
    <xf numFmtId="0" fontId="53" fillId="56" borderId="15" xfId="0" applyFont="1" applyFill="1" applyBorder="1" applyAlignment="1">
      <alignment horizontal="center"/>
    </xf>
    <xf numFmtId="0" fontId="190" fillId="0" borderId="27" xfId="0" applyFont="1" applyBorder="1" applyAlignment="1">
      <alignment horizontal="center"/>
    </xf>
    <xf numFmtId="0" fontId="190" fillId="0" borderId="21" xfId="0" applyFont="1" applyBorder="1" applyAlignment="1">
      <alignment horizontal="center"/>
    </xf>
    <xf numFmtId="0" fontId="190" fillId="0" borderId="22" xfId="0" applyFont="1" applyBorder="1" applyAlignment="1">
      <alignment horizontal="center"/>
    </xf>
    <xf numFmtId="0" fontId="38" fillId="29" borderId="27" xfId="0" applyFont="1" applyFill="1" applyBorder="1" applyAlignment="1">
      <alignment horizontal="center"/>
    </xf>
    <xf numFmtId="0" fontId="38" fillId="29" borderId="21" xfId="0" applyFont="1" applyFill="1" applyBorder="1" applyAlignment="1">
      <alignment horizontal="center"/>
    </xf>
    <xf numFmtId="0" fontId="38" fillId="29" borderId="22" xfId="0" applyFont="1" applyFill="1" applyBorder="1" applyAlignment="1">
      <alignment horizontal="center"/>
    </xf>
    <xf numFmtId="0" fontId="38" fillId="0" borderId="53" xfId="0" applyFont="1" applyBorder="1" applyAlignment="1">
      <alignment horizontal="center"/>
    </xf>
    <xf numFmtId="0" fontId="38" fillId="0" borderId="134" xfId="0" applyFont="1" applyBorder="1" applyAlignment="1">
      <alignment horizontal="center"/>
    </xf>
    <xf numFmtId="0" fontId="37" fillId="0" borderId="53" xfId="0" applyFont="1" applyBorder="1" applyAlignment="1">
      <alignment horizontal="center"/>
    </xf>
    <xf numFmtId="0" fontId="37" fillId="0" borderId="134" xfId="0" applyFont="1" applyBorder="1" applyAlignment="1">
      <alignment horizontal="center"/>
    </xf>
    <xf numFmtId="0" fontId="38" fillId="25" borderId="27" xfId="0" applyFont="1" applyFill="1" applyBorder="1" applyAlignment="1">
      <alignment horizontal="center"/>
    </xf>
    <xf numFmtId="0" fontId="38" fillId="25" borderId="21" xfId="0" applyFont="1" applyFill="1" applyBorder="1" applyAlignment="1">
      <alignment horizontal="center"/>
    </xf>
    <xf numFmtId="0" fontId="38" fillId="24" borderId="60" xfId="0" applyFont="1" applyFill="1" applyBorder="1" applyAlignment="1">
      <alignment horizontal="center"/>
    </xf>
    <xf numFmtId="0" fontId="38" fillId="24" borderId="57" xfId="0" applyFont="1" applyFill="1" applyBorder="1" applyAlignment="1">
      <alignment horizontal="center"/>
    </xf>
    <xf numFmtId="0" fontId="38" fillId="26" borderId="27" xfId="0" applyFont="1" applyFill="1" applyBorder="1" applyAlignment="1">
      <alignment horizontal="center"/>
    </xf>
    <xf numFmtId="0" fontId="38" fillId="26" borderId="21" xfId="0" applyFont="1" applyFill="1" applyBorder="1" applyAlignment="1">
      <alignment horizontal="center"/>
    </xf>
    <xf numFmtId="0" fontId="89" fillId="0" borderId="27" xfId="0" applyFont="1" applyBorder="1" applyAlignment="1">
      <alignment horizontal="center"/>
    </xf>
    <xf numFmtId="0" fontId="89" fillId="0" borderId="22" xfId="0" applyFont="1" applyBorder="1" applyAlignment="1">
      <alignment horizontal="center"/>
    </xf>
    <xf numFmtId="0" fontId="88" fillId="24" borderId="27" xfId="0" applyFont="1" applyFill="1" applyBorder="1" applyAlignment="1">
      <alignment horizontal="center"/>
    </xf>
    <xf numFmtId="0" fontId="88" fillId="24" borderId="22" xfId="0" applyFont="1" applyFill="1" applyBorder="1" applyAlignment="1">
      <alignment horizontal="center"/>
    </xf>
    <xf numFmtId="0" fontId="38" fillId="0" borderId="27" xfId="0" applyFont="1" applyBorder="1" applyAlignment="1">
      <alignment horizontal="center"/>
    </xf>
    <xf numFmtId="0" fontId="38" fillId="0" borderId="22" xfId="0" applyFont="1" applyBorder="1" applyAlignment="1">
      <alignment horizontal="center"/>
    </xf>
    <xf numFmtId="0" fontId="88" fillId="24" borderId="12" xfId="0" applyFont="1" applyFill="1" applyBorder="1" applyAlignment="1">
      <alignment horizontal="center"/>
    </xf>
    <xf numFmtId="0" fontId="88" fillId="24" borderId="15" xfId="0" applyFont="1" applyFill="1" applyBorder="1" applyAlignment="1">
      <alignment horizontal="center"/>
    </xf>
    <xf numFmtId="0" fontId="38" fillId="41" borderId="27" xfId="0" applyFont="1" applyFill="1" applyBorder="1" applyAlignment="1">
      <alignment horizontal="center"/>
    </xf>
    <xf numFmtId="0" fontId="38" fillId="41" borderId="22" xfId="0" applyFont="1" applyFill="1" applyBorder="1" applyAlignment="1">
      <alignment horizontal="center"/>
    </xf>
    <xf numFmtId="0" fontId="37" fillId="0" borderId="79" xfId="0" applyFont="1" applyBorder="1" applyAlignment="1">
      <alignment horizontal="center"/>
    </xf>
    <xf numFmtId="0" fontId="37" fillId="0" borderId="50" xfId="0" applyFont="1" applyBorder="1" applyAlignment="1">
      <alignment horizontal="center"/>
    </xf>
    <xf numFmtId="0" fontId="88" fillId="29" borderId="27" xfId="0" applyFont="1" applyFill="1" applyBorder="1" applyAlignment="1">
      <alignment horizontal="center"/>
    </xf>
    <xf numFmtId="0" fontId="88" fillId="29" borderId="21" xfId="0" applyFont="1" applyFill="1" applyBorder="1" applyAlignment="1">
      <alignment horizontal="center"/>
    </xf>
    <xf numFmtId="0" fontId="88" fillId="29" borderId="22" xfId="0" applyFont="1" applyFill="1" applyBorder="1" applyAlignment="1">
      <alignment horizontal="center"/>
    </xf>
    <xf numFmtId="0" fontId="89" fillId="24" borderId="79" xfId="0" applyFont="1" applyFill="1" applyBorder="1" applyAlignment="1">
      <alignment horizontal="center"/>
    </xf>
    <xf numFmtId="0" fontId="89" fillId="24" borderId="50" xfId="0" applyFont="1" applyFill="1" applyBorder="1" applyAlignment="1">
      <alignment horizontal="center"/>
    </xf>
    <xf numFmtId="0" fontId="37" fillId="0" borderId="12" xfId="0" applyFont="1" applyBorder="1" applyAlignment="1">
      <alignment horizontal="center"/>
    </xf>
    <xf numFmtId="0" fontId="37" fillId="0" borderId="15" xfId="0" applyFont="1" applyBorder="1" applyAlignment="1">
      <alignment horizontal="center"/>
    </xf>
    <xf numFmtId="0" fontId="89" fillId="24" borderId="49" xfId="0" applyFont="1" applyFill="1" applyBorder="1" applyAlignment="1">
      <alignment horizontal="center"/>
    </xf>
    <xf numFmtId="0" fontId="89" fillId="24" borderId="97" xfId="0" applyFont="1" applyFill="1" applyBorder="1" applyAlignment="1">
      <alignment horizontal="center"/>
    </xf>
    <xf numFmtId="0" fontId="38" fillId="39" borderId="27" xfId="0" applyFont="1" applyFill="1" applyBorder="1" applyAlignment="1">
      <alignment horizontal="center"/>
    </xf>
    <xf numFmtId="0" fontId="38" fillId="39" borderId="22" xfId="0" applyFont="1" applyFill="1" applyBorder="1" applyAlignment="1">
      <alignment horizontal="center"/>
    </xf>
    <xf numFmtId="0" fontId="38" fillId="41" borderId="21" xfId="0" applyFont="1" applyFill="1" applyBorder="1" applyAlignment="1">
      <alignment horizontal="center"/>
    </xf>
    <xf numFmtId="0" fontId="37" fillId="0" borderId="49" xfId="0" applyFont="1" applyBorder="1" applyAlignment="1">
      <alignment horizontal="center"/>
    </xf>
    <xf numFmtId="0" fontId="37" fillId="0" borderId="97" xfId="0" applyFont="1" applyBorder="1" applyAlignment="1">
      <alignment horizontal="center"/>
    </xf>
    <xf numFmtId="0" fontId="15" fillId="42" borderId="27" xfId="0" applyFont="1" applyFill="1" applyBorder="1" applyAlignment="1">
      <alignment horizontal="center"/>
    </xf>
    <xf numFmtId="0" fontId="15" fillId="42" borderId="21" xfId="0" applyFont="1" applyFill="1" applyBorder="1" applyAlignment="1">
      <alignment horizontal="center"/>
    </xf>
    <xf numFmtId="0" fontId="15" fillId="42" borderId="22" xfId="0" applyFont="1" applyFill="1" applyBorder="1" applyAlignment="1">
      <alignment horizontal="center"/>
    </xf>
    <xf numFmtId="0" fontId="90" fillId="24" borderId="27" xfId="187" applyFont="1" applyFill="1" applyBorder="1" applyAlignment="1">
      <alignment horizontal="center"/>
    </xf>
    <xf numFmtId="0" fontId="90" fillId="24" borderId="22" xfId="187" applyFont="1" applyFill="1" applyBorder="1" applyAlignment="1">
      <alignment horizontal="center"/>
    </xf>
    <xf numFmtId="0" fontId="90" fillId="24" borderId="21" xfId="187" applyFont="1" applyFill="1" applyBorder="1" applyAlignment="1">
      <alignment horizontal="center"/>
    </xf>
    <xf numFmtId="0" fontId="90" fillId="40" borderId="21" xfId="187" applyFont="1" applyFill="1" applyBorder="1" applyAlignment="1">
      <alignment horizontal="center"/>
    </xf>
    <xf numFmtId="0" fontId="90" fillId="24" borderId="67" xfId="187" applyFont="1" applyFill="1" applyBorder="1" applyAlignment="1">
      <alignment horizontal="center"/>
    </xf>
    <xf numFmtId="0" fontId="90" fillId="24" borderId="84" xfId="187" applyFont="1" applyFill="1" applyBorder="1" applyAlignment="1">
      <alignment horizontal="center"/>
    </xf>
    <xf numFmtId="0" fontId="90" fillId="24" borderId="75" xfId="187" applyFont="1" applyFill="1" applyBorder="1" applyAlignment="1">
      <alignment horizontal="center"/>
    </xf>
    <xf numFmtId="0" fontId="90" fillId="39" borderId="21" xfId="187" applyFont="1" applyFill="1" applyBorder="1" applyAlignment="1">
      <alignment horizontal="center"/>
    </xf>
    <xf numFmtId="0" fontId="90" fillId="26" borderId="21" xfId="187" applyFont="1" applyFill="1" applyBorder="1" applyAlignment="1">
      <alignment horizontal="center"/>
    </xf>
    <xf numFmtId="0" fontId="7" fillId="25" borderId="10" xfId="177" applyFont="1" applyFill="1" applyBorder="1" applyAlignment="1">
      <alignment horizontal="center" vertical="center" wrapText="1"/>
    </xf>
    <xf numFmtId="0" fontId="38" fillId="25" borderId="67" xfId="0" applyFont="1" applyFill="1" applyBorder="1" applyAlignment="1">
      <alignment horizontal="center"/>
    </xf>
    <xf numFmtId="0" fontId="38" fillId="25" borderId="84" xfId="0" applyFont="1" applyFill="1" applyBorder="1" applyAlignment="1">
      <alignment horizontal="center"/>
    </xf>
    <xf numFmtId="0" fontId="38" fillId="25" borderId="75" xfId="0" applyFont="1" applyFill="1" applyBorder="1" applyAlignment="1">
      <alignment horizontal="center"/>
    </xf>
    <xf numFmtId="0" fontId="15" fillId="30" borderId="27" xfId="0" applyFont="1" applyFill="1" applyBorder="1" applyAlignment="1">
      <alignment horizontal="center"/>
    </xf>
    <xf numFmtId="0" fontId="15" fillId="30" borderId="21" xfId="0" applyFont="1" applyFill="1" applyBorder="1" applyAlignment="1">
      <alignment horizontal="center"/>
    </xf>
    <xf numFmtId="0" fontId="15" fillId="30" borderId="22" xfId="0" applyFont="1" applyFill="1" applyBorder="1" applyAlignment="1">
      <alignment horizontal="center"/>
    </xf>
    <xf numFmtId="0" fontId="13" fillId="25" borderId="12" xfId="0" applyFont="1" applyFill="1" applyBorder="1" applyAlignment="1"/>
    <xf numFmtId="0" fontId="13" fillId="25" borderId="14" xfId="0" applyFont="1" applyFill="1" applyBorder="1" applyAlignment="1"/>
    <xf numFmtId="0" fontId="13" fillId="25" borderId="15" xfId="0" applyFont="1" applyFill="1" applyBorder="1" applyAlignment="1"/>
    <xf numFmtId="0" fontId="13" fillId="26" borderId="27" xfId="177" applyFont="1" applyFill="1" applyBorder="1" applyAlignment="1">
      <alignment horizontal="center" wrapText="1"/>
    </xf>
    <xf numFmtId="0" fontId="13" fillId="26" borderId="21" xfId="177" applyFont="1" applyFill="1" applyBorder="1" applyAlignment="1">
      <alignment horizontal="center" wrapText="1"/>
    </xf>
    <xf numFmtId="0" fontId="13" fillId="26" borderId="22" xfId="177" applyFont="1" applyFill="1" applyBorder="1" applyAlignment="1">
      <alignment horizontal="center" wrapText="1"/>
    </xf>
    <xf numFmtId="0" fontId="13" fillId="30" borderId="17" xfId="0" applyFont="1" applyFill="1" applyBorder="1" applyAlignment="1">
      <alignment horizontal="center"/>
    </xf>
    <xf numFmtId="0" fontId="13" fillId="30" borderId="18" xfId="0" applyFont="1" applyFill="1" applyBorder="1" applyAlignment="1">
      <alignment horizontal="center"/>
    </xf>
    <xf numFmtId="0" fontId="13" fillId="30" borderId="12" xfId="0" applyFont="1" applyFill="1" applyBorder="1" applyAlignment="1">
      <alignment horizontal="center"/>
    </xf>
    <xf numFmtId="0" fontId="13" fillId="30" borderId="14" xfId="0" applyFont="1" applyFill="1" applyBorder="1" applyAlignment="1">
      <alignment horizontal="center"/>
    </xf>
    <xf numFmtId="0" fontId="13" fillId="25" borderId="27" xfId="177" applyFont="1" applyFill="1" applyBorder="1" applyAlignment="1">
      <alignment vertical="center" wrapText="1"/>
    </xf>
    <xf numFmtId="0" fontId="13" fillId="25" borderId="21" xfId="177" applyFont="1" applyFill="1" applyBorder="1" applyAlignment="1">
      <alignment vertical="center" wrapText="1"/>
    </xf>
    <xf numFmtId="0" fontId="13" fillId="25" borderId="22" xfId="177" applyFont="1" applyFill="1" applyBorder="1" applyAlignment="1">
      <alignment vertical="center" wrapText="1"/>
    </xf>
    <xf numFmtId="0" fontId="13" fillId="25" borderId="27" xfId="0" applyFont="1" applyFill="1" applyBorder="1" applyAlignment="1">
      <alignment horizontal="center"/>
    </xf>
    <xf numFmtId="0" fontId="13" fillId="25" borderId="21" xfId="0" applyFont="1" applyFill="1" applyBorder="1" applyAlignment="1">
      <alignment horizontal="center"/>
    </xf>
    <xf numFmtId="0" fontId="13" fillId="25" borderId="27" xfId="177" applyFont="1" applyFill="1" applyBorder="1" applyAlignment="1">
      <alignment horizontal="center" wrapText="1"/>
    </xf>
    <xf numFmtId="0" fontId="13" fillId="25" borderId="21" xfId="177" applyFont="1" applyFill="1" applyBorder="1" applyAlignment="1">
      <alignment horizontal="center" wrapText="1"/>
    </xf>
    <xf numFmtId="0" fontId="13" fillId="25" borderId="22" xfId="177" applyFont="1" applyFill="1" applyBorder="1" applyAlignment="1">
      <alignment horizontal="center" wrapText="1"/>
    </xf>
    <xf numFmtId="0" fontId="13" fillId="25" borderId="12" xfId="177" applyFont="1" applyFill="1" applyBorder="1" applyAlignment="1">
      <alignment horizontal="center" wrapText="1"/>
    </xf>
    <xf numFmtId="0" fontId="13" fillId="25" borderId="14" xfId="177" applyFont="1" applyFill="1" applyBorder="1" applyAlignment="1">
      <alignment horizontal="center" wrapText="1"/>
    </xf>
    <xf numFmtId="0" fontId="13" fillId="25" borderId="15" xfId="177" applyFont="1" applyFill="1" applyBorder="1" applyAlignment="1">
      <alignment horizontal="center" wrapText="1"/>
    </xf>
    <xf numFmtId="0" fontId="13" fillId="30" borderId="98" xfId="0" applyFont="1" applyFill="1" applyBorder="1" applyAlignment="1">
      <alignment horizontal="center"/>
    </xf>
    <xf numFmtId="0" fontId="152" fillId="0" borderId="0" xfId="0" applyFont="1" applyAlignment="1">
      <alignment horizontal="center"/>
    </xf>
    <xf numFmtId="0" fontId="0" fillId="0" borderId="0" xfId="0" applyAlignment="1">
      <alignment horizontal="right"/>
    </xf>
    <xf numFmtId="184" fontId="155" fillId="0" borderId="0" xfId="0" applyNumberFormat="1" applyFont="1" applyAlignment="1">
      <alignment horizontal="center"/>
    </xf>
    <xf numFmtId="0" fontId="152" fillId="61" borderId="27" xfId="0" applyFont="1" applyFill="1" applyBorder="1" applyAlignment="1">
      <alignment horizontal="center" vertical="center"/>
    </xf>
    <xf numFmtId="0" fontId="152" fillId="61" borderId="22" xfId="0" applyFont="1" applyFill="1" applyBorder="1" applyAlignment="1">
      <alignment horizontal="center" vertical="center"/>
    </xf>
    <xf numFmtId="0" fontId="15" fillId="26" borderId="27" xfId="0" applyFont="1" applyFill="1" applyBorder="1" applyAlignment="1">
      <alignment horizontal="center"/>
    </xf>
    <xf numFmtId="0" fontId="15" fillId="26" borderId="21" xfId="0" applyFont="1" applyFill="1" applyBorder="1" applyAlignment="1">
      <alignment horizontal="center"/>
    </xf>
    <xf numFmtId="0" fontId="15" fillId="26" borderId="22" xfId="0" applyFont="1" applyFill="1" applyBorder="1" applyAlignment="1">
      <alignment horizontal="center"/>
    </xf>
    <xf numFmtId="0" fontId="90" fillId="24" borderId="40" xfId="0" applyFont="1" applyFill="1" applyBorder="1" applyAlignment="1">
      <alignment horizontal="center" vertical="center"/>
    </xf>
    <xf numFmtId="0" fontId="90" fillId="24" borderId="33" xfId="0" applyFont="1" applyFill="1" applyBorder="1" applyAlignment="1">
      <alignment horizontal="center" vertical="center"/>
    </xf>
    <xf numFmtId="0" fontId="90" fillId="24" borderId="79" xfId="0" applyFont="1" applyFill="1" applyBorder="1" applyAlignment="1">
      <alignment horizontal="center" vertical="center"/>
    </xf>
    <xf numFmtId="0" fontId="90" fillId="24" borderId="37" xfId="0" applyFont="1" applyFill="1" applyBorder="1" applyAlignment="1">
      <alignment horizontal="center" vertical="center"/>
    </xf>
    <xf numFmtId="0" fontId="90" fillId="24" borderId="34" xfId="0" applyFont="1" applyFill="1" applyBorder="1" applyAlignment="1">
      <alignment horizontal="center" vertical="center"/>
    </xf>
    <xf numFmtId="0" fontId="94" fillId="41" borderId="45" xfId="195" applyFont="1" applyFill="1" applyBorder="1" applyAlignment="1">
      <alignment horizontal="center" vertical="center" wrapText="1"/>
    </xf>
    <xf numFmtId="0" fontId="94" fillId="41" borderId="137" xfId="195" applyFont="1" applyFill="1" applyBorder="1" applyAlignment="1">
      <alignment horizontal="center" vertical="center" wrapText="1"/>
    </xf>
    <xf numFmtId="0" fontId="94" fillId="41" borderId="76" xfId="195" applyFont="1" applyFill="1" applyBorder="1" applyAlignment="1">
      <alignment horizontal="center" vertical="center" wrapText="1"/>
    </xf>
    <xf numFmtId="0" fontId="94" fillId="24" borderId="70" xfId="195" applyFont="1" applyFill="1" applyBorder="1" applyAlignment="1">
      <alignment horizontal="center" vertical="center" wrapText="1"/>
    </xf>
    <xf numFmtId="0" fontId="94" fillId="24" borderId="39" xfId="195" applyFont="1" applyFill="1" applyBorder="1" applyAlignment="1">
      <alignment horizontal="center" vertical="center" wrapText="1"/>
    </xf>
    <xf numFmtId="0" fontId="37" fillId="24" borderId="45" xfId="0" applyFont="1" applyFill="1" applyBorder="1" applyAlignment="1">
      <alignment horizontal="center" vertical="center"/>
    </xf>
    <xf numFmtId="0" fontId="0" fillId="0" borderId="76" xfId="0" applyBorder="1"/>
    <xf numFmtId="0" fontId="106" fillId="0" borderId="0" xfId="0" applyFont="1" applyAlignment="1">
      <alignment horizontal="center"/>
    </xf>
    <xf numFmtId="0" fontId="37" fillId="24" borderId="76" xfId="0" applyFont="1" applyFill="1" applyBorder="1" applyAlignment="1">
      <alignment horizontal="center" vertical="center"/>
    </xf>
    <xf numFmtId="0" fontId="90" fillId="24" borderId="82" xfId="0" applyFont="1" applyFill="1" applyBorder="1" applyAlignment="1">
      <alignment horizontal="center" vertical="center"/>
    </xf>
    <xf numFmtId="0" fontId="90" fillId="24" borderId="92" xfId="0" applyFont="1" applyFill="1" applyBorder="1" applyAlignment="1">
      <alignment horizontal="center" vertical="center"/>
    </xf>
    <xf numFmtId="0" fontId="0" fillId="0" borderId="45" xfId="0" applyBorder="1" applyAlignment="1">
      <alignment horizontal="center"/>
    </xf>
    <xf numFmtId="0" fontId="0" fillId="0" borderId="76" xfId="0" applyBorder="1" applyAlignment="1">
      <alignment horizontal="center"/>
    </xf>
    <xf numFmtId="0" fontId="0" fillId="0" borderId="137" xfId="0" applyBorder="1" applyAlignment="1">
      <alignment horizontal="center"/>
    </xf>
    <xf numFmtId="0" fontId="37" fillId="0" borderId="45" xfId="161" applyNumberFormat="1" applyFont="1" applyBorder="1" applyAlignment="1">
      <alignment horizontal="center" vertical="center"/>
    </xf>
    <xf numFmtId="0" fontId="37" fillId="0" borderId="76" xfId="161" applyNumberFormat="1" applyFont="1" applyBorder="1" applyAlignment="1">
      <alignment horizontal="center" vertical="center"/>
    </xf>
    <xf numFmtId="0" fontId="0" fillId="41" borderId="0" xfId="0" applyFill="1"/>
    <xf numFmtId="0" fontId="90" fillId="24" borderId="65" xfId="0" applyFont="1" applyFill="1" applyBorder="1" applyAlignment="1">
      <alignment horizontal="center" vertical="center"/>
    </xf>
    <xf numFmtId="0" fontId="37" fillId="0" borderId="27" xfId="0" applyFont="1" applyBorder="1"/>
    <xf numFmtId="0" fontId="37" fillId="0" borderId="22" xfId="0" applyFont="1" applyBorder="1"/>
    <xf numFmtId="0" fontId="0" fillId="0" borderId="0" xfId="0"/>
    <xf numFmtId="0" fontId="37" fillId="0" borderId="45" xfId="0" applyFont="1" applyBorder="1" applyAlignment="1">
      <alignment horizontal="center"/>
    </xf>
    <xf numFmtId="0" fontId="37" fillId="0" borderId="76" xfId="0" applyFont="1" applyBorder="1" applyAlignment="1">
      <alignment horizontal="center"/>
    </xf>
    <xf numFmtId="0" fontId="90" fillId="0" borderId="27" xfId="0" applyFont="1" applyBorder="1" applyAlignment="1">
      <alignment horizontal="center" vertical="center"/>
    </xf>
    <xf numFmtId="0" fontId="90" fillId="0" borderId="22" xfId="0" applyFont="1" applyBorder="1" applyAlignment="1">
      <alignment horizontal="center" vertical="center"/>
    </xf>
    <xf numFmtId="165" fontId="7" fillId="25" borderId="17" xfId="157" applyFont="1" applyFill="1" applyBorder="1" applyAlignment="1">
      <alignment horizontal="center"/>
    </xf>
    <xf numFmtId="0" fontId="7" fillId="59" borderId="12" xfId="0" applyFont="1" applyFill="1" applyBorder="1" applyAlignment="1">
      <alignment horizontal="center"/>
    </xf>
    <xf numFmtId="0" fontId="7" fillId="59" borderId="14" xfId="0" applyFont="1" applyFill="1" applyBorder="1" applyAlignment="1">
      <alignment horizontal="center"/>
    </xf>
    <xf numFmtId="0" fontId="7" fillId="59" borderId="15" xfId="0" applyFont="1" applyFill="1" applyBorder="1" applyAlignment="1">
      <alignment horizontal="center"/>
    </xf>
    <xf numFmtId="0" fontId="7" fillId="55" borderId="12" xfId="0" applyFont="1" applyFill="1" applyBorder="1" applyAlignment="1">
      <alignment horizontal="center"/>
    </xf>
    <xf numFmtId="0" fontId="7" fillId="55" borderId="14" xfId="0" applyFont="1" applyFill="1" applyBorder="1" applyAlignment="1">
      <alignment horizontal="center"/>
    </xf>
    <xf numFmtId="0" fontId="7" fillId="55" borderId="15" xfId="0" applyFont="1" applyFill="1" applyBorder="1" applyAlignment="1">
      <alignment horizontal="center"/>
    </xf>
    <xf numFmtId="0" fontId="7" fillId="43" borderId="12" xfId="0" applyFont="1" applyFill="1" applyBorder="1" applyAlignment="1">
      <alignment horizontal="center"/>
    </xf>
    <xf numFmtId="0" fontId="7" fillId="43" borderId="14" xfId="0" applyFont="1" applyFill="1" applyBorder="1" applyAlignment="1">
      <alignment horizontal="center"/>
    </xf>
    <xf numFmtId="0" fontId="7" fillId="43" borderId="15" xfId="0" applyFont="1" applyFill="1" applyBorder="1" applyAlignment="1">
      <alignment horizontal="center"/>
    </xf>
    <xf numFmtId="0" fontId="7" fillId="58" borderId="12" xfId="0" applyFont="1" applyFill="1" applyBorder="1" applyAlignment="1">
      <alignment horizontal="center"/>
    </xf>
    <xf numFmtId="0" fontId="7" fillId="58" borderId="14" xfId="0" applyFont="1" applyFill="1" applyBorder="1" applyAlignment="1">
      <alignment horizontal="center"/>
    </xf>
    <xf numFmtId="0" fontId="7" fillId="58" borderId="15" xfId="0" applyFont="1" applyFill="1" applyBorder="1" applyAlignment="1">
      <alignment horizontal="center"/>
    </xf>
    <xf numFmtId="0" fontId="7" fillId="41" borderId="12" xfId="0" applyFont="1" applyFill="1" applyBorder="1" applyAlignment="1">
      <alignment horizontal="center"/>
    </xf>
    <xf numFmtId="0" fontId="7" fillId="41" borderId="14" xfId="0" applyFont="1" applyFill="1" applyBorder="1" applyAlignment="1">
      <alignment horizontal="center"/>
    </xf>
    <xf numFmtId="0" fontId="7" fillId="41" borderId="15" xfId="0" applyFont="1" applyFill="1" applyBorder="1" applyAlignment="1">
      <alignment horizontal="center"/>
    </xf>
    <xf numFmtId="4" fontId="152" fillId="0" borderId="12" xfId="257" applyNumberFormat="1" applyFont="1" applyBorder="1" applyAlignment="1">
      <alignment horizontal="center" vertical="center"/>
    </xf>
    <xf numFmtId="4" fontId="152" fillId="0" borderId="14" xfId="257" applyNumberFormat="1" applyFont="1" applyBorder="1" applyAlignment="1">
      <alignment horizontal="center" vertical="center"/>
    </xf>
    <xf numFmtId="4" fontId="152" fillId="0" borderId="15" xfId="257" applyNumberFormat="1" applyFont="1" applyBorder="1" applyAlignment="1">
      <alignment horizontal="center" vertical="center"/>
    </xf>
    <xf numFmtId="0" fontId="152" fillId="48" borderId="82" xfId="0" applyFont="1" applyFill="1" applyBorder="1" applyAlignment="1">
      <alignment horizontal="center" vertical="center"/>
    </xf>
    <xf numFmtId="0" fontId="152" fillId="48" borderId="92" xfId="0" applyFont="1" applyFill="1" applyBorder="1" applyAlignment="1">
      <alignment horizontal="center" vertical="center"/>
    </xf>
    <xf numFmtId="0" fontId="5" fillId="48" borderId="12" xfId="0" applyFont="1" applyFill="1" applyBorder="1" applyAlignment="1">
      <alignment horizontal="center"/>
    </xf>
    <xf numFmtId="0" fontId="0" fillId="48" borderId="14" xfId="0" applyFill="1" applyBorder="1" applyAlignment="1">
      <alignment horizontal="center"/>
    </xf>
    <xf numFmtId="0" fontId="0" fillId="48" borderId="15" xfId="0" applyFill="1" applyBorder="1" applyAlignment="1">
      <alignment horizontal="center"/>
    </xf>
    <xf numFmtId="0" fontId="7" fillId="78" borderId="12" xfId="0" applyFont="1" applyFill="1" applyBorder="1" applyAlignment="1">
      <alignment horizontal="center"/>
    </xf>
    <xf numFmtId="0" fontId="7" fillId="78" borderId="14" xfId="0" applyFont="1" applyFill="1" applyBorder="1" applyAlignment="1">
      <alignment horizontal="center"/>
    </xf>
    <xf numFmtId="0" fontId="7" fillId="78" borderId="15" xfId="0" applyFont="1" applyFill="1" applyBorder="1" applyAlignment="1">
      <alignment horizontal="center"/>
    </xf>
    <xf numFmtId="0" fontId="173" fillId="78" borderId="37" xfId="0" applyFont="1" applyFill="1" applyBorder="1" applyAlignment="1">
      <alignment horizontal="center" vertical="center"/>
    </xf>
    <xf numFmtId="0" fontId="173" fillId="78" borderId="33" xfId="0" applyFont="1" applyFill="1" applyBorder="1" applyAlignment="1">
      <alignment horizontal="center" vertical="center"/>
    </xf>
    <xf numFmtId="0" fontId="173" fillId="78" borderId="79" xfId="0" applyFont="1" applyFill="1" applyBorder="1" applyAlignment="1">
      <alignment horizontal="center" vertical="center"/>
    </xf>
    <xf numFmtId="0" fontId="173" fillId="78" borderId="34" xfId="0" applyFont="1" applyFill="1" applyBorder="1" applyAlignment="1">
      <alignment horizontal="center" vertical="center"/>
    </xf>
    <xf numFmtId="0" fontId="5" fillId="78" borderId="45" xfId="0" applyFont="1" applyFill="1" applyBorder="1" applyAlignment="1">
      <alignment horizontal="center" vertical="center" wrapText="1"/>
    </xf>
    <xf numFmtId="0" fontId="5" fillId="78" borderId="76" xfId="0" applyFont="1" applyFill="1" applyBorder="1" applyAlignment="1">
      <alignment horizontal="center" vertical="center" wrapText="1"/>
    </xf>
    <xf numFmtId="0" fontId="5" fillId="78" borderId="39" xfId="0" applyFont="1" applyFill="1" applyBorder="1" applyAlignment="1">
      <alignment horizontal="center" vertical="center"/>
    </xf>
    <xf numFmtId="0" fontId="5" fillId="78" borderId="0" xfId="0" applyFont="1" applyFill="1" applyBorder="1" applyAlignment="1">
      <alignment horizontal="center" vertical="center"/>
    </xf>
    <xf numFmtId="0" fontId="5" fillId="78" borderId="39" xfId="0" applyFont="1" applyFill="1" applyBorder="1" applyAlignment="1">
      <alignment horizontal="center"/>
    </xf>
    <xf numFmtId="0" fontId="5" fillId="78" borderId="0" xfId="0" applyFont="1" applyFill="1" applyAlignment="1">
      <alignment horizontal="center"/>
    </xf>
    <xf numFmtId="0" fontId="0" fillId="0" borderId="39" xfId="0" applyBorder="1" applyAlignment="1">
      <alignment horizontal="center"/>
    </xf>
    <xf numFmtId="0" fontId="0" fillId="0" borderId="0" xfId="0" applyAlignment="1">
      <alignment horizontal="center"/>
    </xf>
    <xf numFmtId="0" fontId="7" fillId="73" borderId="12" xfId="0" applyFont="1" applyFill="1" applyBorder="1" applyAlignment="1">
      <alignment horizontal="center"/>
    </xf>
    <xf numFmtId="0" fontId="7" fillId="73" borderId="14" xfId="0" applyFont="1" applyFill="1" applyBorder="1" applyAlignment="1">
      <alignment horizontal="center"/>
    </xf>
    <xf numFmtId="0" fontId="7" fillId="73" borderId="15" xfId="0" applyFont="1" applyFill="1" applyBorder="1" applyAlignment="1">
      <alignment horizontal="center"/>
    </xf>
    <xf numFmtId="0" fontId="152" fillId="61" borderId="37" xfId="0" applyFont="1" applyFill="1" applyBorder="1" applyAlignment="1">
      <alignment horizontal="center" vertical="center"/>
    </xf>
    <xf numFmtId="0" fontId="152" fillId="61" borderId="33" xfId="0" applyFont="1" applyFill="1" applyBorder="1" applyAlignment="1">
      <alignment horizontal="center" vertical="center"/>
    </xf>
    <xf numFmtId="0" fontId="152" fillId="61" borderId="79" xfId="0" applyFont="1" applyFill="1" applyBorder="1" applyAlignment="1">
      <alignment horizontal="center" vertical="center"/>
    </xf>
    <xf numFmtId="0" fontId="152" fillId="61" borderId="34" xfId="0" applyFont="1" applyFill="1" applyBorder="1" applyAlignment="1">
      <alignment horizontal="center" vertical="center"/>
    </xf>
    <xf numFmtId="0" fontId="0" fillId="61" borderId="45" xfId="0" applyFill="1" applyBorder="1" applyAlignment="1">
      <alignment horizontal="center" vertical="center" wrapText="1"/>
    </xf>
    <xf numFmtId="0" fontId="0" fillId="61" borderId="76" xfId="0" applyFill="1" applyBorder="1" applyAlignment="1">
      <alignment horizontal="center" vertical="center" wrapText="1"/>
    </xf>
    <xf numFmtId="0" fontId="0" fillId="61" borderId="39" xfId="0" applyFill="1" applyBorder="1" applyAlignment="1">
      <alignment horizontal="center" vertical="center"/>
    </xf>
    <xf numFmtId="0" fontId="0" fillId="61" borderId="0" xfId="0" applyFill="1" applyBorder="1" applyAlignment="1">
      <alignment horizontal="center" vertical="center"/>
    </xf>
    <xf numFmtId="0" fontId="152" fillId="73" borderId="37" xfId="0" applyFont="1" applyFill="1" applyBorder="1" applyAlignment="1">
      <alignment horizontal="center" vertical="center"/>
    </xf>
    <xf numFmtId="0" fontId="152" fillId="73" borderId="33" xfId="0" applyFont="1" applyFill="1" applyBorder="1" applyAlignment="1">
      <alignment horizontal="center" vertical="center"/>
    </xf>
    <xf numFmtId="0" fontId="152" fillId="73" borderId="79" xfId="0" applyFont="1" applyFill="1" applyBorder="1" applyAlignment="1">
      <alignment horizontal="center" vertical="center"/>
    </xf>
    <xf numFmtId="0" fontId="152" fillId="73" borderId="34" xfId="0" applyFont="1" applyFill="1" applyBorder="1" applyAlignment="1">
      <alignment horizontal="center" vertical="center"/>
    </xf>
    <xf numFmtId="0" fontId="0" fillId="73" borderId="45" xfId="0" applyFill="1" applyBorder="1" applyAlignment="1">
      <alignment horizontal="center" vertical="center" wrapText="1"/>
    </xf>
    <xf numFmtId="0" fontId="0" fillId="73" borderId="76" xfId="0" applyFill="1" applyBorder="1" applyAlignment="1">
      <alignment horizontal="center" vertical="center" wrapText="1"/>
    </xf>
    <xf numFmtId="0" fontId="0" fillId="55" borderId="39" xfId="0" applyFill="1" applyBorder="1" applyAlignment="1">
      <alignment horizontal="center" vertical="center"/>
    </xf>
    <xf numFmtId="0" fontId="0" fillId="55" borderId="0" xfId="0" applyFill="1" applyBorder="1" applyAlignment="1">
      <alignment horizontal="center" vertical="center"/>
    </xf>
    <xf numFmtId="0" fontId="0" fillId="55" borderId="39" xfId="0" applyFill="1" applyBorder="1" applyAlignment="1">
      <alignment horizontal="center"/>
    </xf>
    <xf numFmtId="0" fontId="0" fillId="55" borderId="0" xfId="0" applyFill="1" applyAlignment="1">
      <alignment horizontal="center"/>
    </xf>
    <xf numFmtId="0" fontId="152" fillId="67" borderId="70" xfId="0" applyFont="1" applyFill="1" applyBorder="1" applyAlignment="1">
      <alignment horizontal="center" vertical="center"/>
    </xf>
    <xf numFmtId="0" fontId="152" fillId="67" borderId="71" xfId="0" applyFont="1" applyFill="1" applyBorder="1" applyAlignment="1">
      <alignment horizontal="center" vertical="center"/>
    </xf>
    <xf numFmtId="0" fontId="152" fillId="67" borderId="60" xfId="0" applyFont="1" applyFill="1" applyBorder="1" applyAlignment="1">
      <alignment horizontal="center" vertical="center"/>
    </xf>
    <xf numFmtId="0" fontId="152" fillId="55" borderId="37" xfId="0" applyFont="1" applyFill="1" applyBorder="1" applyAlignment="1">
      <alignment horizontal="center" vertical="center"/>
    </xf>
    <xf numFmtId="0" fontId="152" fillId="55" borderId="33" xfId="0" applyFont="1" applyFill="1" applyBorder="1" applyAlignment="1">
      <alignment horizontal="center" vertical="center"/>
    </xf>
    <xf numFmtId="0" fontId="152" fillId="55" borderId="79" xfId="0" applyFont="1" applyFill="1" applyBorder="1" applyAlignment="1">
      <alignment horizontal="center" vertical="center"/>
    </xf>
    <xf numFmtId="0" fontId="152" fillId="55" borderId="34" xfId="0" applyFont="1" applyFill="1" applyBorder="1" applyAlignment="1">
      <alignment horizontal="center" vertical="center"/>
    </xf>
    <xf numFmtId="0" fontId="0" fillId="55" borderId="45" xfId="0" applyFill="1" applyBorder="1" applyAlignment="1">
      <alignment horizontal="center" vertical="center" wrapText="1"/>
    </xf>
    <xf numFmtId="0" fontId="0" fillId="55" borderId="76" xfId="0" applyFill="1" applyBorder="1" applyAlignment="1">
      <alignment horizontal="center" vertical="center" wrapText="1"/>
    </xf>
    <xf numFmtId="0" fontId="152" fillId="62" borderId="37" xfId="0" applyFont="1" applyFill="1" applyBorder="1" applyAlignment="1">
      <alignment horizontal="center" vertical="center"/>
    </xf>
    <xf numFmtId="0" fontId="152" fillId="62" borderId="34" xfId="0" applyFont="1" applyFill="1" applyBorder="1" applyAlignment="1">
      <alignment horizontal="center" vertical="center"/>
    </xf>
    <xf numFmtId="0" fontId="0" fillId="62" borderId="45" xfId="0" applyFill="1" applyBorder="1" applyAlignment="1">
      <alignment horizontal="center" vertical="center" wrapText="1"/>
    </xf>
    <xf numFmtId="0" fontId="0" fillId="62" borderId="76" xfId="0" applyFill="1" applyBorder="1" applyAlignment="1">
      <alignment horizontal="center" vertical="center" wrapText="1"/>
    </xf>
    <xf numFmtId="0" fontId="0" fillId="65" borderId="45" xfId="0" applyFill="1" applyBorder="1" applyAlignment="1">
      <alignment horizontal="center" vertical="center" wrapText="1"/>
    </xf>
    <xf numFmtId="0" fontId="0" fillId="65" borderId="76" xfId="0" applyFill="1" applyBorder="1" applyAlignment="1">
      <alignment horizontal="center" vertical="center" wrapText="1"/>
    </xf>
    <xf numFmtId="0" fontId="0" fillId="65" borderId="39" xfId="0" applyFill="1" applyBorder="1" applyAlignment="1">
      <alignment horizontal="center" vertical="center"/>
    </xf>
    <xf numFmtId="0" fontId="0" fillId="65" borderId="0" xfId="0" applyFill="1" applyBorder="1" applyAlignment="1">
      <alignment horizontal="center" vertical="center"/>
    </xf>
    <xf numFmtId="0" fontId="0" fillId="65" borderId="39" xfId="0" applyFill="1" applyBorder="1" applyAlignment="1">
      <alignment horizontal="center"/>
    </xf>
    <xf numFmtId="0" fontId="0" fillId="65" borderId="0" xfId="0" applyFill="1" applyAlignment="1">
      <alignment horizontal="center"/>
    </xf>
    <xf numFmtId="0" fontId="152" fillId="65" borderId="37" xfId="0" applyFont="1" applyFill="1" applyBorder="1" applyAlignment="1">
      <alignment horizontal="center" vertical="center"/>
    </xf>
    <xf numFmtId="0" fontId="152" fillId="65" borderId="34" xfId="0" applyFont="1" applyFill="1" applyBorder="1" applyAlignment="1">
      <alignment horizontal="center" vertical="center"/>
    </xf>
    <xf numFmtId="0" fontId="7" fillId="65" borderId="12" xfId="0" applyFont="1" applyFill="1" applyBorder="1" applyAlignment="1">
      <alignment horizontal="center"/>
    </xf>
    <xf numFmtId="0" fontId="7" fillId="65" borderId="14" xfId="0" applyFont="1" applyFill="1" applyBorder="1" applyAlignment="1">
      <alignment horizontal="center"/>
    </xf>
    <xf numFmtId="0" fontId="7" fillId="65" borderId="15" xfId="0" applyFont="1" applyFill="1" applyBorder="1" applyAlignment="1">
      <alignment horizontal="center"/>
    </xf>
    <xf numFmtId="0" fontId="152" fillId="65" borderId="33" xfId="0" applyFont="1" applyFill="1" applyBorder="1" applyAlignment="1">
      <alignment horizontal="center" vertical="center"/>
    </xf>
    <xf numFmtId="0" fontId="152" fillId="65" borderId="79" xfId="0" applyFont="1" applyFill="1" applyBorder="1" applyAlignment="1">
      <alignment horizontal="center" vertical="center"/>
    </xf>
    <xf numFmtId="0" fontId="114" fillId="39" borderId="0" xfId="0" applyFont="1" applyFill="1" applyAlignment="1">
      <alignment horizontal="right"/>
    </xf>
    <xf numFmtId="184" fontId="155" fillId="63" borderId="0" xfId="0" applyNumberFormat="1" applyFont="1" applyFill="1" applyAlignment="1">
      <alignment horizontal="center"/>
    </xf>
    <xf numFmtId="0" fontId="152" fillId="63" borderId="0" xfId="0" applyFont="1" applyFill="1" applyAlignment="1">
      <alignment horizontal="center"/>
    </xf>
    <xf numFmtId="0" fontId="7" fillId="62" borderId="12" xfId="0" applyFont="1" applyFill="1" applyBorder="1" applyAlignment="1">
      <alignment horizontal="center"/>
    </xf>
    <xf numFmtId="0" fontId="7" fillId="62" borderId="14" xfId="0" applyFont="1" applyFill="1" applyBorder="1" applyAlignment="1">
      <alignment horizontal="center"/>
    </xf>
    <xf numFmtId="0" fontId="7" fillId="62" borderId="15" xfId="0" applyFont="1" applyFill="1" applyBorder="1" applyAlignment="1">
      <alignment horizontal="center"/>
    </xf>
    <xf numFmtId="0" fontId="152" fillId="62" borderId="33" xfId="0" applyFont="1" applyFill="1" applyBorder="1" applyAlignment="1">
      <alignment horizontal="center" vertical="center"/>
    </xf>
    <xf numFmtId="0" fontId="152" fillId="62" borderId="79" xfId="0" applyFont="1" applyFill="1" applyBorder="1" applyAlignment="1">
      <alignment horizontal="center" vertical="center"/>
    </xf>
    <xf numFmtId="0" fontId="7" fillId="69" borderId="12" xfId="0" applyFont="1" applyFill="1" applyBorder="1" applyAlignment="1">
      <alignment horizontal="center"/>
    </xf>
    <xf numFmtId="0" fontId="7" fillId="69" borderId="14" xfId="0" applyFont="1" applyFill="1" applyBorder="1" applyAlignment="1">
      <alignment horizontal="center"/>
    </xf>
    <xf numFmtId="0" fontId="7" fillId="69" borderId="15" xfId="0" applyFont="1" applyFill="1" applyBorder="1" applyAlignment="1">
      <alignment horizontal="center"/>
    </xf>
    <xf numFmtId="0" fontId="152" fillId="69" borderId="37" xfId="0" applyFont="1" applyFill="1" applyBorder="1" applyAlignment="1">
      <alignment horizontal="center" vertical="center"/>
    </xf>
    <xf numFmtId="0" fontId="152" fillId="69" borderId="33" xfId="0" applyFont="1" applyFill="1" applyBorder="1" applyAlignment="1">
      <alignment horizontal="center" vertical="center"/>
    </xf>
    <xf numFmtId="0" fontId="152" fillId="69" borderId="79" xfId="0" applyFont="1" applyFill="1" applyBorder="1" applyAlignment="1">
      <alignment horizontal="center" vertical="center"/>
    </xf>
    <xf numFmtId="0" fontId="152" fillId="69" borderId="34" xfId="0" applyFont="1" applyFill="1" applyBorder="1" applyAlignment="1">
      <alignment horizontal="center" vertical="center"/>
    </xf>
    <xf numFmtId="0" fontId="0" fillId="69" borderId="45" xfId="0" applyFill="1" applyBorder="1" applyAlignment="1">
      <alignment horizontal="center" vertical="center" wrapText="1"/>
    </xf>
    <xf numFmtId="0" fontId="0" fillId="69" borderId="76" xfId="0" applyFill="1" applyBorder="1" applyAlignment="1">
      <alignment horizontal="center" vertical="center" wrapText="1"/>
    </xf>
    <xf numFmtId="0" fontId="5" fillId="67" borderId="45" xfId="0" applyFont="1" applyFill="1" applyBorder="1" applyAlignment="1">
      <alignment horizontal="center" vertical="center" wrapText="1"/>
    </xf>
    <xf numFmtId="0" fontId="5" fillId="67" borderId="76" xfId="0" applyFont="1" applyFill="1" applyBorder="1" applyAlignment="1">
      <alignment horizontal="center" vertical="center" wrapText="1"/>
    </xf>
    <xf numFmtId="0" fontId="152" fillId="60" borderId="70" xfId="0" applyFont="1" applyFill="1" applyBorder="1" applyAlignment="1">
      <alignment horizontal="center" vertical="center"/>
    </xf>
    <xf numFmtId="0" fontId="152" fillId="60" borderId="71" xfId="0" applyFont="1" applyFill="1" applyBorder="1" applyAlignment="1">
      <alignment horizontal="center" vertical="center"/>
    </xf>
    <xf numFmtId="0" fontId="0" fillId="68" borderId="45" xfId="0" applyFill="1" applyBorder="1" applyAlignment="1">
      <alignment horizontal="center" vertical="center" wrapText="1"/>
    </xf>
    <xf numFmtId="0" fontId="0" fillId="68" borderId="76" xfId="0" applyFill="1" applyBorder="1" applyAlignment="1">
      <alignment horizontal="center" vertical="center" wrapText="1"/>
    </xf>
    <xf numFmtId="0" fontId="7" fillId="68" borderId="12" xfId="0" applyFont="1" applyFill="1" applyBorder="1" applyAlignment="1">
      <alignment horizontal="center"/>
    </xf>
    <xf numFmtId="0" fontId="7" fillId="68" borderId="14" xfId="0" applyFont="1" applyFill="1" applyBorder="1" applyAlignment="1">
      <alignment horizontal="center"/>
    </xf>
    <xf numFmtId="0" fontId="7" fillId="68" borderId="15" xfId="0" applyFont="1" applyFill="1" applyBorder="1" applyAlignment="1">
      <alignment horizontal="center"/>
    </xf>
    <xf numFmtId="0" fontId="152" fillId="68" borderId="37" xfId="0" applyFont="1" applyFill="1" applyBorder="1" applyAlignment="1">
      <alignment horizontal="center" vertical="center"/>
    </xf>
    <xf numFmtId="0" fontId="152" fillId="68" borderId="33" xfId="0" applyFont="1" applyFill="1" applyBorder="1" applyAlignment="1">
      <alignment horizontal="center" vertical="center"/>
    </xf>
    <xf numFmtId="0" fontId="152" fillId="68" borderId="79" xfId="0" applyFont="1" applyFill="1" applyBorder="1" applyAlignment="1">
      <alignment horizontal="center" vertical="center"/>
    </xf>
    <xf numFmtId="0" fontId="152" fillId="68" borderId="34" xfId="0" applyFont="1" applyFill="1" applyBorder="1" applyAlignment="1">
      <alignment horizontal="center" vertical="center"/>
    </xf>
    <xf numFmtId="0" fontId="171" fillId="51" borderId="0" xfId="0" applyFont="1" applyFill="1" applyAlignment="1">
      <alignment horizontal="left"/>
    </xf>
    <xf numFmtId="0" fontId="7" fillId="64" borderId="12" xfId="0" applyFont="1" applyFill="1" applyBorder="1" applyAlignment="1">
      <alignment horizontal="center"/>
    </xf>
    <xf numFmtId="0" fontId="7" fillId="64" borderId="14" xfId="0" applyFont="1" applyFill="1" applyBorder="1" applyAlignment="1">
      <alignment horizontal="center"/>
    </xf>
    <xf numFmtId="0" fontId="7" fillId="64" borderId="15" xfId="0" applyFont="1" applyFill="1" applyBorder="1" applyAlignment="1">
      <alignment horizontal="center"/>
    </xf>
    <xf numFmtId="0" fontId="152" fillId="51" borderId="37" xfId="0" applyFont="1" applyFill="1" applyBorder="1" applyAlignment="1">
      <alignment horizontal="center" vertical="center"/>
    </xf>
    <xf numFmtId="0" fontId="152" fillId="51" borderId="33" xfId="0" applyFont="1" applyFill="1" applyBorder="1" applyAlignment="1">
      <alignment horizontal="center" vertical="center"/>
    </xf>
    <xf numFmtId="0" fontId="152" fillId="51" borderId="79" xfId="0" applyFont="1" applyFill="1" applyBorder="1" applyAlignment="1">
      <alignment horizontal="center" vertical="center"/>
    </xf>
    <xf numFmtId="0" fontId="152" fillId="51" borderId="34" xfId="0" applyFont="1" applyFill="1" applyBorder="1" applyAlignment="1">
      <alignment horizontal="center" vertical="center"/>
    </xf>
    <xf numFmtId="0" fontId="0" fillId="51" borderId="45" xfId="0" applyFill="1" applyBorder="1" applyAlignment="1">
      <alignment horizontal="center" vertical="center" wrapText="1"/>
    </xf>
    <xf numFmtId="0" fontId="0" fillId="51" borderId="76" xfId="0" applyFill="1" applyBorder="1" applyAlignment="1">
      <alignment horizontal="center" vertical="center" wrapText="1"/>
    </xf>
    <xf numFmtId="0" fontId="0" fillId="77" borderId="45" xfId="0" applyFill="1" applyBorder="1" applyAlignment="1">
      <alignment horizontal="center" vertical="center" wrapText="1"/>
    </xf>
    <xf numFmtId="0" fontId="0" fillId="77" borderId="76" xfId="0" applyFill="1" applyBorder="1" applyAlignment="1">
      <alignment horizontal="center" vertical="center" wrapText="1"/>
    </xf>
    <xf numFmtId="0" fontId="7" fillId="71" borderId="12" xfId="0" applyFont="1" applyFill="1" applyBorder="1" applyAlignment="1">
      <alignment horizontal="center"/>
    </xf>
    <xf numFmtId="0" fontId="7" fillId="71" borderId="14" xfId="0" applyFont="1" applyFill="1" applyBorder="1" applyAlignment="1">
      <alignment horizontal="center"/>
    </xf>
    <xf numFmtId="0" fontId="7" fillId="71" borderId="15" xfId="0" applyFont="1" applyFill="1" applyBorder="1" applyAlignment="1">
      <alignment horizontal="center"/>
    </xf>
    <xf numFmtId="0" fontId="152" fillId="71" borderId="37" xfId="0" applyFont="1" applyFill="1" applyBorder="1" applyAlignment="1">
      <alignment horizontal="center" vertical="center"/>
    </xf>
    <xf numFmtId="0" fontId="152" fillId="71" borderId="33" xfId="0" applyFont="1" applyFill="1" applyBorder="1" applyAlignment="1">
      <alignment horizontal="center" vertical="center"/>
    </xf>
    <xf numFmtId="0" fontId="152" fillId="71" borderId="79" xfId="0" applyFont="1" applyFill="1" applyBorder="1" applyAlignment="1">
      <alignment horizontal="center" vertical="center"/>
    </xf>
    <xf numFmtId="0" fontId="152" fillId="71" borderId="34" xfId="0" applyFont="1" applyFill="1" applyBorder="1" applyAlignment="1">
      <alignment horizontal="center" vertical="center"/>
    </xf>
    <xf numFmtId="0" fontId="0" fillId="71" borderId="45" xfId="0" applyFill="1" applyBorder="1" applyAlignment="1">
      <alignment horizontal="center" vertical="center" wrapText="1"/>
    </xf>
    <xf numFmtId="0" fontId="0" fillId="71" borderId="76" xfId="0" applyFill="1" applyBorder="1" applyAlignment="1">
      <alignment horizontal="center" vertical="center" wrapText="1"/>
    </xf>
    <xf numFmtId="0" fontId="7" fillId="70" borderId="12" xfId="0" applyFont="1" applyFill="1" applyBorder="1" applyAlignment="1">
      <alignment horizontal="center"/>
    </xf>
    <xf numFmtId="0" fontId="7" fillId="70" borderId="14" xfId="0" applyFont="1" applyFill="1" applyBorder="1" applyAlignment="1">
      <alignment horizontal="center"/>
    </xf>
    <xf numFmtId="0" fontId="7" fillId="70" borderId="15" xfId="0" applyFont="1" applyFill="1" applyBorder="1" applyAlignment="1">
      <alignment horizontal="center"/>
    </xf>
    <xf numFmtId="0" fontId="152" fillId="70" borderId="37" xfId="0" applyFont="1" applyFill="1" applyBorder="1" applyAlignment="1">
      <alignment horizontal="center" vertical="center"/>
    </xf>
    <xf numFmtId="0" fontId="152" fillId="70" borderId="33" xfId="0" applyFont="1" applyFill="1" applyBorder="1" applyAlignment="1">
      <alignment horizontal="center" vertical="center"/>
    </xf>
    <xf numFmtId="0" fontId="152" fillId="70" borderId="79" xfId="0" applyFont="1" applyFill="1" applyBorder="1" applyAlignment="1">
      <alignment horizontal="center" vertical="center"/>
    </xf>
    <xf numFmtId="0" fontId="152" fillId="70" borderId="34" xfId="0" applyFont="1" applyFill="1" applyBorder="1" applyAlignment="1">
      <alignment horizontal="center" vertical="center"/>
    </xf>
    <xf numFmtId="0" fontId="0" fillId="70" borderId="45" xfId="0" applyFill="1" applyBorder="1" applyAlignment="1">
      <alignment horizontal="center" vertical="center" wrapText="1"/>
    </xf>
    <xf numFmtId="0" fontId="0" fillId="70" borderId="76" xfId="0" applyFill="1" applyBorder="1" applyAlignment="1">
      <alignment horizontal="center" vertical="center" wrapText="1"/>
    </xf>
    <xf numFmtId="0" fontId="5" fillId="70" borderId="45" xfId="0" applyFont="1" applyFill="1" applyBorder="1" applyAlignment="1">
      <alignment horizontal="center" vertical="center" wrapText="1"/>
    </xf>
    <xf numFmtId="0" fontId="7" fillId="77" borderId="12" xfId="0" applyFont="1" applyFill="1" applyBorder="1" applyAlignment="1">
      <alignment horizontal="center"/>
    </xf>
    <xf numFmtId="0" fontId="7" fillId="77" borderId="14" xfId="0" applyFont="1" applyFill="1" applyBorder="1" applyAlignment="1">
      <alignment horizontal="center"/>
    </xf>
    <xf numFmtId="0" fontId="7" fillId="77" borderId="15" xfId="0" applyFont="1" applyFill="1" applyBorder="1" applyAlignment="1">
      <alignment horizontal="center"/>
    </xf>
    <xf numFmtId="0" fontId="152" fillId="77" borderId="37" xfId="0" applyFont="1" applyFill="1" applyBorder="1" applyAlignment="1">
      <alignment horizontal="center" vertical="center"/>
    </xf>
    <xf numFmtId="0" fontId="152" fillId="77" borderId="33" xfId="0" applyFont="1" applyFill="1" applyBorder="1" applyAlignment="1">
      <alignment horizontal="center" vertical="center"/>
    </xf>
    <xf numFmtId="0" fontId="152" fillId="77" borderId="79" xfId="0" applyFont="1" applyFill="1" applyBorder="1" applyAlignment="1">
      <alignment horizontal="center" vertical="center"/>
    </xf>
    <xf numFmtId="0" fontId="152" fillId="77" borderId="34" xfId="0" applyFont="1" applyFill="1" applyBorder="1" applyAlignment="1">
      <alignment horizontal="center" vertical="center"/>
    </xf>
    <xf numFmtId="0" fontId="152" fillId="49" borderId="70" xfId="0" applyFont="1" applyFill="1" applyBorder="1" applyAlignment="1">
      <alignment horizontal="center" vertical="center"/>
    </xf>
    <xf numFmtId="0" fontId="152" fillId="49" borderId="71" xfId="0" applyFont="1" applyFill="1" applyBorder="1" applyAlignment="1">
      <alignment horizontal="center" vertical="center"/>
    </xf>
    <xf numFmtId="0" fontId="152" fillId="48" borderId="70" xfId="0" applyFont="1" applyFill="1" applyBorder="1" applyAlignment="1">
      <alignment horizontal="center" vertical="center"/>
    </xf>
    <xf numFmtId="0" fontId="152" fillId="48" borderId="71" xfId="0" applyFont="1" applyFill="1" applyBorder="1" applyAlignment="1">
      <alignment horizontal="center" vertical="center"/>
    </xf>
    <xf numFmtId="0" fontId="152" fillId="66" borderId="37" xfId="0" applyFont="1" applyFill="1" applyBorder="1" applyAlignment="1">
      <alignment horizontal="center" vertical="center"/>
    </xf>
    <xf numFmtId="0" fontId="152" fillId="66" borderId="33" xfId="0" applyFont="1" applyFill="1" applyBorder="1" applyAlignment="1">
      <alignment horizontal="center" vertical="center"/>
    </xf>
    <xf numFmtId="0" fontId="152" fillId="66" borderId="79" xfId="0" applyFont="1" applyFill="1" applyBorder="1" applyAlignment="1">
      <alignment horizontal="center" vertical="center"/>
    </xf>
    <xf numFmtId="0" fontId="152" fillId="66" borderId="34" xfId="0" applyFont="1" applyFill="1" applyBorder="1" applyAlignment="1">
      <alignment horizontal="center" vertical="center"/>
    </xf>
    <xf numFmtId="0" fontId="0" fillId="66" borderId="45" xfId="0" applyFill="1" applyBorder="1" applyAlignment="1">
      <alignment horizontal="center" vertical="center" wrapText="1"/>
    </xf>
    <xf numFmtId="0" fontId="0" fillId="66" borderId="76" xfId="0" applyFill="1" applyBorder="1" applyAlignment="1">
      <alignment horizontal="center" vertical="center" wrapText="1"/>
    </xf>
    <xf numFmtId="0" fontId="7" fillId="66" borderId="12" xfId="0" applyFont="1" applyFill="1" applyBorder="1" applyAlignment="1">
      <alignment horizontal="center"/>
    </xf>
    <xf numFmtId="0" fontId="7" fillId="66" borderId="14" xfId="0" applyFont="1" applyFill="1" applyBorder="1" applyAlignment="1">
      <alignment horizontal="center"/>
    </xf>
    <xf numFmtId="0" fontId="7" fillId="66" borderId="15" xfId="0" applyFont="1" applyFill="1" applyBorder="1" applyAlignment="1">
      <alignment horizontal="center"/>
    </xf>
    <xf numFmtId="0" fontId="5" fillId="67" borderId="39" xfId="0" applyFont="1" applyFill="1" applyBorder="1" applyAlignment="1">
      <alignment horizontal="center" vertical="center"/>
    </xf>
    <xf numFmtId="0" fontId="5" fillId="67" borderId="0" xfId="0" applyFont="1" applyFill="1" applyBorder="1" applyAlignment="1">
      <alignment horizontal="center" vertical="center"/>
    </xf>
    <xf numFmtId="0" fontId="0" fillId="44" borderId="0" xfId="0" applyFill="1" applyAlignment="1">
      <alignment horizontal="right"/>
    </xf>
    <xf numFmtId="184" fontId="155" fillId="39" borderId="0" xfId="0" applyNumberFormat="1" applyFont="1" applyFill="1" applyAlignment="1">
      <alignment horizontal="center"/>
    </xf>
    <xf numFmtId="0" fontId="124" fillId="63" borderId="45" xfId="0" applyFont="1" applyFill="1" applyBorder="1" applyAlignment="1">
      <alignment horizontal="center"/>
    </xf>
    <xf numFmtId="0" fontId="124" fillId="63" borderId="137" xfId="0" applyFont="1" applyFill="1" applyBorder="1" applyAlignment="1">
      <alignment horizontal="center"/>
    </xf>
    <xf numFmtId="0" fontId="124" fillId="63" borderId="76" xfId="0" applyFont="1" applyFill="1" applyBorder="1" applyAlignment="1">
      <alignment horizontal="center"/>
    </xf>
    <xf numFmtId="0" fontId="5" fillId="67" borderId="39" xfId="0" applyFont="1" applyFill="1" applyBorder="1" applyAlignment="1">
      <alignment horizontal="center"/>
    </xf>
    <xf numFmtId="0" fontId="5" fillId="67" borderId="0" xfId="0" applyFont="1" applyFill="1" applyAlignment="1">
      <alignment horizontal="center"/>
    </xf>
    <xf numFmtId="0" fontId="173" fillId="67" borderId="37" xfId="0" applyFont="1" applyFill="1" applyBorder="1" applyAlignment="1">
      <alignment horizontal="center" vertical="center"/>
    </xf>
    <xf numFmtId="0" fontId="173" fillId="67" borderId="33" xfId="0" applyFont="1" applyFill="1" applyBorder="1" applyAlignment="1">
      <alignment horizontal="center" vertical="center"/>
    </xf>
    <xf numFmtId="0" fontId="173" fillId="67" borderId="79" xfId="0" applyFont="1" applyFill="1" applyBorder="1" applyAlignment="1">
      <alignment horizontal="center" vertical="center"/>
    </xf>
    <xf numFmtId="0" fontId="173" fillId="67" borderId="34" xfId="0" applyFont="1" applyFill="1" applyBorder="1" applyAlignment="1">
      <alignment horizontal="center" vertical="center"/>
    </xf>
    <xf numFmtId="0" fontId="0" fillId="0" borderId="0" xfId="0" applyBorder="1" applyAlignment="1">
      <alignment horizontal="center"/>
    </xf>
    <xf numFmtId="4" fontId="152" fillId="44" borderId="12" xfId="0" applyNumberFormat="1" applyFont="1" applyFill="1" applyBorder="1" applyAlignment="1">
      <alignment horizontal="center" vertical="center"/>
    </xf>
    <xf numFmtId="4" fontId="152" fillId="44" borderId="15" xfId="0" applyNumberFormat="1" applyFont="1" applyFill="1" applyBorder="1" applyAlignment="1">
      <alignment horizontal="center" vertical="center"/>
    </xf>
    <xf numFmtId="0" fontId="152" fillId="61" borderId="82" xfId="0" applyFont="1" applyFill="1" applyBorder="1" applyAlignment="1">
      <alignment horizontal="center" vertical="center"/>
    </xf>
    <xf numFmtId="0" fontId="152" fillId="61" borderId="65" xfId="0" applyFont="1" applyFill="1" applyBorder="1" applyAlignment="1">
      <alignment horizontal="center" vertical="center"/>
    </xf>
    <xf numFmtId="0" fontId="152" fillId="61" borderId="92" xfId="0" applyFont="1" applyFill="1" applyBorder="1" applyAlignment="1">
      <alignment horizontal="center" vertical="center"/>
    </xf>
    <xf numFmtId="0" fontId="7" fillId="67" borderId="12" xfId="0" applyFont="1" applyFill="1" applyBorder="1" applyAlignment="1">
      <alignment horizontal="center"/>
    </xf>
    <xf numFmtId="0" fontId="7" fillId="67" borderId="14" xfId="0" applyFont="1" applyFill="1" applyBorder="1" applyAlignment="1">
      <alignment horizontal="center"/>
    </xf>
    <xf numFmtId="0" fontId="7" fillId="67" borderId="15" xfId="0" applyFont="1" applyFill="1" applyBorder="1" applyAlignment="1">
      <alignment horizontal="center"/>
    </xf>
  </cellXfs>
  <cellStyles count="267">
    <cellStyle name="20% - Énfasis1" xfId="1" builtinId="30" customBuiltin="1"/>
    <cellStyle name="20% - Énfasis1 2" xfId="2"/>
    <cellStyle name="20% - Énfasis1 2 2" xfId="3"/>
    <cellStyle name="20% - Énfasis1 2 3" xfId="4"/>
    <cellStyle name="20% - Énfasis1 3" xfId="5"/>
    <cellStyle name="20% - Énfasis2" xfId="6" builtinId="34" customBuiltin="1"/>
    <cellStyle name="20% - Énfasis2 2" xfId="7"/>
    <cellStyle name="20% - Énfasis2 2 2" xfId="8"/>
    <cellStyle name="20% - Énfasis2 2 3" xfId="9"/>
    <cellStyle name="20% - Énfasis2 3" xfId="10"/>
    <cellStyle name="20% - Énfasis3" xfId="11" builtinId="38" customBuiltin="1"/>
    <cellStyle name="20% - Énfasis3 2" xfId="12"/>
    <cellStyle name="20% - Énfasis3 2 2" xfId="13"/>
    <cellStyle name="20% - Énfasis3 2 3" xfId="14"/>
    <cellStyle name="20% - Énfasis3 3" xfId="15"/>
    <cellStyle name="20% - Énfasis4" xfId="16" builtinId="42" customBuiltin="1"/>
    <cellStyle name="20% - Énfasis4 2" xfId="17"/>
    <cellStyle name="20% - Énfasis4 2 2" xfId="18"/>
    <cellStyle name="20% - Énfasis4 2 3" xfId="19"/>
    <cellStyle name="20% - Énfasis4 3" xfId="20"/>
    <cellStyle name="20% - Énfasis5" xfId="21" builtinId="46" customBuiltin="1"/>
    <cellStyle name="20% - Énfasis5 2" xfId="22"/>
    <cellStyle name="20% - Énfasis5 2 2" xfId="23"/>
    <cellStyle name="20% - Énfasis5 2 3" xfId="24"/>
    <cellStyle name="20% - Énfasis5 3" xfId="25"/>
    <cellStyle name="20% - Énfasis6" xfId="26" builtinId="50" customBuiltin="1"/>
    <cellStyle name="20% - Énfasis6 2" xfId="27"/>
    <cellStyle name="20% - Énfasis6 2 2" xfId="28"/>
    <cellStyle name="20% - Énfasis6 2 3" xfId="29"/>
    <cellStyle name="20% - Énfasis6 3" xfId="30"/>
    <cellStyle name="40% - Énfasis1" xfId="31" builtinId="31" customBuiltin="1"/>
    <cellStyle name="40% - Énfasis1 2" xfId="32"/>
    <cellStyle name="40% - Énfasis1 2 2" xfId="33"/>
    <cellStyle name="40% - Énfasis1 2 3" xfId="34"/>
    <cellStyle name="40% - Énfasis1 3" xfId="35"/>
    <cellStyle name="40% - Énfasis2" xfId="36" builtinId="35" customBuiltin="1"/>
    <cellStyle name="40% - Énfasis2 2" xfId="37"/>
    <cellStyle name="40% - Énfasis2 2 2" xfId="38"/>
    <cellStyle name="40% - Énfasis2 2 3" xfId="39"/>
    <cellStyle name="40% - Énfasis2 3" xfId="40"/>
    <cellStyle name="40% - Énfasis3" xfId="41" builtinId="39" customBuiltin="1"/>
    <cellStyle name="40% - Énfasis3 2" xfId="42"/>
    <cellStyle name="40% - Énfasis3 2 2" xfId="43"/>
    <cellStyle name="40% - Énfasis3 2 3" xfId="44"/>
    <cellStyle name="40% - Énfasis3 3" xfId="45"/>
    <cellStyle name="40% - Énfasis4" xfId="46" builtinId="43" customBuiltin="1"/>
    <cellStyle name="40% - Énfasis4 2" xfId="47"/>
    <cellStyle name="40% - Énfasis4 2 2" xfId="48"/>
    <cellStyle name="40% - Énfasis4 2 3" xfId="49"/>
    <cellStyle name="40% - Énfasis4 3" xfId="50"/>
    <cellStyle name="40% - Énfasis5" xfId="51" builtinId="47" customBuiltin="1"/>
    <cellStyle name="40% - Énfasis5 2" xfId="52"/>
    <cellStyle name="40% - Énfasis5 2 2" xfId="53"/>
    <cellStyle name="40% - Énfasis5 2 3" xfId="54"/>
    <cellStyle name="40% - Énfasis5 3" xfId="55"/>
    <cellStyle name="40% - Énfasis6" xfId="56" builtinId="51" customBuiltin="1"/>
    <cellStyle name="40% - Énfasis6 2" xfId="57"/>
    <cellStyle name="40% - Énfasis6 2 2" xfId="58"/>
    <cellStyle name="40% - Énfasis6 2 3" xfId="59"/>
    <cellStyle name="40% - Énfasis6 3" xfId="60"/>
    <cellStyle name="60% - Énfasis1" xfId="61" builtinId="32" customBuiltin="1"/>
    <cellStyle name="60% - Énfasis1 2" xfId="62"/>
    <cellStyle name="60% - Énfasis1 2 2" xfId="63"/>
    <cellStyle name="60% - Énfasis1 2 3" xfId="64"/>
    <cellStyle name="60% - Énfasis1 3" xfId="65"/>
    <cellStyle name="60% - Énfasis2" xfId="66" builtinId="36" customBuiltin="1"/>
    <cellStyle name="60% - Énfasis2 2" xfId="67"/>
    <cellStyle name="60% - Énfasis2 2 2" xfId="68"/>
    <cellStyle name="60% - Énfasis2 2 3" xfId="69"/>
    <cellStyle name="60% - Énfasis2 3" xfId="70"/>
    <cellStyle name="60% - Énfasis3" xfId="71" builtinId="40" customBuiltin="1"/>
    <cellStyle name="60% - Énfasis3 2" xfId="72"/>
    <cellStyle name="60% - Énfasis3 2 2" xfId="73"/>
    <cellStyle name="60% - Énfasis3 2 3" xfId="74"/>
    <cellStyle name="60% - Énfasis3 3" xfId="75"/>
    <cellStyle name="60% - Énfasis4" xfId="76" builtinId="44" customBuiltin="1"/>
    <cellStyle name="60% - Énfasis4 2" xfId="77"/>
    <cellStyle name="60% - Énfasis4 2 2" xfId="78"/>
    <cellStyle name="60% - Énfasis4 2 3" xfId="79"/>
    <cellStyle name="60% - Énfasis4 3" xfId="80"/>
    <cellStyle name="60% - Énfasis5" xfId="81" builtinId="48" customBuiltin="1"/>
    <cellStyle name="60% - Énfasis5 2" xfId="82"/>
    <cellStyle name="60% - Énfasis5 2 2" xfId="83"/>
    <cellStyle name="60% - Énfasis5 2 3" xfId="84"/>
    <cellStyle name="60% - Énfasis5 3" xfId="85"/>
    <cellStyle name="60% - Énfasis6" xfId="86" builtinId="52" customBuiltin="1"/>
    <cellStyle name="60% - Énfasis6 2" xfId="87"/>
    <cellStyle name="60% - Énfasis6 2 2" xfId="88"/>
    <cellStyle name="60% - Énfasis6 2 3" xfId="89"/>
    <cellStyle name="60% - Énfasis6 3" xfId="90"/>
    <cellStyle name="Buena" xfId="91" builtinId="26" customBuiltin="1"/>
    <cellStyle name="Buena 2" xfId="92"/>
    <cellStyle name="Buena 2 2" xfId="93"/>
    <cellStyle name="Buena 2 3" xfId="94"/>
    <cellStyle name="Buena 3" xfId="95"/>
    <cellStyle name="Cálculo" xfId="96" builtinId="22" customBuiltin="1"/>
    <cellStyle name="Cálculo 2" xfId="97"/>
    <cellStyle name="Cálculo 2 2" xfId="98"/>
    <cellStyle name="Cálculo 2 3" xfId="99"/>
    <cellStyle name="Cálculo 3" xfId="100"/>
    <cellStyle name="Celda de comprobación" xfId="101" builtinId="23" customBuiltin="1"/>
    <cellStyle name="Celda de comprobación 2" xfId="102"/>
    <cellStyle name="Celda de comprobación 2 2" xfId="103"/>
    <cellStyle name="Celda de comprobación 2 3" xfId="104"/>
    <cellStyle name="Celda de comprobación 3" xfId="105"/>
    <cellStyle name="Celda vinculada" xfId="106" builtinId="24" customBuiltin="1"/>
    <cellStyle name="Celda vinculada 2" xfId="107"/>
    <cellStyle name="Celda vinculada 2 2" xfId="108"/>
    <cellStyle name="Celda vinculada 2 3" xfId="109"/>
    <cellStyle name="Celda vinculada 3" xfId="110"/>
    <cellStyle name="Encabezado 4" xfId="111" builtinId="19" customBuiltin="1"/>
    <cellStyle name="Encabezado 4 2" xfId="112"/>
    <cellStyle name="Encabezado 4 2 2" xfId="113"/>
    <cellStyle name="Encabezado 4 2 3" xfId="114"/>
    <cellStyle name="Encabezado 4 3" xfId="115"/>
    <cellStyle name="Énfasis1" xfId="116" builtinId="29" customBuiltin="1"/>
    <cellStyle name="Énfasis1 2" xfId="117"/>
    <cellStyle name="Énfasis1 2 2" xfId="118"/>
    <cellStyle name="Énfasis1 2 3" xfId="119"/>
    <cellStyle name="Énfasis1 3" xfId="120"/>
    <cellStyle name="Énfasis2" xfId="121" builtinId="33" customBuiltin="1"/>
    <cellStyle name="Énfasis2 2" xfId="122"/>
    <cellStyle name="Énfasis2 2 2" xfId="123"/>
    <cellStyle name="Énfasis2 2 3" xfId="124"/>
    <cellStyle name="Énfasis2 3" xfId="125"/>
    <cellStyle name="Énfasis3" xfId="126" builtinId="37" customBuiltin="1"/>
    <cellStyle name="Énfasis3 2" xfId="127"/>
    <cellStyle name="Énfasis3 2 2" xfId="128"/>
    <cellStyle name="Énfasis3 2 3" xfId="129"/>
    <cellStyle name="Énfasis3 3" xfId="130"/>
    <cellStyle name="Énfasis4" xfId="131" builtinId="41" customBuiltin="1"/>
    <cellStyle name="Énfasis4 2" xfId="132"/>
    <cellStyle name="Énfasis4 2 2" xfId="133"/>
    <cellStyle name="Énfasis4 2 3" xfId="134"/>
    <cellStyle name="Énfasis4 3" xfId="135"/>
    <cellStyle name="Énfasis5" xfId="136" builtinId="45" customBuiltin="1"/>
    <cellStyle name="Énfasis5 2" xfId="137"/>
    <cellStyle name="Énfasis5 2 2" xfId="138"/>
    <cellStyle name="Énfasis5 2 3" xfId="139"/>
    <cellStyle name="Énfasis5 3" xfId="140"/>
    <cellStyle name="Énfasis6" xfId="141" builtinId="49" customBuiltin="1"/>
    <cellStyle name="Énfasis6 2" xfId="142"/>
    <cellStyle name="Énfasis6 2 2" xfId="143"/>
    <cellStyle name="Énfasis6 2 3" xfId="144"/>
    <cellStyle name="Énfasis6 3" xfId="145"/>
    <cellStyle name="Entrada" xfId="146" builtinId="20" customBuiltin="1"/>
    <cellStyle name="Entrada 2" xfId="147"/>
    <cellStyle name="Entrada 2 2" xfId="148"/>
    <cellStyle name="Entrada 2 3" xfId="149"/>
    <cellStyle name="Entrada 3" xfId="150"/>
    <cellStyle name="Excel Built-in Normal" xfId="151"/>
    <cellStyle name="Hipervínculo" xfId="256" builtinId="8"/>
    <cellStyle name="Incorrecto" xfId="152" builtinId="27" customBuiltin="1"/>
    <cellStyle name="Incorrecto 2" xfId="153"/>
    <cellStyle name="Incorrecto 2 2" xfId="154"/>
    <cellStyle name="Incorrecto 2 3" xfId="155"/>
    <cellStyle name="Incorrecto 3" xfId="156"/>
    <cellStyle name="Millares" xfId="157" builtinId="3"/>
    <cellStyle name="Millares 2" xfId="158"/>
    <cellStyle name="Millares 2 2" xfId="159"/>
    <cellStyle name="Millares 2 3" xfId="160"/>
    <cellStyle name="Moneda" xfId="161" builtinId="4"/>
    <cellStyle name="Neutral" xfId="162" builtinId="28" customBuiltin="1"/>
    <cellStyle name="Neutral 2" xfId="163"/>
    <cellStyle name="Neutral 2 2" xfId="164"/>
    <cellStyle name="Neutral 2 3" xfId="165"/>
    <cellStyle name="Neutral 3" xfId="166"/>
    <cellStyle name="Normal" xfId="0" builtinId="0"/>
    <cellStyle name="Normal 11" xfId="167"/>
    <cellStyle name="Normal 11 2" xfId="168"/>
    <cellStyle name="Normal 11 3" xfId="169"/>
    <cellStyle name="Normal 12" xfId="170"/>
    <cellStyle name="Normal 12 2" xfId="171"/>
    <cellStyle name="Normal 12 3" xfId="172"/>
    <cellStyle name="Normal 16" xfId="173"/>
    <cellStyle name="Normal 18" xfId="174"/>
    <cellStyle name="Normal 18 2" xfId="175"/>
    <cellStyle name="Normal 19" xfId="176"/>
    <cellStyle name="Normal 2" xfId="177"/>
    <cellStyle name="Normal 2 2" xfId="178"/>
    <cellStyle name="Normal 2 3" xfId="179"/>
    <cellStyle name="Normal 2 3 2" xfId="180"/>
    <cellStyle name="Normal 2 4" xfId="181"/>
    <cellStyle name="Normal 20" xfId="182"/>
    <cellStyle name="Normal 20 2" xfId="183"/>
    <cellStyle name="Normal 21" xfId="184"/>
    <cellStyle name="Normal 24" xfId="185"/>
    <cellStyle name="Normal 3" xfId="254"/>
    <cellStyle name="Normal 3 2" xfId="186"/>
    <cellStyle name="Normal 35" xfId="255"/>
    <cellStyle name="Normal 39" xfId="258"/>
    <cellStyle name="Normal 4" xfId="187"/>
    <cellStyle name="Normal 4 2" xfId="188"/>
    <cellStyle name="Normal 40" xfId="259"/>
    <cellStyle name="Normal 41" xfId="260"/>
    <cellStyle name="Normal 42" xfId="261"/>
    <cellStyle name="Normal 47" xfId="262"/>
    <cellStyle name="Normal 5" xfId="189"/>
    <cellStyle name="Normal 5 2" xfId="190"/>
    <cellStyle name="Normal 50" xfId="263"/>
    <cellStyle name="Normal 51" xfId="264"/>
    <cellStyle name="Normal 54" xfId="265"/>
    <cellStyle name="Normal 6" xfId="191"/>
    <cellStyle name="Normal 6 2" xfId="192"/>
    <cellStyle name="Normal 7" xfId="193"/>
    <cellStyle name="Normal 7 2" xfId="194"/>
    <cellStyle name="Normal 8" xfId="257"/>
    <cellStyle name="Normal_CESION INDUSTRIAL" xfId="195"/>
    <cellStyle name="Normal_Hoja1" xfId="196"/>
    <cellStyle name="Normal_Hoja2" xfId="197"/>
    <cellStyle name="Normal_Res. Global" xfId="266"/>
    <cellStyle name="Notas" xfId="198" builtinId="10" customBuiltin="1"/>
    <cellStyle name="Notas 2" xfId="199"/>
    <cellStyle name="Notas 2 2" xfId="200"/>
    <cellStyle name="Notas 2 3" xfId="201"/>
    <cellStyle name="Notas 3" xfId="202"/>
    <cellStyle name="Porcentual" xfId="203" builtinId="5"/>
    <cellStyle name="Porcentual 2" xfId="204"/>
    <cellStyle name="Porcentual 2 2" xfId="205"/>
    <cellStyle name="Porcentual 2 3" xfId="206"/>
    <cellStyle name="Porcentual 3" xfId="207"/>
    <cellStyle name="Porcentual 4" xfId="208"/>
    <cellStyle name="Porcentual 5" xfId="209"/>
    <cellStyle name="Porcentual 6" xfId="210"/>
    <cellStyle name="Porcentual 7" xfId="211"/>
    <cellStyle name="Porcentual 7 2" xfId="212"/>
    <cellStyle name="Porcentual 7 3" xfId="213"/>
    <cellStyle name="Salida" xfId="214" builtinId="21" customBuiltin="1"/>
    <cellStyle name="Salida 2" xfId="215"/>
    <cellStyle name="Salida 2 2" xfId="216"/>
    <cellStyle name="Salida 2 3" xfId="217"/>
    <cellStyle name="Salida 3" xfId="218"/>
    <cellStyle name="Texto de advertencia" xfId="219" builtinId="11" customBuiltin="1"/>
    <cellStyle name="Texto de advertencia 2" xfId="220"/>
    <cellStyle name="Texto de advertencia 2 2" xfId="221"/>
    <cellStyle name="Texto de advertencia 2 3" xfId="222"/>
    <cellStyle name="Texto de advertencia 3" xfId="223"/>
    <cellStyle name="Texto explicativo" xfId="224" builtinId="53" customBuiltin="1"/>
    <cellStyle name="Texto explicativo 2" xfId="225"/>
    <cellStyle name="Texto explicativo 2 2" xfId="226"/>
    <cellStyle name="Texto explicativo 2 3" xfId="227"/>
    <cellStyle name="Texto explicativo 3" xfId="228"/>
    <cellStyle name="Título" xfId="229" builtinId="15" customBuiltin="1"/>
    <cellStyle name="Título 1" xfId="230" builtinId="16" customBuiltin="1"/>
    <cellStyle name="Título 1 2" xfId="231"/>
    <cellStyle name="Título 1 2 2" xfId="232"/>
    <cellStyle name="Título 1 2 3" xfId="233"/>
    <cellStyle name="Título 1 3" xfId="234"/>
    <cellStyle name="Título 2" xfId="235" builtinId="17" customBuiltin="1"/>
    <cellStyle name="Título 2 2" xfId="236"/>
    <cellStyle name="Título 2 2 2" xfId="237"/>
    <cellStyle name="Título 2 2 3" xfId="238"/>
    <cellStyle name="Título 2 3" xfId="239"/>
    <cellStyle name="Título 3" xfId="240" builtinId="18" customBuiltin="1"/>
    <cellStyle name="Título 3 2" xfId="241"/>
    <cellStyle name="Título 3 2 2" xfId="242"/>
    <cellStyle name="Título 3 2 3" xfId="243"/>
    <cellStyle name="Título 3 3" xfId="244"/>
    <cellStyle name="Título 4" xfId="245"/>
    <cellStyle name="Título 4 2" xfId="246"/>
    <cellStyle name="Título 4 3" xfId="247"/>
    <cellStyle name="Título 5" xfId="248"/>
    <cellStyle name="Total" xfId="249" builtinId="25" customBuiltin="1"/>
    <cellStyle name="Total 2" xfId="250"/>
    <cellStyle name="Total 2 2" xfId="251"/>
    <cellStyle name="Total 2 3" xfId="252"/>
    <cellStyle name="Total 3" xfId="253"/>
  </cellStyles>
  <dxfs count="246">
    <dxf>
      <font>
        <condense val="0"/>
        <extend val="0"/>
        <color rgb="FF9C0006"/>
      </font>
      <fill>
        <patternFill>
          <bgColor rgb="FFFFC7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theme="3" tint="0.39994506668294322"/>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ill>
        <patternFill>
          <bgColor theme="3" tint="0.39994506668294322"/>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ill>
        <patternFill>
          <bgColor theme="3" tint="0.39994506668294322"/>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ill>
        <patternFill>
          <bgColor theme="3" tint="0.39994506668294322"/>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ill>
        <patternFill>
          <bgColor theme="3" tint="0.3999450666829432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theme="3" tint="0.39994506668294322"/>
        </patternFill>
      </fill>
    </dxf>
    <dxf>
      <font>
        <condense val="0"/>
        <extend val="0"/>
        <color rgb="FF006100"/>
      </font>
      <fill>
        <patternFill>
          <bgColor rgb="FFC6EFCE"/>
        </patternFill>
      </fill>
    </dxf>
    <dxf>
      <fill>
        <patternFill>
          <bgColor theme="3" tint="0.39994506668294322"/>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ill>
        <patternFill>
          <bgColor theme="3" tint="0.39994506668294322"/>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ill>
        <patternFill>
          <bgColor theme="3" tint="0.39994506668294322"/>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ill>
        <patternFill>
          <bgColor theme="3" tint="0.39994506668294322"/>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ill>
        <patternFill>
          <bgColor theme="3" tint="0.39994506668294322"/>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ill>
        <patternFill>
          <bgColor theme="3" tint="0.39994506668294322"/>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b val="0"/>
        <i val="0"/>
        <color rgb="FFFF0000"/>
      </font>
      <fill>
        <patternFill>
          <bgColor rgb="FFFFFF00"/>
        </patternFill>
      </fill>
    </dxf>
    <dxf>
      <fill>
        <patternFill>
          <bgColor theme="3" tint="0.39994506668294322"/>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b val="0"/>
        <i val="0"/>
        <color rgb="FFFF0000"/>
      </font>
      <fill>
        <patternFill>
          <bgColor rgb="FFFFFF00"/>
        </patternFill>
      </fill>
    </dxf>
    <dxf>
      <fill>
        <patternFill>
          <bgColor theme="3" tint="0.39994506668294322"/>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ill>
        <patternFill>
          <bgColor theme="3" tint="0.39994506668294322"/>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ill>
        <patternFill>
          <bgColor theme="3" tint="0.39994506668294322"/>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ill>
        <patternFill>
          <bgColor theme="3" tint="0.39994506668294322"/>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ill>
        <patternFill>
          <bgColor theme="3" tint="0.39994506668294322"/>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b val="0"/>
        <i val="0"/>
        <color rgb="FFFF0000"/>
      </font>
      <fill>
        <patternFill>
          <bgColor rgb="FFFFFF00"/>
        </patternFill>
      </fill>
    </dxf>
    <dxf>
      <font>
        <b/>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ill>
        <patternFill>
          <bgColor theme="3" tint="0.39994506668294322"/>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ill>
        <patternFill>
          <bgColor theme="3" tint="0.3999450666829432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theme="3" tint="0.39994506668294322"/>
        </patternFill>
      </fill>
    </dxf>
    <dxf>
      <font>
        <condense val="0"/>
        <extend val="0"/>
        <color rgb="FF006100"/>
      </font>
      <fill>
        <patternFill>
          <bgColor rgb="FFC6EFCE"/>
        </patternFill>
      </fill>
    </dxf>
    <dxf>
      <fill>
        <patternFill>
          <bgColor theme="3" tint="0.39994506668294322"/>
        </patternFill>
      </fill>
    </dxf>
    <dxf>
      <fill>
        <patternFill>
          <bgColor theme="3" tint="0.39994506668294322"/>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ill>
        <patternFill>
          <bgColor theme="3" tint="0.3999450666829432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theme="3" tint="0.39994506668294322"/>
        </patternFill>
      </fill>
    </dxf>
    <dxf>
      <font>
        <condense val="0"/>
        <extend val="0"/>
        <color rgb="FF006100"/>
      </font>
      <fill>
        <patternFill>
          <bgColor rgb="FFC6EFCE"/>
        </patternFill>
      </fill>
    </dxf>
    <dxf>
      <fill>
        <patternFill>
          <bgColor theme="3" tint="0.39994506668294322"/>
        </patternFill>
      </fill>
    </dxf>
    <dxf>
      <fill>
        <patternFill>
          <bgColor theme="3" tint="0.39994506668294322"/>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ill>
        <patternFill>
          <bgColor theme="3" tint="0.3999450666829432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theme="3" tint="0.39994506668294322"/>
        </patternFill>
      </fill>
    </dxf>
    <dxf>
      <font>
        <condense val="0"/>
        <extend val="0"/>
        <color rgb="FF006100"/>
      </font>
      <fill>
        <patternFill>
          <bgColor rgb="FFC6EFCE"/>
        </patternFill>
      </fill>
    </dxf>
    <dxf>
      <fill>
        <patternFill>
          <bgColor theme="3" tint="0.39994506668294322"/>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ill>
        <patternFill>
          <bgColor theme="3" tint="0.39994506668294322"/>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ill>
        <patternFill>
          <bgColor theme="3" tint="0.3999450666829432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theme="3" tint="0.39994506668294322"/>
        </patternFill>
      </fill>
    </dxf>
    <dxf>
      <font>
        <condense val="0"/>
        <extend val="0"/>
        <color rgb="FF006100"/>
      </font>
      <fill>
        <patternFill>
          <bgColor rgb="FFC6EFCE"/>
        </patternFill>
      </fill>
    </dxf>
    <dxf>
      <fill>
        <patternFill>
          <bgColor theme="3" tint="0.39994506668294322"/>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ill>
        <patternFill>
          <bgColor theme="3" tint="0.39994506668294322"/>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ill>
        <patternFill>
          <bgColor theme="3" tint="0.3999450666829432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theme="3" tint="0.39994506668294322"/>
        </patternFill>
      </fill>
    </dxf>
    <dxf>
      <font>
        <condense val="0"/>
        <extend val="0"/>
        <color rgb="FF006100"/>
      </font>
      <fill>
        <patternFill>
          <bgColor rgb="FFC6EFCE"/>
        </patternFill>
      </fill>
    </dxf>
    <dxf>
      <fill>
        <patternFill>
          <bgColor theme="3" tint="0.39994506668294322"/>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ill>
        <patternFill>
          <bgColor theme="3" tint="0.39994506668294322"/>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ill>
        <patternFill>
          <bgColor theme="3" tint="0.3999450666829432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theme="3" tint="0.39994506668294322"/>
        </patternFill>
      </fill>
    </dxf>
    <dxf>
      <font>
        <condense val="0"/>
        <extend val="0"/>
        <color rgb="FF006100"/>
      </font>
      <fill>
        <patternFill>
          <bgColor rgb="FFC6EFCE"/>
        </patternFill>
      </fill>
    </dxf>
    <dxf>
      <fill>
        <patternFill>
          <bgColor theme="3" tint="0.39994506668294322"/>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ill>
        <patternFill>
          <bgColor theme="3" tint="0.39994506668294322"/>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ill>
        <patternFill>
          <bgColor theme="3" tint="0.3999450666829432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theme="3" tint="0.39994506668294322"/>
        </patternFill>
      </fill>
    </dxf>
    <dxf>
      <font>
        <condense val="0"/>
        <extend val="0"/>
        <color rgb="FF006100"/>
      </font>
      <fill>
        <patternFill>
          <bgColor rgb="FFC6EFCE"/>
        </patternFill>
      </fill>
    </dxf>
    <dxf>
      <fill>
        <patternFill>
          <bgColor theme="3" tint="0.39994506668294322"/>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ill>
        <patternFill>
          <bgColor theme="3" tint="0.39994506668294322"/>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ill>
        <patternFill>
          <bgColor theme="3" tint="0.3999450666829432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theme="3" tint="0.39994506668294322"/>
        </patternFill>
      </fill>
    </dxf>
    <dxf>
      <font>
        <condense val="0"/>
        <extend val="0"/>
        <color rgb="FF006100"/>
      </font>
      <fill>
        <patternFill>
          <bgColor rgb="FFC6EFCE"/>
        </patternFill>
      </fill>
    </dxf>
    <dxf>
      <fill>
        <patternFill>
          <bgColor theme="3" tint="0.39994506668294322"/>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ill>
        <patternFill>
          <bgColor theme="3" tint="0.39994506668294322"/>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ill>
        <patternFill>
          <bgColor theme="3" tint="0.3999450666829432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theme="3" tint="0.39994506668294322"/>
        </patternFill>
      </fill>
    </dxf>
    <dxf>
      <font>
        <condense val="0"/>
        <extend val="0"/>
        <color rgb="FF006100"/>
      </font>
      <fill>
        <patternFill>
          <bgColor rgb="FFC6EFCE"/>
        </patternFill>
      </fill>
    </dxf>
    <dxf>
      <fill>
        <patternFill>
          <bgColor theme="3" tint="0.39994506668294322"/>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ill>
        <patternFill>
          <bgColor theme="3" tint="0.39994506668294322"/>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ill>
        <patternFill>
          <bgColor theme="3" tint="0.3999450666829432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theme="3" tint="0.39994506668294322"/>
        </patternFill>
      </fill>
    </dxf>
    <dxf>
      <font>
        <condense val="0"/>
        <extend val="0"/>
        <color rgb="FF006100"/>
      </font>
      <fill>
        <patternFill>
          <bgColor rgb="FFC6EFCE"/>
        </patternFill>
      </fill>
    </dxf>
    <dxf>
      <fill>
        <patternFill>
          <bgColor theme="3" tint="0.39994506668294322"/>
        </patternFill>
      </fill>
    </dxf>
    <dxf>
      <fill>
        <patternFill>
          <bgColor theme="3" tint="0.39994506668294322"/>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ill>
        <patternFill>
          <bgColor theme="3" tint="0.39994506668294322"/>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ill>
        <patternFill>
          <bgColor theme="3" tint="0.39994506668294322"/>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ill>
        <patternFill>
          <bgColor theme="3" tint="0.39994506668294322"/>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ill>
        <patternFill>
          <bgColor theme="3" tint="0.3999450666829432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theme="3" tint="0.39994506668294322"/>
        </patternFill>
      </fill>
    </dxf>
    <dxf>
      <font>
        <condense val="0"/>
        <extend val="0"/>
        <color rgb="FF006100"/>
      </font>
      <fill>
        <patternFill>
          <bgColor rgb="FFC6EFCE"/>
        </patternFill>
      </fill>
    </dxf>
    <dxf>
      <fill>
        <patternFill>
          <bgColor theme="3" tint="0.39994506668294322"/>
        </patternFill>
      </fill>
    </dxf>
    <dxf>
      <fill>
        <patternFill>
          <bgColor theme="3" tint="0.39994506668294322"/>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b/>
        <i val="0"/>
        <color theme="1"/>
      </font>
      <fill>
        <patternFill>
          <bgColor rgb="FFFF0000"/>
        </patternFill>
      </fill>
    </dxf>
    <dxf>
      <font>
        <b val="0"/>
        <i val="0"/>
        <color rgb="FFFF0000"/>
      </font>
      <fill>
        <patternFill>
          <bgColor rgb="FFFFFF00"/>
        </patternFill>
      </fill>
    </dxf>
    <dxf>
      <font>
        <condense val="0"/>
        <extend val="0"/>
        <color rgb="FF9C0006"/>
      </font>
      <fill>
        <patternFill>
          <bgColor rgb="FFFFC7CE"/>
        </patternFill>
      </fill>
    </dxf>
    <dxf>
      <font>
        <b/>
        <i val="0"/>
        <color theme="1"/>
      </font>
      <fill>
        <patternFill>
          <bgColor rgb="FFFF0000"/>
        </patternFill>
      </fill>
    </dxf>
    <dxf>
      <font>
        <b val="0"/>
        <i val="0"/>
        <color rgb="FFFF0000"/>
      </font>
      <fill>
        <patternFill>
          <bgColor rgb="FFFFFF00"/>
        </patternFill>
      </fill>
    </dxf>
    <dxf>
      <font>
        <condense val="0"/>
        <extend val="0"/>
        <color rgb="FF9C0006"/>
      </font>
      <fill>
        <patternFill>
          <bgColor rgb="FFFFC7CE"/>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condense val="0"/>
        <extend val="0"/>
        <color rgb="FF9C0006"/>
      </font>
      <fill>
        <patternFill>
          <bgColor rgb="FFFFC7CE"/>
        </patternFill>
      </fill>
    </dxf>
    <dxf>
      <font>
        <b val="0"/>
        <i val="0"/>
        <color rgb="FFFF0000"/>
      </font>
      <fill>
        <patternFill>
          <bgColor rgb="FFFFFF00"/>
        </patternFill>
      </fill>
    </dxf>
    <dxf>
      <font>
        <b/>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condense val="0"/>
        <extend val="0"/>
        <color rgb="FF9C0006"/>
      </font>
      <fill>
        <patternFill>
          <bgColor rgb="FFFFC7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theme="3" tint="0.3999450666829432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33"/>
      <rgbColor rgb="00666699"/>
      <rgbColor rgb="00969696"/>
      <rgbColor rgb="00003366"/>
      <rgbColor rgb="00339966"/>
      <rgbColor rgb="00003300"/>
      <rgbColor rgb="00333300"/>
      <rgbColor rgb="00993300"/>
      <rgbColor rgb="00993366"/>
      <rgbColor rgb="00333399"/>
      <rgbColor rgb="00333333"/>
    </indexedColors>
    <mruColors>
      <color rgb="FFCC22AC"/>
      <color rgb="FFFF66FF"/>
      <color rgb="FFFFFF00"/>
      <color rgb="FFFFFF99"/>
      <color rgb="FF70F894"/>
      <color rgb="FFDDECF1"/>
      <color rgb="FF4BC7BB"/>
      <color rgb="FFCCCC00"/>
      <color rgb="FF00FFCC"/>
      <color rgb="FF6CDB45"/>
    </mru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xdr:col>
      <xdr:colOff>962025</xdr:colOff>
      <xdr:row>0</xdr:row>
      <xdr:rowOff>57150</xdr:rowOff>
    </xdr:from>
    <xdr:to>
      <xdr:col>3</xdr:col>
      <xdr:colOff>28575</xdr:colOff>
      <xdr:row>2</xdr:row>
      <xdr:rowOff>38100</xdr:rowOff>
    </xdr:to>
    <xdr:pic>
      <xdr:nvPicPr>
        <xdr:cNvPr id="2" name="Picture 1" descr="image001"/>
        <xdr:cNvPicPr>
          <a:picLocks noChangeAspect="1" noChangeArrowheads="1"/>
        </xdr:cNvPicPr>
      </xdr:nvPicPr>
      <xdr:blipFill>
        <a:blip xmlns:r="http://schemas.openxmlformats.org/officeDocument/2006/relationships" r:embed="rId1" cstate="print"/>
        <a:srcRect/>
        <a:stretch>
          <a:fillRect/>
        </a:stretch>
      </xdr:blipFill>
      <xdr:spPr bwMode="auto">
        <a:xfrm>
          <a:off x="1724025" y="57150"/>
          <a:ext cx="1200150" cy="36195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206377</xdr:colOff>
      <xdr:row>641</xdr:row>
      <xdr:rowOff>31749</xdr:rowOff>
    </xdr:from>
    <xdr:to>
      <xdr:col>14</xdr:col>
      <xdr:colOff>508001</xdr:colOff>
      <xdr:row>657</xdr:row>
      <xdr:rowOff>142875</xdr:rowOff>
    </xdr:to>
    <xdr:pic>
      <xdr:nvPicPr>
        <xdr:cNvPr id="2" name="1 Imagen"/>
        <xdr:cNvPicPr/>
      </xdr:nvPicPr>
      <xdr:blipFill>
        <a:blip xmlns:r="http://schemas.openxmlformats.org/officeDocument/2006/relationships" r:embed="rId1" cstate="print"/>
        <a:srcRect/>
        <a:stretch>
          <a:fillRect/>
        </a:stretch>
      </xdr:blipFill>
      <xdr:spPr bwMode="auto">
        <a:xfrm>
          <a:off x="9620252" y="135572499"/>
          <a:ext cx="4524374" cy="2968626"/>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oleObject" Target="../embeddings/oleObject1.bin"/><Relationship Id="rId2" Type="http://schemas.openxmlformats.org/officeDocument/2006/relationships/vmlDrawing" Target="../drawings/vmlDrawing7.vml"/><Relationship Id="rId1" Type="http://schemas.openxmlformats.org/officeDocument/2006/relationships/printerSettings" Target="../printerSettings/printerSettings11.bin"/><Relationship Id="rId4" Type="http://schemas.openxmlformats.org/officeDocument/2006/relationships/comments" Target="../comments7.xml"/></Relationships>
</file>

<file path=xl/worksheets/_rels/sheet12.xml.rels><?xml version="1.0" encoding="UTF-8" standalone="yes"?>
<Relationships xmlns="http://schemas.openxmlformats.org/package/2006/relationships"><Relationship Id="rId3" Type="http://schemas.openxmlformats.org/officeDocument/2006/relationships/oleObject" Target="../embeddings/oleObject2.bin"/><Relationship Id="rId2" Type="http://schemas.openxmlformats.org/officeDocument/2006/relationships/vmlDrawing" Target="../drawings/vmlDrawing8.vml"/><Relationship Id="rId1" Type="http://schemas.openxmlformats.org/officeDocument/2006/relationships/printerSettings" Target="../printerSettings/printerSettings12.bin"/><Relationship Id="rId4" Type="http://schemas.openxmlformats.org/officeDocument/2006/relationships/comments" Target="../comments8.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2.xml"/><Relationship Id="rId1" Type="http://schemas.openxmlformats.org/officeDocument/2006/relationships/printerSettings" Target="../printerSettings/printerSettings24.bin"/><Relationship Id="rId4" Type="http://schemas.openxmlformats.org/officeDocument/2006/relationships/comments" Target="../comments16.xml"/></Relationships>
</file>

<file path=xl/worksheets/sheet1.xml><?xml version="1.0" encoding="utf-8"?>
<worksheet xmlns="http://schemas.openxmlformats.org/spreadsheetml/2006/main" xmlns:r="http://schemas.openxmlformats.org/officeDocument/2006/relationships">
  <sheetPr>
    <tabColor rgb="FFFF0000"/>
  </sheetPr>
  <dimension ref="A1:J16"/>
  <sheetViews>
    <sheetView workbookViewId="0"/>
  </sheetViews>
  <sheetFormatPr baseColWidth="10" defaultRowHeight="12.75"/>
  <cols>
    <col min="1" max="1" width="20.85546875" customWidth="1"/>
    <col min="2" max="2" width="22.28515625" customWidth="1"/>
    <col min="3" max="3" width="13.42578125" bestFit="1" customWidth="1"/>
    <col min="4" max="4" width="16.85546875" customWidth="1"/>
    <col min="5" max="5" width="11.7109375" customWidth="1"/>
    <col min="6" max="6" width="14.140625" customWidth="1"/>
    <col min="7" max="7" width="14.28515625" customWidth="1"/>
    <col min="8" max="8" width="13.85546875" customWidth="1"/>
  </cols>
  <sheetData>
    <row r="1" spans="1:10" ht="13.5" thickBot="1"/>
    <row r="2" spans="1:10" ht="15">
      <c r="A2" s="3473" t="s">
        <v>560</v>
      </c>
      <c r="B2" s="3474"/>
      <c r="C2" s="3474"/>
      <c r="D2" s="3474"/>
      <c r="E2" s="3474"/>
      <c r="F2" s="3474"/>
      <c r="G2" s="3475"/>
    </row>
    <row r="3" spans="1:10" ht="15">
      <c r="A3" s="3476" t="s">
        <v>1287</v>
      </c>
      <c r="B3" s="3477"/>
      <c r="C3" s="3477"/>
      <c r="D3" s="3477"/>
      <c r="E3" s="3477"/>
      <c r="F3" s="3477"/>
      <c r="G3" s="3478"/>
    </row>
    <row r="4" spans="1:10" ht="53.25" customHeight="1" thickBot="1">
      <c r="A4" s="1451" t="s">
        <v>0</v>
      </c>
      <c r="B4" s="1452" t="s">
        <v>1</v>
      </c>
      <c r="C4" s="1453" t="s">
        <v>2</v>
      </c>
      <c r="D4" s="1453" t="s">
        <v>3</v>
      </c>
      <c r="E4" s="1453" t="s">
        <v>4</v>
      </c>
      <c r="F4" s="1453" t="s">
        <v>556</v>
      </c>
      <c r="G4" s="1454" t="s">
        <v>122</v>
      </c>
      <c r="H4" s="1454" t="s">
        <v>101</v>
      </c>
    </row>
    <row r="5" spans="1:10" ht="15">
      <c r="A5" s="1902" t="s">
        <v>5</v>
      </c>
      <c r="B5" s="1849" t="s">
        <v>573</v>
      </c>
      <c r="C5" s="1850">
        <f>+SUM(Global!C17+Global!C18+Global!C19+Global!C22+Global!C23+Global!C24+Global!C25)</f>
        <v>9669</v>
      </c>
      <c r="D5" s="1850">
        <f>+SUM(Global!D17+Global!D18+Global!D19+Global!D22+Global!D23+Global!D24+Global!D25)</f>
        <v>7979.5950000000012</v>
      </c>
      <c r="E5" s="1850">
        <f t="shared" ref="E5:E10" si="0">+C5-D5</f>
        <v>1689.4049999999988</v>
      </c>
      <c r="F5" s="1851">
        <f>+D5/C5</f>
        <v>0.82527614024201068</v>
      </c>
      <c r="G5" s="1851"/>
      <c r="H5" s="1852"/>
    </row>
    <row r="6" spans="1:10" ht="15.75" thickBot="1">
      <c r="A6" s="1903"/>
      <c r="B6" s="1841" t="s">
        <v>572</v>
      </c>
      <c r="C6" s="1853">
        <f>+(Global!C20+Global!C21+Global!C26+Global!C27)</f>
        <v>7855.1489999999994</v>
      </c>
      <c r="D6" s="1853">
        <f>+(Global!D20+Global!D21+Global!D26+Global!D27)</f>
        <v>4306.0380000000005</v>
      </c>
      <c r="E6" s="1853">
        <f>+C6-D6</f>
        <v>3549.110999999999</v>
      </c>
      <c r="F6" s="1854">
        <f t="shared" ref="F6:F11" si="1">+D6/C6</f>
        <v>0.54818030822839903</v>
      </c>
      <c r="G6" s="1854"/>
      <c r="H6" s="1855"/>
      <c r="J6" s="1904"/>
    </row>
    <row r="7" spans="1:10" ht="15">
      <c r="A7" s="1900" t="s">
        <v>8</v>
      </c>
      <c r="B7" s="1856" t="s">
        <v>573</v>
      </c>
      <c r="C7" s="1857">
        <f>+SUM(Global!C6+Global!C7+Global!C8+Global!C11+Global!C14)</f>
        <v>146751</v>
      </c>
      <c r="D7" s="1857">
        <f>+SUM(Global!D6+Global!D7+Global!D8+Global!D11+Global!D14)</f>
        <v>129237.749</v>
      </c>
      <c r="E7" s="1857">
        <f>+C7-D7</f>
        <v>17513.251000000004</v>
      </c>
      <c r="F7" s="1858">
        <f t="shared" si="1"/>
        <v>0.88066009090227659</v>
      </c>
      <c r="G7" s="1858"/>
      <c r="H7" s="1859"/>
      <c r="I7" s="100"/>
    </row>
    <row r="8" spans="1:10" ht="15.75" thickBot="1">
      <c r="A8" s="1901"/>
      <c r="B8" s="1860" t="s">
        <v>572</v>
      </c>
      <c r="C8" s="1861">
        <f>+SUM(Global!C9+Global!C10+Global!C12+Global!C13+Global!C15+Global!C16)</f>
        <v>72657</v>
      </c>
      <c r="D8" s="1905">
        <f>+SUM(Global!D9+Global!D10+Global!D12+Global!D13+Global!D15+Global!D16)</f>
        <v>39264.495000000003</v>
      </c>
      <c r="E8" s="1861">
        <f t="shared" si="0"/>
        <v>33392.504999999997</v>
      </c>
      <c r="F8" s="1862">
        <f t="shared" si="1"/>
        <v>0.54040897642346919</v>
      </c>
      <c r="G8" s="1863"/>
      <c r="H8" s="1864"/>
    </row>
    <row r="9" spans="1:10" ht="15" customHeight="1">
      <c r="A9" s="1898" t="s">
        <v>9</v>
      </c>
      <c r="B9" s="1865" t="s">
        <v>573</v>
      </c>
      <c r="C9" s="1866">
        <f>+SUM(Global!C32+Global!C35)</f>
        <v>8293</v>
      </c>
      <c r="D9" s="1866">
        <f>+SUM(Global!D32+Global!D35)</f>
        <v>8139.5759999999991</v>
      </c>
      <c r="E9" s="1866">
        <f t="shared" si="0"/>
        <v>153.42400000000089</v>
      </c>
      <c r="F9" s="1867">
        <f t="shared" si="1"/>
        <v>0.98149957795731324</v>
      </c>
      <c r="G9" s="1867"/>
      <c r="H9" s="1868"/>
      <c r="I9" s="100"/>
    </row>
    <row r="10" spans="1:10" ht="15.75" thickBot="1">
      <c r="A10" s="1899"/>
      <c r="B10" s="1869" t="s">
        <v>572</v>
      </c>
      <c r="C10" s="1870">
        <f>+SUM(Global!C31+Global!C33+Global!C34+Global!C36+Global!C37)</f>
        <v>448730</v>
      </c>
      <c r="D10" s="1870">
        <f>+SUM(Global!D31+Global!D33+Global!D34+Global!D36+Global!D37)</f>
        <v>167086.36500000002</v>
      </c>
      <c r="E10" s="1870">
        <f t="shared" si="0"/>
        <v>281643.63500000001</v>
      </c>
      <c r="F10" s="1871">
        <f t="shared" si="1"/>
        <v>0.37235389878100422</v>
      </c>
      <c r="G10" s="1872"/>
      <c r="H10" s="1873"/>
    </row>
    <row r="11" spans="1:10" ht="15" customHeight="1">
      <c r="A11" s="1896" t="s">
        <v>14</v>
      </c>
      <c r="B11" s="1874" t="s">
        <v>573</v>
      </c>
      <c r="C11" s="1875">
        <f>+SUM(Global!C28:C30)</f>
        <v>3105</v>
      </c>
      <c r="D11" s="1875">
        <f>+SUM(Global!D28:D30)</f>
        <v>58.008000000000003</v>
      </c>
      <c r="E11" s="1875">
        <f t="shared" ref="E11" si="2">+C11-D11</f>
        <v>3046.9920000000002</v>
      </c>
      <c r="F11" s="1876">
        <f t="shared" si="1"/>
        <v>1.8682125603864737E-2</v>
      </c>
      <c r="G11" s="1876"/>
      <c r="H11" s="1877"/>
    </row>
    <row r="12" spans="1:10" ht="15" customHeight="1" thickBot="1">
      <c r="A12" s="1897"/>
      <c r="B12" s="1878" t="s">
        <v>572</v>
      </c>
      <c r="C12" s="1879"/>
      <c r="D12" s="1879"/>
      <c r="E12" s="1880"/>
      <c r="F12" s="1881"/>
      <c r="G12" s="1882"/>
      <c r="H12" s="1883"/>
    </row>
    <row r="13" spans="1:10" ht="15">
      <c r="A13" s="1894" t="s">
        <v>332</v>
      </c>
      <c r="B13" s="1884" t="s">
        <v>573</v>
      </c>
      <c r="C13" s="1885">
        <f>+SUM(Global!C38:C39)</f>
        <v>28589.75</v>
      </c>
      <c r="D13" s="1885">
        <f>+SUM(Global!D38:D39)</f>
        <v>27636.639000000003</v>
      </c>
      <c r="E13" s="1885">
        <f t="shared" ref="E13" si="3">+C13-D13</f>
        <v>953.11099999999715</v>
      </c>
      <c r="F13" s="1886">
        <f t="shared" ref="F13" si="4">+D13/C13</f>
        <v>0.96666249267657123</v>
      </c>
      <c r="G13" s="1886"/>
      <c r="H13" s="1887"/>
    </row>
    <row r="14" spans="1:10" ht="15.75" thickBot="1">
      <c r="A14" s="1895"/>
      <c r="B14" s="1888" t="s">
        <v>572</v>
      </c>
      <c r="C14" s="1889"/>
      <c r="D14" s="1889"/>
      <c r="E14" s="1890"/>
      <c r="F14" s="1891"/>
      <c r="G14" s="1892"/>
      <c r="H14" s="1893"/>
    </row>
    <row r="16" spans="1:10">
      <c r="D16" s="104"/>
    </row>
  </sheetData>
  <mergeCells count="2">
    <mergeCell ref="A2:G2"/>
    <mergeCell ref="A3:G3"/>
  </mergeCells>
  <phoneticPr fontId="0" type="noConversion"/>
  <pageMargins left="0.75" right="0.75" top="1" bottom="1" header="0" footer="0"/>
  <pageSetup paperSize="5" orientation="portrait" r:id="rId1"/>
  <headerFooter alignWithMargins="0"/>
</worksheet>
</file>

<file path=xl/worksheets/sheet2.xml><?xml version="1.0" encoding="utf-8"?>
<worksheet xmlns="http://schemas.openxmlformats.org/spreadsheetml/2006/main" xmlns:r="http://schemas.openxmlformats.org/officeDocument/2006/relationships">
  <sheetPr>
    <tabColor rgb="FF00B050"/>
    <pageSetUpPr fitToPage="1"/>
  </sheetPr>
  <dimension ref="A2:DA385"/>
  <sheetViews>
    <sheetView tabSelected="1" topLeftCell="A4" workbookViewId="0">
      <selection activeCell="E31" sqref="E31:E37"/>
    </sheetView>
  </sheetViews>
  <sheetFormatPr baseColWidth="10" defaultRowHeight="12.75"/>
  <cols>
    <col min="1" max="1" width="18.85546875" bestFit="1" customWidth="1"/>
    <col min="2" max="2" width="22.7109375" bestFit="1" customWidth="1"/>
    <col min="3" max="3" width="14.5703125" bestFit="1" customWidth="1"/>
    <col min="4" max="4" width="20.7109375" bestFit="1" customWidth="1"/>
    <col min="5" max="5" width="18" bestFit="1" customWidth="1"/>
    <col min="6" max="7" width="20.7109375" bestFit="1" customWidth="1"/>
  </cols>
  <sheetData>
    <row r="2" spans="1:105" ht="15">
      <c r="A2" s="3482" t="s">
        <v>559</v>
      </c>
      <c r="B2" s="3483"/>
      <c r="C2" s="3483"/>
      <c r="D2" s="3483"/>
      <c r="E2" s="3483"/>
      <c r="F2" s="3484"/>
      <c r="G2" s="156"/>
    </row>
    <row r="3" spans="1:105" ht="15">
      <c r="A3" s="3479" t="s">
        <v>1288</v>
      </c>
      <c r="B3" s="3480"/>
      <c r="C3" s="3480"/>
      <c r="D3" s="3480"/>
      <c r="E3" s="3480"/>
      <c r="F3" s="3481"/>
      <c r="G3" s="2456"/>
      <c r="H3" s="2457"/>
      <c r="I3" s="2457"/>
      <c r="J3" s="2457"/>
      <c r="K3" s="2457"/>
      <c r="L3" s="2457"/>
      <c r="M3" s="2457"/>
    </row>
    <row r="4" spans="1:105" ht="19.5" customHeight="1">
      <c r="A4" s="1"/>
      <c r="B4" s="2"/>
      <c r="C4" s="3"/>
      <c r="D4" s="4"/>
      <c r="E4" s="4"/>
      <c r="F4" s="1"/>
      <c r="G4" s="1"/>
    </row>
    <row r="5" spans="1:105" ht="30">
      <c r="A5" s="87" t="s">
        <v>0</v>
      </c>
      <c r="B5" s="87" t="s">
        <v>1</v>
      </c>
      <c r="C5" s="98" t="s">
        <v>2</v>
      </c>
      <c r="D5" s="98" t="s">
        <v>3</v>
      </c>
      <c r="E5" s="98" t="s">
        <v>4</v>
      </c>
      <c r="F5" s="1741" t="s">
        <v>556</v>
      </c>
      <c r="G5" s="1741" t="s">
        <v>122</v>
      </c>
    </row>
    <row r="6" spans="1:105" ht="15">
      <c r="A6" s="1831" t="s">
        <v>8</v>
      </c>
      <c r="B6" s="1831" t="s">
        <v>15</v>
      </c>
      <c r="C6" s="2002">
        <f>+'Res. Global'!C7</f>
        <v>93183</v>
      </c>
      <c r="D6" s="1832">
        <f>+'Res. Global'!H7</f>
        <v>92456.686000000002</v>
      </c>
      <c r="E6" s="1832">
        <f t="shared" ref="E6:E25" si="0">+C6-D6</f>
        <v>726.31399999999849</v>
      </c>
      <c r="F6" s="1833">
        <f t="shared" ref="F6:F25" si="1">+D6/C6</f>
        <v>0.99220550958865894</v>
      </c>
      <c r="G6" s="1834"/>
    </row>
    <row r="7" spans="1:105" ht="15">
      <c r="A7" s="1831" t="s">
        <v>8</v>
      </c>
      <c r="B7" s="1831" t="s">
        <v>11</v>
      </c>
      <c r="C7" s="2002">
        <f>+'Res. Global'!C9</f>
        <v>32183</v>
      </c>
      <c r="D7" s="1832">
        <f>+'Res. Global'!H9</f>
        <v>19670.587</v>
      </c>
      <c r="E7" s="1832">
        <f t="shared" si="0"/>
        <v>12512.413</v>
      </c>
      <c r="F7" s="1833">
        <f t="shared" si="1"/>
        <v>0.61121048379579279</v>
      </c>
      <c r="G7" s="1834"/>
    </row>
    <row r="8" spans="1:105" ht="15">
      <c r="A8" s="1831" t="s">
        <v>8</v>
      </c>
      <c r="B8" s="1831" t="s">
        <v>6</v>
      </c>
      <c r="C8" s="2002">
        <f>+'Res. Global'!C11</f>
        <v>20225</v>
      </c>
      <c r="D8" s="1832">
        <f>+'Res. Global'!H11</f>
        <v>16881.181</v>
      </c>
      <c r="E8" s="1832">
        <f>+C8-D8</f>
        <v>3343.8189999999995</v>
      </c>
      <c r="F8" s="1833">
        <f t="shared" si="1"/>
        <v>0.83466902348578498</v>
      </c>
      <c r="G8" s="1834"/>
    </row>
    <row r="9" spans="1:105" ht="15">
      <c r="A9" s="1836" t="s">
        <v>8</v>
      </c>
      <c r="B9" s="1836" t="s">
        <v>585</v>
      </c>
      <c r="C9" s="2003">
        <f>+'Res. Global'!C13</f>
        <v>8669</v>
      </c>
      <c r="D9" s="1837">
        <f>+'Res. Global'!H13</f>
        <v>7681.9350000000004</v>
      </c>
      <c r="E9" s="1837">
        <f t="shared" si="0"/>
        <v>987.0649999999996</v>
      </c>
      <c r="F9" s="1838">
        <f t="shared" si="1"/>
        <v>0.8861385396239474</v>
      </c>
      <c r="G9" s="1839"/>
    </row>
    <row r="10" spans="1:105" s="1742" customFormat="1" ht="15">
      <c r="A10" s="1836" t="s">
        <v>8</v>
      </c>
      <c r="B10" s="1836" t="s">
        <v>586</v>
      </c>
      <c r="C10" s="2003">
        <f>+'Res. Global'!C15</f>
        <v>5630</v>
      </c>
      <c r="D10" s="1837">
        <f>+'Res. Global'!H15</f>
        <v>4449.991</v>
      </c>
      <c r="E10" s="1837">
        <f t="shared" ref="E10" si="2">+C10-D10</f>
        <v>1180.009</v>
      </c>
      <c r="F10" s="1838">
        <f t="shared" ref="F10" si="3">+D10/C10</f>
        <v>0.79040692717584371</v>
      </c>
      <c r="G10" s="1839"/>
      <c r="DA10" s="1743"/>
    </row>
    <row r="11" spans="1:105" ht="15">
      <c r="A11" s="1831" t="s">
        <v>8</v>
      </c>
      <c r="B11" s="1831" t="s">
        <v>17</v>
      </c>
      <c r="C11" s="2002">
        <f>+'Res. Global'!C18</f>
        <v>36</v>
      </c>
      <c r="D11" s="1832">
        <f>+'Res. Global'!H18</f>
        <v>0</v>
      </c>
      <c r="E11" s="1832">
        <f t="shared" si="0"/>
        <v>36</v>
      </c>
      <c r="F11" s="1833">
        <f t="shared" si="1"/>
        <v>0</v>
      </c>
      <c r="G11" s="1834"/>
    </row>
    <row r="12" spans="1:105" s="1308" customFormat="1" ht="15">
      <c r="A12" s="1836" t="s">
        <v>8</v>
      </c>
      <c r="B12" s="1836" t="s">
        <v>587</v>
      </c>
      <c r="C12" s="2003">
        <f>+'Res. Global'!C21</f>
        <v>602</v>
      </c>
      <c r="D12" s="1837">
        <f>+'Res. Global'!H21</f>
        <v>812.18799999999999</v>
      </c>
      <c r="E12" s="1837">
        <f t="shared" si="0"/>
        <v>-210.18799999999999</v>
      </c>
      <c r="F12" s="1838">
        <f t="shared" si="1"/>
        <v>1.3491495016611295</v>
      </c>
      <c r="G12" s="1839"/>
      <c r="I12" s="1830"/>
    </row>
    <row r="13" spans="1:105" s="1742" customFormat="1" ht="15">
      <c r="A13" s="1836" t="s">
        <v>8</v>
      </c>
      <c r="B13" s="1836" t="s">
        <v>588</v>
      </c>
      <c r="C13" s="2003">
        <f>+'Res. Global'!C24</f>
        <v>46810</v>
      </c>
      <c r="D13" s="1837">
        <f>+'Res. Global'!H24</f>
        <v>22975.720999999998</v>
      </c>
      <c r="E13" s="1837">
        <f t="shared" ref="E13" si="4">+C13-D13</f>
        <v>23834.279000000002</v>
      </c>
      <c r="F13" s="1838">
        <f t="shared" ref="F13" si="5">+D13/C13</f>
        <v>0.49082933133945733</v>
      </c>
      <c r="G13" s="1839"/>
    </row>
    <row r="14" spans="1:105" ht="15">
      <c r="A14" s="1831" t="s">
        <v>8</v>
      </c>
      <c r="B14" s="1831" t="s">
        <v>12</v>
      </c>
      <c r="C14" s="2002">
        <f>+'Res. Global'!C26</f>
        <v>1124</v>
      </c>
      <c r="D14" s="1832">
        <f>+'Res. Global'!H26</f>
        <v>229.29500000000002</v>
      </c>
      <c r="E14" s="1835">
        <f t="shared" si="0"/>
        <v>894.70499999999993</v>
      </c>
      <c r="F14" s="1833">
        <f t="shared" si="1"/>
        <v>0.2039991103202847</v>
      </c>
      <c r="G14" s="1834"/>
    </row>
    <row r="15" spans="1:105" s="1742" customFormat="1" ht="15">
      <c r="A15" s="1836" t="s">
        <v>8</v>
      </c>
      <c r="B15" s="1836" t="s">
        <v>589</v>
      </c>
      <c r="C15" s="2003">
        <f>+'Res. Global'!C29</f>
        <v>6773</v>
      </c>
      <c r="D15" s="1837">
        <f>+'Res. Global'!H29</f>
        <v>2751.1160000000004</v>
      </c>
      <c r="E15" s="1840">
        <f t="shared" ref="E15" si="6">+C15-D15</f>
        <v>4021.8839999999996</v>
      </c>
      <c r="F15" s="1838">
        <f t="shared" ref="F15" si="7">+D15/C15</f>
        <v>0.40618869038830657</v>
      </c>
      <c r="G15" s="1839"/>
    </row>
    <row r="16" spans="1:105" s="1742" customFormat="1" ht="15">
      <c r="A16" s="1836" t="s">
        <v>8</v>
      </c>
      <c r="B16" s="1836" t="s">
        <v>590</v>
      </c>
      <c r="C16" s="2003">
        <f>+'Res. Global'!C32</f>
        <v>4173</v>
      </c>
      <c r="D16" s="1837">
        <f>+'Res. Global'!H32</f>
        <v>593.54399999999998</v>
      </c>
      <c r="E16" s="1840">
        <f t="shared" ref="E16" si="8">+C16-D16</f>
        <v>3579.4560000000001</v>
      </c>
      <c r="F16" s="1838">
        <f t="shared" ref="F16" si="9">+D16/C16</f>
        <v>0.14223436376707405</v>
      </c>
      <c r="G16" s="1839"/>
    </row>
    <row r="17" spans="1:10" ht="15">
      <c r="A17" s="1746" t="s">
        <v>5</v>
      </c>
      <c r="B17" s="1746" t="s">
        <v>15</v>
      </c>
      <c r="C17" s="2004">
        <f>+'Res. Global'!C34</f>
        <v>916.5</v>
      </c>
      <c r="D17" s="2010">
        <f>+'Res. Global'!H34</f>
        <v>7.1479999999999997</v>
      </c>
      <c r="E17" s="1749">
        <f>+C17-D17</f>
        <v>909.35199999999998</v>
      </c>
      <c r="F17" s="1747">
        <f t="shared" si="1"/>
        <v>7.7992362247681392E-3</v>
      </c>
      <c r="G17" s="1748"/>
    </row>
    <row r="18" spans="1:10" ht="15">
      <c r="A18" s="1746" t="s">
        <v>5</v>
      </c>
      <c r="B18" s="1746" t="s">
        <v>11</v>
      </c>
      <c r="C18" s="2004">
        <f>+'Res. Global'!C36</f>
        <v>916.5</v>
      </c>
      <c r="D18" s="2010">
        <f>+'Res. Global'!H36</f>
        <v>93.63</v>
      </c>
      <c r="E18" s="1749">
        <f t="shared" si="0"/>
        <v>822.87</v>
      </c>
      <c r="F18" s="1747">
        <f t="shared" si="1"/>
        <v>0.10216039279869067</v>
      </c>
      <c r="G18" s="1748"/>
    </row>
    <row r="19" spans="1:10" ht="15">
      <c r="A19" s="1746" t="s">
        <v>5</v>
      </c>
      <c r="B19" s="1746" t="s">
        <v>6</v>
      </c>
      <c r="C19" s="2004">
        <f>+'Res. Global'!C38</f>
        <v>2282</v>
      </c>
      <c r="D19" s="2010">
        <f>+'Res. Global'!H38</f>
        <v>2180.2550000000006</v>
      </c>
      <c r="E19" s="1749">
        <f t="shared" si="0"/>
        <v>101.74499999999944</v>
      </c>
      <c r="F19" s="1747">
        <f>+D19/C19</f>
        <v>0.95541411042944813</v>
      </c>
      <c r="G19" s="1748"/>
    </row>
    <row r="20" spans="1:10" ht="15">
      <c r="A20" s="1841" t="s">
        <v>5</v>
      </c>
      <c r="B20" s="1841" t="s">
        <v>585</v>
      </c>
      <c r="C20" s="1853">
        <f>+'Res. Global'!C40</f>
        <v>5443</v>
      </c>
      <c r="D20" s="2011">
        <f>+'Res. Global'!H40</f>
        <v>3868.0930000000008</v>
      </c>
      <c r="E20" s="1842">
        <f t="shared" si="0"/>
        <v>1574.9069999999992</v>
      </c>
      <c r="F20" s="1843">
        <f t="shared" si="1"/>
        <v>0.71065460224141108</v>
      </c>
      <c r="G20" s="1844"/>
    </row>
    <row r="21" spans="1:10" s="1450" customFormat="1" ht="15">
      <c r="A21" s="1841" t="s">
        <v>5</v>
      </c>
      <c r="B21" s="1841" t="s">
        <v>586</v>
      </c>
      <c r="C21" s="1853">
        <f>+'Res. Global'!C42</f>
        <v>1358</v>
      </c>
      <c r="D21" s="2011">
        <f>+'Res. Global'!H42</f>
        <v>72.689000000000007</v>
      </c>
      <c r="E21" s="1842">
        <f t="shared" ref="E21" si="10">+C21-D21</f>
        <v>1285.3109999999999</v>
      </c>
      <c r="F21" s="1843">
        <f t="shared" ref="F21" si="11">+D21/C21</f>
        <v>5.352650957290133E-2</v>
      </c>
      <c r="G21" s="1844"/>
    </row>
    <row r="22" spans="1:10" ht="15">
      <c r="A22" s="1746" t="s">
        <v>5</v>
      </c>
      <c r="B22" s="1746" t="s">
        <v>17</v>
      </c>
      <c r="C22" s="2004">
        <f>+'Res. Global'!C44</f>
        <v>10</v>
      </c>
      <c r="D22" s="2010">
        <f>+'Res. Global'!H44</f>
        <v>0.78899999999999992</v>
      </c>
      <c r="E22" s="1749">
        <f t="shared" si="0"/>
        <v>9.2110000000000003</v>
      </c>
      <c r="F22" s="1747">
        <f t="shared" si="1"/>
        <v>7.8899999999999998E-2</v>
      </c>
      <c r="G22" s="1748"/>
    </row>
    <row r="23" spans="1:10" s="1308" customFormat="1" ht="15">
      <c r="A23" s="1746" t="s">
        <v>5</v>
      </c>
      <c r="B23" s="1746" t="s">
        <v>18</v>
      </c>
      <c r="C23" s="2004">
        <f>+'Res. Global'!C46</f>
        <v>82</v>
      </c>
      <c r="D23" s="2010">
        <f>+'Res. Global'!H46</f>
        <v>54.193000000000012</v>
      </c>
      <c r="E23" s="1749">
        <f t="shared" si="0"/>
        <v>27.806999999999988</v>
      </c>
      <c r="F23" s="1747">
        <f t="shared" si="1"/>
        <v>0.66089024390243922</v>
      </c>
      <c r="G23" s="1748"/>
    </row>
    <row r="24" spans="1:10" s="1308" customFormat="1" ht="15">
      <c r="A24" s="1746" t="s">
        <v>5</v>
      </c>
      <c r="B24" s="1746" t="s">
        <v>7</v>
      </c>
      <c r="C24" s="2004">
        <f>+'Res. Global'!C48</f>
        <v>5342</v>
      </c>
      <c r="D24" s="2010">
        <f>+'Res. Global'!H48</f>
        <v>5643.58</v>
      </c>
      <c r="E24" s="1749">
        <f t="shared" si="0"/>
        <v>-301.57999999999993</v>
      </c>
      <c r="F24" s="1747">
        <f t="shared" si="1"/>
        <v>1.0564545114189443</v>
      </c>
      <c r="G24" s="1748"/>
    </row>
    <row r="25" spans="1:10" s="1308" customFormat="1" ht="15">
      <c r="A25" s="1746" t="s">
        <v>5</v>
      </c>
      <c r="B25" s="1746" t="s">
        <v>12</v>
      </c>
      <c r="C25" s="2004">
        <f>+'Res. Global'!C50</f>
        <v>120</v>
      </c>
      <c r="D25" s="2010">
        <f>+'Res. Global'!H50</f>
        <v>0</v>
      </c>
      <c r="E25" s="1749">
        <f t="shared" si="0"/>
        <v>120</v>
      </c>
      <c r="F25" s="1747">
        <f t="shared" si="1"/>
        <v>0</v>
      </c>
      <c r="G25" s="1748"/>
    </row>
    <row r="26" spans="1:10" s="1308" customFormat="1" ht="15">
      <c r="A26" s="1841" t="s">
        <v>5</v>
      </c>
      <c r="B26" s="1841" t="s">
        <v>589</v>
      </c>
      <c r="C26" s="1853">
        <f>+'Res. Global'!C52</f>
        <v>252.15000000000006</v>
      </c>
      <c r="D26" s="2011">
        <f>+'Res. Global'!H52</f>
        <v>15.411</v>
      </c>
      <c r="E26" s="1842">
        <f t="shared" ref="E26:E27" si="12">+C26-D26</f>
        <v>236.73900000000006</v>
      </c>
      <c r="F26" s="1843">
        <f t="shared" ref="F26:F27" si="13">+D26/C26</f>
        <v>6.1118381915526453E-2</v>
      </c>
      <c r="G26" s="1844"/>
      <c r="J26"/>
    </row>
    <row r="27" spans="1:10" s="1308" customFormat="1" ht="15">
      <c r="A27" s="1841" t="s">
        <v>5</v>
      </c>
      <c r="B27" s="1841" t="s">
        <v>590</v>
      </c>
      <c r="C27" s="1853">
        <f>+'Res. Global'!C54</f>
        <v>801.99900000000002</v>
      </c>
      <c r="D27" s="2011">
        <f>+'Res. Global'!H54</f>
        <v>349.84500000000003</v>
      </c>
      <c r="E27" s="1842">
        <f t="shared" si="12"/>
        <v>452.154</v>
      </c>
      <c r="F27" s="1843">
        <f t="shared" si="13"/>
        <v>0.43621625463373398</v>
      </c>
      <c r="G27" s="1844"/>
    </row>
    <row r="28" spans="1:10" ht="15">
      <c r="A28" s="1754" t="s">
        <v>14</v>
      </c>
      <c r="B28" s="1754" t="s">
        <v>15</v>
      </c>
      <c r="C28" s="2005">
        <f>+'Res. Global'!C56</f>
        <v>518</v>
      </c>
      <c r="D28" s="2012">
        <f>+'Res. Global'!H56</f>
        <v>4.0060000000000002</v>
      </c>
      <c r="E28" s="1755">
        <f t="shared" ref="E28:E39" si="14">+C28-D28</f>
        <v>513.99400000000003</v>
      </c>
      <c r="F28" s="1756">
        <f t="shared" ref="F28:F39" si="15">+D28/C28</f>
        <v>7.7335907335907344E-3</v>
      </c>
      <c r="G28" s="1757"/>
    </row>
    <row r="29" spans="1:10" ht="15">
      <c r="A29" s="1754" t="s">
        <v>14</v>
      </c>
      <c r="B29" s="1754" t="s">
        <v>11</v>
      </c>
      <c r="C29" s="2005">
        <f>+'Res. Global'!C58</f>
        <v>1962</v>
      </c>
      <c r="D29" s="2012">
        <f>+'Res. Global'!H58</f>
        <v>53.085000000000001</v>
      </c>
      <c r="E29" s="1755">
        <f t="shared" si="14"/>
        <v>1908.915</v>
      </c>
      <c r="F29" s="1756">
        <f t="shared" si="15"/>
        <v>2.7056574923547402E-2</v>
      </c>
      <c r="G29" s="1757"/>
    </row>
    <row r="30" spans="1:10" ht="15">
      <c r="A30" s="1754" t="s">
        <v>14</v>
      </c>
      <c r="B30" s="1754" t="s">
        <v>16</v>
      </c>
      <c r="C30" s="2005">
        <f>+'Res. Global'!C60</f>
        <v>625</v>
      </c>
      <c r="D30" s="2012">
        <f>+'Res. Global'!H60</f>
        <v>0.91700000000000004</v>
      </c>
      <c r="E30" s="1755">
        <f t="shared" si="14"/>
        <v>624.08299999999997</v>
      </c>
      <c r="F30" s="1756">
        <f t="shared" si="15"/>
        <v>1.4672000000000001E-3</v>
      </c>
      <c r="G30" s="1757"/>
    </row>
    <row r="31" spans="1:10" s="1742" customFormat="1" ht="15">
      <c r="A31" s="1750" t="s">
        <v>9</v>
      </c>
      <c r="B31" s="1750" t="s">
        <v>586</v>
      </c>
      <c r="C31" s="2007">
        <f>+'Res. Global'!C62</f>
        <v>6457</v>
      </c>
      <c r="D31" s="2013">
        <f>+'Res. Global'!H62</f>
        <v>5201.9720000000007</v>
      </c>
      <c r="E31" s="1751">
        <f t="shared" ref="E31" si="16">+C31-D31</f>
        <v>1255.0279999999993</v>
      </c>
      <c r="F31" s="1752">
        <f>+D31/C31</f>
        <v>0.80563295648133815</v>
      </c>
      <c r="G31" s="1753"/>
    </row>
    <row r="32" spans="1:10" ht="15">
      <c r="A32" s="1845" t="s">
        <v>9</v>
      </c>
      <c r="B32" s="1845" t="s">
        <v>17</v>
      </c>
      <c r="C32" s="2006">
        <f>+'Res. Global'!C65</f>
        <v>152</v>
      </c>
      <c r="D32" s="2014">
        <f>+'Res. Global'!H65</f>
        <v>0</v>
      </c>
      <c r="E32" s="1846">
        <f t="shared" si="14"/>
        <v>152</v>
      </c>
      <c r="F32" s="1847">
        <f t="shared" si="15"/>
        <v>0</v>
      </c>
      <c r="G32" s="1848"/>
    </row>
    <row r="33" spans="1:10" s="1308" customFormat="1" ht="15">
      <c r="A33" s="1750" t="s">
        <v>9</v>
      </c>
      <c r="B33" s="1750" t="s">
        <v>587</v>
      </c>
      <c r="C33" s="2007">
        <f>+'Res. Global'!C68</f>
        <v>2334</v>
      </c>
      <c r="D33" s="2013">
        <f>+'Res. Global'!H68</f>
        <v>1865.3700000000001</v>
      </c>
      <c r="E33" s="1751">
        <f t="shared" si="14"/>
        <v>468.62999999999988</v>
      </c>
      <c r="F33" s="1752">
        <f t="shared" si="15"/>
        <v>0.79921593830334192</v>
      </c>
      <c r="G33" s="1753"/>
    </row>
    <row r="34" spans="1:10" s="1742" customFormat="1" ht="15">
      <c r="A34" s="1750" t="s">
        <v>9</v>
      </c>
      <c r="B34" s="1750" t="s">
        <v>588</v>
      </c>
      <c r="C34" s="2007">
        <f>+'Res. Global'!C71</f>
        <v>363385</v>
      </c>
      <c r="D34" s="2013">
        <f>+'Res. Global'!H71</f>
        <v>117644.15600000003</v>
      </c>
      <c r="E34" s="1751">
        <f t="shared" ref="E34" si="17">+C34-D34</f>
        <v>245740.84399999998</v>
      </c>
      <c r="F34" s="1752">
        <f t="shared" ref="F34" si="18">+D34/C34</f>
        <v>0.32374521788186095</v>
      </c>
      <c r="G34" s="1753"/>
      <c r="H34" s="78"/>
    </row>
    <row r="35" spans="1:10" ht="15">
      <c r="A35" s="1845" t="s">
        <v>9</v>
      </c>
      <c r="B35" s="1845" t="s">
        <v>12</v>
      </c>
      <c r="C35" s="2006">
        <f>+'Res. Global'!C73</f>
        <v>8141</v>
      </c>
      <c r="D35" s="2014">
        <f>+'Res. Global'!H73</f>
        <v>8139.5759999999991</v>
      </c>
      <c r="E35" s="1846">
        <f t="shared" si="14"/>
        <v>1.4240000000008877</v>
      </c>
      <c r="F35" s="1847">
        <f t="shared" si="15"/>
        <v>0.99982508291364691</v>
      </c>
      <c r="G35" s="1848"/>
      <c r="H35" s="68"/>
    </row>
    <row r="36" spans="1:10" s="1742" customFormat="1" ht="15">
      <c r="A36" s="1750" t="s">
        <v>9</v>
      </c>
      <c r="B36" s="1750" t="s">
        <v>589</v>
      </c>
      <c r="C36" s="2007">
        <f>+'Res. Global'!C76</f>
        <v>51867</v>
      </c>
      <c r="D36" s="2013">
        <f>+'Res. Global'!H76</f>
        <v>38323.260999999999</v>
      </c>
      <c r="E36" s="1751">
        <f t="shared" ref="E36:E37" si="19">+C36-D36</f>
        <v>13543.739000000001</v>
      </c>
      <c r="F36" s="1752">
        <f t="shared" ref="F36:F37" si="20">+D36/C36</f>
        <v>0.73887560491256477</v>
      </c>
      <c r="G36" s="1753"/>
      <c r="H36" s="79"/>
    </row>
    <row r="37" spans="1:10" s="1742" customFormat="1" ht="15">
      <c r="A37" s="1750" t="s">
        <v>9</v>
      </c>
      <c r="B37" s="1750" t="s">
        <v>590</v>
      </c>
      <c r="C37" s="2007">
        <f>+'Res. Global'!C79</f>
        <v>24687</v>
      </c>
      <c r="D37" s="2013">
        <f>+'Res. Global'!H79</f>
        <v>4051.6060000000007</v>
      </c>
      <c r="E37" s="1751">
        <f t="shared" si="19"/>
        <v>20635.394</v>
      </c>
      <c r="F37" s="1752">
        <f t="shared" si="20"/>
        <v>0.16411901000526596</v>
      </c>
      <c r="G37" s="1753"/>
    </row>
    <row r="38" spans="1:10" s="1758" customFormat="1" ht="15">
      <c r="A38" s="1770" t="s">
        <v>332</v>
      </c>
      <c r="B38" s="1770" t="s">
        <v>10</v>
      </c>
      <c r="C38" s="2008">
        <f>+'Res. Global'!C81</f>
        <v>21669.75</v>
      </c>
      <c r="D38" s="2015">
        <f>+'Res. Global'!H81</f>
        <v>21816.878000000001</v>
      </c>
      <c r="E38" s="1771">
        <f t="shared" si="14"/>
        <v>-147.12800000000061</v>
      </c>
      <c r="F38" s="1772">
        <f t="shared" si="15"/>
        <v>1.006789556870753</v>
      </c>
      <c r="G38" s="1773"/>
      <c r="H38" s="1904"/>
      <c r="I38" s="100"/>
      <c r="J38" s="227"/>
    </row>
    <row r="39" spans="1:10" s="1758" customFormat="1" ht="15">
      <c r="A39" s="1770" t="s">
        <v>332</v>
      </c>
      <c r="B39" s="1770" t="s">
        <v>13</v>
      </c>
      <c r="C39" s="2008">
        <f>+'Res. Global'!C83</f>
        <v>6920</v>
      </c>
      <c r="D39" s="2015">
        <f>+'Res. Global'!H83</f>
        <v>5819.7610000000004</v>
      </c>
      <c r="E39" s="1771">
        <f t="shared" si="14"/>
        <v>1100.2389999999996</v>
      </c>
      <c r="F39" s="1772">
        <f t="shared" si="15"/>
        <v>0.84100592485549142</v>
      </c>
      <c r="G39" s="1773"/>
      <c r="I39" s="3137"/>
    </row>
    <row r="40" spans="1:10" s="1758" customFormat="1" ht="15">
      <c r="A40" s="1766"/>
      <c r="B40" s="1766"/>
      <c r="C40" s="1767"/>
      <c r="D40" s="1767"/>
      <c r="E40" s="1767"/>
      <c r="F40" s="1768"/>
      <c r="G40" s="1769"/>
    </row>
    <row r="41" spans="1:10" s="1758" customFormat="1" ht="15">
      <c r="A41" s="1766"/>
      <c r="B41" s="1766"/>
      <c r="C41" s="1767"/>
      <c r="D41" s="1767"/>
      <c r="E41" s="1767"/>
      <c r="F41" s="1768"/>
      <c r="G41" s="1769"/>
      <c r="I41" s="1904"/>
      <c r="J41" s="100"/>
    </row>
    <row r="42" spans="1:10">
      <c r="A42" s="68"/>
      <c r="C42" s="99">
        <f>SUM(C6:C39)</f>
        <v>725649.89899999998</v>
      </c>
      <c r="D42" s="729">
        <f>SUM(D6:D39)</f>
        <v>383708.46500000003</v>
      </c>
      <c r="E42" s="729">
        <f>SUM(E6:E39)</f>
        <v>341941.43399999995</v>
      </c>
      <c r="F42" s="99"/>
    </row>
    <row r="43" spans="1:10" ht="15">
      <c r="A43" s="68"/>
      <c r="B43" s="310" t="s">
        <v>262</v>
      </c>
      <c r="C43" s="311"/>
      <c r="D43" s="730">
        <f>+D42/C42</f>
        <v>0.52877905106688372</v>
      </c>
      <c r="E43" s="68"/>
      <c r="F43" s="101"/>
    </row>
    <row r="44" spans="1:10" ht="15">
      <c r="A44" s="68"/>
      <c r="B44" s="309" t="s">
        <v>261</v>
      </c>
      <c r="C44" s="308">
        <f>SUM(C42:C43)</f>
        <v>725649.89899999998</v>
      </c>
      <c r="D44" s="69"/>
      <c r="E44" s="99"/>
    </row>
    <row r="45" spans="1:10">
      <c r="A45" s="68"/>
      <c r="C45" s="68"/>
    </row>
    <row r="46" spans="1:10">
      <c r="A46" s="68"/>
      <c r="C46" s="68"/>
    </row>
    <row r="47" spans="1:10">
      <c r="A47" s="68"/>
      <c r="C47" s="68"/>
    </row>
    <row r="48" spans="1:10">
      <c r="A48" s="68"/>
      <c r="C48" s="68"/>
    </row>
    <row r="49" spans="1:3">
      <c r="A49" s="68"/>
      <c r="C49" s="68"/>
    </row>
    <row r="50" spans="1:3">
      <c r="A50" s="68"/>
      <c r="C50" s="68"/>
    </row>
    <row r="51" spans="1:3">
      <c r="A51" s="68"/>
      <c r="C51" s="68"/>
    </row>
    <row r="52" spans="1:3">
      <c r="A52" s="68"/>
      <c r="C52" s="68"/>
    </row>
    <row r="53" spans="1:3">
      <c r="A53" s="68"/>
      <c r="C53" s="68"/>
    </row>
    <row r="54" spans="1:3">
      <c r="A54" s="68"/>
      <c r="C54" s="68"/>
    </row>
    <row r="55" spans="1:3">
      <c r="A55" s="68"/>
      <c r="C55" s="68"/>
    </row>
    <row r="56" spans="1:3">
      <c r="A56" s="68"/>
      <c r="C56" s="68"/>
    </row>
    <row r="57" spans="1:3">
      <c r="A57" s="68"/>
      <c r="C57" s="68"/>
    </row>
    <row r="58" spans="1:3">
      <c r="A58" s="68"/>
      <c r="C58" s="68"/>
    </row>
    <row r="59" spans="1:3">
      <c r="A59" s="68"/>
      <c r="C59" s="68"/>
    </row>
    <row r="60" spans="1:3">
      <c r="A60" s="68"/>
      <c r="C60" s="68"/>
    </row>
    <row r="61" spans="1:3">
      <c r="A61" s="68"/>
      <c r="C61" s="68"/>
    </row>
    <row r="62" spans="1:3">
      <c r="A62" s="68"/>
      <c r="C62" s="68"/>
    </row>
    <row r="63" spans="1:3">
      <c r="A63" s="68"/>
      <c r="C63" s="68"/>
    </row>
    <row r="64" spans="1:3">
      <c r="A64" s="68"/>
      <c r="C64" s="68"/>
    </row>
    <row r="65" spans="1:3">
      <c r="A65" s="68"/>
      <c r="C65" s="68"/>
    </row>
    <row r="66" spans="1:3">
      <c r="A66" s="68"/>
      <c r="C66" s="68"/>
    </row>
    <row r="67" spans="1:3">
      <c r="A67" s="68"/>
      <c r="C67" s="68"/>
    </row>
    <row r="68" spans="1:3">
      <c r="A68" s="68"/>
      <c r="C68" s="68"/>
    </row>
    <row r="69" spans="1:3">
      <c r="A69" s="68"/>
      <c r="C69" s="68"/>
    </row>
    <row r="70" spans="1:3">
      <c r="A70" s="68"/>
      <c r="C70" s="68"/>
    </row>
    <row r="71" spans="1:3">
      <c r="A71" s="68"/>
      <c r="C71" s="68"/>
    </row>
    <row r="72" spans="1:3">
      <c r="A72" s="68"/>
      <c r="C72" s="68"/>
    </row>
    <row r="73" spans="1:3">
      <c r="A73" s="68"/>
      <c r="C73" s="68"/>
    </row>
    <row r="74" spans="1:3">
      <c r="A74" s="68"/>
      <c r="C74" s="68"/>
    </row>
    <row r="75" spans="1:3">
      <c r="A75" s="68"/>
      <c r="C75" s="68"/>
    </row>
    <row r="76" spans="1:3">
      <c r="A76" s="68"/>
      <c r="C76" s="68"/>
    </row>
    <row r="77" spans="1:3">
      <c r="A77" s="68"/>
      <c r="C77" s="68"/>
    </row>
    <row r="78" spans="1:3">
      <c r="A78" s="68"/>
      <c r="C78" s="68"/>
    </row>
    <row r="79" spans="1:3">
      <c r="A79" s="68"/>
      <c r="C79" s="68"/>
    </row>
    <row r="80" spans="1:3">
      <c r="A80" s="68"/>
      <c r="C80" s="68"/>
    </row>
    <row r="81" spans="1:3">
      <c r="A81" s="68"/>
      <c r="C81" s="68"/>
    </row>
    <row r="82" spans="1:3">
      <c r="A82" s="68"/>
      <c r="C82" s="68"/>
    </row>
    <row r="83" spans="1:3">
      <c r="A83" s="68"/>
      <c r="C83" s="68"/>
    </row>
    <row r="84" spans="1:3">
      <c r="A84" s="68"/>
      <c r="C84" s="68"/>
    </row>
    <row r="85" spans="1:3">
      <c r="A85" s="68"/>
      <c r="C85" s="68"/>
    </row>
    <row r="86" spans="1:3">
      <c r="A86" s="68"/>
      <c r="C86" s="68"/>
    </row>
    <row r="87" spans="1:3">
      <c r="A87" s="68"/>
      <c r="C87" s="68"/>
    </row>
    <row r="88" spans="1:3">
      <c r="A88" s="68"/>
      <c r="C88" s="68"/>
    </row>
    <row r="89" spans="1:3">
      <c r="A89" s="68"/>
      <c r="C89" s="68"/>
    </row>
    <row r="90" spans="1:3">
      <c r="A90" s="68"/>
      <c r="C90" s="68"/>
    </row>
    <row r="91" spans="1:3">
      <c r="A91" s="68"/>
      <c r="C91" s="68"/>
    </row>
    <row r="92" spans="1:3">
      <c r="A92" s="68"/>
      <c r="C92" s="68"/>
    </row>
    <row r="93" spans="1:3">
      <c r="A93" s="68"/>
      <c r="C93" s="68"/>
    </row>
    <row r="94" spans="1:3">
      <c r="A94" s="68"/>
      <c r="C94" s="68"/>
    </row>
    <row r="95" spans="1:3">
      <c r="A95" s="68"/>
      <c r="C95" s="68"/>
    </row>
    <row r="96" spans="1:3">
      <c r="A96" s="68"/>
      <c r="C96" s="68"/>
    </row>
    <row r="97" spans="1:3">
      <c r="A97" s="68"/>
      <c r="C97" s="68"/>
    </row>
    <row r="98" spans="1:3">
      <c r="A98" s="68"/>
      <c r="C98" s="68"/>
    </row>
    <row r="99" spans="1:3">
      <c r="A99" s="68"/>
      <c r="C99" s="68"/>
    </row>
    <row r="100" spans="1:3">
      <c r="A100" s="68"/>
      <c r="C100" s="68"/>
    </row>
    <row r="101" spans="1:3">
      <c r="A101" s="68"/>
      <c r="C101" s="68"/>
    </row>
    <row r="102" spans="1:3">
      <c r="A102" s="68"/>
      <c r="C102" s="68"/>
    </row>
    <row r="103" spans="1:3">
      <c r="A103" s="68"/>
      <c r="C103" s="68"/>
    </row>
    <row r="104" spans="1:3">
      <c r="A104" s="68"/>
      <c r="C104" s="68"/>
    </row>
    <row r="105" spans="1:3">
      <c r="A105" s="68"/>
      <c r="C105" s="68"/>
    </row>
    <row r="106" spans="1:3">
      <c r="A106" s="68"/>
      <c r="C106" s="68"/>
    </row>
    <row r="107" spans="1:3">
      <c r="A107" s="68"/>
      <c r="C107" s="68"/>
    </row>
    <row r="108" spans="1:3">
      <c r="A108" s="68"/>
      <c r="C108" s="68"/>
    </row>
    <row r="109" spans="1:3">
      <c r="A109" s="68"/>
      <c r="C109" s="68"/>
    </row>
    <row r="110" spans="1:3">
      <c r="A110" s="68"/>
      <c r="C110" s="68"/>
    </row>
    <row r="111" spans="1:3">
      <c r="A111" s="68"/>
      <c r="C111" s="68"/>
    </row>
    <row r="112" spans="1:3">
      <c r="A112" s="68"/>
      <c r="C112" s="68"/>
    </row>
    <row r="113" spans="1:3">
      <c r="A113" s="68"/>
      <c r="C113" s="68"/>
    </row>
    <row r="114" spans="1:3">
      <c r="A114" s="68"/>
      <c r="C114" s="68"/>
    </row>
    <row r="115" spans="1:3">
      <c r="A115" s="68"/>
      <c r="C115" s="68"/>
    </row>
    <row r="116" spans="1:3">
      <c r="A116" s="68"/>
      <c r="C116" s="68"/>
    </row>
    <row r="117" spans="1:3">
      <c r="A117" s="68"/>
      <c r="C117" s="68"/>
    </row>
    <row r="118" spans="1:3">
      <c r="A118" s="68"/>
      <c r="C118" s="68"/>
    </row>
    <row r="119" spans="1:3">
      <c r="A119" s="68"/>
      <c r="C119" s="68"/>
    </row>
    <row r="120" spans="1:3">
      <c r="A120" s="68"/>
      <c r="C120" s="68"/>
    </row>
    <row r="121" spans="1:3">
      <c r="A121" s="68"/>
      <c r="C121" s="68"/>
    </row>
    <row r="122" spans="1:3">
      <c r="A122" s="68"/>
      <c r="C122" s="68"/>
    </row>
    <row r="123" spans="1:3">
      <c r="A123" s="68"/>
      <c r="C123" s="68"/>
    </row>
    <row r="124" spans="1:3">
      <c r="A124" s="68"/>
      <c r="C124" s="68"/>
    </row>
    <row r="125" spans="1:3">
      <c r="A125" s="68"/>
      <c r="C125" s="68"/>
    </row>
    <row r="126" spans="1:3">
      <c r="A126" s="68"/>
      <c r="C126" s="68"/>
    </row>
    <row r="127" spans="1:3">
      <c r="A127" s="68"/>
      <c r="C127" s="68"/>
    </row>
    <row r="128" spans="1:3">
      <c r="A128" s="68"/>
      <c r="C128" s="68"/>
    </row>
    <row r="129" spans="1:3">
      <c r="A129" s="68"/>
      <c r="C129" s="68"/>
    </row>
    <row r="130" spans="1:3">
      <c r="A130" s="68"/>
      <c r="C130" s="68"/>
    </row>
    <row r="131" spans="1:3">
      <c r="A131" s="68"/>
      <c r="C131" s="68"/>
    </row>
    <row r="132" spans="1:3">
      <c r="A132" s="68"/>
      <c r="C132" s="68"/>
    </row>
    <row r="133" spans="1:3">
      <c r="A133" s="68"/>
      <c r="C133" s="68"/>
    </row>
    <row r="134" spans="1:3">
      <c r="A134" s="68"/>
      <c r="C134" s="68"/>
    </row>
    <row r="135" spans="1:3">
      <c r="A135" s="68"/>
      <c r="C135" s="68"/>
    </row>
    <row r="136" spans="1:3">
      <c r="A136" s="68"/>
      <c r="C136" s="68"/>
    </row>
    <row r="137" spans="1:3">
      <c r="A137" s="68"/>
      <c r="C137" s="68"/>
    </row>
    <row r="138" spans="1:3">
      <c r="A138" s="68"/>
      <c r="C138" s="68"/>
    </row>
    <row r="139" spans="1:3">
      <c r="A139" s="68"/>
      <c r="C139" s="68"/>
    </row>
    <row r="140" spans="1:3">
      <c r="A140" s="68"/>
      <c r="C140" s="68"/>
    </row>
    <row r="141" spans="1:3">
      <c r="A141" s="68"/>
      <c r="C141" s="68"/>
    </row>
    <row r="142" spans="1:3">
      <c r="A142" s="68"/>
      <c r="C142" s="68"/>
    </row>
    <row r="143" spans="1:3">
      <c r="A143" s="68"/>
      <c r="C143" s="68"/>
    </row>
    <row r="144" spans="1:3">
      <c r="A144" s="68"/>
      <c r="C144" s="68"/>
    </row>
    <row r="145" spans="1:3">
      <c r="A145" s="68"/>
      <c r="C145" s="68"/>
    </row>
    <row r="146" spans="1:3">
      <c r="A146" s="68"/>
      <c r="C146" s="68"/>
    </row>
    <row r="147" spans="1:3">
      <c r="A147" s="68"/>
      <c r="C147" s="68"/>
    </row>
    <row r="148" spans="1:3">
      <c r="A148" s="68"/>
      <c r="C148" s="68"/>
    </row>
    <row r="149" spans="1:3">
      <c r="A149" s="68"/>
      <c r="C149" s="68"/>
    </row>
    <row r="150" spans="1:3">
      <c r="A150" s="68"/>
      <c r="C150" s="68"/>
    </row>
    <row r="151" spans="1:3">
      <c r="A151" s="68"/>
      <c r="C151" s="68"/>
    </row>
    <row r="152" spans="1:3">
      <c r="A152" s="68"/>
      <c r="C152" s="68"/>
    </row>
    <row r="153" spans="1:3">
      <c r="A153" s="68"/>
      <c r="C153" s="68"/>
    </row>
    <row r="154" spans="1:3">
      <c r="A154" s="68"/>
      <c r="C154" s="68"/>
    </row>
    <row r="155" spans="1:3">
      <c r="A155" s="68"/>
      <c r="C155" s="68"/>
    </row>
    <row r="156" spans="1:3">
      <c r="A156" s="68"/>
      <c r="C156" s="68"/>
    </row>
    <row r="157" spans="1:3">
      <c r="A157" s="68"/>
      <c r="C157" s="68"/>
    </row>
    <row r="158" spans="1:3">
      <c r="A158" s="68"/>
      <c r="C158" s="68"/>
    </row>
    <row r="159" spans="1:3">
      <c r="A159" s="68"/>
      <c r="C159" s="68"/>
    </row>
    <row r="160" spans="1:3">
      <c r="A160" s="68"/>
      <c r="C160" s="68"/>
    </row>
    <row r="161" spans="1:3">
      <c r="A161" s="68"/>
      <c r="C161" s="68"/>
    </row>
    <row r="162" spans="1:3">
      <c r="A162" s="68"/>
      <c r="C162" s="68"/>
    </row>
    <row r="163" spans="1:3">
      <c r="A163" s="68"/>
      <c r="C163" s="68"/>
    </row>
    <row r="164" spans="1:3">
      <c r="A164" s="68"/>
      <c r="C164" s="68"/>
    </row>
    <row r="165" spans="1:3">
      <c r="A165" s="68"/>
      <c r="C165" s="68"/>
    </row>
    <row r="166" spans="1:3">
      <c r="A166" s="68"/>
      <c r="C166" s="68"/>
    </row>
    <row r="167" spans="1:3">
      <c r="A167" s="68"/>
      <c r="C167" s="68"/>
    </row>
    <row r="168" spans="1:3">
      <c r="A168" s="68"/>
      <c r="C168" s="68"/>
    </row>
    <row r="169" spans="1:3">
      <c r="A169" s="68"/>
      <c r="C169" s="68"/>
    </row>
    <row r="170" spans="1:3">
      <c r="A170" s="68"/>
      <c r="C170" s="68"/>
    </row>
    <row r="171" spans="1:3">
      <c r="A171" s="68"/>
      <c r="C171" s="68"/>
    </row>
    <row r="172" spans="1:3">
      <c r="A172" s="68"/>
      <c r="C172" s="68"/>
    </row>
    <row r="173" spans="1:3">
      <c r="A173" s="68"/>
      <c r="C173" s="68"/>
    </row>
    <row r="174" spans="1:3">
      <c r="A174" s="68"/>
      <c r="C174" s="68"/>
    </row>
    <row r="175" spans="1:3">
      <c r="A175" s="68"/>
      <c r="C175" s="68"/>
    </row>
    <row r="176" spans="1:3">
      <c r="A176" s="68"/>
      <c r="C176" s="68"/>
    </row>
    <row r="177" spans="1:3">
      <c r="A177" s="68"/>
      <c r="C177" s="68"/>
    </row>
    <row r="178" spans="1:3">
      <c r="A178" s="68"/>
      <c r="C178" s="68"/>
    </row>
    <row r="179" spans="1:3">
      <c r="A179" s="68"/>
      <c r="C179" s="68"/>
    </row>
    <row r="180" spans="1:3">
      <c r="A180" s="68"/>
      <c r="C180" s="68"/>
    </row>
    <row r="181" spans="1:3">
      <c r="A181" s="68"/>
      <c r="C181" s="68"/>
    </row>
    <row r="182" spans="1:3">
      <c r="A182" s="68"/>
      <c r="C182" s="68"/>
    </row>
    <row r="183" spans="1:3">
      <c r="A183" s="68"/>
      <c r="C183" s="68"/>
    </row>
    <row r="184" spans="1:3">
      <c r="A184" s="68"/>
      <c r="C184" s="68"/>
    </row>
    <row r="185" spans="1:3">
      <c r="A185" s="68"/>
      <c r="C185" s="68"/>
    </row>
    <row r="186" spans="1:3">
      <c r="A186" s="68"/>
      <c r="C186" s="68"/>
    </row>
    <row r="187" spans="1:3">
      <c r="A187" s="68"/>
      <c r="C187" s="68"/>
    </row>
    <row r="188" spans="1:3">
      <c r="A188" s="68"/>
      <c r="C188" s="68"/>
    </row>
    <row r="189" spans="1:3">
      <c r="A189" s="68"/>
      <c r="C189" s="68"/>
    </row>
    <row r="190" spans="1:3">
      <c r="A190" s="68"/>
      <c r="C190" s="68"/>
    </row>
    <row r="191" spans="1:3">
      <c r="A191" s="68"/>
      <c r="C191" s="68"/>
    </row>
    <row r="192" spans="1:3">
      <c r="A192" s="68"/>
      <c r="C192" s="68"/>
    </row>
    <row r="193" spans="1:3">
      <c r="A193" s="68"/>
      <c r="C193" s="68"/>
    </row>
    <row r="194" spans="1:3">
      <c r="A194" s="68"/>
      <c r="C194" s="68"/>
    </row>
    <row r="195" spans="1:3">
      <c r="A195" s="68"/>
      <c r="C195" s="68"/>
    </row>
    <row r="196" spans="1:3">
      <c r="A196" s="68"/>
      <c r="C196" s="68"/>
    </row>
    <row r="197" spans="1:3">
      <c r="A197" s="68"/>
      <c r="C197" s="68"/>
    </row>
    <row r="198" spans="1:3">
      <c r="A198" s="68"/>
      <c r="C198" s="68"/>
    </row>
    <row r="199" spans="1:3">
      <c r="A199" s="68"/>
      <c r="C199" s="68"/>
    </row>
    <row r="200" spans="1:3">
      <c r="A200" s="68"/>
      <c r="C200" s="68"/>
    </row>
    <row r="201" spans="1:3">
      <c r="A201" s="68"/>
      <c r="C201" s="68"/>
    </row>
    <row r="202" spans="1:3">
      <c r="A202" s="68"/>
      <c r="C202" s="68"/>
    </row>
    <row r="203" spans="1:3">
      <c r="A203" s="68"/>
      <c r="C203" s="68"/>
    </row>
    <row r="204" spans="1:3">
      <c r="A204" s="68"/>
      <c r="C204" s="68"/>
    </row>
    <row r="205" spans="1:3">
      <c r="A205" s="68"/>
      <c r="C205" s="68"/>
    </row>
    <row r="206" spans="1:3">
      <c r="A206" s="68"/>
      <c r="C206" s="68"/>
    </row>
    <row r="207" spans="1:3">
      <c r="A207" s="68"/>
      <c r="C207" s="68"/>
    </row>
    <row r="208" spans="1:3">
      <c r="A208" s="68"/>
      <c r="C208" s="68"/>
    </row>
    <row r="209" spans="1:3">
      <c r="A209" s="68"/>
      <c r="C209" s="68"/>
    </row>
    <row r="210" spans="1:3">
      <c r="A210" s="68"/>
      <c r="C210" s="68"/>
    </row>
    <row r="211" spans="1:3">
      <c r="A211" s="68"/>
      <c r="C211" s="68"/>
    </row>
    <row r="212" spans="1:3">
      <c r="A212" s="68"/>
      <c r="C212" s="68"/>
    </row>
    <row r="213" spans="1:3">
      <c r="A213" s="68"/>
      <c r="C213" s="68"/>
    </row>
    <row r="214" spans="1:3">
      <c r="A214" s="68"/>
      <c r="C214" s="68"/>
    </row>
    <row r="215" spans="1:3">
      <c r="A215" s="68"/>
      <c r="C215" s="68"/>
    </row>
    <row r="216" spans="1:3">
      <c r="A216" s="68"/>
      <c r="C216" s="68"/>
    </row>
    <row r="217" spans="1:3">
      <c r="A217" s="68"/>
      <c r="C217" s="68"/>
    </row>
    <row r="218" spans="1:3">
      <c r="A218" s="68"/>
      <c r="C218" s="68"/>
    </row>
    <row r="219" spans="1:3">
      <c r="A219" s="68"/>
      <c r="C219" s="68"/>
    </row>
    <row r="220" spans="1:3">
      <c r="A220" s="68"/>
      <c r="C220" s="68"/>
    </row>
    <row r="221" spans="1:3">
      <c r="A221" s="68"/>
      <c r="C221" s="68"/>
    </row>
    <row r="222" spans="1:3">
      <c r="A222" s="68"/>
      <c r="C222" s="68"/>
    </row>
    <row r="223" spans="1:3">
      <c r="A223" s="68"/>
      <c r="C223" s="68"/>
    </row>
    <row r="224" spans="1:3">
      <c r="A224" s="68"/>
      <c r="C224" s="68"/>
    </row>
    <row r="225" spans="1:3">
      <c r="A225" s="68"/>
      <c r="C225" s="68"/>
    </row>
    <row r="226" spans="1:3">
      <c r="A226" s="68"/>
      <c r="C226" s="68"/>
    </row>
    <row r="227" spans="1:3">
      <c r="A227" s="68"/>
      <c r="C227" s="68"/>
    </row>
    <row r="228" spans="1:3">
      <c r="A228" s="68"/>
      <c r="C228" s="68"/>
    </row>
    <row r="229" spans="1:3">
      <c r="A229" s="68"/>
      <c r="C229" s="68"/>
    </row>
    <row r="230" spans="1:3">
      <c r="A230" s="68"/>
      <c r="C230" s="68"/>
    </row>
    <row r="231" spans="1:3">
      <c r="A231" s="68"/>
      <c r="C231" s="68"/>
    </row>
    <row r="232" spans="1:3">
      <c r="A232" s="68"/>
      <c r="C232" s="68"/>
    </row>
    <row r="233" spans="1:3">
      <c r="A233" s="68"/>
      <c r="C233" s="68"/>
    </row>
    <row r="234" spans="1:3">
      <c r="A234" s="68"/>
      <c r="C234" s="68"/>
    </row>
    <row r="235" spans="1:3">
      <c r="A235" s="68"/>
    </row>
    <row r="236" spans="1:3">
      <c r="A236" s="68"/>
    </row>
    <row r="237" spans="1:3">
      <c r="A237" s="68"/>
    </row>
    <row r="238" spans="1:3">
      <c r="A238" s="68"/>
    </row>
    <row r="239" spans="1:3">
      <c r="A239" s="68"/>
    </row>
    <row r="240" spans="1:3">
      <c r="A240" s="68"/>
    </row>
    <row r="241" spans="1:1">
      <c r="A241" s="68"/>
    </row>
    <row r="242" spans="1:1">
      <c r="A242" s="68"/>
    </row>
    <row r="243" spans="1:1">
      <c r="A243" s="68"/>
    </row>
    <row r="244" spans="1:1">
      <c r="A244" s="68"/>
    </row>
    <row r="245" spans="1:1">
      <c r="A245" s="68"/>
    </row>
    <row r="246" spans="1:1">
      <c r="A246" s="68"/>
    </row>
    <row r="247" spans="1:1">
      <c r="A247" s="68"/>
    </row>
    <row r="248" spans="1:1">
      <c r="A248" s="68"/>
    </row>
    <row r="249" spans="1:1">
      <c r="A249" s="68"/>
    </row>
    <row r="250" spans="1:1">
      <c r="A250" s="68"/>
    </row>
    <row r="251" spans="1:1">
      <c r="A251" s="68"/>
    </row>
    <row r="252" spans="1:1">
      <c r="A252" s="68"/>
    </row>
    <row r="253" spans="1:1">
      <c r="A253" s="68"/>
    </row>
    <row r="254" spans="1:1">
      <c r="A254" s="68"/>
    </row>
    <row r="255" spans="1:1">
      <c r="A255" s="68"/>
    </row>
    <row r="256" spans="1:1">
      <c r="A256" s="68"/>
    </row>
    <row r="257" spans="1:1">
      <c r="A257" s="68"/>
    </row>
    <row r="258" spans="1:1">
      <c r="A258" s="68"/>
    </row>
    <row r="259" spans="1:1">
      <c r="A259" s="68"/>
    </row>
    <row r="260" spans="1:1">
      <c r="A260" s="68"/>
    </row>
    <row r="261" spans="1:1">
      <c r="A261" s="68"/>
    </row>
    <row r="262" spans="1:1">
      <c r="A262" s="68"/>
    </row>
    <row r="263" spans="1:1">
      <c r="A263" s="68"/>
    </row>
    <row r="264" spans="1:1">
      <c r="A264" s="68"/>
    </row>
    <row r="265" spans="1:1">
      <c r="A265" s="68"/>
    </row>
    <row r="266" spans="1:1">
      <c r="A266" s="68"/>
    </row>
    <row r="267" spans="1:1">
      <c r="A267" s="68"/>
    </row>
    <row r="268" spans="1:1">
      <c r="A268" s="68"/>
    </row>
    <row r="269" spans="1:1">
      <c r="A269" s="68"/>
    </row>
    <row r="270" spans="1:1">
      <c r="A270" s="68"/>
    </row>
    <row r="271" spans="1:1">
      <c r="A271" s="68"/>
    </row>
    <row r="272" spans="1:1">
      <c r="A272" s="68"/>
    </row>
    <row r="273" spans="1:1">
      <c r="A273" s="68"/>
    </row>
    <row r="274" spans="1:1">
      <c r="A274" s="68"/>
    </row>
    <row r="275" spans="1:1">
      <c r="A275" s="68"/>
    </row>
    <row r="276" spans="1:1">
      <c r="A276" s="68"/>
    </row>
    <row r="277" spans="1:1">
      <c r="A277" s="68"/>
    </row>
    <row r="278" spans="1:1">
      <c r="A278" s="68"/>
    </row>
    <row r="279" spans="1:1">
      <c r="A279" s="68"/>
    </row>
    <row r="280" spans="1:1">
      <c r="A280" s="68"/>
    </row>
    <row r="281" spans="1:1">
      <c r="A281" s="68"/>
    </row>
    <row r="282" spans="1:1">
      <c r="A282" s="68"/>
    </row>
    <row r="283" spans="1:1">
      <c r="A283" s="68"/>
    </row>
    <row r="284" spans="1:1">
      <c r="A284" s="68"/>
    </row>
    <row r="285" spans="1:1">
      <c r="A285" s="68"/>
    </row>
    <row r="286" spans="1:1">
      <c r="A286" s="68"/>
    </row>
    <row r="287" spans="1:1">
      <c r="A287" s="68"/>
    </row>
    <row r="288" spans="1:1">
      <c r="A288" s="68"/>
    </row>
    <row r="289" spans="1:1">
      <c r="A289" s="68"/>
    </row>
    <row r="290" spans="1:1">
      <c r="A290" s="68"/>
    </row>
    <row r="291" spans="1:1">
      <c r="A291" s="68"/>
    </row>
    <row r="292" spans="1:1">
      <c r="A292" s="68"/>
    </row>
    <row r="293" spans="1:1">
      <c r="A293" s="68"/>
    </row>
    <row r="294" spans="1:1">
      <c r="A294" s="68"/>
    </row>
    <row r="295" spans="1:1">
      <c r="A295" s="68"/>
    </row>
    <row r="296" spans="1:1">
      <c r="A296" s="68"/>
    </row>
    <row r="297" spans="1:1">
      <c r="A297" s="68"/>
    </row>
    <row r="298" spans="1:1">
      <c r="A298" s="68"/>
    </row>
    <row r="299" spans="1:1">
      <c r="A299" s="68"/>
    </row>
    <row r="300" spans="1:1">
      <c r="A300" s="68"/>
    </row>
    <row r="301" spans="1:1">
      <c r="A301" s="68"/>
    </row>
    <row r="302" spans="1:1">
      <c r="A302" s="68"/>
    </row>
    <row r="303" spans="1:1">
      <c r="A303" s="68"/>
    </row>
    <row r="304" spans="1:1">
      <c r="A304" s="68"/>
    </row>
    <row r="305" spans="1:1">
      <c r="A305" s="68"/>
    </row>
    <row r="306" spans="1:1">
      <c r="A306" s="68"/>
    </row>
    <row r="307" spans="1:1">
      <c r="A307" s="68"/>
    </row>
    <row r="308" spans="1:1">
      <c r="A308" s="68"/>
    </row>
    <row r="309" spans="1:1">
      <c r="A309" s="68"/>
    </row>
    <row r="310" spans="1:1">
      <c r="A310" s="68"/>
    </row>
    <row r="311" spans="1:1">
      <c r="A311" s="68"/>
    </row>
    <row r="312" spans="1:1">
      <c r="A312" s="68"/>
    </row>
    <row r="313" spans="1:1">
      <c r="A313" s="68"/>
    </row>
    <row r="314" spans="1:1">
      <c r="A314" s="68"/>
    </row>
    <row r="315" spans="1:1">
      <c r="A315" s="68"/>
    </row>
    <row r="316" spans="1:1">
      <c r="A316" s="68"/>
    </row>
    <row r="317" spans="1:1">
      <c r="A317" s="68"/>
    </row>
    <row r="318" spans="1:1">
      <c r="A318" s="68"/>
    </row>
    <row r="319" spans="1:1">
      <c r="A319" s="68"/>
    </row>
    <row r="320" spans="1:1">
      <c r="A320" s="68"/>
    </row>
    <row r="321" spans="1:1">
      <c r="A321" s="68"/>
    </row>
    <row r="322" spans="1:1">
      <c r="A322" s="68"/>
    </row>
    <row r="323" spans="1:1">
      <c r="A323" s="68"/>
    </row>
    <row r="324" spans="1:1">
      <c r="A324" s="68"/>
    </row>
    <row r="325" spans="1:1">
      <c r="A325" s="68"/>
    </row>
    <row r="326" spans="1:1">
      <c r="A326" s="68"/>
    </row>
    <row r="327" spans="1:1">
      <c r="A327" s="68"/>
    </row>
    <row r="328" spans="1:1">
      <c r="A328" s="68"/>
    </row>
    <row r="329" spans="1:1">
      <c r="A329" s="68"/>
    </row>
    <row r="330" spans="1:1">
      <c r="A330" s="68"/>
    </row>
    <row r="331" spans="1:1">
      <c r="A331" s="68"/>
    </row>
    <row r="332" spans="1:1">
      <c r="A332" s="68"/>
    </row>
    <row r="333" spans="1:1">
      <c r="A333" s="68"/>
    </row>
    <row r="334" spans="1:1">
      <c r="A334" s="68"/>
    </row>
    <row r="335" spans="1:1">
      <c r="A335" s="68"/>
    </row>
    <row r="336" spans="1:1">
      <c r="A336" s="68"/>
    </row>
    <row r="337" spans="1:1">
      <c r="A337" s="68"/>
    </row>
    <row r="338" spans="1:1">
      <c r="A338" s="68"/>
    </row>
    <row r="339" spans="1:1">
      <c r="A339" s="68"/>
    </row>
    <row r="340" spans="1:1">
      <c r="A340" s="68"/>
    </row>
    <row r="341" spans="1:1">
      <c r="A341" s="68"/>
    </row>
    <row r="342" spans="1:1">
      <c r="A342" s="68"/>
    </row>
    <row r="343" spans="1:1">
      <c r="A343" s="68"/>
    </row>
    <row r="344" spans="1:1">
      <c r="A344" s="68"/>
    </row>
    <row r="345" spans="1:1">
      <c r="A345" s="68"/>
    </row>
    <row r="346" spans="1:1">
      <c r="A346" s="68"/>
    </row>
    <row r="347" spans="1:1">
      <c r="A347" s="68"/>
    </row>
    <row r="348" spans="1:1">
      <c r="A348" s="68"/>
    </row>
    <row r="349" spans="1:1">
      <c r="A349" s="68"/>
    </row>
    <row r="350" spans="1:1">
      <c r="A350" s="68"/>
    </row>
    <row r="351" spans="1:1">
      <c r="A351" s="68"/>
    </row>
    <row r="352" spans="1:1">
      <c r="A352" s="68"/>
    </row>
    <row r="353" spans="1:1">
      <c r="A353" s="68"/>
    </row>
    <row r="354" spans="1:1">
      <c r="A354" s="68"/>
    </row>
    <row r="355" spans="1:1">
      <c r="A355" s="68"/>
    </row>
    <row r="356" spans="1:1">
      <c r="A356" s="68"/>
    </row>
    <row r="357" spans="1:1">
      <c r="A357" s="68"/>
    </row>
    <row r="358" spans="1:1">
      <c r="A358" s="68"/>
    </row>
    <row r="359" spans="1:1">
      <c r="A359" s="68"/>
    </row>
    <row r="360" spans="1:1">
      <c r="A360" s="68"/>
    </row>
    <row r="361" spans="1:1">
      <c r="A361" s="68"/>
    </row>
    <row r="362" spans="1:1">
      <c r="A362" s="68"/>
    </row>
    <row r="363" spans="1:1">
      <c r="A363" s="68"/>
    </row>
    <row r="364" spans="1:1">
      <c r="A364" s="68"/>
    </row>
    <row r="365" spans="1:1">
      <c r="A365" s="68"/>
    </row>
    <row r="366" spans="1:1">
      <c r="A366" s="68"/>
    </row>
    <row r="367" spans="1:1">
      <c r="A367" s="68"/>
    </row>
    <row r="368" spans="1:1">
      <c r="A368" s="68"/>
    </row>
    <row r="369" spans="1:1">
      <c r="A369" s="68"/>
    </row>
    <row r="370" spans="1:1">
      <c r="A370" s="68"/>
    </row>
    <row r="371" spans="1:1">
      <c r="A371" s="68"/>
    </row>
    <row r="372" spans="1:1">
      <c r="A372" s="68"/>
    </row>
    <row r="373" spans="1:1">
      <c r="A373" s="68"/>
    </row>
    <row r="374" spans="1:1">
      <c r="A374" s="68"/>
    </row>
    <row r="375" spans="1:1">
      <c r="A375" s="68"/>
    </row>
    <row r="376" spans="1:1">
      <c r="A376" s="68"/>
    </row>
    <row r="377" spans="1:1">
      <c r="A377" s="68"/>
    </row>
    <row r="378" spans="1:1">
      <c r="A378" s="68"/>
    </row>
    <row r="379" spans="1:1">
      <c r="A379" s="68"/>
    </row>
    <row r="380" spans="1:1">
      <c r="A380" s="68"/>
    </row>
    <row r="381" spans="1:1">
      <c r="A381" s="68"/>
    </row>
    <row r="382" spans="1:1">
      <c r="A382" s="68"/>
    </row>
    <row r="383" spans="1:1">
      <c r="A383" s="68"/>
    </row>
    <row r="384" spans="1:1">
      <c r="A384" s="68"/>
    </row>
    <row r="385" spans="1:1">
      <c r="A385" s="68"/>
    </row>
  </sheetData>
  <mergeCells count="2">
    <mergeCell ref="A3:F3"/>
    <mergeCell ref="A2:F2"/>
  </mergeCells>
  <phoneticPr fontId="0" type="noConversion"/>
  <printOptions horizontalCentered="1"/>
  <pageMargins left="0.74803149606299213" right="0.74803149606299213" top="0.98425196850393704" bottom="0.98425196850393704" header="0" footer="0"/>
  <pageSetup paperSize="5" scale="78" orientation="portrait" r:id="rId1"/>
  <headerFooter alignWithMargins="0"/>
</worksheet>
</file>

<file path=xl/worksheets/sheet3.xml><?xml version="1.0" encoding="utf-8"?>
<worksheet xmlns="http://schemas.openxmlformats.org/spreadsheetml/2006/main" xmlns:r="http://schemas.openxmlformats.org/officeDocument/2006/relationships">
  <sheetPr>
    <tabColor rgb="FF00B050"/>
    <pageSetUpPr fitToPage="1"/>
  </sheetPr>
  <dimension ref="A1:AA99"/>
  <sheetViews>
    <sheetView topLeftCell="A5" zoomScale="90" zoomScaleNormal="90" workbookViewId="0">
      <pane ySplit="1050" activePane="bottomLeft"/>
      <selection activeCell="G15" sqref="G15"/>
      <selection pane="bottomLeft" activeCell="I49" sqref="I49"/>
    </sheetView>
  </sheetViews>
  <sheetFormatPr baseColWidth="10" defaultRowHeight="12.75"/>
  <cols>
    <col min="1" max="1" width="24.85546875" style="82" customWidth="1"/>
    <col min="2" max="2" width="20.140625" style="82" bestFit="1" customWidth="1"/>
    <col min="3" max="3" width="17" style="82" customWidth="1"/>
    <col min="4" max="4" width="14.140625" style="82" customWidth="1"/>
    <col min="5" max="5" width="12.5703125" style="82" customWidth="1"/>
    <col min="6" max="6" width="14.140625" style="82" customWidth="1"/>
    <col min="7" max="7" width="11.7109375" style="82" customWidth="1"/>
    <col min="8" max="8" width="11.85546875" style="82" customWidth="1"/>
    <col min="9" max="9" width="15.28515625" style="82" customWidth="1"/>
    <col min="10" max="10" width="13.28515625" style="82" customWidth="1"/>
    <col min="11" max="11" width="12.5703125" style="82" customWidth="1"/>
    <col min="12" max="12" width="11.85546875" style="82" customWidth="1"/>
    <col min="13" max="13" width="41" style="82" bestFit="1" customWidth="1"/>
    <col min="14" max="14" width="45.28515625" style="82" bestFit="1" customWidth="1"/>
    <col min="15" max="15" width="6.28515625" style="82" customWidth="1"/>
    <col min="16" max="16" width="8.140625" style="82" bestFit="1" customWidth="1"/>
    <col min="17" max="17" width="3.42578125" style="82" customWidth="1"/>
    <col min="18" max="18" width="9.42578125" style="82" customWidth="1"/>
    <col min="19" max="19" width="11" style="82" bestFit="1" customWidth="1"/>
    <col min="20" max="20" width="20.5703125" style="82" bestFit="1" customWidth="1"/>
    <col min="21" max="21" width="10.140625" style="82" bestFit="1" customWidth="1"/>
    <col min="22" max="22" width="5.7109375" style="82" customWidth="1"/>
    <col min="23" max="23" width="8.5703125" style="82" bestFit="1" customWidth="1"/>
    <col min="24" max="16384" width="11.42578125" style="82"/>
  </cols>
  <sheetData>
    <row r="1" spans="1:17">
      <c r="H1" s="218"/>
    </row>
    <row r="2" spans="1:17" ht="15">
      <c r="A2" s="3482" t="s">
        <v>558</v>
      </c>
      <c r="B2" s="3539"/>
      <c r="C2" s="3539"/>
      <c r="D2" s="3539"/>
      <c r="E2" s="3539"/>
      <c r="F2" s="3539"/>
      <c r="G2" s="3539"/>
      <c r="H2" s="3539"/>
      <c r="I2" s="3539"/>
      <c r="J2" s="3539"/>
      <c r="K2" s="3539"/>
      <c r="L2" s="3539"/>
      <c r="M2" s="3540"/>
    </row>
    <row r="3" spans="1:17" ht="15">
      <c r="A3" s="3479" t="s">
        <v>1287</v>
      </c>
      <c r="B3" s="3544"/>
      <c r="C3" s="3544"/>
      <c r="D3" s="3544"/>
      <c r="E3" s="3544"/>
      <c r="F3" s="3544"/>
      <c r="G3" s="3544"/>
      <c r="H3" s="3544"/>
      <c r="I3" s="3544"/>
      <c r="J3" s="3544"/>
      <c r="K3" s="3544"/>
      <c r="L3" s="3544"/>
      <c r="M3" s="3545"/>
    </row>
    <row r="4" spans="1:17" ht="15">
      <c r="A4" s="1"/>
      <c r="B4" s="1"/>
      <c r="C4" s="6"/>
      <c r="D4" s="1"/>
      <c r="E4" s="7"/>
      <c r="F4" s="8"/>
      <c r="G4" s="9"/>
      <c r="H4" s="10"/>
      <c r="I4" s="9"/>
      <c r="J4" s="10"/>
      <c r="K4" s="3541"/>
      <c r="L4" s="3541"/>
      <c r="M4" s="11"/>
    </row>
    <row r="5" spans="1:17" ht="15">
      <c r="A5" s="12"/>
      <c r="B5" s="12"/>
      <c r="C5" s="13"/>
      <c r="D5" s="226"/>
      <c r="E5" s="3542" t="s">
        <v>19</v>
      </c>
      <c r="F5" s="3542"/>
      <c r="G5" s="3542" t="s">
        <v>20</v>
      </c>
      <c r="H5" s="3542"/>
      <c r="I5" s="3542" t="s">
        <v>21</v>
      </c>
      <c r="J5" s="3542"/>
      <c r="K5" s="3543" t="s">
        <v>22</v>
      </c>
      <c r="L5" s="3543"/>
      <c r="M5" s="3542" t="s">
        <v>23</v>
      </c>
    </row>
    <row r="6" spans="1:17" ht="30">
      <c r="A6" s="95" t="s">
        <v>0</v>
      </c>
      <c r="B6" s="95" t="s">
        <v>24</v>
      </c>
      <c r="C6" s="96" t="s">
        <v>2</v>
      </c>
      <c r="D6" s="94" t="s">
        <v>25</v>
      </c>
      <c r="E6" s="96" t="s">
        <v>26</v>
      </c>
      <c r="F6" s="94" t="s">
        <v>27</v>
      </c>
      <c r="G6" s="97" t="s">
        <v>25</v>
      </c>
      <c r="H6" s="96" t="s">
        <v>28</v>
      </c>
      <c r="I6" s="97" t="s">
        <v>25</v>
      </c>
      <c r="J6" s="96" t="s">
        <v>28</v>
      </c>
      <c r="K6" s="94" t="s">
        <v>25</v>
      </c>
      <c r="L6" s="94" t="s">
        <v>28</v>
      </c>
      <c r="M6" s="3546"/>
    </row>
    <row r="7" spans="1:17" s="1489" customFormat="1" ht="15">
      <c r="A7" s="3548" t="s">
        <v>8</v>
      </c>
      <c r="B7" s="3535" t="s">
        <v>15</v>
      </c>
      <c r="C7" s="3508">
        <f>SUM(E7:E8)</f>
        <v>93183</v>
      </c>
      <c r="D7" s="3076" t="s">
        <v>605</v>
      </c>
      <c r="E7" s="2390">
        <v>74009</v>
      </c>
      <c r="F7" s="2475">
        <f>+E7</f>
        <v>74009</v>
      </c>
      <c r="G7" s="2020">
        <f>+SUM(Anchoveta!AJ7:AJ12)</f>
        <v>65828.751000000004</v>
      </c>
      <c r="H7" s="3554">
        <f>SUM(G7:G8)</f>
        <v>92456.686000000002</v>
      </c>
      <c r="I7" s="2021">
        <f t="shared" ref="I7:I33" si="0">+F7-G7</f>
        <v>8180.2489999999962</v>
      </c>
      <c r="J7" s="3552">
        <f>C7-H7</f>
        <v>726.31399999999849</v>
      </c>
      <c r="K7" s="2022">
        <f t="shared" ref="K7" si="1">1-G7/F7</f>
        <v>0.11053046251131615</v>
      </c>
      <c r="L7" s="3533">
        <f>1-H7/C7</f>
        <v>7.7944904113410596E-3</v>
      </c>
      <c r="M7" s="2023">
        <v>41404</v>
      </c>
      <c r="N7" s="2628" t="s">
        <v>1156</v>
      </c>
      <c r="O7" s="2628"/>
      <c r="P7" s="2628"/>
      <c r="Q7" s="2928"/>
    </row>
    <row r="8" spans="1:17" s="1489" customFormat="1" ht="15">
      <c r="A8" s="3549"/>
      <c r="B8" s="3536"/>
      <c r="C8" s="3509"/>
      <c r="D8" s="2475" t="s">
        <v>29</v>
      </c>
      <c r="E8" s="2390">
        <f>11124+8050</f>
        <v>19174</v>
      </c>
      <c r="F8" s="2024">
        <f>+E8+I7</f>
        <v>27354.248999999996</v>
      </c>
      <c r="G8" s="2020">
        <f>+SUM(Anchoveta!AJ13:AJ18)</f>
        <v>26627.934999999998</v>
      </c>
      <c r="H8" s="3555"/>
      <c r="I8" s="2021">
        <f t="shared" si="0"/>
        <v>726.31399999999849</v>
      </c>
      <c r="J8" s="3553"/>
      <c r="K8" s="2022">
        <f>1-G8/F8</f>
        <v>2.6552145518599302E-2</v>
      </c>
      <c r="L8" s="3534"/>
      <c r="M8" s="2025">
        <v>41548</v>
      </c>
      <c r="N8" s="1443"/>
      <c r="O8" s="1775"/>
    </row>
    <row r="9" spans="1:17" ht="15">
      <c r="A9" s="3535" t="s">
        <v>8</v>
      </c>
      <c r="B9" s="3535" t="s">
        <v>11</v>
      </c>
      <c r="C9" s="3550">
        <f>SUM(E9:E10)</f>
        <v>32183</v>
      </c>
      <c r="D9" s="2475" t="s">
        <v>605</v>
      </c>
      <c r="E9" s="2390">
        <v>24137</v>
      </c>
      <c r="F9" s="2475">
        <f>+E9</f>
        <v>24137</v>
      </c>
      <c r="G9" s="2020">
        <f>+SUM(Anchoveta!B23:B29)</f>
        <v>8307.2740000000013</v>
      </c>
      <c r="H9" s="3554">
        <f>SUM(G9:G10)</f>
        <v>19670.587</v>
      </c>
      <c r="I9" s="2021">
        <f t="shared" ref="I9:I10" si="2">+F9-G9</f>
        <v>15829.725999999999</v>
      </c>
      <c r="J9" s="3552">
        <f>C9-H9</f>
        <v>12512.413</v>
      </c>
      <c r="K9" s="2022">
        <f t="shared" ref="K9:K10" si="3">1-G9/F9</f>
        <v>0.65582823051746275</v>
      </c>
      <c r="L9" s="3533">
        <f>1-H9/C9</f>
        <v>0.38878951620420721</v>
      </c>
      <c r="M9" s="2027"/>
      <c r="N9" s="1393"/>
    </row>
    <row r="10" spans="1:17" ht="15">
      <c r="A10" s="3536"/>
      <c r="B10" s="3536"/>
      <c r="C10" s="3551"/>
      <c r="D10" s="2475" t="s">
        <v>29</v>
      </c>
      <c r="E10" s="2390">
        <v>8046</v>
      </c>
      <c r="F10" s="2024">
        <f>+E10+I9</f>
        <v>23875.725999999999</v>
      </c>
      <c r="G10" s="2020">
        <f>+SUM(Anchoveta!B30:B35)</f>
        <v>11363.312999999998</v>
      </c>
      <c r="H10" s="3555"/>
      <c r="I10" s="2021">
        <f t="shared" si="2"/>
        <v>12512.413</v>
      </c>
      <c r="J10" s="3553"/>
      <c r="K10" s="2022">
        <f t="shared" si="3"/>
        <v>0.52406418971301649</v>
      </c>
      <c r="L10" s="3534"/>
      <c r="M10" s="2028"/>
      <c r="N10" s="1489"/>
    </row>
    <row r="11" spans="1:17" ht="15">
      <c r="A11" s="3547" t="s">
        <v>8</v>
      </c>
      <c r="B11" s="3547" t="s">
        <v>6</v>
      </c>
      <c r="C11" s="3513">
        <f>SUM(E11:E12)</f>
        <v>20225</v>
      </c>
      <c r="D11" s="2475" t="s">
        <v>606</v>
      </c>
      <c r="E11" s="2475">
        <v>19214</v>
      </c>
      <c r="F11" s="2475">
        <f>+E11</f>
        <v>19214</v>
      </c>
      <c r="G11" s="2020">
        <f>+SUM(Anchoveta!B40:B49)</f>
        <v>16878.236000000001</v>
      </c>
      <c r="H11" s="3514">
        <f>SUM(G11:G12)</f>
        <v>16881.181</v>
      </c>
      <c r="I11" s="2026">
        <f t="shared" si="0"/>
        <v>2335.7639999999992</v>
      </c>
      <c r="J11" s="3515">
        <f>C11-H11</f>
        <v>3343.8189999999995</v>
      </c>
      <c r="K11" s="2022">
        <f t="shared" ref="K11:K33" si="4">1-G11/F11</f>
        <v>0.12156573331945453</v>
      </c>
      <c r="L11" s="3516">
        <f>1-H11/C11</f>
        <v>0.16533097651421502</v>
      </c>
      <c r="M11" s="2029"/>
      <c r="N11" s="1393"/>
    </row>
    <row r="12" spans="1:17" ht="15">
      <c r="A12" s="3547"/>
      <c r="B12" s="3547"/>
      <c r="C12" s="3513">
        <f>SUM(E12:E13)</f>
        <v>9247</v>
      </c>
      <c r="D12" s="2475" t="s">
        <v>31</v>
      </c>
      <c r="E12" s="2475">
        <v>1011</v>
      </c>
      <c r="F12" s="2024">
        <f>+E12+I11</f>
        <v>3346.7639999999992</v>
      </c>
      <c r="G12" s="2030">
        <f>+SUM(Anchoveta!B50:B51)</f>
        <v>2.9449999999999998</v>
      </c>
      <c r="H12" s="3514">
        <f>SUM(G12:G13)</f>
        <v>7584.7129999999997</v>
      </c>
      <c r="I12" s="2026">
        <f t="shared" si="0"/>
        <v>3343.8189999999991</v>
      </c>
      <c r="J12" s="3515">
        <f t="shared" ref="J12" si="5">+C12-H12</f>
        <v>1662.2870000000003</v>
      </c>
      <c r="K12" s="2022">
        <f t="shared" si="4"/>
        <v>0.99912004551262057</v>
      </c>
      <c r="L12" s="3516"/>
      <c r="M12" s="2028"/>
    </row>
    <row r="13" spans="1:17" ht="15">
      <c r="A13" s="3511" t="s">
        <v>8</v>
      </c>
      <c r="B13" s="3511" t="s">
        <v>574</v>
      </c>
      <c r="C13" s="3517">
        <f>SUM(E13:E14)</f>
        <v>8669</v>
      </c>
      <c r="D13" s="2470" t="s">
        <v>606</v>
      </c>
      <c r="E13" s="2470">
        <v>8236</v>
      </c>
      <c r="F13" s="2031">
        <f>+E13</f>
        <v>8236</v>
      </c>
      <c r="G13" s="2034">
        <f>+'Resumen RAE Anchoveta'!F10</f>
        <v>7581.768</v>
      </c>
      <c r="H13" s="3518">
        <f>SUM(G13:G14)</f>
        <v>7681.9350000000004</v>
      </c>
      <c r="I13" s="2032">
        <f t="shared" ref="I13:I14" si="6">+F13-G13</f>
        <v>654.23199999999997</v>
      </c>
      <c r="J13" s="3519">
        <f>C13-H13</f>
        <v>987.0649999999996</v>
      </c>
      <c r="K13" s="2022">
        <f t="shared" ref="K13:K14" si="7">1-G13/F13</f>
        <v>7.9435648372996548E-2</v>
      </c>
      <c r="L13" s="3520">
        <f>1-H13/C13</f>
        <v>0.1138614603760526</v>
      </c>
      <c r="M13" s="2033"/>
    </row>
    <row r="14" spans="1:17" ht="15">
      <c r="A14" s="3511"/>
      <c r="B14" s="3511"/>
      <c r="C14" s="3517">
        <f t="shared" ref="C14" si="8">SUM(E14:E16)</f>
        <v>5782</v>
      </c>
      <c r="D14" s="2470" t="s">
        <v>31</v>
      </c>
      <c r="E14" s="2470">
        <v>433</v>
      </c>
      <c r="F14" s="2031">
        <f>+E14+I13</f>
        <v>1087.232</v>
      </c>
      <c r="G14" s="2034">
        <f>+'Resumen RAE Anchoveta'!F16</f>
        <v>100.16700000000002</v>
      </c>
      <c r="H14" s="3518">
        <f t="shared" ref="H14" si="9">SUM(G14:G16)</f>
        <v>4550.1580000000004</v>
      </c>
      <c r="I14" s="2032">
        <f t="shared" si="6"/>
        <v>987.06499999999994</v>
      </c>
      <c r="J14" s="3519">
        <f t="shared" ref="J14" si="10">+C14-H14</f>
        <v>1231.8419999999996</v>
      </c>
      <c r="K14" s="2022">
        <f t="shared" si="7"/>
        <v>0.90786970950082413</v>
      </c>
      <c r="L14" s="3520"/>
      <c r="M14" s="2033"/>
    </row>
    <row r="15" spans="1:17" ht="15">
      <c r="A15" s="3511" t="s">
        <v>8</v>
      </c>
      <c r="B15" s="3512" t="s">
        <v>575</v>
      </c>
      <c r="C15" s="3517">
        <f>SUM(E15:E17)</f>
        <v>5630</v>
      </c>
      <c r="D15" s="2035" t="s">
        <v>32</v>
      </c>
      <c r="E15" s="2470">
        <v>4786</v>
      </c>
      <c r="F15" s="2470">
        <f>+E15</f>
        <v>4786</v>
      </c>
      <c r="G15" s="2034">
        <f>+SUM('Resumen RAE Anchoveta'!F23)</f>
        <v>4139.884</v>
      </c>
      <c r="H15" s="3518">
        <f>SUM(G15:G17)</f>
        <v>4449.991</v>
      </c>
      <c r="I15" s="2036">
        <f t="shared" ref="I15:I17" si="11">+F15-G15</f>
        <v>646.11599999999999</v>
      </c>
      <c r="J15" s="3519">
        <f>+C15-H15</f>
        <v>1180.009</v>
      </c>
      <c r="K15" s="2022">
        <f t="shared" ref="K15:K17" si="12">1-G15/F15</f>
        <v>0.13500125365649807</v>
      </c>
      <c r="L15" s="3520">
        <f>1-H15/C15</f>
        <v>0.20959307282415629</v>
      </c>
      <c r="M15" s="2037"/>
    </row>
    <row r="16" spans="1:17" ht="15">
      <c r="A16" s="3511"/>
      <c r="B16" s="3512"/>
      <c r="C16" s="3517"/>
      <c r="D16" s="2035" t="s">
        <v>33</v>
      </c>
      <c r="E16" s="2470">
        <v>563</v>
      </c>
      <c r="F16" s="2470">
        <f>+E16+I15</f>
        <v>1209.116</v>
      </c>
      <c r="G16" s="2034">
        <f>+SUM('Resumen RAE Anchoveta'!F28)</f>
        <v>310.10700000000003</v>
      </c>
      <c r="H16" s="3518"/>
      <c r="I16" s="2036">
        <f t="shared" si="11"/>
        <v>899.00900000000001</v>
      </c>
      <c r="J16" s="3519"/>
      <c r="K16" s="2022">
        <f t="shared" si="12"/>
        <v>0.74352584863652449</v>
      </c>
      <c r="L16" s="3520"/>
      <c r="M16" s="2033"/>
    </row>
    <row r="17" spans="1:16" ht="15">
      <c r="A17" s="3511"/>
      <c r="B17" s="3512"/>
      <c r="C17" s="3517"/>
      <c r="D17" s="1836" t="s">
        <v>34</v>
      </c>
      <c r="E17" s="2470">
        <v>281</v>
      </c>
      <c r="F17" s="2031">
        <f>+E17+I16</f>
        <v>1180.009</v>
      </c>
      <c r="G17" s="2038">
        <f>+SUM('Resumen RAE Anchoveta'!F33)</f>
        <v>0</v>
      </c>
      <c r="H17" s="3518"/>
      <c r="I17" s="2036">
        <f t="shared" si="11"/>
        <v>1180.009</v>
      </c>
      <c r="J17" s="3519"/>
      <c r="K17" s="2022">
        <f t="shared" si="12"/>
        <v>1</v>
      </c>
      <c r="L17" s="3520"/>
      <c r="M17" s="2033"/>
    </row>
    <row r="18" spans="1:16" s="1489" customFormat="1" ht="15">
      <c r="A18" s="3547" t="s">
        <v>8</v>
      </c>
      <c r="B18" s="3510" t="s">
        <v>17</v>
      </c>
      <c r="C18" s="3513">
        <f>SUM(E18:E20)</f>
        <v>36</v>
      </c>
      <c r="D18" s="2039" t="s">
        <v>32</v>
      </c>
      <c r="E18" s="2475">
        <v>30</v>
      </c>
      <c r="F18" s="2475">
        <f>+E18</f>
        <v>30</v>
      </c>
      <c r="G18" s="2020">
        <f>+SUM(Anchoveta!B89:B92)</f>
        <v>0</v>
      </c>
      <c r="H18" s="3514">
        <f>SUM(G18:G20)</f>
        <v>0</v>
      </c>
      <c r="I18" s="2026">
        <f t="shared" si="0"/>
        <v>30</v>
      </c>
      <c r="J18" s="3515">
        <f>+C18-H18</f>
        <v>36</v>
      </c>
      <c r="K18" s="2022">
        <f t="shared" si="4"/>
        <v>1</v>
      </c>
      <c r="L18" s="3516">
        <f>1-H18/C18</f>
        <v>1</v>
      </c>
      <c r="M18" s="2028"/>
    </row>
    <row r="19" spans="1:16" s="1489" customFormat="1" ht="15">
      <c r="A19" s="3547"/>
      <c r="B19" s="3510"/>
      <c r="C19" s="3513"/>
      <c r="D19" s="2039" t="s">
        <v>33</v>
      </c>
      <c r="E19" s="2475">
        <v>4</v>
      </c>
      <c r="F19" s="2475">
        <f>+E19+I18</f>
        <v>34</v>
      </c>
      <c r="G19" s="2020">
        <f>+SUM(Anchoveta!B93:B96)</f>
        <v>0</v>
      </c>
      <c r="H19" s="3514"/>
      <c r="I19" s="2026">
        <f t="shared" si="0"/>
        <v>34</v>
      </c>
      <c r="J19" s="3515"/>
      <c r="K19" s="2022">
        <f t="shared" si="4"/>
        <v>1</v>
      </c>
      <c r="L19" s="3516"/>
      <c r="M19" s="2028"/>
    </row>
    <row r="20" spans="1:16" s="1489" customFormat="1" ht="15">
      <c r="A20" s="3547"/>
      <c r="B20" s="3510"/>
      <c r="C20" s="3513"/>
      <c r="D20" s="1831" t="s">
        <v>34</v>
      </c>
      <c r="E20" s="2475">
        <v>2</v>
      </c>
      <c r="F20" s="2475">
        <f>+E20+I19</f>
        <v>36</v>
      </c>
      <c r="G20" s="2020">
        <f>+SUM(Anchoveta!B97:B100)</f>
        <v>0</v>
      </c>
      <c r="H20" s="3514"/>
      <c r="I20" s="2026">
        <f t="shared" si="0"/>
        <v>36</v>
      </c>
      <c r="J20" s="3515"/>
      <c r="K20" s="2022">
        <f t="shared" si="4"/>
        <v>1</v>
      </c>
      <c r="L20" s="3516"/>
      <c r="M20" s="2028"/>
    </row>
    <row r="21" spans="1:16" ht="15">
      <c r="A21" s="3565" t="s">
        <v>8</v>
      </c>
      <c r="B21" s="3512" t="s">
        <v>591</v>
      </c>
      <c r="C21" s="3517">
        <f>SUM(E21:E23)</f>
        <v>602</v>
      </c>
      <c r="D21" s="3073" t="s">
        <v>32</v>
      </c>
      <c r="E21" s="2470">
        <v>512</v>
      </c>
      <c r="F21" s="2470">
        <f>+E21</f>
        <v>512</v>
      </c>
      <c r="G21" s="2034">
        <f>+SUM('Resumen RAE Anchoveta'!F41)</f>
        <v>812.15300000000002</v>
      </c>
      <c r="H21" s="3518">
        <f>SUM(G21:G23)</f>
        <v>812.18799999999999</v>
      </c>
      <c r="I21" s="2040">
        <f t="shared" si="0"/>
        <v>-300.15300000000002</v>
      </c>
      <c r="J21" s="3523">
        <f>+C21-H21</f>
        <v>-210.18799999999999</v>
      </c>
      <c r="K21" s="2022">
        <f t="shared" si="4"/>
        <v>-0.58623632812500004</v>
      </c>
      <c r="L21" s="3522">
        <f>1-H21/C21</f>
        <v>-0.34914950166112946</v>
      </c>
      <c r="M21" s="2620" t="s">
        <v>955</v>
      </c>
    </row>
    <row r="22" spans="1:16" ht="15">
      <c r="A22" s="3565"/>
      <c r="B22" s="3512"/>
      <c r="C22" s="3517"/>
      <c r="D22" s="3073" t="s">
        <v>33</v>
      </c>
      <c r="E22" s="2470">
        <v>60</v>
      </c>
      <c r="F22" s="2470">
        <f>+E22+I21</f>
        <v>-240.15300000000002</v>
      </c>
      <c r="G22" s="2034">
        <f>+SUM('Resumen RAE Anchoveta'!F47)</f>
        <v>3.5000000000000003E-2</v>
      </c>
      <c r="H22" s="3518"/>
      <c r="I22" s="2040">
        <f t="shared" si="0"/>
        <v>-240.18800000000002</v>
      </c>
      <c r="J22" s="3523"/>
      <c r="K22" s="2022">
        <f t="shared" si="4"/>
        <v>1.0001457404238132</v>
      </c>
      <c r="L22" s="3522"/>
      <c r="M22" s="2041"/>
    </row>
    <row r="23" spans="1:16" ht="15">
      <c r="A23" s="3565"/>
      <c r="B23" s="3512"/>
      <c r="C23" s="3517"/>
      <c r="D23" s="3077" t="s">
        <v>34</v>
      </c>
      <c r="E23" s="2470">
        <v>30</v>
      </c>
      <c r="F23" s="2470">
        <f>+E23+I22</f>
        <v>-210.18800000000002</v>
      </c>
      <c r="G23" s="2034">
        <f>+SUM('Resumen RAE Anchoveta'!F53)</f>
        <v>0</v>
      </c>
      <c r="H23" s="3518"/>
      <c r="I23" s="2040">
        <f t="shared" si="0"/>
        <v>-210.18800000000002</v>
      </c>
      <c r="J23" s="3523"/>
      <c r="K23" s="2022">
        <f t="shared" si="4"/>
        <v>1</v>
      </c>
      <c r="L23" s="3522"/>
      <c r="M23" s="2041"/>
    </row>
    <row r="24" spans="1:16" ht="15">
      <c r="A24" s="3511" t="s">
        <v>8</v>
      </c>
      <c r="B24" s="3512" t="s">
        <v>576</v>
      </c>
      <c r="C24" s="3517">
        <f>SUM(E24:E25)</f>
        <v>46810</v>
      </c>
      <c r="D24" s="2035" t="s">
        <v>35</v>
      </c>
      <c r="E24" s="2470">
        <f>44546-80</f>
        <v>44466</v>
      </c>
      <c r="F24" s="2470">
        <f>+E24</f>
        <v>44466</v>
      </c>
      <c r="G24" s="2034">
        <f>+SUM('Resumen RAE Anchoveta'!F121)</f>
        <v>22443.053999999996</v>
      </c>
      <c r="H24" s="3518">
        <f>SUM(G24:G25)</f>
        <v>22975.720999999998</v>
      </c>
      <c r="I24" s="2040">
        <f t="shared" si="0"/>
        <v>22022.946000000004</v>
      </c>
      <c r="J24" s="3523">
        <f>+C24-H24</f>
        <v>23834.279000000002</v>
      </c>
      <c r="K24" s="2022">
        <f>1-G24/F24</f>
        <v>0.4952760761030901</v>
      </c>
      <c r="L24" s="3522">
        <f>1-H24/C24</f>
        <v>0.50917066866054261</v>
      </c>
      <c r="M24" s="2041"/>
      <c r="N24" s="115"/>
    </row>
    <row r="25" spans="1:16" ht="15">
      <c r="A25" s="3511"/>
      <c r="B25" s="3512"/>
      <c r="C25" s="3517"/>
      <c r="D25" s="2035" t="s">
        <v>36</v>
      </c>
      <c r="E25" s="2470">
        <v>2344</v>
      </c>
      <c r="F25" s="2031">
        <f>+E25+I24</f>
        <v>24366.946000000004</v>
      </c>
      <c r="G25" s="2034">
        <f>+SUM('Resumen RAE Anchoveta'!F187)</f>
        <v>532.66700000000003</v>
      </c>
      <c r="H25" s="3518"/>
      <c r="I25" s="2040">
        <f t="shared" si="0"/>
        <v>23834.279000000002</v>
      </c>
      <c r="J25" s="3523"/>
      <c r="K25" s="2022">
        <f t="shared" si="4"/>
        <v>0.97813977180398393</v>
      </c>
      <c r="L25" s="3522"/>
      <c r="M25" s="2033"/>
      <c r="N25" s="115"/>
      <c r="O25" s="218"/>
    </row>
    <row r="26" spans="1:16" s="1489" customFormat="1" ht="15">
      <c r="A26" s="3547" t="s">
        <v>8</v>
      </c>
      <c r="B26" s="3510" t="s">
        <v>12</v>
      </c>
      <c r="C26" s="3513">
        <f>SUM(E26:E28)</f>
        <v>1124</v>
      </c>
      <c r="D26" s="2039" t="s">
        <v>32</v>
      </c>
      <c r="E26" s="2475">
        <v>956</v>
      </c>
      <c r="F26" s="2475">
        <f>+E26</f>
        <v>956</v>
      </c>
      <c r="G26" s="2020">
        <f>+SUM(Anchoveta!B138:B141)</f>
        <v>182.22299999999998</v>
      </c>
      <c r="H26" s="3514">
        <f>SUM(G26:G28)</f>
        <v>229.29500000000002</v>
      </c>
      <c r="I26" s="2026">
        <f t="shared" si="0"/>
        <v>773.77700000000004</v>
      </c>
      <c r="J26" s="3515">
        <f>+C26-H26</f>
        <v>894.70499999999993</v>
      </c>
      <c r="K26" s="2022">
        <f t="shared" si="4"/>
        <v>0.8093901673640167</v>
      </c>
      <c r="L26" s="3516">
        <f>1-H26/C26</f>
        <v>0.79600088967971527</v>
      </c>
      <c r="M26" s="2025"/>
    </row>
    <row r="27" spans="1:16" s="1489" customFormat="1" ht="15">
      <c r="A27" s="3547"/>
      <c r="B27" s="3510"/>
      <c r="C27" s="3513"/>
      <c r="D27" s="2039" t="s">
        <v>33</v>
      </c>
      <c r="E27" s="2475">
        <v>112</v>
      </c>
      <c r="F27" s="2475">
        <f>+E27+I26</f>
        <v>885.77700000000004</v>
      </c>
      <c r="G27" s="2020">
        <f>+SUM(Anchoveta!B142:B145)</f>
        <v>5.8</v>
      </c>
      <c r="H27" s="3514"/>
      <c r="I27" s="2026">
        <f t="shared" si="0"/>
        <v>879.97700000000009</v>
      </c>
      <c r="J27" s="3515"/>
      <c r="K27" s="2022">
        <f t="shared" si="4"/>
        <v>0.99345207653845158</v>
      </c>
      <c r="L27" s="3516"/>
      <c r="M27" s="2045"/>
    </row>
    <row r="28" spans="1:16" s="1489" customFormat="1" ht="15">
      <c r="A28" s="3547"/>
      <c r="B28" s="3510"/>
      <c r="C28" s="3513"/>
      <c r="D28" s="1831" t="s">
        <v>34</v>
      </c>
      <c r="E28" s="2475">
        <v>56</v>
      </c>
      <c r="F28" s="2475">
        <f>+E28+I27</f>
        <v>935.97700000000009</v>
      </c>
      <c r="G28" s="2020">
        <f>+SUM(Anchoveta!B146:B149)</f>
        <v>41.272000000000006</v>
      </c>
      <c r="H28" s="3514"/>
      <c r="I28" s="2026">
        <f t="shared" si="0"/>
        <v>894.70500000000004</v>
      </c>
      <c r="J28" s="3515"/>
      <c r="K28" s="2022">
        <f t="shared" si="4"/>
        <v>0.95590489937252732</v>
      </c>
      <c r="L28" s="3516"/>
      <c r="M28" s="2029"/>
      <c r="N28" s="1443"/>
      <c r="O28" s="1443"/>
      <c r="P28" s="1443"/>
    </row>
    <row r="29" spans="1:16" ht="15">
      <c r="A29" s="3511" t="s">
        <v>8</v>
      </c>
      <c r="B29" s="3512" t="s">
        <v>582</v>
      </c>
      <c r="C29" s="3517">
        <f>SUM(E29:E31)</f>
        <v>6773</v>
      </c>
      <c r="D29" s="2035" t="s">
        <v>32</v>
      </c>
      <c r="E29" s="2470">
        <v>5757</v>
      </c>
      <c r="F29" s="2470">
        <f>+E29</f>
        <v>5757</v>
      </c>
      <c r="G29" s="2034">
        <f>+SUM('Resumen RAE Anchoveta'!F209)</f>
        <v>708.53200000000004</v>
      </c>
      <c r="H29" s="3518">
        <f>SUM(G29:G31)</f>
        <v>2751.1160000000004</v>
      </c>
      <c r="I29" s="2036">
        <f t="shared" ref="I29:I31" si="13">+F29-G29</f>
        <v>5048.4679999999998</v>
      </c>
      <c r="J29" s="3519">
        <f>+C29-H29</f>
        <v>4021.8839999999996</v>
      </c>
      <c r="K29" s="2022">
        <f t="shared" ref="K29:K31" si="14">1-G29/F29</f>
        <v>0.87692687163453187</v>
      </c>
      <c r="L29" s="3520">
        <f>1-H29/C29</f>
        <v>0.59381130961169348</v>
      </c>
      <c r="M29" s="2041"/>
    </row>
    <row r="30" spans="1:16" ht="15">
      <c r="A30" s="3511"/>
      <c r="B30" s="3512"/>
      <c r="C30" s="3517"/>
      <c r="D30" s="2035" t="s">
        <v>33</v>
      </c>
      <c r="E30" s="2470">
        <v>677</v>
      </c>
      <c r="F30" s="2470">
        <f>+E30+I29</f>
        <v>5725.4679999999998</v>
      </c>
      <c r="G30" s="2034">
        <f>+SUM('Resumen RAE Anchoveta'!F229)</f>
        <v>1472.0550000000003</v>
      </c>
      <c r="H30" s="3518"/>
      <c r="I30" s="2036">
        <f t="shared" si="13"/>
        <v>4253.4129999999996</v>
      </c>
      <c r="J30" s="3519"/>
      <c r="K30" s="2022">
        <f t="shared" si="14"/>
        <v>0.74289350669674503</v>
      </c>
      <c r="L30" s="3520"/>
      <c r="M30" s="2046"/>
      <c r="N30" s="115"/>
      <c r="O30" s="115"/>
      <c r="P30" s="115"/>
    </row>
    <row r="31" spans="1:16" ht="15">
      <c r="A31" s="3511"/>
      <c r="B31" s="3512"/>
      <c r="C31" s="3517"/>
      <c r="D31" s="1836" t="s">
        <v>34</v>
      </c>
      <c r="E31" s="2470">
        <v>339</v>
      </c>
      <c r="F31" s="2470">
        <f>+E31+I30</f>
        <v>4592.4129999999996</v>
      </c>
      <c r="G31" s="2034">
        <f>+SUM('Resumen RAE Anchoveta'!F249)</f>
        <v>570.529</v>
      </c>
      <c r="H31" s="3518"/>
      <c r="I31" s="2036">
        <f t="shared" si="13"/>
        <v>4021.8839999999996</v>
      </c>
      <c r="J31" s="3519"/>
      <c r="K31" s="2022">
        <f t="shared" si="14"/>
        <v>0.87576705318097481</v>
      </c>
      <c r="L31" s="3520"/>
      <c r="M31" s="2047"/>
      <c r="N31" s="106"/>
      <c r="O31" s="106"/>
      <c r="P31" s="106"/>
    </row>
    <row r="32" spans="1:16" ht="15">
      <c r="A32" s="3511" t="s">
        <v>8</v>
      </c>
      <c r="B32" s="3512" t="s">
        <v>37</v>
      </c>
      <c r="C32" s="3517">
        <f>SUM(E32:E33)</f>
        <v>4173</v>
      </c>
      <c r="D32" s="2035" t="s">
        <v>38</v>
      </c>
      <c r="E32" s="2470">
        <v>3338</v>
      </c>
      <c r="F32" s="2470">
        <f>+E32</f>
        <v>3338</v>
      </c>
      <c r="G32" s="2034">
        <f>+SUM('Resumen RAE Anchoveta'!F266)</f>
        <v>96.712999999999994</v>
      </c>
      <c r="H32" s="3518">
        <f>SUM(G32:G33)</f>
        <v>593.54399999999998</v>
      </c>
      <c r="I32" s="2036">
        <f t="shared" si="0"/>
        <v>3241.2869999999998</v>
      </c>
      <c r="J32" s="3519">
        <f>+C32-H32</f>
        <v>3579.4560000000001</v>
      </c>
      <c r="K32" s="2022">
        <f t="shared" si="4"/>
        <v>0.97102666267225879</v>
      </c>
      <c r="L32" s="3520">
        <f>1-H32/C32</f>
        <v>0.85776563623292601</v>
      </c>
      <c r="M32" s="2033"/>
    </row>
    <row r="33" spans="1:25" ht="15.75" thickBot="1">
      <c r="A33" s="3511"/>
      <c r="B33" s="3512"/>
      <c r="C33" s="3517"/>
      <c r="D33" s="2035" t="s">
        <v>39</v>
      </c>
      <c r="E33" s="3009">
        <v>835</v>
      </c>
      <c r="F33" s="2031">
        <f>+E33+I32</f>
        <v>4076.2869999999998</v>
      </c>
      <c r="G33" s="2034">
        <f>+SUM('Resumen RAE Anchoveta'!F281)</f>
        <v>496.83099999999996</v>
      </c>
      <c r="H33" s="3518"/>
      <c r="I33" s="2036">
        <f t="shared" si="0"/>
        <v>3579.4559999999997</v>
      </c>
      <c r="J33" s="3519"/>
      <c r="K33" s="2022">
        <f t="shared" si="4"/>
        <v>0.87811677637026053</v>
      </c>
      <c r="L33" s="3520"/>
      <c r="M33" s="2033"/>
      <c r="T33" s="1311" t="s">
        <v>1283</v>
      </c>
    </row>
    <row r="34" spans="1:25" s="1489" customFormat="1" ht="15.75">
      <c r="A34" s="3501" t="s">
        <v>40</v>
      </c>
      <c r="B34" s="3501" t="s">
        <v>15</v>
      </c>
      <c r="C34" s="3521">
        <f t="shared" ref="C34:C42" si="15">SUM(E34:E35)</f>
        <v>916.5</v>
      </c>
      <c r="D34" s="3002" t="s">
        <v>607</v>
      </c>
      <c r="E34" s="3081">
        <v>870.5</v>
      </c>
      <c r="F34" s="3004">
        <f>+E34</f>
        <v>870.5</v>
      </c>
      <c r="G34" s="2050">
        <f>+SUM(Jurel!B7:B15)</f>
        <v>0.85600000000000009</v>
      </c>
      <c r="H34" s="3502">
        <f t="shared" ref="H34:H42" si="16">SUM(G34:G35)</f>
        <v>7.1479999999999997</v>
      </c>
      <c r="I34" s="2048">
        <f t="shared" ref="I34:I39" si="17">+F34-G34</f>
        <v>869.64400000000001</v>
      </c>
      <c r="J34" s="3504">
        <f t="shared" ref="J34:J35" si="18">+C34-H34</f>
        <v>909.35199999999998</v>
      </c>
      <c r="K34" s="2022">
        <f t="shared" ref="K34:K39" si="19">1-G34/F34</f>
        <v>0.99901665709362431</v>
      </c>
      <c r="L34" s="3495">
        <f>1-H34/C34</f>
        <v>0.99220076377523181</v>
      </c>
      <c r="M34" s="2049"/>
      <c r="N34" s="1443"/>
      <c r="O34" s="3409" t="s">
        <v>1280</v>
      </c>
      <c r="P34" s="3398">
        <f>+G34+G35</f>
        <v>7.1479999999999997</v>
      </c>
      <c r="R34" s="3412" t="s">
        <v>1274</v>
      </c>
      <c r="S34" s="3412" t="s">
        <v>1275</v>
      </c>
      <c r="T34" s="3412" t="s">
        <v>1276</v>
      </c>
      <c r="U34" s="3412" t="s">
        <v>1277</v>
      </c>
      <c r="V34" s="3412" t="s">
        <v>1278</v>
      </c>
      <c r="W34" s="3412" t="s">
        <v>1279</v>
      </c>
    </row>
    <row r="35" spans="1:25" s="1489" customFormat="1" ht="15.75">
      <c r="A35" s="3501"/>
      <c r="B35" s="3501"/>
      <c r="C35" s="3521">
        <f t="shared" si="15"/>
        <v>916.5</v>
      </c>
      <c r="D35" s="3002" t="s">
        <v>41</v>
      </c>
      <c r="E35" s="3082">
        <v>46</v>
      </c>
      <c r="F35" s="3005">
        <f>+E35+I34</f>
        <v>915.64400000000001</v>
      </c>
      <c r="G35" s="2050">
        <f>+SUM(Jurel!B16:B18)</f>
        <v>6.2919999999999998</v>
      </c>
      <c r="H35" s="3502">
        <f t="shared" si="16"/>
        <v>95.912999999999997</v>
      </c>
      <c r="I35" s="2048">
        <f t="shared" si="17"/>
        <v>909.35199999999998</v>
      </c>
      <c r="J35" s="3504">
        <f t="shared" si="18"/>
        <v>820.58699999999999</v>
      </c>
      <c r="K35" s="2022">
        <f t="shared" si="19"/>
        <v>0.99312833371921838</v>
      </c>
      <c r="L35" s="3495">
        <f t="shared" ref="L35" si="20">1-H35/C35</f>
        <v>0.89534860883797052</v>
      </c>
      <c r="M35" s="2049"/>
      <c r="O35" s="3403"/>
      <c r="P35" s="3399"/>
      <c r="R35" s="3432">
        <v>2</v>
      </c>
      <c r="S35" s="3414">
        <v>234</v>
      </c>
      <c r="T35" s="3414">
        <v>14.602</v>
      </c>
      <c r="U35" s="3414">
        <v>2</v>
      </c>
      <c r="V35" s="3414">
        <v>2013</v>
      </c>
      <c r="W35" s="3414">
        <v>104</v>
      </c>
      <c r="X35" s="3415">
        <f>+T35+T36+T37+T38</f>
        <v>122.40800000000002</v>
      </c>
    </row>
    <row r="36" spans="1:25" s="1489" customFormat="1" ht="15.75">
      <c r="A36" s="3501" t="s">
        <v>40</v>
      </c>
      <c r="B36" s="3501" t="s">
        <v>11</v>
      </c>
      <c r="C36" s="3521">
        <f t="shared" si="15"/>
        <v>916.5</v>
      </c>
      <c r="D36" s="3002" t="s">
        <v>607</v>
      </c>
      <c r="E36" s="3082">
        <v>870.5</v>
      </c>
      <c r="F36" s="3004">
        <f>+E36</f>
        <v>870.5</v>
      </c>
      <c r="G36" s="2050">
        <f>+SUM(Jurel!B23:B32)</f>
        <v>89.620999999999995</v>
      </c>
      <c r="H36" s="3502">
        <f t="shared" si="16"/>
        <v>93.63</v>
      </c>
      <c r="I36" s="2048">
        <f t="shared" ref="I36:I37" si="21">+F36-G36</f>
        <v>780.87900000000002</v>
      </c>
      <c r="J36" s="3504">
        <f t="shared" ref="J36:J37" si="22">+C36-H36</f>
        <v>822.87</v>
      </c>
      <c r="K36" s="2022">
        <f t="shared" ref="K36:K37" si="23">1-G36/F36</f>
        <v>0.89704652498564041</v>
      </c>
      <c r="L36" s="3495">
        <f>1-H36/C36</f>
        <v>0.89783960720130929</v>
      </c>
      <c r="M36" s="2049"/>
      <c r="O36" s="3406" t="s">
        <v>11</v>
      </c>
      <c r="P36" s="3429">
        <f t="shared" ref="P36:P54" si="24">+G36+G37</f>
        <v>93.63</v>
      </c>
      <c r="R36" s="3416">
        <v>2</v>
      </c>
      <c r="S36" s="3401">
        <v>234</v>
      </c>
      <c r="T36" s="3401">
        <v>46.423000000000002</v>
      </c>
      <c r="U36" s="3401">
        <v>2</v>
      </c>
      <c r="V36" s="3401">
        <v>2013</v>
      </c>
      <c r="W36" s="3401">
        <v>105</v>
      </c>
      <c r="X36" s="3417"/>
    </row>
    <row r="37" spans="1:25" s="1489" customFormat="1" ht="15.75">
      <c r="A37" s="3501"/>
      <c r="B37" s="3501" t="s">
        <v>11</v>
      </c>
      <c r="C37" s="3521">
        <f t="shared" si="15"/>
        <v>2214</v>
      </c>
      <c r="D37" s="3002" t="s">
        <v>41</v>
      </c>
      <c r="E37" s="3082">
        <v>46</v>
      </c>
      <c r="F37" s="3005">
        <f>+E37+I36</f>
        <v>826.87900000000002</v>
      </c>
      <c r="G37" s="2050">
        <f>+SUM(Jurel!B33:B34)</f>
        <v>4.0090000000000003</v>
      </c>
      <c r="H37" s="3502">
        <f t="shared" si="16"/>
        <v>2161.9840000000004</v>
      </c>
      <c r="I37" s="2048">
        <f t="shared" si="21"/>
        <v>822.87</v>
      </c>
      <c r="J37" s="3504">
        <f t="shared" si="22"/>
        <v>52.015999999999622</v>
      </c>
      <c r="K37" s="2022">
        <f t="shared" si="23"/>
        <v>0.9951516485483366</v>
      </c>
      <c r="L37" s="3495">
        <f t="shared" ref="L37" si="25">1-H37/C37</f>
        <v>2.3494128274615944E-2</v>
      </c>
      <c r="M37" s="2049"/>
      <c r="O37" s="3403"/>
      <c r="P37" s="3399"/>
      <c r="R37" s="3416">
        <v>2</v>
      </c>
      <c r="S37" s="3401">
        <v>234</v>
      </c>
      <c r="T37" s="3401">
        <v>53.115000000000002</v>
      </c>
      <c r="U37" s="3401">
        <v>2</v>
      </c>
      <c r="V37" s="3401">
        <v>2013</v>
      </c>
      <c r="W37" s="3401">
        <v>106</v>
      </c>
      <c r="X37" s="3417"/>
    </row>
    <row r="38" spans="1:25" s="1489" customFormat="1" ht="15.75">
      <c r="A38" s="3501" t="s">
        <v>40</v>
      </c>
      <c r="B38" s="3501" t="s">
        <v>6</v>
      </c>
      <c r="C38" s="3508">
        <f t="shared" si="15"/>
        <v>2282</v>
      </c>
      <c r="D38" s="3075" t="s">
        <v>30</v>
      </c>
      <c r="E38" s="3082">
        <v>2168</v>
      </c>
      <c r="F38" s="3004">
        <f>+E38</f>
        <v>2168</v>
      </c>
      <c r="G38" s="2050">
        <f>+SUM(Jurel!B39:B48)</f>
        <v>2157.9750000000004</v>
      </c>
      <c r="H38" s="3502">
        <f t="shared" si="16"/>
        <v>2180.2550000000006</v>
      </c>
      <c r="I38" s="2048">
        <f t="shared" si="17"/>
        <v>10.024999999999636</v>
      </c>
      <c r="J38" s="3504">
        <f>+C38-H38</f>
        <v>101.74499999999944</v>
      </c>
      <c r="K38" s="2022">
        <f t="shared" si="19"/>
        <v>4.6240774907747584E-3</v>
      </c>
      <c r="L38" s="3495">
        <f t="shared" ref="L38:L39" si="26">1-H38/C38</f>
        <v>4.4585889570551873E-2</v>
      </c>
      <c r="M38" s="3254" t="s">
        <v>1159</v>
      </c>
      <c r="N38" s="3402" t="s">
        <v>1158</v>
      </c>
      <c r="O38" s="3406" t="s">
        <v>6</v>
      </c>
      <c r="P38" s="3429">
        <f>+G38+G39+992+19.75</f>
        <v>3192.0050000000006</v>
      </c>
      <c r="R38" s="3418">
        <v>2</v>
      </c>
      <c r="S38" s="3419">
        <v>234</v>
      </c>
      <c r="T38" s="3419">
        <v>8.2680000000000007</v>
      </c>
      <c r="U38" s="3419">
        <v>2</v>
      </c>
      <c r="V38" s="3419">
        <v>2013</v>
      </c>
      <c r="W38" s="3419">
        <v>109</v>
      </c>
      <c r="X38" s="3420"/>
    </row>
    <row r="39" spans="1:25" s="1489" customFormat="1" ht="15.75">
      <c r="A39" s="3501"/>
      <c r="B39" s="3501"/>
      <c r="C39" s="3509"/>
      <c r="D39" s="3002" t="s">
        <v>31</v>
      </c>
      <c r="E39" s="3082">
        <v>114</v>
      </c>
      <c r="F39" s="3006">
        <f>+E39+I38</f>
        <v>124.02499999999964</v>
      </c>
      <c r="G39" s="2050">
        <f>+SUM(Jurel!B49:B50)</f>
        <v>22.28</v>
      </c>
      <c r="H39" s="3502">
        <f t="shared" si="16"/>
        <v>2697.2300000000009</v>
      </c>
      <c r="I39" s="2048">
        <f t="shared" si="17"/>
        <v>101.74499999999964</v>
      </c>
      <c r="J39" s="3504">
        <f t="shared" ref="J39" si="27">+C39-H39</f>
        <v>-2697.2300000000009</v>
      </c>
      <c r="K39" s="2022">
        <f t="shared" si="19"/>
        <v>0.82035879862930805</v>
      </c>
      <c r="L39" s="3495" t="e">
        <f t="shared" si="26"/>
        <v>#DIV/0!</v>
      </c>
      <c r="M39" s="2049"/>
      <c r="O39" s="3403"/>
      <c r="P39" s="3399"/>
      <c r="R39" s="3432">
        <v>3</v>
      </c>
      <c r="S39" s="3414">
        <v>234</v>
      </c>
      <c r="T39" s="3414">
        <v>1054.377</v>
      </c>
      <c r="U39" s="3414">
        <v>2</v>
      </c>
      <c r="V39" s="3414">
        <v>2013</v>
      </c>
      <c r="W39" s="3414">
        <v>107</v>
      </c>
      <c r="X39" s="3415">
        <f>+T39+T40</f>
        <v>3137.7709999999997</v>
      </c>
    </row>
    <row r="40" spans="1:25" ht="15.75">
      <c r="A40" s="3494" t="s">
        <v>40</v>
      </c>
      <c r="B40" s="3494" t="s">
        <v>574</v>
      </c>
      <c r="C40" s="3507">
        <f t="shared" si="15"/>
        <v>5443</v>
      </c>
      <c r="D40" s="3003" t="s">
        <v>30</v>
      </c>
      <c r="E40" s="3082">
        <v>5177</v>
      </c>
      <c r="F40" s="3007">
        <f>+E40</f>
        <v>5177</v>
      </c>
      <c r="G40" s="2476">
        <f>+('Resumen RAE Jurel'!F10)</f>
        <v>2674.9500000000007</v>
      </c>
      <c r="H40" s="3506">
        <f t="shared" si="16"/>
        <v>3868.0930000000008</v>
      </c>
      <c r="I40" s="2052">
        <f t="shared" ref="I40:I41" si="28">+F40-G40</f>
        <v>2502.0499999999993</v>
      </c>
      <c r="J40" s="3499">
        <f>+C40-H40</f>
        <v>1574.9069999999992</v>
      </c>
      <c r="K40" s="2022">
        <f t="shared" ref="K40:K41" si="29">1-G40/F40</f>
        <v>0.48330113965617139</v>
      </c>
      <c r="L40" s="3485">
        <f t="shared" ref="L40:L41" si="30">1-H40/C40</f>
        <v>0.28934539775858892</v>
      </c>
      <c r="M40" s="2054"/>
      <c r="N40" s="161"/>
      <c r="O40" s="3408" t="s">
        <v>1281</v>
      </c>
      <c r="P40" s="3407">
        <f t="shared" si="24"/>
        <v>3868.0930000000008</v>
      </c>
      <c r="R40" s="3418">
        <v>3</v>
      </c>
      <c r="S40" s="3419">
        <v>234</v>
      </c>
      <c r="T40" s="3419">
        <v>2083.3939999999998</v>
      </c>
      <c r="U40" s="3419">
        <v>2</v>
      </c>
      <c r="V40" s="3419">
        <v>2013</v>
      </c>
      <c r="W40" s="3419">
        <v>108</v>
      </c>
      <c r="X40" s="3422"/>
    </row>
    <row r="41" spans="1:25" ht="15.75">
      <c r="A41" s="3494"/>
      <c r="B41" s="3494"/>
      <c r="C41" s="3507">
        <f t="shared" si="15"/>
        <v>1498</v>
      </c>
      <c r="D41" s="3003" t="s">
        <v>31</v>
      </c>
      <c r="E41" s="3082">
        <v>266</v>
      </c>
      <c r="F41" s="3008">
        <f>+E41+I40</f>
        <v>2768.0499999999993</v>
      </c>
      <c r="G41" s="2476">
        <f>+'Resumen RAE Jurel'!F16</f>
        <v>1193.143</v>
      </c>
      <c r="H41" s="3506">
        <f t="shared" si="16"/>
        <v>1253.126</v>
      </c>
      <c r="I41" s="2052">
        <f t="shared" si="28"/>
        <v>1574.9069999999992</v>
      </c>
      <c r="J41" s="3499">
        <f t="shared" ref="J41" si="31">+C41-H41</f>
        <v>244.87400000000002</v>
      </c>
      <c r="K41" s="2022">
        <f t="shared" si="29"/>
        <v>0.56895901446866914</v>
      </c>
      <c r="L41" s="3485">
        <f t="shared" si="30"/>
        <v>0.16346728971962621</v>
      </c>
      <c r="M41" s="2044"/>
      <c r="O41" s="3404"/>
      <c r="P41" s="3399"/>
      <c r="R41" s="3413">
        <v>4</v>
      </c>
      <c r="S41" s="3414">
        <v>234</v>
      </c>
      <c r="T41" s="3414">
        <v>3694.6930000000002</v>
      </c>
      <c r="U41" s="3414">
        <v>2</v>
      </c>
      <c r="V41" s="3414">
        <v>2013</v>
      </c>
      <c r="W41" s="3414">
        <v>109</v>
      </c>
      <c r="X41" s="3423">
        <f>+T41+T42</f>
        <v>3695.625</v>
      </c>
      <c r="Y41" s="260"/>
    </row>
    <row r="42" spans="1:25" s="1489" customFormat="1" ht="15.75">
      <c r="A42" s="3494" t="s">
        <v>5</v>
      </c>
      <c r="B42" s="3494" t="s">
        <v>575</v>
      </c>
      <c r="C42" s="3496">
        <f t="shared" si="15"/>
        <v>1358</v>
      </c>
      <c r="D42" s="3003" t="s">
        <v>607</v>
      </c>
      <c r="E42" s="3082">
        <v>1232</v>
      </c>
      <c r="F42" s="3008">
        <f>+E42</f>
        <v>1232</v>
      </c>
      <c r="G42" s="2476">
        <f>+'Resumen RAE Jurel'!F24</f>
        <v>59.983000000000011</v>
      </c>
      <c r="H42" s="3498">
        <f t="shared" si="16"/>
        <v>72.689000000000007</v>
      </c>
      <c r="I42" s="2052">
        <f t="shared" ref="I42:I43" si="32">+F42-G42</f>
        <v>1172.0170000000001</v>
      </c>
      <c r="J42" s="3499">
        <f>+C42-H42</f>
        <v>1285.3109999999999</v>
      </c>
      <c r="K42" s="2022">
        <f t="shared" ref="K42:K43" si="33">1-G42/F42</f>
        <v>0.95131250000000001</v>
      </c>
      <c r="L42" s="2053">
        <f t="shared" ref="L42:L43" si="34">1-H42/C42</f>
        <v>0.94647349042709872</v>
      </c>
      <c r="M42" s="2044"/>
      <c r="O42" s="3406" t="s">
        <v>1282</v>
      </c>
      <c r="P42" s="3429">
        <f t="shared" si="24"/>
        <v>72.689000000000007</v>
      </c>
      <c r="R42" s="3418">
        <v>4</v>
      </c>
      <c r="S42" s="3419">
        <v>234</v>
      </c>
      <c r="T42" s="3419">
        <v>0.93200000000000005</v>
      </c>
      <c r="U42" s="3419">
        <v>2</v>
      </c>
      <c r="V42" s="3419">
        <v>2013</v>
      </c>
      <c r="W42" s="3419">
        <v>110</v>
      </c>
      <c r="X42" s="3420"/>
    </row>
    <row r="43" spans="1:25" s="1489" customFormat="1" ht="15.75">
      <c r="A43" s="3494"/>
      <c r="B43" s="3494"/>
      <c r="C43" s="3496">
        <f>SUM(E43:E43)</f>
        <v>126</v>
      </c>
      <c r="D43" s="3003" t="s">
        <v>41</v>
      </c>
      <c r="E43" s="3082">
        <v>126</v>
      </c>
      <c r="F43" s="3008">
        <f>+E43+I42</f>
        <v>1298.0170000000001</v>
      </c>
      <c r="G43" s="2476">
        <f>+'Resumen RAE Jurel'!F29</f>
        <v>12.706</v>
      </c>
      <c r="H43" s="3498">
        <f>SUM(G43:G43)</f>
        <v>12.706</v>
      </c>
      <c r="I43" s="2052">
        <f t="shared" si="32"/>
        <v>1285.3110000000001</v>
      </c>
      <c r="J43" s="3499">
        <f t="shared" ref="J43" si="35">+C43-H43</f>
        <v>113.294</v>
      </c>
      <c r="K43" s="2022">
        <f t="shared" si="33"/>
        <v>0.99021122219508684</v>
      </c>
      <c r="L43" s="2053">
        <f t="shared" si="34"/>
        <v>0.89915873015873016</v>
      </c>
      <c r="M43" s="2044"/>
      <c r="O43" s="3403"/>
      <c r="P43" s="3399"/>
      <c r="R43" s="3432">
        <v>5</v>
      </c>
      <c r="S43" s="3414">
        <v>234</v>
      </c>
      <c r="T43" s="3414">
        <v>79.531000000000006</v>
      </c>
      <c r="U43" s="3414">
        <v>2</v>
      </c>
      <c r="V43" s="3414">
        <v>2013</v>
      </c>
      <c r="W43" s="3414">
        <v>111</v>
      </c>
      <c r="X43" s="3415">
        <f>+T43+T44+T45</f>
        <v>115.649</v>
      </c>
    </row>
    <row r="44" spans="1:25" s="1489" customFormat="1" ht="15.75">
      <c r="A44" s="3501" t="s">
        <v>40</v>
      </c>
      <c r="B44" s="3501" t="s">
        <v>17</v>
      </c>
      <c r="C44" s="3500">
        <f t="shared" ref="C44:C54" si="36">SUM(E44:E45)</f>
        <v>10</v>
      </c>
      <c r="D44" s="3002" t="s">
        <v>607</v>
      </c>
      <c r="E44" s="3082">
        <v>9</v>
      </c>
      <c r="F44" s="3006">
        <f>+E44</f>
        <v>9</v>
      </c>
      <c r="G44" s="2050">
        <f>+SUM(Jurel!B87:B95)</f>
        <v>0.78899999999999992</v>
      </c>
      <c r="H44" s="3502">
        <f t="shared" ref="H44:H54" si="37">SUM(G44:G45)</f>
        <v>0.78899999999999992</v>
      </c>
      <c r="I44" s="2057">
        <f t="shared" ref="I44:I45" si="38">+F44-G44</f>
        <v>8.2110000000000003</v>
      </c>
      <c r="J44" s="3504">
        <f>+C44-H44</f>
        <v>9.2110000000000003</v>
      </c>
      <c r="K44" s="2022">
        <f t="shared" ref="K44:K45" si="39">1-G44/F44</f>
        <v>0.91233333333333333</v>
      </c>
      <c r="L44" s="3495">
        <f t="shared" ref="L44" si="40">1-H44/C44</f>
        <v>0.92110000000000003</v>
      </c>
      <c r="M44" s="2049"/>
      <c r="O44" s="3409" t="s">
        <v>17</v>
      </c>
      <c r="P44" s="3398">
        <f t="shared" si="24"/>
        <v>0.78899999999999992</v>
      </c>
      <c r="R44" s="3416">
        <v>5</v>
      </c>
      <c r="S44" s="3401">
        <v>234</v>
      </c>
      <c r="T44" s="3401">
        <v>33.088999999999999</v>
      </c>
      <c r="U44" s="3401">
        <v>2</v>
      </c>
      <c r="V44" s="3401">
        <v>2013</v>
      </c>
      <c r="W44" s="3401">
        <v>132</v>
      </c>
      <c r="X44" s="3417"/>
    </row>
    <row r="45" spans="1:25" s="1489" customFormat="1" ht="15.75">
      <c r="A45" s="3501"/>
      <c r="B45" s="3501"/>
      <c r="C45" s="3500">
        <f t="shared" si="36"/>
        <v>79</v>
      </c>
      <c r="D45" s="3002" t="s">
        <v>41</v>
      </c>
      <c r="E45" s="3082">
        <v>1</v>
      </c>
      <c r="F45" s="3006">
        <f>+E45+I44</f>
        <v>9.2110000000000003</v>
      </c>
      <c r="G45" s="2050">
        <f>+SUM(Jurel!B96:B98)</f>
        <v>0</v>
      </c>
      <c r="H45" s="3502">
        <f t="shared" si="37"/>
        <v>54.193000000000012</v>
      </c>
      <c r="I45" s="2057">
        <f t="shared" si="38"/>
        <v>9.2110000000000003</v>
      </c>
      <c r="J45" s="3504">
        <f t="shared" ref="J45" si="41">+C45-H45</f>
        <v>24.806999999999988</v>
      </c>
      <c r="K45" s="2022">
        <f t="shared" si="39"/>
        <v>1</v>
      </c>
      <c r="L45" s="3495"/>
      <c r="M45" s="2049"/>
      <c r="O45" s="3410"/>
      <c r="P45" s="3411"/>
      <c r="R45" s="3418">
        <v>5</v>
      </c>
      <c r="S45" s="3419">
        <v>234</v>
      </c>
      <c r="T45" s="3419">
        <v>3.0289999999999999</v>
      </c>
      <c r="U45" s="3419">
        <v>2</v>
      </c>
      <c r="V45" s="3419">
        <v>2013</v>
      </c>
      <c r="W45" s="3419">
        <v>133</v>
      </c>
      <c r="X45" s="3420"/>
    </row>
    <row r="46" spans="1:25" s="1489" customFormat="1" ht="15.75">
      <c r="A46" s="3501" t="s">
        <v>40</v>
      </c>
      <c r="B46" s="3501" t="s">
        <v>18</v>
      </c>
      <c r="C46" s="3500">
        <f t="shared" si="36"/>
        <v>82</v>
      </c>
      <c r="D46" s="3075" t="s">
        <v>607</v>
      </c>
      <c r="E46" s="3082">
        <v>78</v>
      </c>
      <c r="F46" s="3004">
        <f>+E46</f>
        <v>78</v>
      </c>
      <c r="G46" s="2050">
        <f>+SUM(Jurel!B103:B111)</f>
        <v>54.193000000000012</v>
      </c>
      <c r="H46" s="3502">
        <f t="shared" si="37"/>
        <v>54.193000000000012</v>
      </c>
      <c r="I46" s="2057">
        <f t="shared" ref="I46:I51" si="42">+F46-G46</f>
        <v>23.806999999999988</v>
      </c>
      <c r="J46" s="3503">
        <f t="shared" ref="J46:J47" si="43">+C46-H46</f>
        <v>27.806999999999988</v>
      </c>
      <c r="K46" s="2022">
        <f t="shared" ref="K46:K51" si="44">1-G46/F46</f>
        <v>0.30521794871794861</v>
      </c>
      <c r="L46" s="3495">
        <f t="shared" ref="L46:L47" si="45">1-H46/C46</f>
        <v>0.33910975609756078</v>
      </c>
      <c r="M46" s="2058">
        <v>41298</v>
      </c>
      <c r="N46" s="1933" t="s">
        <v>599</v>
      </c>
      <c r="O46" s="3406" t="s">
        <v>18</v>
      </c>
      <c r="P46" s="3429">
        <f t="shared" si="24"/>
        <v>54.193000000000012</v>
      </c>
      <c r="R46" s="3424">
        <v>6</v>
      </c>
      <c r="S46" s="3425">
        <v>234</v>
      </c>
      <c r="T46" s="3425">
        <v>0.996</v>
      </c>
      <c r="U46" s="3425">
        <v>2</v>
      </c>
      <c r="V46" s="3425">
        <v>2013</v>
      </c>
      <c r="W46" s="3425">
        <v>112</v>
      </c>
      <c r="X46" s="3426">
        <f>+T46</f>
        <v>0.996</v>
      </c>
    </row>
    <row r="47" spans="1:25" s="1489" customFormat="1" ht="15.75">
      <c r="A47" s="3501"/>
      <c r="B47" s="3501"/>
      <c r="C47" s="3500">
        <f t="shared" si="36"/>
        <v>5079</v>
      </c>
      <c r="D47" s="3002" t="s">
        <v>41</v>
      </c>
      <c r="E47" s="3082">
        <v>4</v>
      </c>
      <c r="F47" s="3006">
        <f>+E47+I46</f>
        <v>27.806999999999988</v>
      </c>
      <c r="G47" s="2050">
        <f>+SUM(Jurel!B112:B114)</f>
        <v>0</v>
      </c>
      <c r="H47" s="3502">
        <f t="shared" si="37"/>
        <v>5642.89</v>
      </c>
      <c r="I47" s="2057">
        <f t="shared" si="42"/>
        <v>27.806999999999988</v>
      </c>
      <c r="J47" s="3503">
        <f t="shared" si="43"/>
        <v>-563.89000000000033</v>
      </c>
      <c r="K47" s="2022">
        <f t="shared" si="44"/>
        <v>1</v>
      </c>
      <c r="L47" s="3495">
        <f t="shared" si="45"/>
        <v>-0.11102382358732044</v>
      </c>
      <c r="M47" s="2049"/>
      <c r="O47" s="3403"/>
      <c r="P47" s="3399"/>
      <c r="R47" s="3431">
        <v>7</v>
      </c>
      <c r="S47" s="3425">
        <v>234</v>
      </c>
      <c r="T47" s="3425">
        <v>22.170999999999999</v>
      </c>
      <c r="U47" s="3425">
        <v>2</v>
      </c>
      <c r="V47" s="3425">
        <v>2013</v>
      </c>
      <c r="W47" s="3425">
        <v>113</v>
      </c>
      <c r="X47" s="3430">
        <f>+T47</f>
        <v>22.170999999999999</v>
      </c>
    </row>
    <row r="48" spans="1:25" s="1489" customFormat="1" ht="15.75">
      <c r="A48" s="3505" t="s">
        <v>40</v>
      </c>
      <c r="B48" s="3501" t="s">
        <v>7</v>
      </c>
      <c r="C48" s="3500">
        <f t="shared" si="36"/>
        <v>5342</v>
      </c>
      <c r="D48" s="3075" t="s">
        <v>607</v>
      </c>
      <c r="E48" s="3082">
        <v>5075</v>
      </c>
      <c r="F48" s="3004">
        <f>+E48</f>
        <v>5075</v>
      </c>
      <c r="G48" s="2050">
        <f>+SUM(Jurel!B119:B127)</f>
        <v>5642.89</v>
      </c>
      <c r="H48" s="3502">
        <f t="shared" si="37"/>
        <v>5643.58</v>
      </c>
      <c r="I48" s="2057">
        <f t="shared" si="42"/>
        <v>-567.89000000000033</v>
      </c>
      <c r="J48" s="3504">
        <f t="shared" ref="J48:J49" si="46">+C48-H48</f>
        <v>-301.57999999999993</v>
      </c>
      <c r="K48" s="2022">
        <f t="shared" si="44"/>
        <v>-0.11189950738916266</v>
      </c>
      <c r="L48" s="3495">
        <f t="shared" ref="L48:L49" si="47">1-H48/C48</f>
        <v>-5.6454511418944309E-2</v>
      </c>
      <c r="M48" s="2051" t="s">
        <v>616</v>
      </c>
      <c r="N48" s="1443" t="s">
        <v>1145</v>
      </c>
      <c r="O48" s="3406" t="s">
        <v>7</v>
      </c>
      <c r="P48" s="3407">
        <f t="shared" si="24"/>
        <v>5643.58</v>
      </c>
      <c r="Q48" s="2442"/>
      <c r="R48" s="3413">
        <v>8</v>
      </c>
      <c r="S48" s="3414">
        <v>234</v>
      </c>
      <c r="T48" s="3414">
        <v>34.22</v>
      </c>
      <c r="U48" s="3414">
        <v>2</v>
      </c>
      <c r="V48" s="3414">
        <v>2013</v>
      </c>
      <c r="W48" s="3414">
        <v>113</v>
      </c>
      <c r="X48" s="3421">
        <f>+T48+T49</f>
        <v>5643.7340000000004</v>
      </c>
    </row>
    <row r="49" spans="1:27" s="1489" customFormat="1" ht="15.75">
      <c r="A49" s="3505"/>
      <c r="B49" s="3501"/>
      <c r="C49" s="3500">
        <f t="shared" si="36"/>
        <v>381</v>
      </c>
      <c r="D49" s="3075" t="s">
        <v>41</v>
      </c>
      <c r="E49" s="3082">
        <v>267</v>
      </c>
      <c r="F49" s="3006">
        <f>+E49+I48</f>
        <v>-300.89000000000033</v>
      </c>
      <c r="G49" s="2050">
        <f>+SUM(Jurel!B128:B130)</f>
        <v>0.69000000000000006</v>
      </c>
      <c r="H49" s="3502">
        <f t="shared" si="37"/>
        <v>0.69000000000000006</v>
      </c>
      <c r="I49" s="2057">
        <f t="shared" si="42"/>
        <v>-301.58000000000033</v>
      </c>
      <c r="J49" s="3504">
        <f t="shared" si="46"/>
        <v>380.31</v>
      </c>
      <c r="K49" s="2022">
        <f t="shared" si="44"/>
        <v>1.0022931968493469</v>
      </c>
      <c r="L49" s="3495">
        <f t="shared" si="47"/>
        <v>0.99818897637795279</v>
      </c>
      <c r="M49" s="2051" t="s">
        <v>615</v>
      </c>
      <c r="N49" s="1933" t="s">
        <v>1147</v>
      </c>
      <c r="O49" s="3403"/>
      <c r="P49" s="3399"/>
      <c r="R49" s="3418">
        <v>8</v>
      </c>
      <c r="S49" s="3419">
        <v>234</v>
      </c>
      <c r="T49" s="3419">
        <v>5609.5140000000001</v>
      </c>
      <c r="U49" s="3419">
        <v>2</v>
      </c>
      <c r="V49" s="3419">
        <v>2013</v>
      </c>
      <c r="W49" s="3419">
        <v>114</v>
      </c>
      <c r="X49" s="3420"/>
    </row>
    <row r="50" spans="1:27" s="1489" customFormat="1" ht="15.75">
      <c r="A50" s="3501" t="s">
        <v>40</v>
      </c>
      <c r="B50" s="3501" t="s">
        <v>12</v>
      </c>
      <c r="C50" s="3500">
        <f t="shared" si="36"/>
        <v>120</v>
      </c>
      <c r="D50" s="3002" t="s">
        <v>607</v>
      </c>
      <c r="E50" s="3082">
        <v>114</v>
      </c>
      <c r="F50" s="3004">
        <f>+E50</f>
        <v>114</v>
      </c>
      <c r="G50" s="2050">
        <f>+SUM(Jurel!B135:B143)</f>
        <v>0</v>
      </c>
      <c r="H50" s="3502">
        <f t="shared" si="37"/>
        <v>0</v>
      </c>
      <c r="I50" s="2057">
        <f t="shared" si="42"/>
        <v>114</v>
      </c>
      <c r="J50" s="3504">
        <f t="shared" ref="J50:J51" si="48">+C50-H50</f>
        <v>120</v>
      </c>
      <c r="K50" s="2022">
        <f t="shared" si="44"/>
        <v>1</v>
      </c>
      <c r="L50" s="3495">
        <f t="shared" ref="L50:L51" si="49">1-H50/C50</f>
        <v>1</v>
      </c>
      <c r="M50" s="2049"/>
      <c r="O50" s="3406" t="s">
        <v>12</v>
      </c>
      <c r="P50" s="3407">
        <f t="shared" si="24"/>
        <v>0</v>
      </c>
      <c r="R50" s="3424">
        <v>9</v>
      </c>
      <c r="S50" s="3425">
        <v>234</v>
      </c>
      <c r="T50" s="3425">
        <v>0.17799999999999999</v>
      </c>
      <c r="U50" s="3425">
        <v>2</v>
      </c>
      <c r="V50" s="3425">
        <v>2013</v>
      </c>
      <c r="W50" s="3425">
        <v>115</v>
      </c>
      <c r="X50" s="3426">
        <f>+T50</f>
        <v>0.17799999999999999</v>
      </c>
    </row>
    <row r="51" spans="1:27" s="1489" customFormat="1" ht="15.75">
      <c r="A51" s="3501"/>
      <c r="B51" s="3501"/>
      <c r="C51" s="3500">
        <f t="shared" si="36"/>
        <v>233.22000000000006</v>
      </c>
      <c r="D51" s="3002" t="s">
        <v>41</v>
      </c>
      <c r="E51" s="3082">
        <v>6</v>
      </c>
      <c r="F51" s="3006">
        <f>+E51+I50</f>
        <v>120</v>
      </c>
      <c r="G51" s="2050">
        <f>+SUM(Jurel!B144:B146)</f>
        <v>0</v>
      </c>
      <c r="H51" s="3502">
        <f t="shared" si="37"/>
        <v>15.382</v>
      </c>
      <c r="I51" s="2057">
        <f t="shared" si="42"/>
        <v>120</v>
      </c>
      <c r="J51" s="3504">
        <f t="shared" si="48"/>
        <v>217.83800000000005</v>
      </c>
      <c r="K51" s="2022">
        <f t="shared" si="44"/>
        <v>1</v>
      </c>
      <c r="L51" s="3495">
        <f t="shared" si="49"/>
        <v>0.93404510762370296</v>
      </c>
      <c r="M51" s="2049"/>
      <c r="O51" s="3403"/>
      <c r="P51" s="3399"/>
      <c r="R51" s="3424">
        <v>10</v>
      </c>
      <c r="S51" s="3425">
        <v>234</v>
      </c>
      <c r="T51" s="3425">
        <v>349.84500000000003</v>
      </c>
      <c r="U51" s="3425">
        <v>2</v>
      </c>
      <c r="V51" s="3425">
        <v>2013</v>
      </c>
      <c r="W51" s="3425">
        <v>121</v>
      </c>
      <c r="X51" s="3426">
        <f>+T51</f>
        <v>349.84500000000003</v>
      </c>
    </row>
    <row r="52" spans="1:27" ht="15.75">
      <c r="A52" s="3494" t="s">
        <v>5</v>
      </c>
      <c r="B52" s="3497" t="s">
        <v>582</v>
      </c>
      <c r="C52" s="3496">
        <f t="shared" si="36"/>
        <v>252.15000000000006</v>
      </c>
      <c r="D52" s="3003" t="s">
        <v>607</v>
      </c>
      <c r="E52" s="3082">
        <v>227.22000000000006</v>
      </c>
      <c r="F52" s="3007">
        <f>+E52</f>
        <v>227.22000000000006</v>
      </c>
      <c r="G52" s="2476">
        <f>+SUM('Resumen RAE Jurel'!F51)</f>
        <v>15.382</v>
      </c>
      <c r="H52" s="3498">
        <f t="shared" si="37"/>
        <v>15.411</v>
      </c>
      <c r="I52" s="2052">
        <f t="shared" ref="I52:I53" si="50">+F52-G52</f>
        <v>211.83800000000005</v>
      </c>
      <c r="J52" s="3499">
        <f t="shared" ref="J52:J53" si="51">+C52-H52</f>
        <v>236.73900000000006</v>
      </c>
      <c r="K52" s="2022">
        <f t="shared" ref="K52:K53" si="52">1-G52/F52</f>
        <v>0.93230349441070326</v>
      </c>
      <c r="L52" s="3485">
        <f t="shared" ref="L52:L53" si="53">1-H52/C52</f>
        <v>0.93888161808447357</v>
      </c>
      <c r="M52" s="2044"/>
      <c r="O52" s="3408" t="s">
        <v>132</v>
      </c>
      <c r="P52" s="3407">
        <f t="shared" si="24"/>
        <v>15.411</v>
      </c>
      <c r="R52" s="3424">
        <v>11</v>
      </c>
      <c r="S52" s="3425">
        <v>234</v>
      </c>
      <c r="T52" s="3425">
        <v>5.1999999999999998E-2</v>
      </c>
      <c r="U52" s="3425">
        <v>2</v>
      </c>
      <c r="V52" s="3425">
        <v>2013</v>
      </c>
      <c r="W52" s="3425">
        <v>122</v>
      </c>
      <c r="X52" s="3427">
        <f>+T52</f>
        <v>5.1999999999999998E-2</v>
      </c>
    </row>
    <row r="53" spans="1:27" ht="15.75">
      <c r="A53" s="3494"/>
      <c r="B53" s="3497"/>
      <c r="C53" s="3496">
        <f t="shared" si="36"/>
        <v>644.79099999999994</v>
      </c>
      <c r="D53" s="3003" t="s">
        <v>41</v>
      </c>
      <c r="E53" s="3082">
        <v>24.93</v>
      </c>
      <c r="F53" s="3008">
        <f>+E53+I52</f>
        <v>236.76800000000006</v>
      </c>
      <c r="G53" s="2476">
        <f>+SUM('Resumen RAE Jurel'!F71)</f>
        <v>2.9000000000000001E-2</v>
      </c>
      <c r="H53" s="3498">
        <f t="shared" si="37"/>
        <v>116.327</v>
      </c>
      <c r="I53" s="2052">
        <f t="shared" si="50"/>
        <v>236.73900000000006</v>
      </c>
      <c r="J53" s="3499">
        <f t="shared" si="51"/>
        <v>528.46399999999994</v>
      </c>
      <c r="K53" s="2022">
        <f t="shared" si="52"/>
        <v>0.99987751723205842</v>
      </c>
      <c r="L53" s="3485">
        <f t="shared" si="53"/>
        <v>0.81958960345290177</v>
      </c>
      <c r="M53" s="2044"/>
      <c r="O53" s="3404"/>
      <c r="P53" s="3399"/>
      <c r="R53" s="3424">
        <v>14</v>
      </c>
      <c r="S53" s="3425">
        <v>234</v>
      </c>
      <c r="T53" s="3425">
        <v>15.441000000000001</v>
      </c>
      <c r="U53" s="3425">
        <v>2</v>
      </c>
      <c r="V53" s="3425">
        <v>2013</v>
      </c>
      <c r="W53" s="3425">
        <v>116</v>
      </c>
      <c r="X53" s="3427">
        <f>+T53</f>
        <v>15.441000000000001</v>
      </c>
    </row>
    <row r="54" spans="1:27" ht="16.5" thickBot="1">
      <c r="A54" s="3494" t="s">
        <v>5</v>
      </c>
      <c r="B54" s="3493" t="s">
        <v>592</v>
      </c>
      <c r="C54" s="3491">
        <f t="shared" si="36"/>
        <v>801.99900000000002</v>
      </c>
      <c r="D54" s="3003" t="s">
        <v>607</v>
      </c>
      <c r="E54" s="3083">
        <f>+'Resumen RAE Jurel'!C87</f>
        <v>619.86099999999999</v>
      </c>
      <c r="F54" s="3007">
        <f>+E54</f>
        <v>619.86099999999999</v>
      </c>
      <c r="G54" s="2476">
        <f>+SUM('Resumen RAE Jurel'!F87)</f>
        <v>116.298</v>
      </c>
      <c r="H54" s="3498">
        <f t="shared" si="37"/>
        <v>349.84500000000003</v>
      </c>
      <c r="I54" s="2052">
        <f t="shared" ref="I54:I55" si="54">+F54-G54</f>
        <v>503.56299999999999</v>
      </c>
      <c r="J54" s="3499">
        <f t="shared" ref="J54:J55" si="55">+C54-H54</f>
        <v>452.154</v>
      </c>
      <c r="K54" s="2022">
        <f t="shared" ref="K54:K55" si="56">1-G54/F54</f>
        <v>0.81238051756764817</v>
      </c>
      <c r="L54" s="3485">
        <f t="shared" ref="L54:L55" si="57">1-H54/C54</f>
        <v>0.56378374536626596</v>
      </c>
      <c r="M54" s="2044"/>
      <c r="O54" s="3408" t="s">
        <v>10</v>
      </c>
      <c r="P54" s="3407">
        <f t="shared" si="24"/>
        <v>349.84500000000003</v>
      </c>
      <c r="R54" s="3424">
        <v>15</v>
      </c>
      <c r="S54" s="3425">
        <v>234</v>
      </c>
      <c r="T54" s="3425">
        <v>7.3920000000000003</v>
      </c>
      <c r="U54" s="3425">
        <v>2</v>
      </c>
      <c r="V54" s="3425">
        <v>2013</v>
      </c>
      <c r="W54" s="3425">
        <v>101</v>
      </c>
      <c r="X54" s="3428">
        <f>+T54</f>
        <v>7.3920000000000003</v>
      </c>
    </row>
    <row r="55" spans="1:27" ht="15">
      <c r="A55" s="3494"/>
      <c r="B55" s="3493"/>
      <c r="C55" s="3492">
        <f>SUM(E55:E55)</f>
        <v>182.13799999999998</v>
      </c>
      <c r="D55" s="2042" t="s">
        <v>41</v>
      </c>
      <c r="E55" s="3010">
        <f>+'Resumen RAE Jurel'!C101</f>
        <v>182.13799999999998</v>
      </c>
      <c r="F55" s="2043">
        <f>+E55+I54</f>
        <v>685.70100000000002</v>
      </c>
      <c r="G55" s="2476">
        <f>+SUM('Resumen RAE Jurel'!F101)</f>
        <v>233.54700000000003</v>
      </c>
      <c r="H55" s="3498">
        <f>SUM(G55:G55)</f>
        <v>233.54700000000003</v>
      </c>
      <c r="I55" s="2052">
        <f t="shared" si="54"/>
        <v>452.154</v>
      </c>
      <c r="J55" s="3499">
        <f t="shared" si="55"/>
        <v>-51.409000000000049</v>
      </c>
      <c r="K55" s="2022">
        <f t="shared" si="56"/>
        <v>0.65940402595300274</v>
      </c>
      <c r="L55" s="3485">
        <f t="shared" si="57"/>
        <v>-0.28225301694319715</v>
      </c>
      <c r="M55" s="2044"/>
      <c r="O55" s="3405"/>
      <c r="P55" s="3400">
        <f>SUM(P34:P54)</f>
        <v>13297.383</v>
      </c>
      <c r="T55" s="82">
        <f>SUM(T35:T54)</f>
        <v>13111.261999999999</v>
      </c>
      <c r="W55" s="1311"/>
      <c r="X55" s="1393">
        <f>SUM(X35:X54)</f>
        <v>13111.262000000001</v>
      </c>
    </row>
    <row r="56" spans="1:27" ht="15">
      <c r="A56" s="3487" t="s">
        <v>14</v>
      </c>
      <c r="B56" s="3487" t="s">
        <v>15</v>
      </c>
      <c r="C56" s="3486">
        <f>SUM(E56:E57)</f>
        <v>518</v>
      </c>
      <c r="D56" s="2474" t="s">
        <v>605</v>
      </c>
      <c r="E56" s="2390">
        <v>388</v>
      </c>
      <c r="F56" s="2474">
        <f>+E56</f>
        <v>388</v>
      </c>
      <c r="G56" s="2059">
        <f>+SUM(S.española!B7:B12)</f>
        <v>2.5060000000000002</v>
      </c>
      <c r="H56" s="3488">
        <f>SUM(G56:G57)</f>
        <v>4.0060000000000002</v>
      </c>
      <c r="I56" s="2060">
        <f t="shared" ref="I56:I75" si="58">+F56-G56</f>
        <v>385.49400000000003</v>
      </c>
      <c r="J56" s="3489">
        <f t="shared" ref="J56:J57" si="59">+C56-H56</f>
        <v>513.99400000000003</v>
      </c>
      <c r="K56" s="2022">
        <f t="shared" ref="K56:K75" si="60">1-G56/F56</f>
        <v>0.99354123711340203</v>
      </c>
      <c r="L56" s="3490">
        <f t="shared" ref="L56:L57" si="61">1-H56/C56</f>
        <v>0.9922664092664093</v>
      </c>
      <c r="M56" s="2061"/>
    </row>
    <row r="57" spans="1:27" ht="15">
      <c r="A57" s="3487"/>
      <c r="B57" s="3487"/>
      <c r="C57" s="3486">
        <f>SUM(E57:E58)</f>
        <v>1602</v>
      </c>
      <c r="D57" s="2474" t="s">
        <v>29</v>
      </c>
      <c r="E57" s="2390">
        <v>130</v>
      </c>
      <c r="F57" s="2474">
        <f>+E57+I56</f>
        <v>515.49400000000003</v>
      </c>
      <c r="G57" s="2059">
        <f>+SUM(S.española!B13:B18)</f>
        <v>1.5</v>
      </c>
      <c r="H57" s="3488">
        <f>SUM(G57:G58)</f>
        <v>51.785000000000004</v>
      </c>
      <c r="I57" s="2060">
        <f t="shared" si="58"/>
        <v>513.99400000000003</v>
      </c>
      <c r="J57" s="3489">
        <f t="shared" si="59"/>
        <v>1550.2149999999999</v>
      </c>
      <c r="K57" s="2022">
        <f t="shared" si="60"/>
        <v>0.99709016981768939</v>
      </c>
      <c r="L57" s="3490">
        <f t="shared" si="61"/>
        <v>0.96767478152309616</v>
      </c>
      <c r="M57" s="2061"/>
      <c r="P57" s="1311"/>
    </row>
    <row r="58" spans="1:27" ht="15">
      <c r="A58" s="3487" t="s">
        <v>14</v>
      </c>
      <c r="B58" s="3487" t="s">
        <v>11</v>
      </c>
      <c r="C58" s="3486">
        <f>SUM(E58:E59)</f>
        <v>1962</v>
      </c>
      <c r="D58" s="2474" t="s">
        <v>605</v>
      </c>
      <c r="E58" s="2390">
        <v>1472</v>
      </c>
      <c r="F58" s="2474">
        <f>+E58</f>
        <v>1472</v>
      </c>
      <c r="G58" s="2059">
        <f>+SUM(S.española!B23:B28)</f>
        <v>50.285000000000004</v>
      </c>
      <c r="H58" s="3488">
        <f>SUM(G58:G59)</f>
        <v>53.085000000000001</v>
      </c>
      <c r="I58" s="2060">
        <f t="shared" si="58"/>
        <v>1421.7149999999999</v>
      </c>
      <c r="J58" s="3489">
        <f t="shared" ref="J58:J59" si="62">+C58-H58</f>
        <v>1908.915</v>
      </c>
      <c r="K58" s="2022">
        <f t="shared" si="60"/>
        <v>0.96583899456521738</v>
      </c>
      <c r="L58" s="3490">
        <f t="shared" ref="L58:L59" si="63">1-H58/C58</f>
        <v>0.97294342507645259</v>
      </c>
      <c r="M58" s="2061"/>
    </row>
    <row r="59" spans="1:27" ht="15">
      <c r="A59" s="3487"/>
      <c r="B59" s="3487"/>
      <c r="C59" s="3486">
        <f t="shared" ref="C59" si="64">SUM(E59:E61)</f>
        <v>1115</v>
      </c>
      <c r="D59" s="2474" t="s">
        <v>29</v>
      </c>
      <c r="E59" s="2390">
        <v>490</v>
      </c>
      <c r="F59" s="2474">
        <f>+E59+I58</f>
        <v>1911.7149999999999</v>
      </c>
      <c r="G59" s="2059">
        <f>+SUM(S.española!B29:B34)</f>
        <v>2.8</v>
      </c>
      <c r="H59" s="3488">
        <f t="shared" ref="H59" si="65">SUM(G59:G61)</f>
        <v>3.7169999999999996</v>
      </c>
      <c r="I59" s="2060">
        <f t="shared" si="58"/>
        <v>1908.915</v>
      </c>
      <c r="J59" s="3489">
        <f t="shared" si="62"/>
        <v>1111.2829999999999</v>
      </c>
      <c r="K59" s="2022">
        <f t="shared" si="60"/>
        <v>0.99853534653439446</v>
      </c>
      <c r="L59" s="3490">
        <f t="shared" si="63"/>
        <v>0.99666636771300443</v>
      </c>
      <c r="M59" s="2061"/>
    </row>
    <row r="60" spans="1:27" ht="15">
      <c r="A60" s="3487" t="s">
        <v>14</v>
      </c>
      <c r="B60" s="3487" t="s">
        <v>16</v>
      </c>
      <c r="C60" s="3486">
        <f>SUM(E60:E61)</f>
        <v>625</v>
      </c>
      <c r="D60" s="2062" t="s">
        <v>30</v>
      </c>
      <c r="E60" s="2474">
        <v>563</v>
      </c>
      <c r="F60" s="2474">
        <f>+E60</f>
        <v>563</v>
      </c>
      <c r="G60" s="2059">
        <f>+SUM(S.española!B39:B48)</f>
        <v>0.89900000000000002</v>
      </c>
      <c r="H60" s="3488">
        <f>SUM(G60:G61)</f>
        <v>0.91700000000000004</v>
      </c>
      <c r="I60" s="2060">
        <f t="shared" si="58"/>
        <v>562.101</v>
      </c>
      <c r="J60" s="3489">
        <f>+C60-H60</f>
        <v>624.08299999999997</v>
      </c>
      <c r="K60" s="2022">
        <f t="shared" si="60"/>
        <v>0.99840319715808168</v>
      </c>
      <c r="L60" s="3490">
        <f>1-H60/C60</f>
        <v>0.9985328</v>
      </c>
      <c r="M60" s="2061"/>
    </row>
    <row r="61" spans="1:27" ht="15">
      <c r="A61" s="3487"/>
      <c r="B61" s="3487"/>
      <c r="C61" s="3486"/>
      <c r="D61" s="2062" t="s">
        <v>31</v>
      </c>
      <c r="E61" s="2474">
        <v>62</v>
      </c>
      <c r="F61" s="2474">
        <f>+E61+I60</f>
        <v>624.101</v>
      </c>
      <c r="G61" s="2059">
        <f>+SUM(S.española!B49:B50)</f>
        <v>1.7999999999999999E-2</v>
      </c>
      <c r="H61" s="3488"/>
      <c r="I61" s="2060">
        <f t="shared" si="58"/>
        <v>624.08299999999997</v>
      </c>
      <c r="J61" s="3489"/>
      <c r="K61" s="2022">
        <f t="shared" si="60"/>
        <v>0.9999711585144071</v>
      </c>
      <c r="L61" s="3490"/>
      <c r="M61" s="2061"/>
    </row>
    <row r="62" spans="1:27" ht="15">
      <c r="A62" s="3530" t="s">
        <v>9</v>
      </c>
      <c r="B62" s="3537" t="s">
        <v>577</v>
      </c>
      <c r="C62" s="3507">
        <f>SUM(E62:E64)</f>
        <v>6457</v>
      </c>
      <c r="D62" s="2063" t="s">
        <v>43</v>
      </c>
      <c r="E62" s="2473">
        <v>5488</v>
      </c>
      <c r="F62" s="2473">
        <f>+E62</f>
        <v>5488</v>
      </c>
      <c r="G62" s="2064">
        <f>+SUM('Resumen RAE S.Común'!F10)</f>
        <v>4603.3420000000006</v>
      </c>
      <c r="H62" s="3532">
        <f>SUM(G62:G64)</f>
        <v>5201.9720000000007</v>
      </c>
      <c r="I62" s="2065">
        <f t="shared" ref="I62:I64" si="66">+F62-G62</f>
        <v>884.65799999999945</v>
      </c>
      <c r="J62" s="3538">
        <f>+C62-H62</f>
        <v>1255.0279999999993</v>
      </c>
      <c r="K62" s="2022">
        <f t="shared" ref="K62:K64" si="67">1-G62/F62</f>
        <v>0.16119861516034972</v>
      </c>
      <c r="L62" s="3524">
        <f>1-H62/C62</f>
        <v>0.19436704351866185</v>
      </c>
      <c r="M62" s="2066"/>
      <c r="AA62" s="3178"/>
    </row>
    <row r="63" spans="1:27" ht="15">
      <c r="A63" s="3530"/>
      <c r="B63" s="3537"/>
      <c r="C63" s="3507"/>
      <c r="D63" s="2063" t="s">
        <v>44</v>
      </c>
      <c r="E63" s="2473">
        <v>646</v>
      </c>
      <c r="F63" s="2473">
        <f>+E63+I62</f>
        <v>1530.6579999999994</v>
      </c>
      <c r="G63" s="2064">
        <f>+SUM('Resumen RAE S.Común'!F15)</f>
        <v>558.04899999999998</v>
      </c>
      <c r="H63" s="3532"/>
      <c r="I63" s="2065">
        <f t="shared" si="66"/>
        <v>972.60899999999947</v>
      </c>
      <c r="J63" s="3538"/>
      <c r="K63" s="2022">
        <f t="shared" si="67"/>
        <v>0.63541888521145795</v>
      </c>
      <c r="L63" s="3524"/>
      <c r="M63" s="2066"/>
    </row>
    <row r="64" spans="1:27" ht="15">
      <c r="A64" s="3530"/>
      <c r="B64" s="3537"/>
      <c r="C64" s="3507"/>
      <c r="D64" s="2063" t="s">
        <v>36</v>
      </c>
      <c r="E64" s="2473">
        <v>323</v>
      </c>
      <c r="F64" s="2473">
        <f>+E64+I63</f>
        <v>1295.6089999999995</v>
      </c>
      <c r="G64" s="2064">
        <f>+SUM('Resumen RAE S.Común'!F20)</f>
        <v>40.581000000000003</v>
      </c>
      <c r="H64" s="3532"/>
      <c r="I64" s="2065">
        <f t="shared" si="66"/>
        <v>1255.0279999999996</v>
      </c>
      <c r="J64" s="3538"/>
      <c r="K64" s="2022">
        <f t="shared" si="67"/>
        <v>0.96867805024509712</v>
      </c>
      <c r="L64" s="3524"/>
      <c r="M64" s="2066"/>
      <c r="O64" s="1489"/>
    </row>
    <row r="65" spans="1:17" s="1489" customFormat="1" ht="15">
      <c r="A65" s="3530" t="s">
        <v>9</v>
      </c>
      <c r="B65" s="3530" t="s">
        <v>17</v>
      </c>
      <c r="C65" s="3558">
        <f>SUM(E65:E67)</f>
        <v>152</v>
      </c>
      <c r="D65" s="2063" t="s">
        <v>43</v>
      </c>
      <c r="E65" s="2473">
        <v>129</v>
      </c>
      <c r="F65" s="2473">
        <f>+E65</f>
        <v>129</v>
      </c>
      <c r="G65" s="2064">
        <f>+SUM(S.común!B22:B25)</f>
        <v>0</v>
      </c>
      <c r="H65" s="3532">
        <f>SUM(G65:G67)</f>
        <v>0</v>
      </c>
      <c r="I65" s="2065">
        <f t="shared" si="58"/>
        <v>129</v>
      </c>
      <c r="J65" s="3538">
        <f>+C65-H65</f>
        <v>152</v>
      </c>
      <c r="K65" s="2022">
        <f t="shared" si="60"/>
        <v>1</v>
      </c>
      <c r="L65" s="3559">
        <f>1-H65/C65</f>
        <v>1</v>
      </c>
      <c r="M65" s="2066"/>
    </row>
    <row r="66" spans="1:17" s="1489" customFormat="1" ht="15">
      <c r="A66" s="3530"/>
      <c r="B66" s="3530"/>
      <c r="C66" s="3558"/>
      <c r="D66" s="2063" t="s">
        <v>44</v>
      </c>
      <c r="E66" s="2473">
        <v>15</v>
      </c>
      <c r="F66" s="2473">
        <f>+E66+I65</f>
        <v>144</v>
      </c>
      <c r="G66" s="2064">
        <f>+SUM(S.común!B26:B29)</f>
        <v>0</v>
      </c>
      <c r="H66" s="3532"/>
      <c r="I66" s="2065">
        <f t="shared" si="58"/>
        <v>144</v>
      </c>
      <c r="J66" s="3538"/>
      <c r="K66" s="2022">
        <f t="shared" si="60"/>
        <v>1</v>
      </c>
      <c r="L66" s="3559"/>
      <c r="M66" s="2066"/>
    </row>
    <row r="67" spans="1:17" s="1489" customFormat="1" ht="15">
      <c r="A67" s="3530"/>
      <c r="B67" s="3530"/>
      <c r="C67" s="3530"/>
      <c r="D67" s="2063" t="s">
        <v>36</v>
      </c>
      <c r="E67" s="2473">
        <v>8</v>
      </c>
      <c r="F67" s="2473">
        <f>+E67+I66</f>
        <v>152</v>
      </c>
      <c r="G67" s="2064">
        <f>+SUM(S.común!B30:B33)</f>
        <v>0</v>
      </c>
      <c r="H67" s="3532"/>
      <c r="I67" s="2065">
        <f t="shared" si="58"/>
        <v>152</v>
      </c>
      <c r="J67" s="3538"/>
      <c r="K67" s="2022">
        <f t="shared" si="60"/>
        <v>1</v>
      </c>
      <c r="L67" s="3559"/>
      <c r="M67" s="2066"/>
      <c r="O67" s="82"/>
      <c r="Q67" s="2541"/>
    </row>
    <row r="68" spans="1:17" ht="15">
      <c r="A68" s="3526" t="s">
        <v>9</v>
      </c>
      <c r="B68" s="3526" t="s">
        <v>578</v>
      </c>
      <c r="C68" s="3525">
        <f>SUM(E68:E70)</f>
        <v>2334</v>
      </c>
      <c r="D68" s="2055" t="s">
        <v>43</v>
      </c>
      <c r="E68" s="2471">
        <v>1984</v>
      </c>
      <c r="F68" s="2471">
        <f>+E68</f>
        <v>1984</v>
      </c>
      <c r="G68" s="2067">
        <f>+SUM('Resumen RAE S.Común'!F28)</f>
        <v>1524.5490000000002</v>
      </c>
      <c r="H68" s="3527">
        <f>SUM(G68:G70)</f>
        <v>1865.3700000000001</v>
      </c>
      <c r="I68" s="2068">
        <f t="shared" si="58"/>
        <v>459.45099999999979</v>
      </c>
      <c r="J68" s="3528">
        <f>+C68-H68</f>
        <v>468.62999999999988</v>
      </c>
      <c r="K68" s="2022">
        <f t="shared" si="60"/>
        <v>0.23157812499999986</v>
      </c>
      <c r="L68" s="3557">
        <f>1-H68/C68</f>
        <v>0.20078406169665808</v>
      </c>
      <c r="M68" s="2069"/>
      <c r="N68" s="1933"/>
    </row>
    <row r="69" spans="1:17" ht="15">
      <c r="A69" s="3526"/>
      <c r="B69" s="3526"/>
      <c r="C69" s="3525"/>
      <c r="D69" s="2055" t="s">
        <v>44</v>
      </c>
      <c r="E69" s="2471">
        <v>233</v>
      </c>
      <c r="F69" s="2471">
        <f>+E69+I68</f>
        <v>692.45099999999979</v>
      </c>
      <c r="G69" s="2067">
        <f>+SUM('Resumen RAE S.Común'!F34)</f>
        <v>338.03100000000001</v>
      </c>
      <c r="H69" s="3527"/>
      <c r="I69" s="2068">
        <f t="shared" si="58"/>
        <v>354.41999999999979</v>
      </c>
      <c r="J69" s="3528"/>
      <c r="K69" s="2022">
        <f t="shared" si="60"/>
        <v>0.51183405035157703</v>
      </c>
      <c r="L69" s="3557"/>
      <c r="M69" s="2056"/>
    </row>
    <row r="70" spans="1:17" ht="15">
      <c r="A70" s="3526"/>
      <c r="B70" s="3526"/>
      <c r="C70" s="3526"/>
      <c r="D70" s="2055" t="s">
        <v>36</v>
      </c>
      <c r="E70" s="2471">
        <v>117</v>
      </c>
      <c r="F70" s="2471">
        <f>+E70+I69</f>
        <v>471.41999999999979</v>
      </c>
      <c r="G70" s="2067">
        <f>+SUM('Resumen RAE S.Común'!F40)</f>
        <v>2.79</v>
      </c>
      <c r="H70" s="3527"/>
      <c r="I70" s="2068">
        <f t="shared" si="58"/>
        <v>468.62999999999977</v>
      </c>
      <c r="J70" s="3528"/>
      <c r="K70" s="2022">
        <f t="shared" si="60"/>
        <v>0.99408171057655592</v>
      </c>
      <c r="L70" s="3557"/>
      <c r="M70" s="2056"/>
    </row>
    <row r="71" spans="1:17" ht="21" customHeight="1">
      <c r="A71" s="3526" t="s">
        <v>9</v>
      </c>
      <c r="B71" s="3531" t="s">
        <v>579</v>
      </c>
      <c r="C71" s="3525">
        <f>SUM(E71:E72)</f>
        <v>363385</v>
      </c>
      <c r="D71" s="2055" t="s">
        <v>35</v>
      </c>
      <c r="E71" s="2471">
        <f>345900-720</f>
        <v>345180</v>
      </c>
      <c r="F71" s="2471">
        <f>+E71</f>
        <v>345180</v>
      </c>
      <c r="G71" s="2067">
        <f>+SUM('Resumen RAE S.Común'!F107)</f>
        <v>98134.840000000026</v>
      </c>
      <c r="H71" s="3527">
        <f>SUM(G71:G72)</f>
        <v>117644.15600000003</v>
      </c>
      <c r="I71" s="2068">
        <f t="shared" ref="I71:I72" si="68">+F71-G71</f>
        <v>247045.15999999997</v>
      </c>
      <c r="J71" s="3528">
        <f>+C71-H71</f>
        <v>245740.84399999998</v>
      </c>
      <c r="K71" s="2022">
        <f t="shared" ref="K71:K72" si="69">1-G71/F71</f>
        <v>0.71569951909148843</v>
      </c>
      <c r="L71" s="3557">
        <f>1-H71/C71</f>
        <v>0.67625478211813905</v>
      </c>
      <c r="M71" s="2056"/>
      <c r="N71" s="228"/>
    </row>
    <row r="72" spans="1:17" ht="18.75" customHeight="1">
      <c r="A72" s="3526"/>
      <c r="B72" s="3531"/>
      <c r="C72" s="3525"/>
      <c r="D72" s="2055" t="s">
        <v>36</v>
      </c>
      <c r="E72" s="2471">
        <v>18205</v>
      </c>
      <c r="F72" s="2471">
        <f>+E72+I71</f>
        <v>265250.15999999997</v>
      </c>
      <c r="G72" s="2067">
        <f>+SUM('Resumen RAE S.Común'!F173)</f>
        <v>19509.316000000006</v>
      </c>
      <c r="H72" s="3527"/>
      <c r="I72" s="2068">
        <f t="shared" si="68"/>
        <v>245740.84399999998</v>
      </c>
      <c r="J72" s="3528"/>
      <c r="K72" s="2022">
        <f t="shared" si="69"/>
        <v>0.92644937141602479</v>
      </c>
      <c r="L72" s="3557"/>
      <c r="M72" s="2056"/>
      <c r="N72" s="125"/>
      <c r="O72" s="1489"/>
    </row>
    <row r="73" spans="1:17" s="1489" customFormat="1" ht="15">
      <c r="A73" s="3530" t="s">
        <v>9</v>
      </c>
      <c r="B73" s="3530" t="s">
        <v>12</v>
      </c>
      <c r="C73" s="3508">
        <f>SUM(E73:E75)</f>
        <v>8141</v>
      </c>
      <c r="D73" s="3074" t="s">
        <v>43</v>
      </c>
      <c r="E73" s="2390">
        <v>4581</v>
      </c>
      <c r="F73" s="2473">
        <f>+E73</f>
        <v>4581</v>
      </c>
      <c r="G73" s="2064">
        <f>+SUM(S.común!AJ70:AJ73)</f>
        <v>4468.2009999999991</v>
      </c>
      <c r="H73" s="3532">
        <f>SUM(G73:G75)</f>
        <v>8139.5759999999991</v>
      </c>
      <c r="I73" s="2065">
        <f t="shared" si="58"/>
        <v>112.79900000000089</v>
      </c>
      <c r="J73" s="3532">
        <f>+C73-H73</f>
        <v>1.4240000000008877</v>
      </c>
      <c r="K73" s="2022">
        <f t="shared" si="60"/>
        <v>2.462322636978842E-2</v>
      </c>
      <c r="L73" s="3524">
        <f>1-H73/C73</f>
        <v>1.74917086353088E-4</v>
      </c>
      <c r="M73" s="2070">
        <v>41379</v>
      </c>
      <c r="O73" s="1777"/>
    </row>
    <row r="74" spans="1:17" s="1489" customFormat="1" ht="15">
      <c r="A74" s="3530"/>
      <c r="B74" s="3530"/>
      <c r="C74" s="3529"/>
      <c r="D74" s="3074" t="s">
        <v>44</v>
      </c>
      <c r="E74" s="2473">
        <v>539</v>
      </c>
      <c r="F74" s="2473">
        <f>+E74+I73</f>
        <v>651.79900000000089</v>
      </c>
      <c r="G74" s="2064">
        <f>+SUM(S.común!AJ74:AJ77)</f>
        <v>624.25</v>
      </c>
      <c r="H74" s="3532"/>
      <c r="I74" s="2071">
        <f>+F74-G74</f>
        <v>27.549000000000888</v>
      </c>
      <c r="J74" s="3532"/>
      <c r="K74" s="2022">
        <f>1-G74/F74</f>
        <v>4.2266097370509681E-2</v>
      </c>
      <c r="L74" s="3524"/>
      <c r="M74" s="2070" t="s">
        <v>1090</v>
      </c>
      <c r="N74" s="1776"/>
      <c r="O74" s="1777"/>
      <c r="P74" s="1777"/>
    </row>
    <row r="75" spans="1:17" s="1489" customFormat="1" ht="15">
      <c r="A75" s="3530"/>
      <c r="B75" s="3530"/>
      <c r="C75" s="3509"/>
      <c r="D75" s="2063" t="s">
        <v>36</v>
      </c>
      <c r="E75" s="2473">
        <v>3021</v>
      </c>
      <c r="F75" s="3086">
        <f>+E75+I74</f>
        <v>3048.5490000000009</v>
      </c>
      <c r="G75" s="2064">
        <f>+SUM(S.común!AJ78:AJ81)</f>
        <v>3047.125</v>
      </c>
      <c r="H75" s="3532"/>
      <c r="I75" s="2065">
        <f t="shared" si="58"/>
        <v>1.4240000000008877</v>
      </c>
      <c r="J75" s="3532"/>
      <c r="K75" s="2022">
        <f t="shared" si="60"/>
        <v>4.6710746653599866E-4</v>
      </c>
      <c r="L75" s="3524"/>
      <c r="M75" s="2070">
        <v>41571</v>
      </c>
      <c r="N75" s="1778"/>
      <c r="O75" s="82"/>
      <c r="P75" s="1777"/>
    </row>
    <row r="76" spans="1:17" ht="15">
      <c r="A76" s="3526" t="s">
        <v>9</v>
      </c>
      <c r="B76" s="3531" t="s">
        <v>580</v>
      </c>
      <c r="C76" s="3525">
        <f>SUM(E76:E78)</f>
        <v>51867</v>
      </c>
      <c r="D76" s="2055" t="s">
        <v>43</v>
      </c>
      <c r="E76" s="2471">
        <v>44042</v>
      </c>
      <c r="F76" s="2471">
        <f>+E76</f>
        <v>44042</v>
      </c>
      <c r="G76" s="2067">
        <f>+SUM('Resumen RAE S.Común'!F195)</f>
        <v>24799.014999999999</v>
      </c>
      <c r="H76" s="3527">
        <f>SUM(G76:G78)</f>
        <v>38323.260999999999</v>
      </c>
      <c r="I76" s="2068">
        <f t="shared" ref="I76:I80" si="70">+F76-G76</f>
        <v>19242.985000000001</v>
      </c>
      <c r="J76" s="3527">
        <f>+C76-H76</f>
        <v>13543.739000000001</v>
      </c>
      <c r="K76" s="2022">
        <f>1-G76/F76</f>
        <v>0.43692350483629261</v>
      </c>
      <c r="L76" s="3557">
        <f>1-H76/C76</f>
        <v>0.26112439508743523</v>
      </c>
      <c r="M76" s="2072"/>
      <c r="N76" s="1933">
        <v>1</v>
      </c>
    </row>
    <row r="77" spans="1:17" ht="15">
      <c r="A77" s="3526"/>
      <c r="B77" s="3531"/>
      <c r="C77" s="3525"/>
      <c r="D77" s="2055" t="s">
        <v>44</v>
      </c>
      <c r="E77" s="2471">
        <v>5217</v>
      </c>
      <c r="F77" s="2471">
        <f>+E77+I76</f>
        <v>24459.985000000001</v>
      </c>
      <c r="G77" s="2067">
        <f>+SUM('Resumen RAE S.Común'!F215)</f>
        <v>8244.6380000000008</v>
      </c>
      <c r="H77" s="3527"/>
      <c r="I77" s="2068">
        <f t="shared" si="70"/>
        <v>16215.347</v>
      </c>
      <c r="J77" s="3527"/>
      <c r="K77" s="2022">
        <f t="shared" ref="K77:K78" si="71">1-G77/F77</f>
        <v>0.66293364448097569</v>
      </c>
      <c r="L77" s="3557"/>
      <c r="M77" s="2072"/>
    </row>
    <row r="78" spans="1:17" ht="15">
      <c r="A78" s="3526"/>
      <c r="B78" s="3531"/>
      <c r="C78" s="3525"/>
      <c r="D78" s="2055" t="s">
        <v>36</v>
      </c>
      <c r="E78" s="2471">
        <v>2608</v>
      </c>
      <c r="F78" s="2471">
        <f>+E78+I77</f>
        <v>18823.347000000002</v>
      </c>
      <c r="G78" s="2067">
        <f>+SUM('Resumen RAE S.Común'!F235)</f>
        <v>5279.6080000000002</v>
      </c>
      <c r="H78" s="3527"/>
      <c r="I78" s="2068">
        <f t="shared" si="70"/>
        <v>13543.739000000001</v>
      </c>
      <c r="J78" s="3527"/>
      <c r="K78" s="2022">
        <f t="shared" si="71"/>
        <v>0.71951810695515528</v>
      </c>
      <c r="L78" s="3557"/>
      <c r="M78" s="2072"/>
    </row>
    <row r="79" spans="1:17" ht="15">
      <c r="A79" s="3526" t="s">
        <v>9</v>
      </c>
      <c r="B79" s="3531" t="s">
        <v>581</v>
      </c>
      <c r="C79" s="3525">
        <f>SUM(E79:E80)</f>
        <v>24687</v>
      </c>
      <c r="D79" s="2055" t="s">
        <v>45</v>
      </c>
      <c r="E79" s="2471">
        <v>19750</v>
      </c>
      <c r="F79" s="2471">
        <f>+E79</f>
        <v>19750</v>
      </c>
      <c r="G79" s="2067">
        <f>+SUM('Resumen RAE S.Común'!F252)</f>
        <v>2820.3980000000006</v>
      </c>
      <c r="H79" s="3527">
        <f>SUM(G79:G80)</f>
        <v>4051.6060000000007</v>
      </c>
      <c r="I79" s="2068">
        <f t="shared" si="70"/>
        <v>16929.601999999999</v>
      </c>
      <c r="J79" s="3566">
        <f>+C79-H79</f>
        <v>20635.394</v>
      </c>
      <c r="K79" s="2022">
        <f>1-G79/F79</f>
        <v>0.85719503797468355</v>
      </c>
      <c r="L79" s="3557">
        <f>1-H79/C79</f>
        <v>0.83588098999473404</v>
      </c>
      <c r="M79" s="2072"/>
    </row>
    <row r="80" spans="1:17" ht="15">
      <c r="A80" s="3526"/>
      <c r="B80" s="3531"/>
      <c r="C80" s="3525"/>
      <c r="D80" s="2055" t="s">
        <v>39</v>
      </c>
      <c r="E80" s="2471">
        <v>4937</v>
      </c>
      <c r="F80" s="2471">
        <f>+E80+I79</f>
        <v>21866.601999999999</v>
      </c>
      <c r="G80" s="2067">
        <f>+SUM('Resumen RAE S.Común'!F267)</f>
        <v>1231.2079999999999</v>
      </c>
      <c r="H80" s="3527"/>
      <c r="I80" s="2068">
        <f t="shared" si="70"/>
        <v>20635.394</v>
      </c>
      <c r="J80" s="3566"/>
      <c r="K80" s="2022">
        <f t="shared" ref="K80" si="72">1-G80/F80</f>
        <v>0.94369458958460939</v>
      </c>
      <c r="L80" s="3557"/>
      <c r="M80" s="2072"/>
    </row>
    <row r="81" spans="1:14" ht="15">
      <c r="A81" s="3560" t="s">
        <v>332</v>
      </c>
      <c r="B81" s="3561" t="s">
        <v>581</v>
      </c>
      <c r="C81" s="3562">
        <f>SUM(E81:E82)</f>
        <v>21669.75</v>
      </c>
      <c r="D81" s="3248" t="s">
        <v>45</v>
      </c>
      <c r="E81" s="2543">
        <v>17000</v>
      </c>
      <c r="F81" s="2074">
        <f>+E81</f>
        <v>17000</v>
      </c>
      <c r="G81" s="2075">
        <f>+SUM('Resumen RAE S. Austral'!F12)</f>
        <v>15370.352000000001</v>
      </c>
      <c r="H81" s="3563">
        <f>SUM(G81:G82)</f>
        <v>21816.878000000001</v>
      </c>
      <c r="I81" s="2076">
        <f t="shared" ref="I81:I82" si="73">+F81-G81</f>
        <v>1629.6479999999992</v>
      </c>
      <c r="J81" s="3564">
        <f>+C81-H81</f>
        <v>-147.12800000000061</v>
      </c>
      <c r="K81" s="2022">
        <f>1-G81/F81</f>
        <v>9.5861647058823496E-2</v>
      </c>
      <c r="L81" s="3556">
        <f>1-H81/C81</f>
        <v>-6.7895568707529996E-3</v>
      </c>
      <c r="M81" s="2077"/>
      <c r="N81" s="1933"/>
    </row>
    <row r="82" spans="1:14" ht="15">
      <c r="A82" s="3560"/>
      <c r="B82" s="3561"/>
      <c r="C82" s="3562"/>
      <c r="D82" s="2542" t="s">
        <v>39</v>
      </c>
      <c r="E82" s="2543">
        <v>4669.75</v>
      </c>
      <c r="F82" s="2074">
        <f>+E82+I81</f>
        <v>6299.3979999999992</v>
      </c>
      <c r="G82" s="2075">
        <f>+SUM('Resumen RAE S. Austral'!F23)</f>
        <v>6446.5259999999998</v>
      </c>
      <c r="H82" s="3563"/>
      <c r="I82" s="2076">
        <f t="shared" si="73"/>
        <v>-147.12800000000061</v>
      </c>
      <c r="J82" s="3564"/>
      <c r="K82" s="2022">
        <f t="shared" ref="K82" si="74">1-G82/F82</f>
        <v>-2.3355882577986042E-2</v>
      </c>
      <c r="L82" s="3556"/>
      <c r="M82" s="2077"/>
    </row>
    <row r="83" spans="1:14" ht="15">
      <c r="A83" s="3079" t="s">
        <v>332</v>
      </c>
      <c r="B83" s="2467" t="s">
        <v>13</v>
      </c>
      <c r="C83" s="2073">
        <f>SUM(E83:E84)</f>
        <v>6920</v>
      </c>
      <c r="D83" s="3078" t="s">
        <v>593</v>
      </c>
      <c r="E83" s="2073">
        <v>6920</v>
      </c>
      <c r="F83" s="2073">
        <f>+E83</f>
        <v>6920</v>
      </c>
      <c r="G83" s="2075">
        <f>+SUM('Sardina austral X - XI'!B6:B17)</f>
        <v>5819.7610000000004</v>
      </c>
      <c r="H83" s="2468">
        <f>SUM(G83:G83)</f>
        <v>5819.7610000000004</v>
      </c>
      <c r="I83" s="2076">
        <f t="shared" ref="I83" si="75">+F83-G83</f>
        <v>1100.2389999999996</v>
      </c>
      <c r="J83" s="2469">
        <f>+C83-H83</f>
        <v>1100.2389999999996</v>
      </c>
      <c r="K83" s="2022">
        <f>1-G83/F83</f>
        <v>0.15899407514450858</v>
      </c>
      <c r="L83" s="2472">
        <f>1-H83/C83</f>
        <v>0.15899407514450858</v>
      </c>
      <c r="M83" s="3011" t="s">
        <v>1049</v>
      </c>
      <c r="N83" s="1933"/>
    </row>
    <row r="84" spans="1:14" ht="12.75" customHeight="1">
      <c r="G84" s="3136">
        <f>SUM(G7:G83)</f>
        <v>383708.46500000003</v>
      </c>
      <c r="H84" s="85"/>
    </row>
    <row r="85" spans="1:14">
      <c r="K85" s="2488"/>
    </row>
    <row r="87" spans="1:14">
      <c r="A87" s="1311" t="s">
        <v>1010</v>
      </c>
      <c r="B87" s="1311" t="s">
        <v>1011</v>
      </c>
      <c r="C87" s="1311" t="s">
        <v>1012</v>
      </c>
    </row>
    <row r="88" spans="1:14">
      <c r="A88" s="1311" t="s">
        <v>1013</v>
      </c>
      <c r="B88" s="82">
        <v>16.978000000000002</v>
      </c>
      <c r="C88" s="82">
        <v>0.89300000000000002</v>
      </c>
    </row>
    <row r="89" spans="1:14">
      <c r="B89" s="82">
        <v>580.947</v>
      </c>
      <c r="C89" s="82">
        <v>30.547999999999998</v>
      </c>
    </row>
    <row r="90" spans="1:14">
      <c r="B90" s="82">
        <v>2083.9290000000001</v>
      </c>
      <c r="C90" s="82">
        <v>109.581</v>
      </c>
    </row>
    <row r="91" spans="1:14">
      <c r="B91" s="1311">
        <v>1410.7149999999999</v>
      </c>
      <c r="C91" s="1311">
        <v>74.180999999999997</v>
      </c>
    </row>
    <row r="92" spans="1:14">
      <c r="B92" s="1311">
        <v>8.3000000000000004E-2</v>
      </c>
      <c r="C92" s="1311">
        <v>4.0000000000000001E-3</v>
      </c>
    </row>
    <row r="93" spans="1:14">
      <c r="B93" s="1311">
        <v>0</v>
      </c>
      <c r="C93" s="1311">
        <v>0</v>
      </c>
    </row>
    <row r="94" spans="1:14">
      <c r="B94" s="1311">
        <v>0.217</v>
      </c>
      <c r="C94" s="1311">
        <v>1.0999999999999999E-2</v>
      </c>
    </row>
    <row r="95" spans="1:14">
      <c r="B95" s="1311">
        <v>40.570999999999998</v>
      </c>
      <c r="C95" s="1311">
        <v>2.133</v>
      </c>
    </row>
    <row r="96" spans="1:14">
      <c r="B96" s="1311">
        <v>0.45300000000000001</v>
      </c>
      <c r="C96" s="1311">
        <v>2.4E-2</v>
      </c>
    </row>
    <row r="97" spans="2:4">
      <c r="B97" s="1311">
        <v>220.75899999999999</v>
      </c>
      <c r="C97" s="1311">
        <v>11.608000000000001</v>
      </c>
    </row>
    <row r="98" spans="2:4">
      <c r="B98" s="1311">
        <v>57.348999999999997</v>
      </c>
      <c r="C98" s="1311">
        <v>3.016</v>
      </c>
    </row>
    <row r="99" spans="2:4">
      <c r="B99" s="709">
        <f>SUM(B88:B98)</f>
        <v>4412.0010000000011</v>
      </c>
      <c r="C99" s="709">
        <f>SUM(C88:C98)</f>
        <v>231.99899999999997</v>
      </c>
      <c r="D99" s="82">
        <f>SUM(B99:C99)</f>
        <v>4644.0000000000009</v>
      </c>
    </row>
  </sheetData>
  <mergeCells count="205">
    <mergeCell ref="A81:A82"/>
    <mergeCell ref="B81:B82"/>
    <mergeCell ref="C81:C82"/>
    <mergeCell ref="H81:H82"/>
    <mergeCell ref="J81:J82"/>
    <mergeCell ref="A21:A23"/>
    <mergeCell ref="B21:B23"/>
    <mergeCell ref="C21:C23"/>
    <mergeCell ref="H21:H23"/>
    <mergeCell ref="J21:J23"/>
    <mergeCell ref="A79:A80"/>
    <mergeCell ref="B79:B80"/>
    <mergeCell ref="C79:C80"/>
    <mergeCell ref="H79:H80"/>
    <mergeCell ref="J79:J80"/>
    <mergeCell ref="J50:J51"/>
    <mergeCell ref="H54:H55"/>
    <mergeCell ref="J54:J55"/>
    <mergeCell ref="L81:L82"/>
    <mergeCell ref="L79:L80"/>
    <mergeCell ref="A26:A28"/>
    <mergeCell ref="B26:B28"/>
    <mergeCell ref="J71:J72"/>
    <mergeCell ref="L71:L72"/>
    <mergeCell ref="A76:A78"/>
    <mergeCell ref="B76:B78"/>
    <mergeCell ref="C76:C78"/>
    <mergeCell ref="H76:H78"/>
    <mergeCell ref="J76:J78"/>
    <mergeCell ref="L76:L78"/>
    <mergeCell ref="H50:H51"/>
    <mergeCell ref="L58:L59"/>
    <mergeCell ref="B68:B70"/>
    <mergeCell ref="C65:C67"/>
    <mergeCell ref="C60:C61"/>
    <mergeCell ref="A60:A61"/>
    <mergeCell ref="B60:B61"/>
    <mergeCell ref="L65:L67"/>
    <mergeCell ref="H65:H67"/>
    <mergeCell ref="L62:L64"/>
    <mergeCell ref="J65:J67"/>
    <mergeCell ref="L68:L70"/>
    <mergeCell ref="L60:L61"/>
    <mergeCell ref="A2:M2"/>
    <mergeCell ref="K4:L4"/>
    <mergeCell ref="E5:F5"/>
    <mergeCell ref="G5:H5"/>
    <mergeCell ref="I5:J5"/>
    <mergeCell ref="K5:L5"/>
    <mergeCell ref="A3:M3"/>
    <mergeCell ref="M5:M6"/>
    <mergeCell ref="A18:A20"/>
    <mergeCell ref="A11:A12"/>
    <mergeCell ref="C11:C12"/>
    <mergeCell ref="B11:B12"/>
    <mergeCell ref="H11:H12"/>
    <mergeCell ref="J11:J12"/>
    <mergeCell ref="L7:L8"/>
    <mergeCell ref="B7:B8"/>
    <mergeCell ref="A7:A8"/>
    <mergeCell ref="C7:C8"/>
    <mergeCell ref="C9:C10"/>
    <mergeCell ref="J7:J8"/>
    <mergeCell ref="H7:H8"/>
    <mergeCell ref="H9:H10"/>
    <mergeCell ref="J9:J10"/>
    <mergeCell ref="L9:L10"/>
    <mergeCell ref="B9:B10"/>
    <mergeCell ref="A9:A10"/>
    <mergeCell ref="A62:A64"/>
    <mergeCell ref="B62:B64"/>
    <mergeCell ref="C62:C64"/>
    <mergeCell ref="H62:H64"/>
    <mergeCell ref="J62:J64"/>
    <mergeCell ref="A65:A67"/>
    <mergeCell ref="B65:B67"/>
    <mergeCell ref="B58:B59"/>
    <mergeCell ref="A58:A59"/>
    <mergeCell ref="J60:J61"/>
    <mergeCell ref="H60:H61"/>
    <mergeCell ref="C58:C59"/>
    <mergeCell ref="H58:H59"/>
    <mergeCell ref="J58:J59"/>
    <mergeCell ref="B34:B35"/>
    <mergeCell ref="A34:A35"/>
    <mergeCell ref="B13:B14"/>
    <mergeCell ref="A13:A14"/>
    <mergeCell ref="H36:H37"/>
    <mergeCell ref="J36:J37"/>
    <mergeCell ref="C36:C37"/>
    <mergeCell ref="L73:L75"/>
    <mergeCell ref="C68:C70"/>
    <mergeCell ref="H68:H70"/>
    <mergeCell ref="J68:J70"/>
    <mergeCell ref="C73:C75"/>
    <mergeCell ref="A73:A75"/>
    <mergeCell ref="A68:A70"/>
    <mergeCell ref="A71:A72"/>
    <mergeCell ref="B71:B72"/>
    <mergeCell ref="C71:C72"/>
    <mergeCell ref="H71:H72"/>
    <mergeCell ref="J73:J75"/>
    <mergeCell ref="H73:H75"/>
    <mergeCell ref="B73:B75"/>
    <mergeCell ref="L11:L12"/>
    <mergeCell ref="H13:H14"/>
    <mergeCell ref="J13:J14"/>
    <mergeCell ref="C13:C14"/>
    <mergeCell ref="L13:L14"/>
    <mergeCell ref="H34:H35"/>
    <mergeCell ref="J34:J35"/>
    <mergeCell ref="C34:C35"/>
    <mergeCell ref="L34:L35"/>
    <mergeCell ref="J18:J20"/>
    <mergeCell ref="C18:C20"/>
    <mergeCell ref="H18:H20"/>
    <mergeCell ref="L18:L20"/>
    <mergeCell ref="C15:C17"/>
    <mergeCell ref="H15:H17"/>
    <mergeCell ref="J15:J17"/>
    <mergeCell ref="L15:L17"/>
    <mergeCell ref="C29:C31"/>
    <mergeCell ref="H29:H31"/>
    <mergeCell ref="J29:J31"/>
    <mergeCell ref="H24:H25"/>
    <mergeCell ref="L21:L23"/>
    <mergeCell ref="J24:J25"/>
    <mergeCell ref="L24:L25"/>
    <mergeCell ref="L36:L37"/>
    <mergeCell ref="B36:B37"/>
    <mergeCell ref="A36:A37"/>
    <mergeCell ref="B18:B20"/>
    <mergeCell ref="A15:A17"/>
    <mergeCell ref="B15:B17"/>
    <mergeCell ref="A29:A31"/>
    <mergeCell ref="B29:B31"/>
    <mergeCell ref="A32:A33"/>
    <mergeCell ref="C26:C28"/>
    <mergeCell ref="H26:H28"/>
    <mergeCell ref="J26:J28"/>
    <mergeCell ref="L26:L28"/>
    <mergeCell ref="B32:B33"/>
    <mergeCell ref="C32:C33"/>
    <mergeCell ref="H32:H33"/>
    <mergeCell ref="J32:J33"/>
    <mergeCell ref="L32:L33"/>
    <mergeCell ref="L29:L31"/>
    <mergeCell ref="C24:C25"/>
    <mergeCell ref="A24:A25"/>
    <mergeCell ref="B24:B25"/>
    <mergeCell ref="L38:L39"/>
    <mergeCell ref="H40:H41"/>
    <mergeCell ref="J40:J41"/>
    <mergeCell ref="C40:C41"/>
    <mergeCell ref="L40:L41"/>
    <mergeCell ref="B40:B41"/>
    <mergeCell ref="A40:A41"/>
    <mergeCell ref="H42:H43"/>
    <mergeCell ref="J42:J43"/>
    <mergeCell ref="C42:C43"/>
    <mergeCell ref="B42:B43"/>
    <mergeCell ref="H38:H39"/>
    <mergeCell ref="J38:J39"/>
    <mergeCell ref="C38:C39"/>
    <mergeCell ref="B38:B39"/>
    <mergeCell ref="A38:A39"/>
    <mergeCell ref="L44:L45"/>
    <mergeCell ref="C46:C47"/>
    <mergeCell ref="A42:A43"/>
    <mergeCell ref="A46:A47"/>
    <mergeCell ref="H46:H47"/>
    <mergeCell ref="J46:J47"/>
    <mergeCell ref="L46:L47"/>
    <mergeCell ref="B46:B47"/>
    <mergeCell ref="C48:C49"/>
    <mergeCell ref="H48:H49"/>
    <mergeCell ref="J48:J49"/>
    <mergeCell ref="L48:L49"/>
    <mergeCell ref="A48:A49"/>
    <mergeCell ref="B48:B49"/>
    <mergeCell ref="C44:C45"/>
    <mergeCell ref="B44:B45"/>
    <mergeCell ref="A44:A45"/>
    <mergeCell ref="H44:H45"/>
    <mergeCell ref="J44:J45"/>
    <mergeCell ref="L50:L51"/>
    <mergeCell ref="C52:C53"/>
    <mergeCell ref="B52:B53"/>
    <mergeCell ref="A52:A53"/>
    <mergeCell ref="H52:H53"/>
    <mergeCell ref="J52:J53"/>
    <mergeCell ref="L52:L53"/>
    <mergeCell ref="C50:C51"/>
    <mergeCell ref="B50:B51"/>
    <mergeCell ref="A50:A51"/>
    <mergeCell ref="L54:L55"/>
    <mergeCell ref="C56:C57"/>
    <mergeCell ref="B56:B57"/>
    <mergeCell ref="A56:A57"/>
    <mergeCell ref="H56:H57"/>
    <mergeCell ref="J56:J57"/>
    <mergeCell ref="L56:L57"/>
    <mergeCell ref="C54:C55"/>
    <mergeCell ref="B54:B55"/>
    <mergeCell ref="A54:A55"/>
  </mergeCells>
  <phoneticPr fontId="0" type="noConversion"/>
  <conditionalFormatting sqref="K7:K83">
    <cfRule type="cellIs" dxfId="245" priority="4" operator="lessThan">
      <formula>0.3</formula>
    </cfRule>
  </conditionalFormatting>
  <conditionalFormatting sqref="K7:K83">
    <cfRule type="cellIs" dxfId="244" priority="3" operator="lessThan">
      <formula>0.2</formula>
    </cfRule>
  </conditionalFormatting>
  <conditionalFormatting sqref="K7:K83">
    <cfRule type="cellIs" dxfId="243" priority="2" operator="lessThan">
      <formula>0.1</formula>
    </cfRule>
  </conditionalFormatting>
  <conditionalFormatting sqref="K7:K83">
    <cfRule type="cellIs" dxfId="242" priority="1" operator="lessThan">
      <formula>0.05</formula>
    </cfRule>
  </conditionalFormatting>
  <pageMargins left="0.74803149606299213" right="0.74803149606299213" top="0.98425196850393704" bottom="0.98425196850393704" header="0" footer="0"/>
  <pageSetup paperSize="5" scale="50" orientation="portrait" r:id="rId1"/>
  <headerFooter alignWithMargins="0"/>
  <legacyDrawing r:id="rId2"/>
</worksheet>
</file>

<file path=xl/worksheets/sheet4.xml><?xml version="1.0" encoding="utf-8"?>
<worksheet xmlns="http://schemas.openxmlformats.org/spreadsheetml/2006/main" xmlns:r="http://schemas.openxmlformats.org/officeDocument/2006/relationships">
  <sheetPr>
    <tabColor theme="8" tint="0.39997558519241921"/>
  </sheetPr>
  <dimension ref="A1:T282"/>
  <sheetViews>
    <sheetView topLeftCell="A115" zoomScale="70" zoomScaleNormal="70" workbookViewId="0">
      <pane ySplit="2910" topLeftCell="A169" activePane="bottomLeft"/>
      <selection activeCell="I109" sqref="I109"/>
      <selection pane="bottomLeft" activeCell="I171" sqref="I171"/>
    </sheetView>
  </sheetViews>
  <sheetFormatPr baseColWidth="10" defaultRowHeight="12.75"/>
  <cols>
    <col min="1" max="1" width="104.42578125" customWidth="1"/>
    <col min="2" max="2" width="9.7109375" customWidth="1"/>
    <col min="3" max="3" width="21.85546875" customWidth="1"/>
    <col min="4" max="4" width="10.85546875" customWidth="1"/>
    <col min="5" max="5" width="20" customWidth="1"/>
    <col min="6" max="6" width="19.5703125" customWidth="1"/>
    <col min="7" max="7" width="15" style="69" customWidth="1"/>
    <col min="8" max="8" width="14.7109375" customWidth="1"/>
    <col min="9" max="9" width="20" style="253" customWidth="1"/>
    <col min="10" max="10" width="11.42578125" customWidth="1"/>
    <col min="11" max="11" width="6.7109375" customWidth="1"/>
    <col min="12" max="12" width="29.85546875" customWidth="1"/>
    <col min="13" max="13" width="14.7109375" customWidth="1"/>
    <col min="14" max="14" width="11.85546875" customWidth="1"/>
    <col min="17" max="17" width="38.85546875" customWidth="1"/>
  </cols>
  <sheetData>
    <row r="1" spans="1:12" ht="15" customHeight="1"/>
    <row r="2" spans="1:12" ht="15" customHeight="1">
      <c r="A2" s="3569" t="s">
        <v>561</v>
      </c>
      <c r="B2" s="3570"/>
      <c r="C2" s="3570"/>
      <c r="D2" s="3570"/>
      <c r="E2" s="3570"/>
      <c r="F2" s="3570"/>
      <c r="G2" s="3570"/>
      <c r="H2" s="3570"/>
      <c r="I2" s="3571"/>
    </row>
    <row r="3" spans="1:12" ht="15" customHeight="1">
      <c r="A3" s="61"/>
      <c r="B3" s="61"/>
      <c r="C3" s="61"/>
      <c r="D3" s="61"/>
      <c r="E3" s="61"/>
      <c r="F3" s="61"/>
      <c r="G3" s="61"/>
      <c r="H3" s="61"/>
      <c r="I3" s="254"/>
    </row>
    <row r="4" spans="1:12" s="1906" customFormat="1" ht="15" customHeight="1">
      <c r="A4" s="3572" t="s">
        <v>113</v>
      </c>
      <c r="B4" s="3573"/>
      <c r="C4" s="1780"/>
      <c r="D4" s="1780"/>
      <c r="E4" s="1780"/>
      <c r="F4" s="1781"/>
      <c r="G4" s="1781"/>
      <c r="H4" s="1433"/>
      <c r="I4" s="1907"/>
    </row>
    <row r="5" spans="1:12" s="1906" customFormat="1" ht="15" customHeight="1">
      <c r="A5" s="1433"/>
      <c r="B5" s="1781"/>
      <c r="C5" s="1780"/>
      <c r="D5" s="1780"/>
      <c r="E5" s="1780"/>
      <c r="F5" s="1781"/>
      <c r="G5" s="1781"/>
      <c r="H5" s="1433"/>
      <c r="I5" s="1907"/>
    </row>
    <row r="6" spans="1:12" s="1906" customFormat="1" ht="15" customHeight="1">
      <c r="A6" s="1910" t="s">
        <v>47</v>
      </c>
      <c r="B6" s="1910" t="s">
        <v>48</v>
      </c>
      <c r="C6" s="1911" t="s">
        <v>49</v>
      </c>
      <c r="D6" s="1911" t="s">
        <v>185</v>
      </c>
      <c r="E6" s="1911" t="s">
        <v>50</v>
      </c>
      <c r="F6" s="1910" t="s">
        <v>20</v>
      </c>
      <c r="G6" s="1910" t="s">
        <v>21</v>
      </c>
      <c r="H6" s="1910" t="s">
        <v>51</v>
      </c>
      <c r="I6" s="1912" t="s">
        <v>23</v>
      </c>
    </row>
    <row r="7" spans="1:12" s="1906" customFormat="1" ht="15" customHeight="1">
      <c r="A7" s="1476" t="s">
        <v>114</v>
      </c>
      <c r="B7" s="1461" t="s">
        <v>608</v>
      </c>
      <c r="C7" s="1784">
        <v>60</v>
      </c>
      <c r="D7" s="1784"/>
      <c r="E7" s="1784">
        <f>+C7</f>
        <v>60</v>
      </c>
      <c r="F7" s="1787">
        <f>+SUM('RAE Anchoveta'!B8:B17)</f>
        <v>0.2</v>
      </c>
      <c r="G7" s="1441">
        <f>+E7-F7</f>
        <v>59.8</v>
      </c>
      <c r="H7" s="1908">
        <f>+G7/E7</f>
        <v>0.99666666666666659</v>
      </c>
      <c r="I7" s="1467"/>
      <c r="J7" s="1776"/>
    </row>
    <row r="8" spans="1:12" s="1906" customFormat="1" ht="15" customHeight="1">
      <c r="A8" s="1476" t="s">
        <v>116</v>
      </c>
      <c r="B8" s="1461" t="s">
        <v>608</v>
      </c>
      <c r="C8" s="1784">
        <v>8165</v>
      </c>
      <c r="D8" s="1784"/>
      <c r="E8" s="1784">
        <f t="shared" ref="E8:E9" si="0">+C8</f>
        <v>8165</v>
      </c>
      <c r="F8" s="1787">
        <f>+SUM('RAE Anchoveta'!B24:B33)</f>
        <v>7577.3720000000003</v>
      </c>
      <c r="G8" s="1441">
        <f>+E8-F8</f>
        <v>587.6279999999997</v>
      </c>
      <c r="H8" s="1786">
        <f>+G8/E8</f>
        <v>7.1969136558481292E-2</v>
      </c>
      <c r="I8" s="1790"/>
      <c r="J8" s="1562"/>
      <c r="L8" s="2549" t="s">
        <v>1126</v>
      </c>
    </row>
    <row r="9" spans="1:12" s="1906" customFormat="1" ht="15" customHeight="1">
      <c r="A9" s="1476" t="s">
        <v>115</v>
      </c>
      <c r="B9" s="1461" t="s">
        <v>608</v>
      </c>
      <c r="C9" s="1784">
        <v>11</v>
      </c>
      <c r="D9" s="1784"/>
      <c r="E9" s="1784">
        <f t="shared" si="0"/>
        <v>11</v>
      </c>
      <c r="F9" s="1787">
        <f>+SUM('RAE Anchoveta'!B40:B49)</f>
        <v>4.1960000000000006</v>
      </c>
      <c r="G9" s="1441">
        <f>+E9-F9</f>
        <v>6.8039999999999994</v>
      </c>
      <c r="H9" s="1786">
        <f>+G9/E9</f>
        <v>0.61854545454545451</v>
      </c>
      <c r="I9" s="1790"/>
    </row>
    <row r="10" spans="1:12" s="1906" customFormat="1" ht="15" customHeight="1">
      <c r="A10" s="1470" t="s">
        <v>52</v>
      </c>
      <c r="B10" s="1791" t="s">
        <v>608</v>
      </c>
      <c r="C10" s="1782">
        <f>SUM(C7:C9)</f>
        <v>8236</v>
      </c>
      <c r="D10" s="1782"/>
      <c r="E10" s="1782">
        <f>SUM(E7:E9)</f>
        <v>8236</v>
      </c>
      <c r="F10" s="1792">
        <f>SUM(F7:F9)</f>
        <v>7581.768</v>
      </c>
      <c r="G10" s="1789">
        <f>+E10-F10</f>
        <v>654.23199999999997</v>
      </c>
      <c r="H10" s="1433"/>
      <c r="I10" s="1907"/>
    </row>
    <row r="11" spans="1:12" s="1906" customFormat="1" ht="20.25" customHeight="1">
      <c r="A11" s="1433"/>
      <c r="B11" s="1781"/>
      <c r="C11" s="1780"/>
      <c r="D11" s="1780"/>
      <c r="E11" s="1780"/>
      <c r="F11" s="1781"/>
      <c r="G11" s="1781"/>
      <c r="H11" s="1433"/>
      <c r="I11" s="1907"/>
    </row>
    <row r="12" spans="1:12" s="1906" customFormat="1" ht="15" customHeight="1">
      <c r="A12" s="1910" t="s">
        <v>47</v>
      </c>
      <c r="B12" s="1910" t="s">
        <v>48</v>
      </c>
      <c r="C12" s="1911" t="s">
        <v>49</v>
      </c>
      <c r="D12" s="1911" t="s">
        <v>185</v>
      </c>
      <c r="E12" s="1911" t="s">
        <v>50</v>
      </c>
      <c r="F12" s="1910" t="s">
        <v>20</v>
      </c>
      <c r="G12" s="1910" t="s">
        <v>21</v>
      </c>
      <c r="H12" s="1910" t="s">
        <v>51</v>
      </c>
      <c r="I12" s="1913" t="s">
        <v>23</v>
      </c>
    </row>
    <row r="13" spans="1:12" s="1906" customFormat="1" ht="15" customHeight="1">
      <c r="A13" s="1476" t="s">
        <v>114</v>
      </c>
      <c r="B13" s="1461" t="s">
        <v>42</v>
      </c>
      <c r="C13" s="1784">
        <v>3</v>
      </c>
      <c r="D13" s="1784"/>
      <c r="E13" s="1797">
        <f>+C13+G7</f>
        <v>62.8</v>
      </c>
      <c r="F13" s="1287">
        <f>+SUM('RAE Anchoveta'!B18:B19)</f>
        <v>0</v>
      </c>
      <c r="G13" s="1441">
        <f>+E13-F13</f>
        <v>62.8</v>
      </c>
      <c r="H13" s="1234">
        <f>+G13/E13</f>
        <v>1</v>
      </c>
      <c r="I13" s="1469"/>
    </row>
    <row r="14" spans="1:12" s="1906" customFormat="1" ht="15" customHeight="1">
      <c r="A14" s="1476" t="s">
        <v>116</v>
      </c>
      <c r="B14" s="1461" t="s">
        <v>42</v>
      </c>
      <c r="C14" s="1784">
        <v>429</v>
      </c>
      <c r="D14" s="1784"/>
      <c r="E14" s="1784">
        <f>+C14+G8</f>
        <v>1016.6279999999997</v>
      </c>
      <c r="F14" s="1787">
        <f>+SUM('RAE Anchoveta'!B34:B35)</f>
        <v>100.13700000000001</v>
      </c>
      <c r="G14" s="1441">
        <f>+E14-F14</f>
        <v>916.49099999999964</v>
      </c>
      <c r="H14" s="1234">
        <f>+G14/E14</f>
        <v>0.90150084396652452</v>
      </c>
      <c r="I14" s="1790"/>
    </row>
    <row r="15" spans="1:12" s="1906" customFormat="1" ht="15" customHeight="1">
      <c r="A15" s="1476" t="s">
        <v>115</v>
      </c>
      <c r="B15" s="1461" t="s">
        <v>42</v>
      </c>
      <c r="C15" s="1784">
        <v>1</v>
      </c>
      <c r="D15" s="1784"/>
      <c r="E15" s="1784">
        <f>+C15+G9</f>
        <v>7.8039999999999994</v>
      </c>
      <c r="F15" s="1787">
        <f>+SUM('RAE Anchoveta'!B50:B51)</f>
        <v>0.03</v>
      </c>
      <c r="G15" s="1441">
        <f>+E15-F15</f>
        <v>7.7739999999999991</v>
      </c>
      <c r="H15" s="1234">
        <f>+G15/E15</f>
        <v>0.99615581752947202</v>
      </c>
      <c r="I15" s="1790"/>
    </row>
    <row r="16" spans="1:12" s="1906" customFormat="1" ht="15" customHeight="1">
      <c r="A16" s="1470" t="s">
        <v>52</v>
      </c>
      <c r="B16" s="1791" t="s">
        <v>42</v>
      </c>
      <c r="C16" s="1782">
        <f>SUM(C13:C15)</f>
        <v>433</v>
      </c>
      <c r="D16" s="1782"/>
      <c r="E16" s="1800">
        <f>+C16</f>
        <v>433</v>
      </c>
      <c r="F16" s="1792">
        <f>SUM(F13:F15)</f>
        <v>100.16700000000002</v>
      </c>
      <c r="G16" s="1789">
        <f>+E16-F16</f>
        <v>332.83299999999997</v>
      </c>
      <c r="H16" s="1909"/>
      <c r="I16" s="1907"/>
    </row>
    <row r="17" spans="1:12" ht="15" customHeight="1">
      <c r="A17" s="61"/>
      <c r="B17" s="61"/>
      <c r="C17" s="155"/>
      <c r="D17" s="155"/>
      <c r="E17" s="146"/>
      <c r="F17" s="61"/>
      <c r="G17" s="61"/>
      <c r="H17" s="61"/>
      <c r="I17" s="254"/>
    </row>
    <row r="18" spans="1:12" s="1906" customFormat="1" ht="15" customHeight="1">
      <c r="A18" s="3572" t="s">
        <v>46</v>
      </c>
      <c r="B18" s="3573"/>
      <c r="C18" s="1780"/>
      <c r="D18" s="1780"/>
      <c r="E18" s="1780"/>
      <c r="F18" s="1781"/>
      <c r="G18" s="1781"/>
      <c r="H18" s="1433"/>
      <c r="I18" s="1907"/>
    </row>
    <row r="19" spans="1:12" s="1906" customFormat="1" ht="5.0999999999999996" customHeight="1">
      <c r="A19" s="1433"/>
      <c r="B19" s="1781"/>
      <c r="C19" s="1780"/>
      <c r="D19" s="1780"/>
      <c r="E19" s="1780"/>
      <c r="F19" s="1781"/>
      <c r="G19" s="1781"/>
      <c r="H19" s="1433"/>
      <c r="I19" s="1907"/>
    </row>
    <row r="20" spans="1:12" s="1906" customFormat="1" ht="15" customHeight="1">
      <c r="A20" s="1910" t="s">
        <v>47</v>
      </c>
      <c r="B20" s="1910" t="s">
        <v>48</v>
      </c>
      <c r="C20" s="1911" t="s">
        <v>49</v>
      </c>
      <c r="D20" s="1911" t="s">
        <v>611</v>
      </c>
      <c r="E20" s="1911" t="s">
        <v>50</v>
      </c>
      <c r="F20" s="1910" t="s">
        <v>20</v>
      </c>
      <c r="G20" s="1910" t="s">
        <v>21</v>
      </c>
      <c r="H20" s="1910" t="s">
        <v>51</v>
      </c>
      <c r="I20" s="1913" t="s">
        <v>23</v>
      </c>
    </row>
    <row r="21" spans="1:12" s="1906" customFormat="1" ht="15" customHeight="1">
      <c r="A21" s="1476" t="s">
        <v>96</v>
      </c>
      <c r="B21" s="1461" t="s">
        <v>32</v>
      </c>
      <c r="C21" s="1784">
        <v>4735</v>
      </c>
      <c r="D21" s="1784"/>
      <c r="E21" s="1784">
        <f>+C21+D21</f>
        <v>4735</v>
      </c>
      <c r="F21" s="1287">
        <f>+SUM('RAE Anchoveta'!B58:B61)</f>
        <v>4108.7839999999997</v>
      </c>
      <c r="G21" s="1441">
        <f>+E21-F21</f>
        <v>626.21600000000035</v>
      </c>
      <c r="H21" s="1234">
        <f>+G21/E21</f>
        <v>0.13225258711721233</v>
      </c>
      <c r="I21" s="1469"/>
      <c r="L21" s="2549" t="s">
        <v>1126</v>
      </c>
    </row>
    <row r="22" spans="1:12" s="1906" customFormat="1" ht="15" customHeight="1">
      <c r="A22" s="1476" t="s">
        <v>97</v>
      </c>
      <c r="B22" s="1914" t="s">
        <v>32</v>
      </c>
      <c r="C22" s="1784">
        <v>51</v>
      </c>
      <c r="D22" s="1784"/>
      <c r="E22" s="1784">
        <f>+C22+D22</f>
        <v>51</v>
      </c>
      <c r="F22" s="1787">
        <f>+SUM('RAE Anchoveta'!B74:B77)</f>
        <v>31.1</v>
      </c>
      <c r="G22" s="1915">
        <f>+E22-F22</f>
        <v>19.899999999999999</v>
      </c>
      <c r="H22" s="1234">
        <f>+G22/E22</f>
        <v>0.3901960784313725</v>
      </c>
      <c r="I22" s="1790"/>
      <c r="L22" s="2549" t="s">
        <v>1126</v>
      </c>
    </row>
    <row r="23" spans="1:12" s="1906" customFormat="1" ht="15" customHeight="1">
      <c r="A23" s="1470" t="s">
        <v>52</v>
      </c>
      <c r="B23" s="1470" t="s">
        <v>32</v>
      </c>
      <c r="C23" s="1782">
        <f>SUM(C21:C22)</f>
        <v>4786</v>
      </c>
      <c r="D23" s="1782"/>
      <c r="E23" s="1782">
        <f>SUM(E21:E22)</f>
        <v>4786</v>
      </c>
      <c r="F23" s="1792">
        <f>SUM(F21:F22)</f>
        <v>4139.884</v>
      </c>
      <c r="G23" s="1916">
        <f>+E23-F23</f>
        <v>646.11599999999999</v>
      </c>
      <c r="H23" s="1433"/>
      <c r="I23" s="1907"/>
    </row>
    <row r="24" spans="1:12" s="1906" customFormat="1" ht="5.0999999999999996" customHeight="1">
      <c r="A24" s="1805"/>
      <c r="B24" s="1781"/>
      <c r="C24" s="1806"/>
      <c r="D24" s="1806"/>
      <c r="E24" s="1806"/>
      <c r="F24" s="1807"/>
      <c r="G24" s="1767"/>
      <c r="H24" s="1433"/>
      <c r="I24" s="1907"/>
    </row>
    <row r="25" spans="1:12" s="1906" customFormat="1" ht="15" customHeight="1">
      <c r="A25" s="1910" t="s">
        <v>47</v>
      </c>
      <c r="B25" s="1910" t="s">
        <v>48</v>
      </c>
      <c r="C25" s="1911" t="s">
        <v>49</v>
      </c>
      <c r="D25" s="1911"/>
      <c r="E25" s="1911" t="s">
        <v>50</v>
      </c>
      <c r="F25" s="1910" t="s">
        <v>20</v>
      </c>
      <c r="G25" s="1917" t="s">
        <v>21</v>
      </c>
      <c r="H25" s="1910" t="s">
        <v>51</v>
      </c>
      <c r="I25" s="1913" t="s">
        <v>23</v>
      </c>
    </row>
    <row r="26" spans="1:12" s="1906" customFormat="1" ht="15" customHeight="1">
      <c r="A26" s="1476" t="s">
        <v>96</v>
      </c>
      <c r="B26" s="1461" t="s">
        <v>33</v>
      </c>
      <c r="C26" s="1784">
        <v>557</v>
      </c>
      <c r="D26" s="1784"/>
      <c r="E26" s="1784">
        <f>+C26+G21+D26</f>
        <v>1183.2160000000003</v>
      </c>
      <c r="F26" s="1287">
        <f>+SUM('RAE Anchoveta'!B62:B65)</f>
        <v>310.10700000000003</v>
      </c>
      <c r="G26" s="1441">
        <f>+E26-F26</f>
        <v>873.10900000000038</v>
      </c>
      <c r="H26" s="1234">
        <f>+G26/E26</f>
        <v>0.7379117591378076</v>
      </c>
      <c r="I26" s="1790"/>
    </row>
    <row r="27" spans="1:12" s="1906" customFormat="1" ht="15" customHeight="1">
      <c r="A27" s="1476" t="s">
        <v>97</v>
      </c>
      <c r="B27" s="1914" t="s">
        <v>33</v>
      </c>
      <c r="C27" s="1784">
        <v>6</v>
      </c>
      <c r="D27" s="1784"/>
      <c r="E27" s="1784">
        <f>+C27+G22+D27</f>
        <v>25.9</v>
      </c>
      <c r="F27" s="1787">
        <f>+SUM('RAE Anchoveta'!B78:B81)</f>
        <v>0</v>
      </c>
      <c r="G27" s="1915">
        <f>+E27-F27</f>
        <v>25.9</v>
      </c>
      <c r="H27" s="1234">
        <f>+G27/E27</f>
        <v>1</v>
      </c>
      <c r="I27" s="1790"/>
    </row>
    <row r="28" spans="1:12" s="1906" customFormat="1" ht="15" customHeight="1">
      <c r="A28" s="1470" t="s">
        <v>52</v>
      </c>
      <c r="B28" s="1471" t="s">
        <v>33</v>
      </c>
      <c r="C28" s="1782">
        <f>SUM(C26:C27)</f>
        <v>563</v>
      </c>
      <c r="D28" s="1782"/>
      <c r="E28" s="1782">
        <f>+C28+G23</f>
        <v>1209.116</v>
      </c>
      <c r="F28" s="1782">
        <f>SUM(F26:F27)</f>
        <v>310.10700000000003</v>
      </c>
      <c r="G28" s="1789">
        <f>+E28-F28</f>
        <v>899.00900000000001</v>
      </c>
      <c r="H28" s="1781"/>
      <c r="I28" s="1907"/>
    </row>
    <row r="29" spans="1:12" s="1906" customFormat="1" ht="5.0999999999999996" customHeight="1">
      <c r="A29" s="1766"/>
      <c r="B29" s="1812"/>
      <c r="C29" s="1806"/>
      <c r="D29" s="1806"/>
      <c r="E29" s="1806"/>
      <c r="F29" s="1806"/>
      <c r="G29" s="1767"/>
      <c r="H29" s="1781"/>
      <c r="I29" s="1907"/>
    </row>
    <row r="30" spans="1:12" s="1906" customFormat="1" ht="15" customHeight="1">
      <c r="A30" s="1910" t="s">
        <v>47</v>
      </c>
      <c r="B30" s="1910" t="s">
        <v>48</v>
      </c>
      <c r="C30" s="1911" t="s">
        <v>49</v>
      </c>
      <c r="D30" s="1911"/>
      <c r="E30" s="1911" t="s">
        <v>50</v>
      </c>
      <c r="F30" s="1910" t="s">
        <v>20</v>
      </c>
      <c r="G30" s="1917" t="s">
        <v>21</v>
      </c>
      <c r="H30" s="1910" t="s">
        <v>51</v>
      </c>
      <c r="I30" s="1913" t="s">
        <v>23</v>
      </c>
    </row>
    <row r="31" spans="1:12" s="1906" customFormat="1" ht="15" customHeight="1">
      <c r="A31" s="1476" t="s">
        <v>96</v>
      </c>
      <c r="B31" s="1461" t="s">
        <v>34</v>
      </c>
      <c r="C31" s="1784">
        <v>278</v>
      </c>
      <c r="D31" s="1784"/>
      <c r="E31" s="1784">
        <f>+C31+G26+D31</f>
        <v>1151.1090000000004</v>
      </c>
      <c r="F31" s="1287">
        <f>+SUM('RAE Anchoveta'!B66:B69)</f>
        <v>0</v>
      </c>
      <c r="G31" s="1441">
        <f>+E31-F31</f>
        <v>1151.1090000000004</v>
      </c>
      <c r="H31" s="1234">
        <f>+G31/E31</f>
        <v>1</v>
      </c>
      <c r="I31" s="1469"/>
      <c r="J31" s="1269"/>
    </row>
    <row r="32" spans="1:12" s="1906" customFormat="1" ht="15" customHeight="1">
      <c r="A32" s="1476" t="s">
        <v>97</v>
      </c>
      <c r="B32" s="1914" t="s">
        <v>34</v>
      </c>
      <c r="C32" s="1784">
        <v>3</v>
      </c>
      <c r="D32" s="1784"/>
      <c r="E32" s="1784">
        <f>+C32+G27+D32</f>
        <v>28.9</v>
      </c>
      <c r="F32" s="1787">
        <f>+SUM('RAE Anchoveta'!B82:B85)</f>
        <v>0</v>
      </c>
      <c r="G32" s="1915">
        <f>+E32-F32</f>
        <v>28.9</v>
      </c>
      <c r="H32" s="1234">
        <f>+G32/E32</f>
        <v>1</v>
      </c>
      <c r="I32" s="1790"/>
    </row>
    <row r="33" spans="1:10" s="1906" customFormat="1" ht="15" customHeight="1">
      <c r="A33" s="1470" t="s">
        <v>52</v>
      </c>
      <c r="B33" s="1471" t="s">
        <v>34</v>
      </c>
      <c r="C33" s="1782">
        <f>SUM(C31:C32)</f>
        <v>281</v>
      </c>
      <c r="D33" s="1782"/>
      <c r="E33" s="1782">
        <f>+C33+G28</f>
        <v>1180.009</v>
      </c>
      <c r="F33" s="1782">
        <f>SUM(F31:F32)</f>
        <v>0</v>
      </c>
      <c r="G33" s="1916">
        <f>+E33-F33</f>
        <v>1180.009</v>
      </c>
      <c r="H33" s="1433"/>
      <c r="I33" s="1907"/>
    </row>
    <row r="34" spans="1:10" ht="15" customHeight="1">
      <c r="A34" s="234"/>
      <c r="B34" s="235"/>
      <c r="C34" s="236"/>
      <c r="D34" s="236"/>
      <c r="E34" s="236"/>
      <c r="F34" s="236"/>
      <c r="G34" s="86"/>
      <c r="H34" s="11"/>
      <c r="I34" s="255"/>
    </row>
    <row r="35" spans="1:10" s="1974" customFormat="1" ht="15" customHeight="1">
      <c r="A35" s="3577" t="s">
        <v>186</v>
      </c>
      <c r="B35" s="3578"/>
      <c r="C35" s="1975"/>
      <c r="D35" s="1975"/>
      <c r="E35" s="1975"/>
      <c r="F35" s="1976"/>
      <c r="G35" s="1976"/>
      <c r="H35" s="1977"/>
      <c r="I35" s="1978"/>
    </row>
    <row r="36" spans="1:10" s="1974" customFormat="1" ht="15" customHeight="1">
      <c r="A36" s="1977"/>
      <c r="B36" s="1976"/>
      <c r="C36" s="1975"/>
      <c r="D36" s="1975"/>
      <c r="E36" s="1975"/>
      <c r="F36" s="1976"/>
      <c r="G36" s="1976"/>
      <c r="H36" s="1977"/>
      <c r="I36" s="1978"/>
    </row>
    <row r="37" spans="1:10" s="1974" customFormat="1" ht="15" customHeight="1">
      <c r="A37" s="1995" t="s">
        <v>47</v>
      </c>
      <c r="B37" s="1995" t="s">
        <v>48</v>
      </c>
      <c r="C37" s="1996" t="s">
        <v>49</v>
      </c>
      <c r="D37" s="1996" t="s">
        <v>184</v>
      </c>
      <c r="E37" s="1996" t="s">
        <v>50</v>
      </c>
      <c r="F37" s="1995" t="s">
        <v>20</v>
      </c>
      <c r="G37" s="1995" t="s">
        <v>21</v>
      </c>
      <c r="H37" s="1995" t="s">
        <v>51</v>
      </c>
      <c r="I37" s="1997" t="s">
        <v>23</v>
      </c>
    </row>
    <row r="38" spans="1:10" s="1974" customFormat="1" ht="15" customHeight="1">
      <c r="A38" s="1981" t="s">
        <v>187</v>
      </c>
      <c r="B38" s="1982" t="s">
        <v>32</v>
      </c>
      <c r="C38" s="2101">
        <v>481.74599999999998</v>
      </c>
      <c r="D38" s="1983"/>
      <c r="E38" s="1983">
        <f>+C38+D38</f>
        <v>481.74599999999998</v>
      </c>
      <c r="F38" s="1984">
        <f>+SUM('RAE Anchoveta'!B91:B94)</f>
        <v>673.22900000000004</v>
      </c>
      <c r="G38" s="2102">
        <f>+E38-F38</f>
        <v>-191.48300000000006</v>
      </c>
      <c r="H38" s="1234">
        <f>+G38/E38</f>
        <v>-0.39747709373819412</v>
      </c>
      <c r="I38" s="2539" t="s">
        <v>954</v>
      </c>
      <c r="J38" s="2489" t="s">
        <v>508</v>
      </c>
    </row>
    <row r="39" spans="1:10" s="2081" customFormat="1" ht="15" customHeight="1">
      <c r="A39" s="1981" t="s">
        <v>610</v>
      </c>
      <c r="B39" s="1982" t="s">
        <v>32</v>
      </c>
      <c r="C39" s="2101">
        <v>4.5970000000000004</v>
      </c>
      <c r="D39" s="1983"/>
      <c r="E39" s="1983">
        <f t="shared" ref="E39:E40" si="1">+C39+D39</f>
        <v>4.5970000000000004</v>
      </c>
      <c r="F39" s="1984">
        <f>+SUM('RAE Anchoveta'!B107:B110)</f>
        <v>0</v>
      </c>
      <c r="G39" s="2102">
        <f>+E39-F39</f>
        <v>4.5970000000000004</v>
      </c>
      <c r="H39" s="1234">
        <f>+G39/E39</f>
        <v>1</v>
      </c>
      <c r="I39" s="1467"/>
    </row>
    <row r="40" spans="1:10" s="1974" customFormat="1" ht="15" customHeight="1">
      <c r="A40" s="1981" t="s">
        <v>93</v>
      </c>
      <c r="B40" s="1985" t="s">
        <v>32</v>
      </c>
      <c r="C40" s="2101">
        <v>25.657</v>
      </c>
      <c r="D40" s="1983"/>
      <c r="E40" s="1983">
        <f t="shared" si="1"/>
        <v>25.657</v>
      </c>
      <c r="F40" s="1984">
        <f>+SUM('RAE Anchoveta'!B123:B126)</f>
        <v>138.92400000000001</v>
      </c>
      <c r="G40" s="2103">
        <f>+E40-F40</f>
        <v>-113.26700000000001</v>
      </c>
      <c r="H40" s="1234">
        <f>+G40/E40</f>
        <v>-4.4146626651596064</v>
      </c>
      <c r="I40" s="2539" t="s">
        <v>926</v>
      </c>
      <c r="J40" s="2489" t="s">
        <v>508</v>
      </c>
    </row>
    <row r="41" spans="1:10" s="1974" customFormat="1" ht="15" customHeight="1">
      <c r="A41" s="1979" t="s">
        <v>52</v>
      </c>
      <c r="B41" s="1979" t="s">
        <v>32</v>
      </c>
      <c r="C41" s="1800">
        <f>SUM(C38:C40)</f>
        <v>511.99999999999994</v>
      </c>
      <c r="D41" s="1800"/>
      <c r="E41" s="1800">
        <f>SUM(E38:E40)</f>
        <v>511.99999999999994</v>
      </c>
      <c r="F41" s="1474">
        <f>SUM(F38:F40)</f>
        <v>812.15300000000002</v>
      </c>
      <c r="G41" s="1800">
        <f>+E41-F41</f>
        <v>-300.15300000000008</v>
      </c>
      <c r="H41" s="1976"/>
      <c r="I41" s="1978"/>
    </row>
    <row r="42" spans="1:10" s="1974" customFormat="1" ht="15" customHeight="1">
      <c r="A42" s="1986"/>
      <c r="B42" s="1976"/>
      <c r="C42" s="1987"/>
      <c r="D42" s="1987"/>
      <c r="E42" s="1987"/>
      <c r="F42" s="1988"/>
      <c r="G42" s="1988"/>
      <c r="H42" s="1976"/>
      <c r="I42" s="1978"/>
    </row>
    <row r="43" spans="1:10" s="1974" customFormat="1" ht="15" customHeight="1">
      <c r="A43" s="1979" t="s">
        <v>47</v>
      </c>
      <c r="B43" s="1979" t="s">
        <v>48</v>
      </c>
      <c r="C43" s="1800" t="s">
        <v>49</v>
      </c>
      <c r="D43" s="1800"/>
      <c r="E43" s="1800" t="s">
        <v>50</v>
      </c>
      <c r="F43" s="1979" t="s">
        <v>20</v>
      </c>
      <c r="G43" s="1979" t="s">
        <v>21</v>
      </c>
      <c r="H43" s="1979" t="s">
        <v>51</v>
      </c>
      <c r="I43" s="1980" t="s">
        <v>23</v>
      </c>
    </row>
    <row r="44" spans="1:10" s="1974" customFormat="1" ht="15" customHeight="1">
      <c r="A44" s="1981" t="s">
        <v>187</v>
      </c>
      <c r="B44" s="1982" t="s">
        <v>33</v>
      </c>
      <c r="C44" s="2101">
        <v>56.454999999999998</v>
      </c>
      <c r="D44" s="1983"/>
      <c r="E44" s="1983">
        <f>+C44+G38+D44</f>
        <v>-135.02800000000008</v>
      </c>
      <c r="F44" s="1984">
        <f>+SUM('RAE Anchoveta'!B95:B98)</f>
        <v>0</v>
      </c>
      <c r="G44" s="2102">
        <f>+E44-F44</f>
        <v>-135.02800000000008</v>
      </c>
      <c r="H44" s="1234">
        <f>+G44/E44</f>
        <v>1</v>
      </c>
      <c r="I44" s="2539" t="s">
        <v>954</v>
      </c>
      <c r="J44" s="2489" t="s">
        <v>508</v>
      </c>
    </row>
    <row r="45" spans="1:10" s="2081" customFormat="1" ht="15" customHeight="1">
      <c r="A45" s="1981" t="s">
        <v>610</v>
      </c>
      <c r="B45" s="1982" t="s">
        <v>33</v>
      </c>
      <c r="C45" s="2101">
        <v>0.53900000000000003</v>
      </c>
      <c r="D45" s="1983"/>
      <c r="E45" s="1983">
        <f t="shared" ref="E45:E46" si="2">+C45+G39+D45</f>
        <v>5.1360000000000001</v>
      </c>
      <c r="F45" s="1984">
        <f>+SUM('RAE Anchoveta'!B111:B114)</f>
        <v>0</v>
      </c>
      <c r="G45" s="2102">
        <f>+E45-F45</f>
        <v>5.1360000000000001</v>
      </c>
      <c r="H45" s="1234">
        <f>+G45/E45</f>
        <v>1</v>
      </c>
      <c r="I45" s="1467"/>
    </row>
    <row r="46" spans="1:10" s="1974" customFormat="1" ht="15" customHeight="1">
      <c r="A46" s="1981" t="s">
        <v>93</v>
      </c>
      <c r="B46" s="1985" t="s">
        <v>33</v>
      </c>
      <c r="C46" s="2101">
        <v>3.0070000000000001</v>
      </c>
      <c r="D46" s="1983"/>
      <c r="E46" s="1983">
        <f t="shared" si="2"/>
        <v>-110.26</v>
      </c>
      <c r="F46" s="1984">
        <f>+SUM('RAE Anchoveta'!B127:B130)</f>
        <v>3.5000000000000003E-2</v>
      </c>
      <c r="G46" s="2102">
        <f>+E46-F46</f>
        <v>-110.295</v>
      </c>
      <c r="H46" s="1234">
        <f>+G46/E46</f>
        <v>1.0003174315254852</v>
      </c>
      <c r="I46" s="2539" t="s">
        <v>926</v>
      </c>
      <c r="J46" s="2489" t="s">
        <v>508</v>
      </c>
    </row>
    <row r="47" spans="1:10" s="1974" customFormat="1" ht="15" customHeight="1">
      <c r="A47" s="1979" t="s">
        <v>52</v>
      </c>
      <c r="B47" s="2086" t="s">
        <v>33</v>
      </c>
      <c r="C47" s="1800">
        <f>SUM(C44:C46)</f>
        <v>60.000999999999998</v>
      </c>
      <c r="D47" s="1800"/>
      <c r="E47" s="1800">
        <f>+C47+G41</f>
        <v>-240.15200000000007</v>
      </c>
      <c r="F47" s="1989">
        <f>SUM(F44:F46)</f>
        <v>3.5000000000000003E-2</v>
      </c>
      <c r="G47" s="1990">
        <f>+E47-F47</f>
        <v>-240.18700000000007</v>
      </c>
      <c r="H47" s="1976"/>
      <c r="I47" s="1978"/>
    </row>
    <row r="48" spans="1:10" s="1974" customFormat="1" ht="15" customHeight="1">
      <c r="A48" s="1991"/>
      <c r="B48" s="1793"/>
      <c r="C48" s="1992"/>
      <c r="D48" s="1992"/>
      <c r="E48" s="1992"/>
      <c r="F48" s="1993"/>
      <c r="G48" s="1994"/>
      <c r="H48" s="1976"/>
      <c r="I48" s="1978"/>
    </row>
    <row r="49" spans="1:17" s="1974" customFormat="1" ht="15" customHeight="1">
      <c r="A49" s="1979" t="s">
        <v>47</v>
      </c>
      <c r="B49" s="1979" t="s">
        <v>48</v>
      </c>
      <c r="C49" s="1800" t="s">
        <v>49</v>
      </c>
      <c r="D49" s="1800"/>
      <c r="E49" s="1800" t="s">
        <v>50</v>
      </c>
      <c r="F49" s="1979" t="s">
        <v>20</v>
      </c>
      <c r="G49" s="1789" t="s">
        <v>21</v>
      </c>
      <c r="H49" s="1979" t="s">
        <v>51</v>
      </c>
      <c r="I49" s="1980" t="s">
        <v>23</v>
      </c>
    </row>
    <row r="50" spans="1:17" s="1974" customFormat="1" ht="15" customHeight="1">
      <c r="A50" s="1981" t="s">
        <v>187</v>
      </c>
      <c r="B50" s="1982" t="s">
        <v>34</v>
      </c>
      <c r="C50" s="2101">
        <v>28.227</v>
      </c>
      <c r="D50" s="1983"/>
      <c r="E50" s="1983">
        <f>+C50+G44+D50</f>
        <v>-106.80100000000007</v>
      </c>
      <c r="F50" s="1984">
        <f>+SUM('RAE Anchoveta'!B99:B102)</f>
        <v>0</v>
      </c>
      <c r="G50" s="2102">
        <f>+E50-F50</f>
        <v>-106.80100000000007</v>
      </c>
      <c r="H50" s="1234">
        <f>+G50/E50</f>
        <v>1</v>
      </c>
      <c r="I50" s="2539" t="s">
        <v>954</v>
      </c>
      <c r="J50" s="2489" t="s">
        <v>508</v>
      </c>
    </row>
    <row r="51" spans="1:17" s="2081" customFormat="1" ht="15" customHeight="1">
      <c r="A51" s="1981" t="s">
        <v>610</v>
      </c>
      <c r="B51" s="1982" t="s">
        <v>34</v>
      </c>
      <c r="C51" s="2101">
        <v>0.26900000000000002</v>
      </c>
      <c r="D51" s="1983"/>
      <c r="E51" s="1983">
        <f t="shared" ref="E51:E52" si="3">+C51+G45+D51</f>
        <v>5.4050000000000002</v>
      </c>
      <c r="F51" s="1984">
        <f>+SUM('RAE Anchoveta'!B115:B118)</f>
        <v>0</v>
      </c>
      <c r="G51" s="2102">
        <f>+E51-F51</f>
        <v>5.4050000000000002</v>
      </c>
      <c r="H51" s="1234">
        <f>+G51/E51</f>
        <v>1</v>
      </c>
      <c r="I51" s="1467"/>
    </row>
    <row r="52" spans="1:17" s="1974" customFormat="1" ht="15" customHeight="1">
      <c r="A52" s="1981" t="s">
        <v>93</v>
      </c>
      <c r="B52" s="1985" t="s">
        <v>34</v>
      </c>
      <c r="C52" s="2101">
        <v>1.5029999999999999</v>
      </c>
      <c r="D52" s="1983"/>
      <c r="E52" s="1983">
        <f t="shared" si="3"/>
        <v>-108.792</v>
      </c>
      <c r="F52" s="1984">
        <f>+SUM('RAE Anchoveta'!B131:B134)</f>
        <v>0</v>
      </c>
      <c r="G52" s="2103">
        <f>+E52-F52</f>
        <v>-108.792</v>
      </c>
      <c r="H52" s="1234">
        <f>+G52/E52</f>
        <v>1</v>
      </c>
      <c r="I52" s="2539" t="s">
        <v>926</v>
      </c>
      <c r="J52" s="2489" t="s">
        <v>508</v>
      </c>
    </row>
    <row r="53" spans="1:17" s="1974" customFormat="1" ht="15" customHeight="1">
      <c r="A53" s="1979" t="s">
        <v>52</v>
      </c>
      <c r="B53" s="1791" t="s">
        <v>34</v>
      </c>
      <c r="C53" s="1800">
        <f>SUM(C50:C52)</f>
        <v>29.998999999999999</v>
      </c>
      <c r="D53" s="1800"/>
      <c r="E53" s="1800">
        <f>+C53+G47</f>
        <v>-210.18800000000007</v>
      </c>
      <c r="F53" s="1989">
        <f>SUM(F50:F52)</f>
        <v>0</v>
      </c>
      <c r="G53" s="1789">
        <f>+E53-F53</f>
        <v>-210.18800000000007</v>
      </c>
      <c r="H53" s="3448">
        <f>SUM(G50:G52)</f>
        <v>-210.18800000000007</v>
      </c>
      <c r="I53" s="1978"/>
    </row>
    <row r="54" spans="1:17" ht="15" customHeight="1">
      <c r="A54" s="27"/>
      <c r="B54" s="26"/>
      <c r="C54" s="23"/>
      <c r="D54" s="23"/>
      <c r="E54" s="23"/>
      <c r="F54" s="23"/>
      <c r="G54" s="24"/>
      <c r="H54" s="11"/>
      <c r="I54" s="255"/>
    </row>
    <row r="55" spans="1:17" ht="15" customHeight="1">
      <c r="A55" s="3574" t="s">
        <v>53</v>
      </c>
      <c r="B55" s="3574"/>
      <c r="C55" s="23"/>
      <c r="D55" s="23"/>
      <c r="E55" s="23"/>
      <c r="F55" s="23"/>
      <c r="G55" s="3575">
        <v>41011</v>
      </c>
      <c r="H55" s="3576"/>
      <c r="I55" s="255"/>
      <c r="N55" s="1415" t="s">
        <v>707</v>
      </c>
    </row>
    <row r="56" spans="1:17" ht="5.0999999999999996" customHeight="1">
      <c r="A56" s="11"/>
      <c r="B56" s="8"/>
      <c r="C56" s="23"/>
      <c r="D56" s="23"/>
      <c r="E56" s="23"/>
      <c r="F56" s="24"/>
      <c r="G56" s="24"/>
      <c r="H56" s="11"/>
      <c r="I56" s="255"/>
      <c r="N56" s="1415"/>
    </row>
    <row r="57" spans="1:17" ht="15" customHeight="1" thickBot="1">
      <c r="A57" s="88" t="s">
        <v>47</v>
      </c>
      <c r="B57" s="88" t="s">
        <v>48</v>
      </c>
      <c r="C57" s="93" t="s">
        <v>49</v>
      </c>
      <c r="D57" s="93" t="s">
        <v>192</v>
      </c>
      <c r="E57" s="93" t="s">
        <v>50</v>
      </c>
      <c r="F57" s="88" t="s">
        <v>20</v>
      </c>
      <c r="G57" s="88" t="s">
        <v>21</v>
      </c>
      <c r="H57" s="88" t="s">
        <v>51</v>
      </c>
      <c r="I57" s="256" t="s">
        <v>23</v>
      </c>
      <c r="N57" s="1415" t="s">
        <v>708</v>
      </c>
    </row>
    <row r="58" spans="1:17" ht="30">
      <c r="A58" s="2439" t="s">
        <v>646</v>
      </c>
      <c r="B58" s="141" t="s">
        <v>54</v>
      </c>
      <c r="C58" s="120">
        <v>138</v>
      </c>
      <c r="D58" s="1210"/>
      <c r="E58" s="120">
        <f>+C58+D58</f>
        <v>138</v>
      </c>
      <c r="F58" s="2444">
        <f>0.105+0.098+0.149-0.149</f>
        <v>0.20299999999999999</v>
      </c>
      <c r="G58" s="121">
        <f>+E58-F58</f>
        <v>137.797</v>
      </c>
      <c r="H58" s="2571">
        <f t="shared" ref="H58:H121" si="4">+G58/E58</f>
        <v>0.99852898550724634</v>
      </c>
      <c r="I58" s="220"/>
      <c r="J58">
        <v>1</v>
      </c>
      <c r="M58" s="232">
        <f>+(N58-F58)</f>
        <v>2.7755575615628914E-17</v>
      </c>
      <c r="N58">
        <v>0.20300000000000001</v>
      </c>
      <c r="Q58" s="2435"/>
    </row>
    <row r="59" spans="1:17" ht="30">
      <c r="A59" s="2546" t="s">
        <v>647</v>
      </c>
      <c r="B59" s="141" t="s">
        <v>54</v>
      </c>
      <c r="C59" s="120">
        <v>395</v>
      </c>
      <c r="D59" s="120"/>
      <c r="E59" s="2078">
        <f t="shared" ref="E59:E120" si="5">+C59+D59</f>
        <v>395</v>
      </c>
      <c r="F59" s="2445">
        <f>44.95+115.553+24.902+64.304+31.399+14.531+2.948+18.295</f>
        <v>316.88199999999995</v>
      </c>
      <c r="G59" s="121">
        <f t="shared" ref="G59:G120" si="6">+E59-F59</f>
        <v>78.118000000000052</v>
      </c>
      <c r="H59" s="2571">
        <f t="shared" si="4"/>
        <v>0.19776708860759507</v>
      </c>
      <c r="I59" s="220"/>
      <c r="J59" s="140">
        <f>+J58+1</f>
        <v>2</v>
      </c>
      <c r="L59" s="2549" t="s">
        <v>1126</v>
      </c>
      <c r="M59" s="232">
        <f t="shared" ref="M59:M120" si="7">+(N59-F59)</f>
        <v>5.6843418860808015E-14</v>
      </c>
      <c r="N59">
        <v>316.88200000000001</v>
      </c>
      <c r="Q59" s="2436"/>
    </row>
    <row r="60" spans="1:17" ht="30">
      <c r="A60" s="2439" t="s">
        <v>648</v>
      </c>
      <c r="B60" s="141" t="s">
        <v>54</v>
      </c>
      <c r="C60" s="2443">
        <v>12</v>
      </c>
      <c r="D60" s="120"/>
      <c r="E60" s="2078">
        <f>+C60+D60</f>
        <v>12</v>
      </c>
      <c r="F60" s="2445">
        <v>2.8940000000000001</v>
      </c>
      <c r="G60" s="121">
        <f t="shared" si="6"/>
        <v>9.1059999999999999</v>
      </c>
      <c r="H60" s="2571">
        <f t="shared" si="4"/>
        <v>0.75883333333333336</v>
      </c>
      <c r="I60" s="220"/>
      <c r="J60" s="140">
        <f t="shared" ref="J60:J119" si="8">+J59+1</f>
        <v>3</v>
      </c>
      <c r="M60" s="232">
        <f t="shared" si="7"/>
        <v>0</v>
      </c>
      <c r="N60">
        <v>2.8940000000000001</v>
      </c>
      <c r="Q60" s="2436"/>
    </row>
    <row r="61" spans="1:17" ht="15">
      <c r="A61" s="2439" t="s">
        <v>649</v>
      </c>
      <c r="B61" s="141" t="s">
        <v>54</v>
      </c>
      <c r="C61" s="120">
        <v>1706</v>
      </c>
      <c r="D61" s="120"/>
      <c r="E61" s="2078">
        <f t="shared" si="5"/>
        <v>1706</v>
      </c>
      <c r="F61" s="2446">
        <f>67.09+242.307+132.036+54.677+41.647+2.017+19.236+2.967+12.002-0.783-62.04+0.251+2.911+7.747+61.291+0.231+37.687+2.135+62.402+9.075</f>
        <v>694.88600000000008</v>
      </c>
      <c r="G61" s="121">
        <f>+E61-F61</f>
        <v>1011.1139999999999</v>
      </c>
      <c r="H61" s="2571">
        <f t="shared" si="4"/>
        <v>0.59268112543962481</v>
      </c>
      <c r="I61" s="220"/>
      <c r="J61" s="140">
        <f t="shared" si="8"/>
        <v>4</v>
      </c>
      <c r="M61" s="232">
        <f t="shared" si="7"/>
        <v>-1.1368683772161603E-13</v>
      </c>
      <c r="N61">
        <v>694.88599999999997</v>
      </c>
      <c r="Q61" s="2436"/>
    </row>
    <row r="62" spans="1:17" ht="15">
      <c r="A62" s="2439" t="s">
        <v>650</v>
      </c>
      <c r="B62" s="141" t="s">
        <v>54</v>
      </c>
      <c r="C62" s="120">
        <v>21</v>
      </c>
      <c r="D62" s="120"/>
      <c r="E62" s="2078">
        <f t="shared" si="5"/>
        <v>21</v>
      </c>
      <c r="F62" s="2446">
        <v>0</v>
      </c>
      <c r="G62" s="121">
        <f t="shared" si="6"/>
        <v>21</v>
      </c>
      <c r="H62" s="2571">
        <f t="shared" si="4"/>
        <v>1</v>
      </c>
      <c r="I62" s="220"/>
      <c r="J62" s="140">
        <f t="shared" si="8"/>
        <v>5</v>
      </c>
      <c r="M62" s="232">
        <f t="shared" si="7"/>
        <v>0</v>
      </c>
      <c r="N62">
        <v>0</v>
      </c>
      <c r="Q62" s="2436"/>
    </row>
    <row r="63" spans="1:17" ht="15">
      <c r="A63" s="2439" t="s">
        <v>651</v>
      </c>
      <c r="B63" s="141" t="s">
        <v>54</v>
      </c>
      <c r="C63" s="120">
        <v>1290</v>
      </c>
      <c r="D63" s="120"/>
      <c r="E63" s="2078">
        <f t="shared" si="5"/>
        <v>1290</v>
      </c>
      <c r="F63" s="2446">
        <f>11.45+97.006+1.257+9.023+36.591+91.504+1.767+21.173+7.878+0.43-4.605-0.644+50.572+18.713+11.142+4.695+19.311+7.854</f>
        <v>385.11699999999996</v>
      </c>
      <c r="G63" s="121">
        <f t="shared" si="6"/>
        <v>904.88300000000004</v>
      </c>
      <c r="H63" s="2571">
        <f t="shared" si="4"/>
        <v>0.70145968992248064</v>
      </c>
      <c r="I63" s="220"/>
      <c r="J63" s="140">
        <f t="shared" si="8"/>
        <v>6</v>
      </c>
      <c r="M63" s="232">
        <f t="shared" si="7"/>
        <v>5.6843418860808015E-14</v>
      </c>
      <c r="N63">
        <v>385.11700000000002</v>
      </c>
      <c r="Q63" s="2436"/>
    </row>
    <row r="64" spans="1:17" ht="30">
      <c r="A64" s="2439" t="s">
        <v>652</v>
      </c>
      <c r="B64" s="141" t="s">
        <v>54</v>
      </c>
      <c r="C64" s="120">
        <v>1348</v>
      </c>
      <c r="D64" s="120"/>
      <c r="E64" s="2078">
        <f t="shared" si="5"/>
        <v>1348</v>
      </c>
      <c r="F64" s="2446">
        <f>12.442+143.449+247.19+5.576+0.782+0.384+1.788+0.178+29.591+18.17-2.084-0.434+0.402+5.321+1.42-1.42+9.016+47.939+8.183+2.591+25.072+0.683-0.683+7.758-7.758</f>
        <v>555.55600000000004</v>
      </c>
      <c r="G64" s="29">
        <f t="shared" si="6"/>
        <v>792.44399999999996</v>
      </c>
      <c r="H64" s="2571">
        <f t="shared" si="4"/>
        <v>0.58786646884272997</v>
      </c>
      <c r="I64" s="175"/>
      <c r="J64" s="140">
        <f t="shared" si="8"/>
        <v>7</v>
      </c>
      <c r="M64" s="232">
        <f t="shared" si="7"/>
        <v>0</v>
      </c>
      <c r="N64">
        <v>555.55600000000004</v>
      </c>
      <c r="Q64" s="2436"/>
    </row>
    <row r="65" spans="1:17" ht="15">
      <c r="A65" s="3182" t="s">
        <v>653</v>
      </c>
      <c r="B65" s="141" t="s">
        <v>54</v>
      </c>
      <c r="C65" s="120">
        <v>1155</v>
      </c>
      <c r="D65" s="120"/>
      <c r="E65" s="2078">
        <f t="shared" si="5"/>
        <v>1155</v>
      </c>
      <c r="F65" s="2446">
        <f>297.388+753.359+10.039+3.592+2.431+1.112+7.318-2.807+4.175-4.346+88.359-105.912+0.032+14.027+10.132-24.159+32.618+15.441+5.216+2.624-2.624</f>
        <v>1108.0149999999999</v>
      </c>
      <c r="G65" s="29">
        <f t="shared" si="6"/>
        <v>46.985000000000127</v>
      </c>
      <c r="H65" s="2571">
        <f t="shared" si="4"/>
        <v>4.0679653679653788E-2</v>
      </c>
      <c r="I65" s="220" t="s">
        <v>1144</v>
      </c>
      <c r="J65" s="140">
        <f t="shared" si="8"/>
        <v>8</v>
      </c>
      <c r="L65" s="2489" t="s">
        <v>915</v>
      </c>
      <c r="M65" s="232">
        <f t="shared" si="7"/>
        <v>2.2737367544323206E-13</v>
      </c>
      <c r="N65">
        <v>1108.0150000000001</v>
      </c>
      <c r="P65" s="3080"/>
      <c r="Q65" s="2492" t="s">
        <v>917</v>
      </c>
    </row>
    <row r="66" spans="1:17" ht="15">
      <c r="A66" s="2439" t="s">
        <v>654</v>
      </c>
      <c r="B66" s="141" t="s">
        <v>54</v>
      </c>
      <c r="C66" s="120">
        <v>294</v>
      </c>
      <c r="D66" s="120"/>
      <c r="E66" s="2078">
        <f t="shared" si="5"/>
        <v>294</v>
      </c>
      <c r="F66" s="2446">
        <f>10.759+25.258+119.404+44.801+0.276-0.276</f>
        <v>200.22199999999998</v>
      </c>
      <c r="G66" s="29">
        <f t="shared" si="6"/>
        <v>93.77800000000002</v>
      </c>
      <c r="H66" s="2571">
        <f t="shared" si="4"/>
        <v>0.3189727891156463</v>
      </c>
      <c r="I66" s="175"/>
      <c r="J66" s="140">
        <f t="shared" si="8"/>
        <v>9</v>
      </c>
      <c r="M66" s="232">
        <f t="shared" si="7"/>
        <v>2.8421709430404007E-14</v>
      </c>
      <c r="N66">
        <v>200.22200000000001</v>
      </c>
      <c r="Q66" s="2436"/>
    </row>
    <row r="67" spans="1:17" s="2387" customFormat="1" ht="15">
      <c r="A67" s="2546" t="s">
        <v>655</v>
      </c>
      <c r="B67" s="2414" t="s">
        <v>54</v>
      </c>
      <c r="C67" s="2001">
        <v>11</v>
      </c>
      <c r="D67" s="1784"/>
      <c r="E67" s="2078">
        <f t="shared" si="5"/>
        <v>11</v>
      </c>
      <c r="F67" s="2447">
        <v>0</v>
      </c>
      <c r="G67" s="1441">
        <f t="shared" si="6"/>
        <v>11</v>
      </c>
      <c r="H67" s="2571">
        <f t="shared" si="4"/>
        <v>1</v>
      </c>
      <c r="I67" s="1464"/>
      <c r="J67" s="1490">
        <f t="shared" si="8"/>
        <v>10</v>
      </c>
      <c r="K67" s="2416"/>
      <c r="M67" s="232">
        <f t="shared" si="7"/>
        <v>0</v>
      </c>
      <c r="N67" s="2387">
        <v>0</v>
      </c>
      <c r="Q67" s="2436"/>
    </row>
    <row r="68" spans="1:17" ht="15">
      <c r="A68" s="2439" t="s">
        <v>656</v>
      </c>
      <c r="B68" s="141" t="s">
        <v>54</v>
      </c>
      <c r="C68" s="120">
        <v>3528</v>
      </c>
      <c r="D68" s="120"/>
      <c r="E68" s="2078">
        <f t="shared" si="5"/>
        <v>3528</v>
      </c>
      <c r="F68" s="2446">
        <f>0.183+192.445+55.667+13.381+19.447+150.032+278.712+70.281+65.867+111.333+147.991+23.015+16.275-2.732-1.875-4.171+8.81+12.41+24.867+83.213+1.71+1.521+2.476+13.34-0.674+5.519+16.229+1.401</f>
        <v>1306.6730000000002</v>
      </c>
      <c r="G68" s="29">
        <f>+E68-F68</f>
        <v>2221.3269999999998</v>
      </c>
      <c r="H68" s="2571">
        <f t="shared" si="4"/>
        <v>0.62962783446712012</v>
      </c>
      <c r="I68" s="175"/>
      <c r="J68" s="140">
        <f t="shared" si="8"/>
        <v>11</v>
      </c>
      <c r="M68" s="232">
        <f t="shared" si="7"/>
        <v>-2.2737367544323206E-13</v>
      </c>
      <c r="N68">
        <v>1306.673</v>
      </c>
      <c r="Q68" s="2436"/>
    </row>
    <row r="69" spans="1:17" ht="15">
      <c r="A69" s="2439" t="s">
        <v>657</v>
      </c>
      <c r="B69" s="141" t="s">
        <v>54</v>
      </c>
      <c r="C69" s="120">
        <v>231</v>
      </c>
      <c r="D69" s="120"/>
      <c r="E69" s="2078">
        <f t="shared" si="5"/>
        <v>231</v>
      </c>
      <c r="F69" s="2446">
        <f>16.744+1.261+4.403+0.896+2.095+1.378+0.394</f>
        <v>27.170999999999996</v>
      </c>
      <c r="G69" s="29">
        <f>+E69-F69</f>
        <v>203.82900000000001</v>
      </c>
      <c r="H69" s="2571">
        <f t="shared" si="4"/>
        <v>0.88237662337662337</v>
      </c>
      <c r="I69" s="220"/>
      <c r="J69" s="140">
        <f t="shared" si="8"/>
        <v>12</v>
      </c>
      <c r="M69" s="232">
        <f t="shared" si="7"/>
        <v>3.5527136788005009E-15</v>
      </c>
      <c r="N69">
        <v>27.170999999999999</v>
      </c>
      <c r="Q69" s="2436"/>
    </row>
    <row r="70" spans="1:17" ht="15">
      <c r="A70" s="2439" t="s">
        <v>658</v>
      </c>
      <c r="B70" s="141" t="s">
        <v>54</v>
      </c>
      <c r="C70" s="120">
        <v>696</v>
      </c>
      <c r="D70" s="120"/>
      <c r="E70" s="2078">
        <f t="shared" si="5"/>
        <v>696</v>
      </c>
      <c r="F70" s="2446">
        <f>2.5+67.02+218.697+0.006+4.851+0.385+8.84+0.45-0.45+38.531</f>
        <v>340.82999999999993</v>
      </c>
      <c r="G70" s="29">
        <f>+E70-F70</f>
        <v>355.17000000000007</v>
      </c>
      <c r="H70" s="2571">
        <f t="shared" si="4"/>
        <v>0.51030172413793118</v>
      </c>
      <c r="I70" s="175"/>
      <c r="J70" s="140">
        <f t="shared" si="8"/>
        <v>13</v>
      </c>
      <c r="M70" s="232">
        <f t="shared" si="7"/>
        <v>5.6843418860808015E-14</v>
      </c>
      <c r="N70">
        <v>340.83</v>
      </c>
      <c r="Q70" s="2436"/>
    </row>
    <row r="71" spans="1:17" ht="15">
      <c r="A71" s="2439" t="s">
        <v>659</v>
      </c>
      <c r="B71" s="141" t="s">
        <v>54</v>
      </c>
      <c r="C71" s="120">
        <v>21</v>
      </c>
      <c r="D71" s="120"/>
      <c r="E71" s="2078">
        <f t="shared" si="5"/>
        <v>21</v>
      </c>
      <c r="F71" s="2446">
        <v>0</v>
      </c>
      <c r="G71" s="29">
        <f t="shared" si="6"/>
        <v>21</v>
      </c>
      <c r="H71" s="2571">
        <f t="shared" si="4"/>
        <v>1</v>
      </c>
      <c r="I71" s="220"/>
      <c r="J71" s="140">
        <f t="shared" si="8"/>
        <v>14</v>
      </c>
      <c r="M71" s="232">
        <f t="shared" si="7"/>
        <v>0</v>
      </c>
      <c r="N71">
        <v>0</v>
      </c>
      <c r="Q71" s="2436"/>
    </row>
    <row r="72" spans="1:17" ht="15">
      <c r="A72" s="2439" t="s">
        <v>660</v>
      </c>
      <c r="B72" s="141" t="s">
        <v>54</v>
      </c>
      <c r="C72" s="120">
        <v>1291</v>
      </c>
      <c r="D72" s="120"/>
      <c r="E72" s="2078">
        <f t="shared" si="5"/>
        <v>1291</v>
      </c>
      <c r="F72" s="2446">
        <f>12.76+76.849+238.753+23.727+50.274+26.891+4.822+28.359-14.539+1.86-1.203+15.63+96.772-6.076+12.258+4.857</f>
        <v>571.99400000000003</v>
      </c>
      <c r="G72" s="29">
        <f t="shared" si="6"/>
        <v>719.00599999999997</v>
      </c>
      <c r="H72" s="2571">
        <f t="shared" si="4"/>
        <v>0.55693725793958171</v>
      </c>
      <c r="I72" s="220"/>
      <c r="J72" s="140">
        <f t="shared" si="8"/>
        <v>15</v>
      </c>
      <c r="M72" s="232">
        <f t="shared" si="7"/>
        <v>0</v>
      </c>
      <c r="N72">
        <v>571.99400000000003</v>
      </c>
      <c r="Q72" s="2436"/>
    </row>
    <row r="73" spans="1:17" ht="30">
      <c r="A73" s="2439" t="s">
        <v>661</v>
      </c>
      <c r="B73" s="141" t="s">
        <v>54</v>
      </c>
      <c r="C73" s="120">
        <v>771</v>
      </c>
      <c r="D73" s="120"/>
      <c r="E73" s="2078">
        <f t="shared" si="5"/>
        <v>771</v>
      </c>
      <c r="F73" s="2446">
        <f>55.487+333.481+37.594+22.41+7.805</f>
        <v>456.77700000000004</v>
      </c>
      <c r="G73" s="29">
        <f t="shared" si="6"/>
        <v>314.22299999999996</v>
      </c>
      <c r="H73" s="2571">
        <f t="shared" si="4"/>
        <v>0.40755252918287932</v>
      </c>
      <c r="I73" s="175"/>
      <c r="J73" s="140">
        <f t="shared" si="8"/>
        <v>16</v>
      </c>
      <c r="M73" s="232">
        <f t="shared" si="7"/>
        <v>-5.6843418860808015E-14</v>
      </c>
      <c r="N73">
        <v>456.77699999999999</v>
      </c>
      <c r="Q73" s="2436"/>
    </row>
    <row r="74" spans="1:17" ht="30">
      <c r="A74" s="2439" t="s">
        <v>662</v>
      </c>
      <c r="B74" s="141" t="s">
        <v>54</v>
      </c>
      <c r="C74" s="120">
        <v>2510</v>
      </c>
      <c r="D74" s="120"/>
      <c r="E74" s="2078">
        <f t="shared" si="5"/>
        <v>2510</v>
      </c>
      <c r="F74" s="2446">
        <f>51.994+6.306+114.908+187.874+7.973+170.947+21.776+9.276+8.168+0.316+45.015+0.102-7.256+8.862+0.912+1.888+3.332-3.332</f>
        <v>629.06099999999992</v>
      </c>
      <c r="G74" s="29">
        <f>+E74-F74</f>
        <v>1880.9390000000001</v>
      </c>
      <c r="H74" s="2571">
        <f t="shared" si="4"/>
        <v>0.74937808764940239</v>
      </c>
      <c r="I74" s="220"/>
      <c r="J74" s="140">
        <f t="shared" si="8"/>
        <v>17</v>
      </c>
      <c r="M74" s="232">
        <f t="shared" si="7"/>
        <v>1.1368683772161603E-13</v>
      </c>
      <c r="N74">
        <v>629.06100000000004</v>
      </c>
      <c r="Q74" s="2436"/>
    </row>
    <row r="75" spans="1:17" ht="15">
      <c r="A75" s="2439" t="s">
        <v>663</v>
      </c>
      <c r="B75" s="141" t="s">
        <v>54</v>
      </c>
      <c r="C75" s="120">
        <v>43</v>
      </c>
      <c r="D75" s="120"/>
      <c r="E75" s="2078">
        <f t="shared" si="5"/>
        <v>43</v>
      </c>
      <c r="F75" s="2446">
        <f>1.747+2.458+1.759+0.403</f>
        <v>6.3670000000000009</v>
      </c>
      <c r="G75" s="29">
        <f t="shared" si="6"/>
        <v>36.632999999999996</v>
      </c>
      <c r="H75" s="2571">
        <f t="shared" si="4"/>
        <v>0.85193023255813938</v>
      </c>
      <c r="I75" s="175"/>
      <c r="J75" s="140">
        <f t="shared" si="8"/>
        <v>18</v>
      </c>
      <c r="M75" s="232">
        <f t="shared" si="7"/>
        <v>-8.8817841970012523E-16</v>
      </c>
      <c r="N75">
        <v>6.367</v>
      </c>
      <c r="Q75" s="2436"/>
    </row>
    <row r="76" spans="1:17" ht="15" customHeight="1">
      <c r="A76" s="2439" t="s">
        <v>664</v>
      </c>
      <c r="B76" s="141" t="s">
        <v>54</v>
      </c>
      <c r="C76" s="120">
        <v>683</v>
      </c>
      <c r="D76" s="230"/>
      <c r="E76" s="2078">
        <f t="shared" si="5"/>
        <v>683</v>
      </c>
      <c r="F76" s="2446">
        <f>21.864+21.43+102.747+33.822+3.793+20.675+3.448+2.004-2.004+17.263+25.401+56.623+33.353+43.579+5.579</f>
        <v>389.57700000000006</v>
      </c>
      <c r="G76" s="121">
        <f>+E76-F76</f>
        <v>293.42299999999994</v>
      </c>
      <c r="H76" s="2571">
        <f t="shared" si="4"/>
        <v>0.4296090775988286</v>
      </c>
      <c r="I76" s="220"/>
      <c r="J76" s="140">
        <f t="shared" si="8"/>
        <v>19</v>
      </c>
      <c r="M76" s="232">
        <f t="shared" si="7"/>
        <v>-5.6843418860808015E-14</v>
      </c>
      <c r="N76">
        <v>389.577</v>
      </c>
      <c r="Q76" s="2436"/>
    </row>
    <row r="77" spans="1:17" ht="15" customHeight="1">
      <c r="A77" s="2439" t="s">
        <v>665</v>
      </c>
      <c r="B77" s="141" t="s">
        <v>54</v>
      </c>
      <c r="C77" s="120">
        <v>1261</v>
      </c>
      <c r="D77" s="120"/>
      <c r="E77" s="2078">
        <f t="shared" si="5"/>
        <v>1261</v>
      </c>
      <c r="F77" s="2446">
        <f>13.384+0.048+59.22+108.219+26.81+29.611+36.059+21.554+0.197+11.41-0.197+5.222</f>
        <v>311.53699999999998</v>
      </c>
      <c r="G77" s="29">
        <f>+E77-F77</f>
        <v>949.46299999999997</v>
      </c>
      <c r="H77" s="2571">
        <f t="shared" si="4"/>
        <v>0.75294448850118956</v>
      </c>
      <c r="I77" s="220"/>
      <c r="J77" s="140">
        <f t="shared" si="8"/>
        <v>20</v>
      </c>
      <c r="M77" s="232">
        <f t="shared" si="7"/>
        <v>0</v>
      </c>
      <c r="N77">
        <v>311.53699999999998</v>
      </c>
      <c r="Q77" s="2436"/>
    </row>
    <row r="78" spans="1:17" ht="15" customHeight="1">
      <c r="A78" s="2439" t="s">
        <v>666</v>
      </c>
      <c r="B78" s="141" t="s">
        <v>54</v>
      </c>
      <c r="C78" s="120">
        <v>1652</v>
      </c>
      <c r="D78" s="120"/>
      <c r="E78" s="2078">
        <f t="shared" si="5"/>
        <v>1652</v>
      </c>
      <c r="F78" s="2446">
        <f>6.443+9.024+88.523+419.051+5.463+11.443+72.685+1.662+0.899+13.506+1.956-1.051+39.489+2.378-2.378</f>
        <v>669.09299999999985</v>
      </c>
      <c r="G78" s="29">
        <f>+E78-F78</f>
        <v>982.90700000000015</v>
      </c>
      <c r="H78" s="2571">
        <f t="shared" si="4"/>
        <v>0.59498002421307516</v>
      </c>
      <c r="I78" s="220"/>
      <c r="J78" s="140">
        <f t="shared" si="8"/>
        <v>21</v>
      </c>
      <c r="M78" s="232">
        <f t="shared" si="7"/>
        <v>1.1368683772161603E-13</v>
      </c>
      <c r="N78">
        <v>669.09299999999996</v>
      </c>
      <c r="Q78" s="2436"/>
    </row>
    <row r="79" spans="1:17" s="2566" customFormat="1" ht="30">
      <c r="A79" s="2559" t="s">
        <v>667</v>
      </c>
      <c r="B79" s="2560" t="s">
        <v>54</v>
      </c>
      <c r="C79" s="2561">
        <v>373</v>
      </c>
      <c r="D79" s="2561"/>
      <c r="E79" s="2561">
        <f t="shared" si="5"/>
        <v>373</v>
      </c>
      <c r="F79" s="2562">
        <f>27.679+90.388+0.477+6.242+48.609+25.707+42.454</f>
        <v>241.55600000000001</v>
      </c>
      <c r="G79" s="2563">
        <f t="shared" si="6"/>
        <v>131.44399999999999</v>
      </c>
      <c r="H79" s="2571">
        <f t="shared" si="4"/>
        <v>0.35239678284182302</v>
      </c>
      <c r="I79" s="2564"/>
      <c r="J79" s="2565">
        <f t="shared" si="8"/>
        <v>22</v>
      </c>
      <c r="L79" s="2549" t="s">
        <v>1126</v>
      </c>
      <c r="M79" s="2567">
        <f t="shared" si="7"/>
        <v>0</v>
      </c>
      <c r="N79" s="2566">
        <v>241.55600000000001</v>
      </c>
      <c r="Q79" s="2568"/>
    </row>
    <row r="80" spans="1:17" ht="15">
      <c r="A80" s="2546" t="s">
        <v>668</v>
      </c>
      <c r="B80" s="141" t="s">
        <v>54</v>
      </c>
      <c r="C80" s="120">
        <v>581</v>
      </c>
      <c r="D80" s="120"/>
      <c r="E80" s="2078">
        <f t="shared" si="5"/>
        <v>581</v>
      </c>
      <c r="F80" s="2446">
        <f>101.503+171.472+3.46+4.287+91.146+49.805+46.432+82.641-15.027+0.617+28.229-28.846+3.859+17.775+12.301+6.336+32.525-2.406</f>
        <v>606.10900000000004</v>
      </c>
      <c r="G80" s="29">
        <f t="shared" si="6"/>
        <v>-25.109000000000037</v>
      </c>
      <c r="H80" s="2571">
        <f t="shared" si="4"/>
        <v>-4.3216867469879586E-2</v>
      </c>
      <c r="I80" s="175" t="s">
        <v>1089</v>
      </c>
      <c r="J80" s="140">
        <f t="shared" si="8"/>
        <v>23</v>
      </c>
      <c r="M80" s="232">
        <f t="shared" si="7"/>
        <v>0</v>
      </c>
      <c r="N80">
        <v>606.10900000000004</v>
      </c>
      <c r="Q80" s="2436"/>
    </row>
    <row r="81" spans="1:17" ht="15" customHeight="1">
      <c r="A81" s="2439" t="s">
        <v>669</v>
      </c>
      <c r="B81" s="141" t="s">
        <v>54</v>
      </c>
      <c r="C81" s="120">
        <v>103</v>
      </c>
      <c r="D81" s="120"/>
      <c r="E81" s="2078">
        <f t="shared" si="5"/>
        <v>103</v>
      </c>
      <c r="F81" s="2446">
        <f>0.749+12.756+30.16+59.21+51.099+0.75+6.576+2.114+1.863-57.456</f>
        <v>107.82099999999998</v>
      </c>
      <c r="G81" s="29">
        <f t="shared" si="6"/>
        <v>-4.8209999999999837</v>
      </c>
      <c r="H81" s="2571">
        <f t="shared" si="4"/>
        <v>-4.6805825242718292E-2</v>
      </c>
      <c r="I81" s="220" t="s">
        <v>957</v>
      </c>
      <c r="J81" s="140">
        <f t="shared" si="8"/>
        <v>24</v>
      </c>
      <c r="L81" s="2487" t="s">
        <v>914</v>
      </c>
      <c r="M81" s="232">
        <f t="shared" si="7"/>
        <v>1.4210854715202004E-14</v>
      </c>
      <c r="N81">
        <v>107.821</v>
      </c>
      <c r="Q81" s="2436"/>
    </row>
    <row r="82" spans="1:17" ht="30">
      <c r="A82" s="3271" t="s">
        <v>670</v>
      </c>
      <c r="B82" s="141" t="s">
        <v>54</v>
      </c>
      <c r="C82" s="120">
        <v>6</v>
      </c>
      <c r="D82" s="120"/>
      <c r="E82" s="2078">
        <f t="shared" si="5"/>
        <v>6</v>
      </c>
      <c r="F82" s="2446">
        <f>6.351+0.229+5.064</f>
        <v>11.644</v>
      </c>
      <c r="G82" s="29">
        <f t="shared" si="6"/>
        <v>-5.6440000000000001</v>
      </c>
      <c r="H82" s="2571">
        <f t="shared" si="4"/>
        <v>-0.94066666666666665</v>
      </c>
      <c r="I82" s="220"/>
      <c r="J82" s="140">
        <f t="shared" si="8"/>
        <v>25</v>
      </c>
      <c r="M82" s="232">
        <f t="shared" si="7"/>
        <v>0</v>
      </c>
      <c r="N82">
        <v>11.644</v>
      </c>
      <c r="Q82" s="2436"/>
    </row>
    <row r="83" spans="1:17" ht="15" customHeight="1">
      <c r="A83" s="2439" t="s">
        <v>671</v>
      </c>
      <c r="B83" s="141" t="s">
        <v>54</v>
      </c>
      <c r="C83" s="120">
        <v>273</v>
      </c>
      <c r="D83" s="120"/>
      <c r="E83" s="2078">
        <f t="shared" si="5"/>
        <v>273</v>
      </c>
      <c r="F83" s="2446">
        <f>64.735+73.099+9.463+27.551+26.15-1.158-0.227+7.36-7.36+0.15-0.15</f>
        <v>199.613</v>
      </c>
      <c r="G83" s="29">
        <f t="shared" si="6"/>
        <v>73.387</v>
      </c>
      <c r="H83" s="2571">
        <f t="shared" si="4"/>
        <v>0.26881684981684983</v>
      </c>
      <c r="I83" s="175"/>
      <c r="J83" s="140">
        <f t="shared" si="8"/>
        <v>26</v>
      </c>
      <c r="L83" s="2549" t="s">
        <v>1126</v>
      </c>
      <c r="M83" s="232">
        <f t="shared" si="7"/>
        <v>0</v>
      </c>
      <c r="N83">
        <v>199.613</v>
      </c>
      <c r="Q83" s="2436"/>
    </row>
    <row r="84" spans="1:17" ht="30">
      <c r="A84" s="2439" t="s">
        <v>672</v>
      </c>
      <c r="B84" s="141" t="s">
        <v>54</v>
      </c>
      <c r="C84" s="120">
        <v>215</v>
      </c>
      <c r="D84" s="120"/>
      <c r="E84" s="2078">
        <f t="shared" si="5"/>
        <v>215</v>
      </c>
      <c r="F84" s="2446">
        <f>69.031+8.689+4.437+5.09-5.09</f>
        <v>82.156999999999996</v>
      </c>
      <c r="G84" s="29">
        <f t="shared" si="6"/>
        <v>132.84300000000002</v>
      </c>
      <c r="H84" s="2571">
        <f t="shared" si="4"/>
        <v>0.6178744186046512</v>
      </c>
      <c r="I84" s="220"/>
      <c r="J84" s="140">
        <f t="shared" si="8"/>
        <v>27</v>
      </c>
      <c r="M84" s="232">
        <f t="shared" si="7"/>
        <v>0</v>
      </c>
      <c r="N84">
        <v>82.156999999999996</v>
      </c>
      <c r="Q84" s="2436"/>
    </row>
    <row r="85" spans="1:17" ht="15">
      <c r="A85" s="2439" t="s">
        <v>673</v>
      </c>
      <c r="B85" s="141" t="s">
        <v>54</v>
      </c>
      <c r="C85" s="120">
        <v>403</v>
      </c>
      <c r="D85" s="120"/>
      <c r="E85" s="2078">
        <f t="shared" si="5"/>
        <v>403</v>
      </c>
      <c r="F85" s="2445">
        <f>0.132+46.286+7.015+27.275+5.061+3.088+6.402+3.079+0.425+1.583+0.294-1.877+8.18</f>
        <v>106.94299999999998</v>
      </c>
      <c r="G85" s="29">
        <f t="shared" si="6"/>
        <v>296.05700000000002</v>
      </c>
      <c r="H85" s="2571">
        <f t="shared" si="4"/>
        <v>0.7346327543424318</v>
      </c>
      <c r="I85" s="220"/>
      <c r="J85" s="133">
        <f t="shared" si="8"/>
        <v>28</v>
      </c>
      <c r="K85" s="139"/>
      <c r="M85" s="232">
        <f t="shared" si="7"/>
        <v>1.4210854715202004E-14</v>
      </c>
      <c r="N85">
        <v>106.943</v>
      </c>
      <c r="Q85" s="2437"/>
    </row>
    <row r="86" spans="1:17" ht="15">
      <c r="A86" s="2439" t="s">
        <v>674</v>
      </c>
      <c r="B86" s="141" t="s">
        <v>54</v>
      </c>
      <c r="C86" s="120">
        <v>446</v>
      </c>
      <c r="D86" s="120"/>
      <c r="E86" s="2078">
        <f t="shared" si="5"/>
        <v>446</v>
      </c>
      <c r="F86" s="2445">
        <f>42.936+115.67+30.15+6.273+11.193-9.497+0.436-0.436+7.52+11.846</f>
        <v>216.09100000000004</v>
      </c>
      <c r="G86" s="29">
        <f t="shared" si="6"/>
        <v>229.90899999999996</v>
      </c>
      <c r="H86" s="2571">
        <f t="shared" si="4"/>
        <v>0.51549103139013441</v>
      </c>
      <c r="I86" s="220"/>
      <c r="J86" s="140">
        <f t="shared" si="8"/>
        <v>29</v>
      </c>
      <c r="M86" s="232">
        <f t="shared" si="7"/>
        <v>-2.8421709430404007E-14</v>
      </c>
      <c r="N86">
        <v>216.09100000000001</v>
      </c>
      <c r="Q86" s="2437"/>
    </row>
    <row r="87" spans="1:17" s="2387" customFormat="1" ht="15">
      <c r="A87" s="2546" t="s">
        <v>675</v>
      </c>
      <c r="B87" s="2414" t="s">
        <v>54</v>
      </c>
      <c r="C87" s="1784">
        <v>83</v>
      </c>
      <c r="D87" s="1784"/>
      <c r="E87" s="2078">
        <f t="shared" si="5"/>
        <v>83</v>
      </c>
      <c r="F87" s="2448">
        <f>8.369+2.692+5.327+24.003+16.394+33.645+19.076</f>
        <v>109.506</v>
      </c>
      <c r="G87" s="1441">
        <f t="shared" si="6"/>
        <v>-26.506</v>
      </c>
      <c r="H87" s="2571">
        <f t="shared" si="4"/>
        <v>-0.31934939759036146</v>
      </c>
      <c r="I87" s="1464" t="s">
        <v>1089</v>
      </c>
      <c r="J87" s="1490">
        <f t="shared" si="8"/>
        <v>30</v>
      </c>
      <c r="M87" s="232">
        <f t="shared" si="7"/>
        <v>0</v>
      </c>
      <c r="N87" s="2387">
        <v>109.506</v>
      </c>
      <c r="Q87" s="2437"/>
    </row>
    <row r="88" spans="1:17" ht="30">
      <c r="A88" s="2439" t="s">
        <v>676</v>
      </c>
      <c r="B88" s="141" t="s">
        <v>54</v>
      </c>
      <c r="C88" s="120">
        <v>495</v>
      </c>
      <c r="D88" s="120"/>
      <c r="E88" s="2078">
        <f t="shared" si="5"/>
        <v>495</v>
      </c>
      <c r="F88" s="2445">
        <f>132.9+4.36+34.215</f>
        <v>171.47500000000002</v>
      </c>
      <c r="G88" s="29">
        <f t="shared" si="6"/>
        <v>323.52499999999998</v>
      </c>
      <c r="H88" s="2571">
        <f t="shared" si="4"/>
        <v>0.65358585858585849</v>
      </c>
      <c r="I88" s="175"/>
      <c r="J88" s="140">
        <f t="shared" si="8"/>
        <v>31</v>
      </c>
      <c r="M88" s="232">
        <f t="shared" si="7"/>
        <v>-2.8421709430404007E-14</v>
      </c>
      <c r="N88">
        <v>171.47499999999999</v>
      </c>
      <c r="Q88" s="2437"/>
    </row>
    <row r="89" spans="1:17" ht="30">
      <c r="A89" s="2439" t="s">
        <v>677</v>
      </c>
      <c r="B89" s="141" t="s">
        <v>54</v>
      </c>
      <c r="C89" s="120">
        <v>794</v>
      </c>
      <c r="D89" s="120"/>
      <c r="E89" s="2078">
        <f t="shared" si="5"/>
        <v>794</v>
      </c>
      <c r="F89" s="2445">
        <f>4.671+87.441+537.484+1.411+0.5+0.15</f>
        <v>631.65699999999993</v>
      </c>
      <c r="G89" s="29">
        <f t="shared" si="6"/>
        <v>162.34300000000007</v>
      </c>
      <c r="H89" s="2571">
        <f t="shared" si="4"/>
        <v>0.20446221662468522</v>
      </c>
      <c r="I89" s="175"/>
      <c r="J89" s="133">
        <f t="shared" si="8"/>
        <v>32</v>
      </c>
      <c r="L89" s="2549" t="s">
        <v>1126</v>
      </c>
      <c r="M89" s="232">
        <f t="shared" si="7"/>
        <v>1.1368683772161603E-13</v>
      </c>
      <c r="N89">
        <v>631.65700000000004</v>
      </c>
      <c r="Q89" s="2437"/>
    </row>
    <row r="90" spans="1:17" ht="15" customHeight="1">
      <c r="A90" s="2439" t="s">
        <v>678</v>
      </c>
      <c r="B90" s="141" t="s">
        <v>54</v>
      </c>
      <c r="C90" s="120">
        <v>43</v>
      </c>
      <c r="D90" s="120"/>
      <c r="E90" s="2078">
        <f t="shared" si="5"/>
        <v>43</v>
      </c>
      <c r="F90" s="2445">
        <v>0</v>
      </c>
      <c r="G90" s="29">
        <f t="shared" si="6"/>
        <v>43</v>
      </c>
      <c r="H90" s="2571">
        <f t="shared" si="4"/>
        <v>1</v>
      </c>
      <c r="I90" s="220"/>
      <c r="J90" s="140">
        <f t="shared" si="8"/>
        <v>33</v>
      </c>
      <c r="M90" s="232">
        <f t="shared" si="7"/>
        <v>0</v>
      </c>
      <c r="N90">
        <v>0</v>
      </c>
      <c r="Q90" s="2437"/>
    </row>
    <row r="91" spans="1:17" ht="15" customHeight="1">
      <c r="A91" s="2439" t="s">
        <v>679</v>
      </c>
      <c r="B91" s="141" t="s">
        <v>54</v>
      </c>
      <c r="C91" s="120">
        <v>58</v>
      </c>
      <c r="D91" s="120"/>
      <c r="E91" s="2078">
        <f t="shared" si="5"/>
        <v>58</v>
      </c>
      <c r="F91" s="2445">
        <v>0</v>
      </c>
      <c r="G91" s="29">
        <f t="shared" si="6"/>
        <v>58</v>
      </c>
      <c r="H91" s="2571">
        <f t="shared" si="4"/>
        <v>1</v>
      </c>
      <c r="I91" s="220"/>
      <c r="J91" s="140">
        <f t="shared" si="8"/>
        <v>34</v>
      </c>
      <c r="M91" s="232">
        <f t="shared" si="7"/>
        <v>0</v>
      </c>
      <c r="N91">
        <v>0</v>
      </c>
      <c r="Q91" s="2437"/>
    </row>
    <row r="92" spans="1:17" ht="30">
      <c r="A92" s="2439" t="s">
        <v>680</v>
      </c>
      <c r="B92" s="141" t="s">
        <v>54</v>
      </c>
      <c r="C92" s="120">
        <v>723</v>
      </c>
      <c r="D92" s="120"/>
      <c r="E92" s="2078">
        <f t="shared" si="5"/>
        <v>723</v>
      </c>
      <c r="F92" s="2445">
        <f>0.1+3.166+2.472+53.166+271.096+132.865+23.134+18.246+2.244-2.244+30.54+0.15</f>
        <v>534.93499999999995</v>
      </c>
      <c r="G92" s="29">
        <f t="shared" si="6"/>
        <v>188.06500000000005</v>
      </c>
      <c r="H92" s="2571">
        <f t="shared" si="4"/>
        <v>0.26011756569847866</v>
      </c>
      <c r="I92" s="220"/>
      <c r="J92" s="140">
        <f t="shared" si="8"/>
        <v>35</v>
      </c>
      <c r="L92" s="2549" t="s">
        <v>1126</v>
      </c>
      <c r="M92" s="232">
        <f t="shared" si="7"/>
        <v>0</v>
      </c>
      <c r="N92">
        <v>534.93499999999995</v>
      </c>
      <c r="Q92" s="2437"/>
    </row>
    <row r="93" spans="1:17" ht="15" customHeight="1">
      <c r="A93" s="2439" t="s">
        <v>681</v>
      </c>
      <c r="B93" s="141" t="s">
        <v>54</v>
      </c>
      <c r="C93" s="120">
        <v>279</v>
      </c>
      <c r="D93" s="120"/>
      <c r="E93" s="2078">
        <f t="shared" si="5"/>
        <v>279</v>
      </c>
      <c r="F93" s="2445">
        <f>75.129+61.673+0.686</f>
        <v>137.48800000000003</v>
      </c>
      <c r="G93" s="29">
        <f t="shared" si="6"/>
        <v>141.51199999999997</v>
      </c>
      <c r="H93" s="2571">
        <f t="shared" si="4"/>
        <v>0.50721146953405005</v>
      </c>
      <c r="I93" s="220"/>
      <c r="J93" s="140">
        <f t="shared" si="8"/>
        <v>36</v>
      </c>
      <c r="M93" s="232">
        <f t="shared" si="7"/>
        <v>-2.8421709430404007E-14</v>
      </c>
      <c r="N93">
        <v>137.488</v>
      </c>
      <c r="Q93" s="2437"/>
    </row>
    <row r="94" spans="1:17" ht="15" customHeight="1">
      <c r="A94" s="3223" t="s">
        <v>682</v>
      </c>
      <c r="B94" s="141" t="s">
        <v>54</v>
      </c>
      <c r="C94" s="120">
        <v>773</v>
      </c>
      <c r="D94" s="120"/>
      <c r="E94" s="2078">
        <f t="shared" si="5"/>
        <v>773</v>
      </c>
      <c r="F94" s="2445">
        <f>6.256+2.155+1.551+7.816+264.559+441.146+11.528+8.124+0.799+3.021+8.463-8.08+3.194-3.194-0.383+0.045+0.1-2.154</f>
        <v>744.94599999999991</v>
      </c>
      <c r="G94" s="29">
        <f t="shared" si="6"/>
        <v>28.054000000000087</v>
      </c>
      <c r="H94" s="2571">
        <f t="shared" si="4"/>
        <v>3.6292367399741378E-2</v>
      </c>
      <c r="I94" s="220"/>
      <c r="J94" s="140">
        <f t="shared" si="8"/>
        <v>37</v>
      </c>
      <c r="M94" s="232">
        <f t="shared" si="7"/>
        <v>-9.999999998626663E-4</v>
      </c>
      <c r="N94">
        <v>744.94500000000005</v>
      </c>
      <c r="Q94" s="2437"/>
    </row>
    <row r="95" spans="1:17" ht="15" customHeight="1">
      <c r="A95" s="3182" t="s">
        <v>683</v>
      </c>
      <c r="B95" s="141" t="s">
        <v>54</v>
      </c>
      <c r="C95" s="120">
        <v>164</v>
      </c>
      <c r="D95" s="229"/>
      <c r="E95" s="2078">
        <f t="shared" si="5"/>
        <v>164</v>
      </c>
      <c r="F95" s="2445">
        <f>35.952+39.66+1.968+11.43-11.43+1.775-1.775+32.801+7.514+2.3</f>
        <v>120.19499999999998</v>
      </c>
      <c r="G95" s="29">
        <f t="shared" si="6"/>
        <v>43.805000000000021</v>
      </c>
      <c r="H95" s="2571">
        <f t="shared" si="4"/>
        <v>0.26710365853658552</v>
      </c>
      <c r="I95" s="175"/>
      <c r="J95" s="140">
        <f t="shared" si="8"/>
        <v>38</v>
      </c>
      <c r="L95" s="2549" t="s">
        <v>1126</v>
      </c>
      <c r="M95" s="232">
        <f t="shared" si="7"/>
        <v>1.4210854715202004E-14</v>
      </c>
      <c r="N95">
        <v>120.19499999999999</v>
      </c>
      <c r="Q95" s="2437"/>
    </row>
    <row r="96" spans="1:17" ht="15" customHeight="1">
      <c r="A96" s="2439" t="s">
        <v>684</v>
      </c>
      <c r="B96" s="141" t="s">
        <v>54</v>
      </c>
      <c r="C96" s="120">
        <v>747</v>
      </c>
      <c r="D96" s="229"/>
      <c r="E96" s="2078">
        <f t="shared" si="5"/>
        <v>747</v>
      </c>
      <c r="F96" s="2445">
        <f>245.703+253.113+15.369+0.642+0.804+0.083+0.45-0.043-0.49-0.77+0.838-0.838</f>
        <v>514.8610000000001</v>
      </c>
      <c r="G96" s="29">
        <f t="shared" si="6"/>
        <v>232.1389999999999</v>
      </c>
      <c r="H96" s="2571">
        <f t="shared" si="4"/>
        <v>0.31076171352074955</v>
      </c>
      <c r="I96" s="175"/>
      <c r="J96" s="140">
        <f t="shared" si="8"/>
        <v>39</v>
      </c>
      <c r="M96" s="232">
        <f t="shared" si="7"/>
        <v>-1.1368683772161603E-13</v>
      </c>
      <c r="N96">
        <v>514.86099999999999</v>
      </c>
      <c r="Q96" s="2437"/>
    </row>
    <row r="97" spans="1:17" ht="15" customHeight="1">
      <c r="A97" s="2439" t="s">
        <v>685</v>
      </c>
      <c r="B97" s="141" t="s">
        <v>54</v>
      </c>
      <c r="C97" s="120">
        <v>0</v>
      </c>
      <c r="D97" s="229"/>
      <c r="E97" s="2078">
        <f t="shared" si="5"/>
        <v>0</v>
      </c>
      <c r="F97" s="2445">
        <v>0</v>
      </c>
      <c r="G97" s="121">
        <f t="shared" si="6"/>
        <v>0</v>
      </c>
      <c r="H97" s="2571" t="e">
        <f t="shared" si="4"/>
        <v>#DIV/0!</v>
      </c>
      <c r="I97" s="220"/>
      <c r="J97" s="140">
        <f t="shared" si="8"/>
        <v>40</v>
      </c>
      <c r="M97" s="232">
        <f t="shared" si="7"/>
        <v>0</v>
      </c>
      <c r="N97">
        <v>0</v>
      </c>
      <c r="Q97" s="2437"/>
    </row>
    <row r="98" spans="1:17" ht="30">
      <c r="A98" s="2546" t="s">
        <v>686</v>
      </c>
      <c r="B98" s="141" t="s">
        <v>54</v>
      </c>
      <c r="C98" s="120">
        <v>316</v>
      </c>
      <c r="D98" s="120"/>
      <c r="E98" s="2078">
        <f t="shared" si="5"/>
        <v>316</v>
      </c>
      <c r="F98" s="2445">
        <f>35.494+5.296+0.913</f>
        <v>41.702999999999996</v>
      </c>
      <c r="G98" s="29">
        <f t="shared" si="6"/>
        <v>274.29700000000003</v>
      </c>
      <c r="H98" s="2571">
        <f t="shared" si="4"/>
        <v>0.86802848101265828</v>
      </c>
      <c r="I98" s="220"/>
      <c r="J98" s="140">
        <f t="shared" si="8"/>
        <v>41</v>
      </c>
      <c r="M98" s="232">
        <f t="shared" si="7"/>
        <v>7.1054273576010019E-15</v>
      </c>
      <c r="N98">
        <v>41.703000000000003</v>
      </c>
      <c r="Q98" s="2437"/>
    </row>
    <row r="99" spans="1:17" ht="30">
      <c r="A99" s="2546" t="s">
        <v>687</v>
      </c>
      <c r="B99" s="141" t="s">
        <v>54</v>
      </c>
      <c r="C99" s="120">
        <v>1446</v>
      </c>
      <c r="D99" s="120"/>
      <c r="E99" s="2078">
        <f t="shared" si="5"/>
        <v>1446</v>
      </c>
      <c r="F99" s="2445">
        <f>44.865+1.172+8.22+6.731+37.793+87.402+44.556+12.939+65.447+16.206+25.71+94.78-10.645+1.24-3.126+2.63+0.644+12.451+49.329+53.502+87.178+6.399+26.719+53.23+17.831+39.109+5.165+2.171-2.171</f>
        <v>787.4770000000002</v>
      </c>
      <c r="G99" s="29">
        <f t="shared" si="6"/>
        <v>658.5229999999998</v>
      </c>
      <c r="H99" s="2571">
        <f t="shared" si="4"/>
        <v>0.45541009681881039</v>
      </c>
      <c r="I99" s="270"/>
      <c r="J99" s="140">
        <f t="shared" si="8"/>
        <v>42</v>
      </c>
      <c r="M99" s="232">
        <f t="shared" si="7"/>
        <v>-2.2737367544323206E-13</v>
      </c>
      <c r="N99">
        <v>787.47699999999998</v>
      </c>
      <c r="Q99" s="2437"/>
    </row>
    <row r="100" spans="1:17" ht="15">
      <c r="A100" s="2439" t="s">
        <v>688</v>
      </c>
      <c r="B100" s="141" t="s">
        <v>54</v>
      </c>
      <c r="C100" s="120">
        <v>874</v>
      </c>
      <c r="D100" s="120"/>
      <c r="E100" s="2078">
        <f t="shared" si="5"/>
        <v>874</v>
      </c>
      <c r="F100" s="2445">
        <f>6.214+87.002+162.523+26.133+5.956+36.237+4.405+15.41+9.682-9.426+1.965-0.256+8.23+3.583+26.144+6.82</f>
        <v>390.62200000000007</v>
      </c>
      <c r="G100" s="29">
        <f t="shared" si="6"/>
        <v>483.37799999999993</v>
      </c>
      <c r="H100" s="2571">
        <f t="shared" si="4"/>
        <v>0.55306407322654449</v>
      </c>
      <c r="I100" s="220"/>
      <c r="J100" s="140">
        <f t="shared" si="8"/>
        <v>43</v>
      </c>
      <c r="M100" s="232">
        <f t="shared" si="7"/>
        <v>-5.6843418860808015E-14</v>
      </c>
      <c r="N100">
        <v>390.62200000000001</v>
      </c>
      <c r="Q100" s="2437"/>
    </row>
    <row r="101" spans="1:17" ht="15" customHeight="1">
      <c r="A101" s="2439" t="s">
        <v>689</v>
      </c>
      <c r="B101" s="141" t="s">
        <v>54</v>
      </c>
      <c r="C101" s="120">
        <v>58</v>
      </c>
      <c r="D101" s="120"/>
      <c r="E101" s="2078">
        <f t="shared" si="5"/>
        <v>58</v>
      </c>
      <c r="F101" s="2445">
        <f>2.6+17.65+0.732+1.231</f>
        <v>22.213000000000001</v>
      </c>
      <c r="G101" s="29">
        <f t="shared" si="6"/>
        <v>35.786999999999999</v>
      </c>
      <c r="H101" s="2571">
        <f t="shared" si="4"/>
        <v>0.61701724137931035</v>
      </c>
      <c r="I101" s="273"/>
      <c r="J101" s="140">
        <f t="shared" si="8"/>
        <v>44</v>
      </c>
      <c r="L101" s="2549" t="s">
        <v>1126</v>
      </c>
      <c r="M101" s="232">
        <f t="shared" si="7"/>
        <v>0</v>
      </c>
      <c r="N101">
        <v>22.213000000000001</v>
      </c>
      <c r="Q101" s="2437"/>
    </row>
    <row r="102" spans="1:17" ht="15" customHeight="1">
      <c r="A102" s="2439" t="s">
        <v>690</v>
      </c>
      <c r="B102" s="141" t="s">
        <v>54</v>
      </c>
      <c r="C102" s="120">
        <v>2100</v>
      </c>
      <c r="D102" s="120"/>
      <c r="E102" s="2078">
        <f t="shared" si="5"/>
        <v>2100</v>
      </c>
      <c r="F102" s="2445">
        <f>1.752+0.311+0.892+325.615+207.447+57.253+0.719+6.406+1.082+89.554-1.497-2.178+18.185-10.154+20.171+0.819-0.819</f>
        <v>715.55800000000011</v>
      </c>
      <c r="G102" s="29">
        <f t="shared" si="6"/>
        <v>1384.442</v>
      </c>
      <c r="H102" s="2571">
        <f t="shared" si="4"/>
        <v>0.6592580952380952</v>
      </c>
      <c r="I102" s="175"/>
      <c r="J102" s="140">
        <f t="shared" si="8"/>
        <v>45</v>
      </c>
      <c r="M102" s="232">
        <f t="shared" si="7"/>
        <v>-1.1368683772161603E-13</v>
      </c>
      <c r="N102">
        <v>715.55799999999999</v>
      </c>
      <c r="Q102" s="2437"/>
    </row>
    <row r="103" spans="1:17" s="2566" customFormat="1" ht="15" customHeight="1">
      <c r="A103" s="2546" t="s">
        <v>691</v>
      </c>
      <c r="B103" s="2560" t="s">
        <v>54</v>
      </c>
      <c r="C103" s="2561">
        <v>813</v>
      </c>
      <c r="D103" s="2561"/>
      <c r="E103" s="2561">
        <f t="shared" si="5"/>
        <v>813</v>
      </c>
      <c r="F103" s="2569">
        <f>71.438+27.247+15.419+67.954+55.602+87.057+64.021+8.639+1.874+1.958+30.576-3.141+4.079+25.359+25.389+9.36+18.062+14.669+133.709+40.082+58.978+147.892-48.366+8.937+148.964-82.426-11.181-0.652-35.592</f>
        <v>885.90700000000015</v>
      </c>
      <c r="G103" s="2563">
        <f t="shared" si="6"/>
        <v>-72.907000000000153</v>
      </c>
      <c r="H103" s="2612">
        <f t="shared" si="4"/>
        <v>-8.9676506765067845E-2</v>
      </c>
      <c r="I103" s="2564" t="s">
        <v>1089</v>
      </c>
      <c r="J103" s="2565">
        <f t="shared" si="8"/>
        <v>46</v>
      </c>
      <c r="M103" s="2567">
        <f t="shared" si="7"/>
        <v>-1.1368683772161603E-13</v>
      </c>
      <c r="N103" s="2566">
        <v>885.90700000000004</v>
      </c>
      <c r="Q103" s="2570"/>
    </row>
    <row r="104" spans="1:17" ht="30">
      <c r="A104" s="2439" t="s">
        <v>692</v>
      </c>
      <c r="B104" s="141" t="s">
        <v>54</v>
      </c>
      <c r="C104" s="120">
        <v>270</v>
      </c>
      <c r="D104" s="120"/>
      <c r="E104" s="2078">
        <f t="shared" si="5"/>
        <v>270</v>
      </c>
      <c r="F104" s="2445">
        <f>26.757+0.144+19.582+93.49+1+9.603</f>
        <v>150.57600000000002</v>
      </c>
      <c r="G104" s="29">
        <f t="shared" si="6"/>
        <v>119.42399999999998</v>
      </c>
      <c r="H104" s="2571">
        <f t="shared" si="4"/>
        <v>0.44231111111111104</v>
      </c>
      <c r="I104" s="175"/>
      <c r="J104" s="140">
        <f t="shared" si="8"/>
        <v>47</v>
      </c>
      <c r="M104" s="232">
        <f t="shared" si="7"/>
        <v>-2.8421709430404007E-14</v>
      </c>
      <c r="N104">
        <v>150.57599999999999</v>
      </c>
      <c r="Q104" s="2437"/>
    </row>
    <row r="105" spans="1:17" ht="15">
      <c r="A105" s="2439" t="s">
        <v>693</v>
      </c>
      <c r="B105" s="141" t="s">
        <v>54</v>
      </c>
      <c r="C105" s="120">
        <v>829</v>
      </c>
      <c r="D105" s="120"/>
      <c r="E105" s="2078">
        <f t="shared" si="5"/>
        <v>829</v>
      </c>
      <c r="F105" s="2445">
        <f>28.951+3.434+33.894+33.435+34.965+55.557+18.394+24.038+9.688-3.045-1.007-0.922+19.795+49.463+0.908+6.89+3.101+27.996+11.516+10.985+5.72</f>
        <v>373.75600000000009</v>
      </c>
      <c r="G105" s="29">
        <f t="shared" si="6"/>
        <v>455.24399999999991</v>
      </c>
      <c r="H105" s="2571">
        <f t="shared" si="4"/>
        <v>0.54914837153196616</v>
      </c>
      <c r="I105" s="220"/>
      <c r="J105" s="140">
        <f t="shared" si="8"/>
        <v>48</v>
      </c>
      <c r="M105" s="232">
        <f t="shared" si="7"/>
        <v>-1.1368683772161603E-13</v>
      </c>
      <c r="N105">
        <v>373.75599999999997</v>
      </c>
      <c r="Q105" s="2437"/>
    </row>
    <row r="106" spans="1:17" ht="30">
      <c r="A106" s="2546" t="s">
        <v>694</v>
      </c>
      <c r="B106" s="141" t="s">
        <v>54</v>
      </c>
      <c r="C106" s="120">
        <v>521</v>
      </c>
      <c r="D106" s="229"/>
      <c r="E106" s="2078">
        <f t="shared" si="5"/>
        <v>521</v>
      </c>
      <c r="F106" s="2445">
        <f>52.181+8.904+47.587+68.362+3.695+6.249+1.547+3.571-1.668+1.237-1.237-0.453+14.095-6.084+0.263</f>
        <v>198.24899999999997</v>
      </c>
      <c r="G106" s="29">
        <f t="shared" si="6"/>
        <v>322.75100000000003</v>
      </c>
      <c r="H106" s="2571">
        <f t="shared" si="4"/>
        <v>0.61948368522072939</v>
      </c>
      <c r="I106" s="175"/>
      <c r="J106" s="140">
        <f t="shared" si="8"/>
        <v>49</v>
      </c>
      <c r="M106" s="232">
        <f t="shared" si="7"/>
        <v>2.8421709430404007E-14</v>
      </c>
      <c r="N106">
        <v>198.249</v>
      </c>
      <c r="Q106" s="2437"/>
    </row>
    <row r="107" spans="1:17" ht="15">
      <c r="A107" s="2439" t="s">
        <v>695</v>
      </c>
      <c r="B107" s="141" t="s">
        <v>54</v>
      </c>
      <c r="C107" s="120">
        <v>1273</v>
      </c>
      <c r="D107" s="120"/>
      <c r="E107" s="2078">
        <f t="shared" si="5"/>
        <v>1273</v>
      </c>
      <c r="F107" s="2445">
        <f>36.278+57.782+43.96+29.387+23.479+20.658+5.153+19.918-7.716+3.866-3.866-1.228+2.56+2.665+18.858+5.315</f>
        <v>257.06900000000002</v>
      </c>
      <c r="G107" s="29">
        <f t="shared" si="6"/>
        <v>1015.931</v>
      </c>
      <c r="H107" s="2571">
        <f t="shared" si="4"/>
        <v>0.79806048703849175</v>
      </c>
      <c r="I107" s="175"/>
      <c r="J107" s="140">
        <f t="shared" si="8"/>
        <v>50</v>
      </c>
      <c r="M107" s="232">
        <f t="shared" si="7"/>
        <v>0</v>
      </c>
      <c r="N107">
        <v>257.06900000000002</v>
      </c>
      <c r="Q107" s="2437"/>
    </row>
    <row r="108" spans="1:17" ht="15">
      <c r="A108" s="2439" t="s">
        <v>696</v>
      </c>
      <c r="B108" s="141" t="s">
        <v>54</v>
      </c>
      <c r="C108" s="120">
        <v>295</v>
      </c>
      <c r="D108" s="120"/>
      <c r="E108" s="2078">
        <f t="shared" si="5"/>
        <v>295</v>
      </c>
      <c r="F108" s="2445">
        <f>24.33+7.094+0.169+19.047+14.895+38.877+33.603+9.244+7.782+5.381+11.492+1.259+12.504-1.142+1.397+34.078+16.347+5.382+5.392+0.573+11.668+22.188+1.821+1.583</f>
        <v>284.96400000000006</v>
      </c>
      <c r="G108" s="29">
        <f t="shared" si="6"/>
        <v>10.035999999999945</v>
      </c>
      <c r="H108" s="2571">
        <f t="shared" si="4"/>
        <v>3.4020338983050659E-2</v>
      </c>
      <c r="I108" s="220"/>
      <c r="J108" s="140">
        <f t="shared" si="8"/>
        <v>51</v>
      </c>
      <c r="L108" s="2549" t="s">
        <v>1126</v>
      </c>
      <c r="M108" s="232">
        <f t="shared" si="7"/>
        <v>-5.6843418860808015E-14</v>
      </c>
      <c r="N108">
        <v>284.964</v>
      </c>
      <c r="Q108" s="2437"/>
    </row>
    <row r="109" spans="1:17" ht="30">
      <c r="A109" s="2459" t="s">
        <v>697</v>
      </c>
      <c r="B109" s="141" t="s">
        <v>54</v>
      </c>
      <c r="C109" s="120">
        <v>352</v>
      </c>
      <c r="D109" s="120"/>
      <c r="E109" s="2078">
        <f t="shared" si="5"/>
        <v>352</v>
      </c>
      <c r="F109" s="2445">
        <f>3.792+291.698+9.752+18.582+1.26+0.701-1.05-0.911+96.59-37.988-30.012</f>
        <v>352.41399999999999</v>
      </c>
      <c r="G109" s="29">
        <f t="shared" si="6"/>
        <v>-0.41399999999998727</v>
      </c>
      <c r="H109" s="2571">
        <f t="shared" si="4"/>
        <v>-1.1761363636363274E-3</v>
      </c>
      <c r="I109" s="220" t="s">
        <v>957</v>
      </c>
      <c r="J109" s="140">
        <f t="shared" si="8"/>
        <v>52</v>
      </c>
      <c r="M109" s="232">
        <f t="shared" si="7"/>
        <v>0</v>
      </c>
      <c r="N109">
        <v>352.41399999999999</v>
      </c>
      <c r="Q109" s="2437"/>
    </row>
    <row r="110" spans="1:17" ht="30">
      <c r="A110" s="2439" t="s">
        <v>698</v>
      </c>
      <c r="B110" s="141" t="s">
        <v>54</v>
      </c>
      <c r="C110" s="120">
        <v>834</v>
      </c>
      <c r="D110" s="120"/>
      <c r="E110" s="2078">
        <f t="shared" si="5"/>
        <v>834</v>
      </c>
      <c r="F110" s="2445">
        <f>97.443+243.889+105.78+8.887+41.036-37.114-0.21+11.39</f>
        <v>471.101</v>
      </c>
      <c r="G110" s="29">
        <f t="shared" si="6"/>
        <v>362.899</v>
      </c>
      <c r="H110" s="2571">
        <f t="shared" si="4"/>
        <v>0.43513069544364508</v>
      </c>
      <c r="I110" s="220"/>
      <c r="J110" s="140">
        <f t="shared" si="8"/>
        <v>53</v>
      </c>
      <c r="M110" s="232">
        <f t="shared" si="7"/>
        <v>0</v>
      </c>
      <c r="N110">
        <v>471.101</v>
      </c>
      <c r="Q110" s="2437"/>
    </row>
    <row r="111" spans="1:17" ht="30">
      <c r="A111" s="2439" t="s">
        <v>699</v>
      </c>
      <c r="B111" s="141" t="s">
        <v>54</v>
      </c>
      <c r="C111" s="2078">
        <v>252</v>
      </c>
      <c r="D111" s="120"/>
      <c r="E111" s="2078">
        <f t="shared" si="5"/>
        <v>252</v>
      </c>
      <c r="F111" s="2445">
        <f>2.859+72.21+32.73</f>
        <v>107.79899999999998</v>
      </c>
      <c r="G111" s="29">
        <f t="shared" si="6"/>
        <v>144.20100000000002</v>
      </c>
      <c r="H111" s="2571">
        <f t="shared" si="4"/>
        <v>0.57222619047619061</v>
      </c>
      <c r="I111" s="175"/>
      <c r="J111" s="140">
        <f t="shared" si="8"/>
        <v>54</v>
      </c>
      <c r="M111" s="232">
        <f t="shared" si="7"/>
        <v>2.8421709430404007E-14</v>
      </c>
      <c r="N111">
        <v>107.79900000000001</v>
      </c>
      <c r="Q111" s="2437"/>
    </row>
    <row r="112" spans="1:17" s="2566" customFormat="1" ht="30">
      <c r="A112" s="2559" t="s">
        <v>700</v>
      </c>
      <c r="B112" s="2560" t="s">
        <v>54</v>
      </c>
      <c r="C112" s="2561">
        <v>83</v>
      </c>
      <c r="D112" s="2561"/>
      <c r="E112" s="2561">
        <f t="shared" si="5"/>
        <v>83</v>
      </c>
      <c r="F112" s="2569">
        <f>6.455+26.071+0.849-0.849+1.443+27.888</f>
        <v>61.856999999999999</v>
      </c>
      <c r="G112" s="2563">
        <f t="shared" si="6"/>
        <v>21.143000000000001</v>
      </c>
      <c r="H112" s="2571">
        <f t="shared" si="4"/>
        <v>0.25473493975903616</v>
      </c>
      <c r="I112" s="2564"/>
      <c r="J112" s="2565">
        <f t="shared" si="8"/>
        <v>55</v>
      </c>
      <c r="L112" s="2549" t="s">
        <v>1126</v>
      </c>
      <c r="M112" s="2567">
        <f t="shared" si="7"/>
        <v>0</v>
      </c>
      <c r="N112" s="2566">
        <v>61.856999999999999</v>
      </c>
      <c r="Q112" s="2570"/>
    </row>
    <row r="113" spans="1:20" s="2566" customFormat="1" ht="30">
      <c r="A113" s="2559" t="s">
        <v>701</v>
      </c>
      <c r="B113" s="2560" t="s">
        <v>54</v>
      </c>
      <c r="C113" s="2561">
        <v>1880</v>
      </c>
      <c r="D113" s="2561"/>
      <c r="E113" s="2561">
        <f t="shared" si="5"/>
        <v>1880</v>
      </c>
      <c r="F113" s="2569">
        <f>117.545+100.007+175.794+48.944+213.43+100.723+106.5+117.72+83.451+34.234+2.937+146.574+7.23+31.8+0.232+61.013+12.295+150.105+0.375+27.003-11.018+13.017+52.939+15.752+2.168+1.524+51.814+76.186+1.899-1.899</f>
        <v>1740.2939999999996</v>
      </c>
      <c r="G113" s="2563">
        <f t="shared" si="6"/>
        <v>139.70600000000036</v>
      </c>
      <c r="H113" s="2571">
        <f t="shared" si="4"/>
        <v>7.4311702127659765E-2</v>
      </c>
      <c r="I113" s="2564"/>
      <c r="J113" s="2565">
        <f t="shared" si="8"/>
        <v>56</v>
      </c>
      <c r="L113" s="2549" t="s">
        <v>1126</v>
      </c>
      <c r="M113" s="2567">
        <f t="shared" si="7"/>
        <v>4.5474735088646412E-13</v>
      </c>
      <c r="N113" s="2566">
        <v>1740.2940000000001</v>
      </c>
      <c r="Q113" s="2570"/>
    </row>
    <row r="114" spans="1:20" s="2566" customFormat="1" ht="30">
      <c r="A114" s="2546" t="s">
        <v>702</v>
      </c>
      <c r="B114" s="2560" t="s">
        <v>54</v>
      </c>
      <c r="C114" s="2561">
        <v>705</v>
      </c>
      <c r="D114" s="2561"/>
      <c r="E114" s="2561">
        <f t="shared" si="5"/>
        <v>705</v>
      </c>
      <c r="F114" s="2569">
        <f>15.59+144.166+280.509+0.429+4.629+5.708+1.901+0.08+1.753-1.428+0.862-2.015+16.117+0.946+38.664+0.005+2.038-2.038+9.68</f>
        <v>517.596</v>
      </c>
      <c r="G114" s="2563">
        <f t="shared" si="6"/>
        <v>187.404</v>
      </c>
      <c r="H114" s="2571">
        <f t="shared" si="4"/>
        <v>0.26582127659574467</v>
      </c>
      <c r="I114" s="2564"/>
      <c r="J114" s="2565">
        <f t="shared" si="8"/>
        <v>57</v>
      </c>
      <c r="L114" s="2549" t="s">
        <v>1126</v>
      </c>
      <c r="M114" s="2567">
        <f t="shared" si="7"/>
        <v>0</v>
      </c>
      <c r="N114" s="2566">
        <v>517.596</v>
      </c>
      <c r="Q114" s="2570"/>
    </row>
    <row r="115" spans="1:20" s="2566" customFormat="1" ht="15">
      <c r="A115" s="3364" t="s">
        <v>703</v>
      </c>
      <c r="B115" s="2560" t="s">
        <v>54</v>
      </c>
      <c r="C115" s="3368">
        <v>1138.9459999999999</v>
      </c>
      <c r="D115" s="2561"/>
      <c r="E115" s="2561">
        <f t="shared" si="5"/>
        <v>1138.9459999999999</v>
      </c>
      <c r="F115" s="2569">
        <f>161.903+749.525+26.786+41.683+8.617+57.714+0.307+27.27+16.578-1.862-0.385+16.23+21.406+11.343-4.69+1.128-1.128</f>
        <v>1132.4249999999997</v>
      </c>
      <c r="G115" s="2563">
        <f t="shared" si="6"/>
        <v>6.5210000000001855</v>
      </c>
      <c r="H115" s="2571">
        <f t="shared" si="4"/>
        <v>5.7254689862383168E-3</v>
      </c>
      <c r="I115" s="2564"/>
      <c r="J115" s="2565">
        <f t="shared" si="8"/>
        <v>58</v>
      </c>
      <c r="L115" s="2549" t="s">
        <v>1126</v>
      </c>
      <c r="M115" s="2567">
        <f t="shared" si="7"/>
        <v>2.2737367544323206E-13</v>
      </c>
      <c r="N115" s="2566">
        <v>1132.425</v>
      </c>
      <c r="Q115" s="2570"/>
    </row>
    <row r="116" spans="1:20" ht="30">
      <c r="A116" s="2439" t="s">
        <v>704</v>
      </c>
      <c r="B116" s="170" t="s">
        <v>54</v>
      </c>
      <c r="C116" s="120">
        <v>108</v>
      </c>
      <c r="D116" s="120"/>
      <c r="E116" s="2078">
        <f t="shared" si="5"/>
        <v>108</v>
      </c>
      <c r="F116" s="2445">
        <f>5.515+1.983+16.704+2.246+1.394+2.635</f>
        <v>30.476999999999997</v>
      </c>
      <c r="G116" s="29">
        <f t="shared" si="6"/>
        <v>77.522999999999996</v>
      </c>
      <c r="H116" s="2571">
        <f t="shared" si="4"/>
        <v>0.71780555555555547</v>
      </c>
      <c r="I116" s="1460"/>
      <c r="J116" s="140">
        <f t="shared" si="8"/>
        <v>59</v>
      </c>
      <c r="M116" s="232">
        <f t="shared" si="7"/>
        <v>3.5527136788005009E-15</v>
      </c>
      <c r="N116">
        <v>30.477</v>
      </c>
      <c r="Q116" s="2437"/>
    </row>
    <row r="117" spans="1:20" ht="30">
      <c r="A117" s="2439" t="s">
        <v>705</v>
      </c>
      <c r="B117" s="170" t="s">
        <v>54</v>
      </c>
      <c r="C117" s="120">
        <v>0</v>
      </c>
      <c r="D117" s="229"/>
      <c r="E117" s="2078">
        <f t="shared" si="5"/>
        <v>0</v>
      </c>
      <c r="F117" s="2445">
        <v>0</v>
      </c>
      <c r="G117" s="29">
        <f t="shared" si="6"/>
        <v>0</v>
      </c>
      <c r="H117" s="2571" t="e">
        <f t="shared" si="4"/>
        <v>#DIV/0!</v>
      </c>
      <c r="I117" s="175"/>
      <c r="J117" s="140">
        <f t="shared" si="8"/>
        <v>60</v>
      </c>
      <c r="M117" s="232">
        <f t="shared" si="7"/>
        <v>0</v>
      </c>
      <c r="N117">
        <v>0</v>
      </c>
      <c r="Q117" s="2437"/>
    </row>
    <row r="118" spans="1:20" ht="16.5" customHeight="1">
      <c r="A118" s="2439" t="s">
        <v>93</v>
      </c>
      <c r="B118" s="117" t="s">
        <v>54</v>
      </c>
      <c r="C118" s="2078">
        <v>20</v>
      </c>
      <c r="D118" s="2078"/>
      <c r="E118" s="2078">
        <f t="shared" si="5"/>
        <v>20</v>
      </c>
      <c r="F118" s="2445">
        <v>5.4020000000000001</v>
      </c>
      <c r="G118" s="29">
        <f t="shared" si="6"/>
        <v>14.597999999999999</v>
      </c>
      <c r="H118" s="2571">
        <f t="shared" si="4"/>
        <v>0.72989999999999999</v>
      </c>
      <c r="I118" s="175"/>
      <c r="J118" s="140">
        <f t="shared" si="8"/>
        <v>61</v>
      </c>
      <c r="M118" s="232">
        <f t="shared" si="7"/>
        <v>0</v>
      </c>
      <c r="N118">
        <v>5.4020000000000001</v>
      </c>
      <c r="Q118" s="2437"/>
      <c r="S118" s="1289" t="s">
        <v>1175</v>
      </c>
      <c r="T118" s="1289"/>
    </row>
    <row r="119" spans="1:20" s="2082" customFormat="1" ht="15" customHeight="1" thickBot="1">
      <c r="A119" s="2439" t="s">
        <v>706</v>
      </c>
      <c r="B119" s="117" t="s">
        <v>54</v>
      </c>
      <c r="C119" s="2078">
        <v>1714</v>
      </c>
      <c r="D119" s="2078"/>
      <c r="E119" s="2078">
        <f t="shared" si="5"/>
        <v>1714</v>
      </c>
      <c r="F119" s="2445">
        <f>1.23+322.371+2.16+29.125+34.426+34.031+26.031+50.767+113.793+7.015+49.943+14.088+4.431+7.017+1.84+1.572+0.219-4.581+12.561+1.062+0.251+13.391+0.013+4.131+0.219+9.75+1.283+3+0.5+0.15+95.413+14.542+0.15+6.94-0.469-0.001</f>
        <v>858.36400000000015</v>
      </c>
      <c r="G119" s="29">
        <f t="shared" si="6"/>
        <v>855.63599999999985</v>
      </c>
      <c r="H119" s="2571">
        <f t="shared" si="4"/>
        <v>0.49920420070011662</v>
      </c>
      <c r="I119" s="175"/>
      <c r="J119" s="140">
        <f t="shared" si="8"/>
        <v>62</v>
      </c>
      <c r="M119" s="232">
        <f t="shared" si="7"/>
        <v>-1.1368683772161603E-13</v>
      </c>
      <c r="N119" s="2082">
        <v>858.36400000000003</v>
      </c>
      <c r="Q119" s="2438"/>
      <c r="S119" s="1289">
        <v>1428</v>
      </c>
      <c r="T119" s="1289"/>
    </row>
    <row r="120" spans="1:20" s="2573" customFormat="1" ht="15" customHeight="1">
      <c r="A120" s="2575" t="s">
        <v>1262</v>
      </c>
      <c r="B120" s="117" t="s">
        <v>54</v>
      </c>
      <c r="C120" s="290">
        <f>3413+223</f>
        <v>3636</v>
      </c>
      <c r="D120" s="290"/>
      <c r="E120" s="290">
        <f t="shared" si="5"/>
        <v>3636</v>
      </c>
      <c r="F120" s="2576">
        <f>17.214+218.786+52+38.028+140.662+78.31+1.143+1.236</f>
        <v>547.37900000000002</v>
      </c>
      <c r="G120" s="29">
        <f t="shared" si="6"/>
        <v>3088.6210000000001</v>
      </c>
      <c r="H120" s="2571">
        <f t="shared" si="4"/>
        <v>0.8494557205720572</v>
      </c>
      <c r="I120" s="2577"/>
      <c r="J120" s="140"/>
      <c r="M120" s="232">
        <f t="shared" si="7"/>
        <v>0</v>
      </c>
      <c r="N120" s="2573">
        <v>547.37900000000002</v>
      </c>
      <c r="Q120" s="2578"/>
      <c r="S120" s="1289"/>
      <c r="T120" s="1289"/>
    </row>
    <row r="121" spans="1:20" ht="15" customHeight="1" thickBot="1">
      <c r="A121" s="2087" t="s">
        <v>52</v>
      </c>
      <c r="B121" s="2088" t="s">
        <v>54</v>
      </c>
      <c r="C121" s="2089">
        <f>SUM(C58:C120)</f>
        <v>45133.945999999996</v>
      </c>
      <c r="D121" s="2089">
        <f>SUM(D58:D120)</f>
        <v>0</v>
      </c>
      <c r="E121" s="2090">
        <f>SUM(E58:E120)</f>
        <v>45133.945999999996</v>
      </c>
      <c r="F121" s="2091">
        <f>SUM(F58:F120)</f>
        <v>22443.053999999996</v>
      </c>
      <c r="G121" s="2092">
        <f>+E121-F121</f>
        <v>22690.892</v>
      </c>
      <c r="H121" s="2571">
        <f t="shared" si="4"/>
        <v>0.50274558311387185</v>
      </c>
      <c r="I121" s="2093"/>
      <c r="J121" s="140"/>
      <c r="M121" s="232"/>
      <c r="N121">
        <f>SUM(N58:N120)</f>
        <v>22443.052999999993</v>
      </c>
    </row>
    <row r="122" spans="1:20" ht="5.0999999999999996" customHeight="1">
      <c r="A122" s="22"/>
      <c r="B122" s="8"/>
      <c r="C122" s="23"/>
      <c r="D122" s="23"/>
      <c r="E122" s="23"/>
      <c r="F122" s="24"/>
      <c r="G122" s="24"/>
      <c r="H122" s="819"/>
      <c r="I122" s="255"/>
      <c r="J122" s="140"/>
    </row>
    <row r="123" spans="1:20" ht="15" customHeight="1">
      <c r="A123" s="88" t="s">
        <v>47</v>
      </c>
      <c r="B123" s="88" t="s">
        <v>48</v>
      </c>
      <c r="C123" s="93" t="s">
        <v>49</v>
      </c>
      <c r="D123" s="93" t="s">
        <v>184</v>
      </c>
      <c r="E123" s="93" t="s">
        <v>50</v>
      </c>
      <c r="F123" s="88" t="s">
        <v>20</v>
      </c>
      <c r="G123" s="88" t="s">
        <v>21</v>
      </c>
      <c r="H123" s="88" t="s">
        <v>51</v>
      </c>
      <c r="I123" s="256" t="s">
        <v>23</v>
      </c>
      <c r="J123" s="140"/>
      <c r="K123" s="986"/>
      <c r="L123" s="986" t="s">
        <v>442</v>
      </c>
      <c r="M123" s="986" t="s">
        <v>1180</v>
      </c>
      <c r="N123" s="986" t="s">
        <v>508</v>
      </c>
      <c r="S123" s="3433" t="s">
        <v>1284</v>
      </c>
    </row>
    <row r="124" spans="1:20" ht="30">
      <c r="A124" s="2439" t="s">
        <v>646</v>
      </c>
      <c r="B124" s="130" t="s">
        <v>34</v>
      </c>
      <c r="C124" s="811">
        <v>7</v>
      </c>
      <c r="D124" s="171"/>
      <c r="E124" s="269">
        <f t="shared" ref="E124:E155" si="9">+C124+G58+D124</f>
        <v>144.797</v>
      </c>
      <c r="F124" s="119">
        <f>+M124</f>
        <v>0</v>
      </c>
      <c r="G124" s="988">
        <f>+E124-F124</f>
        <v>144.797</v>
      </c>
      <c r="H124" s="2571">
        <f>+G124/E124</f>
        <v>1</v>
      </c>
      <c r="I124" s="1136"/>
      <c r="J124" s="139">
        <v>1</v>
      </c>
      <c r="K124" s="139"/>
      <c r="L124" s="232">
        <f>+F58</f>
        <v>0.20299999999999999</v>
      </c>
      <c r="M124" s="139">
        <f>+N124-L124</f>
        <v>0</v>
      </c>
      <c r="N124">
        <v>0.20300000000000001</v>
      </c>
      <c r="S124">
        <v>0.20300000000000001</v>
      </c>
      <c r="T124">
        <f>+N124-S124</f>
        <v>0</v>
      </c>
    </row>
    <row r="125" spans="1:20" ht="30">
      <c r="A125" s="2439" t="s">
        <v>647</v>
      </c>
      <c r="B125" s="130" t="s">
        <v>34</v>
      </c>
      <c r="C125" s="811">
        <v>16</v>
      </c>
      <c r="D125" s="171"/>
      <c r="E125" s="269">
        <f t="shared" si="9"/>
        <v>94.118000000000052</v>
      </c>
      <c r="F125" s="119">
        <f t="shared" ref="F125:F186" si="10">+M125</f>
        <v>0</v>
      </c>
      <c r="G125" s="988">
        <f t="shared" ref="G125:G186" si="11">+E125-F125</f>
        <v>94.118000000000052</v>
      </c>
      <c r="H125" s="2571">
        <f t="shared" ref="H125:H186" si="12">+G125/E125</f>
        <v>1</v>
      </c>
      <c r="I125" s="220"/>
      <c r="J125" s="140">
        <f>+J124+1</f>
        <v>2</v>
      </c>
      <c r="L125" s="232">
        <f t="shared" ref="L125:L186" si="13">+F59</f>
        <v>316.88199999999995</v>
      </c>
      <c r="M125" s="139">
        <f t="shared" ref="M125:M186" si="14">+N125-L125</f>
        <v>0</v>
      </c>
      <c r="N125">
        <v>316.88200000000001</v>
      </c>
      <c r="S125">
        <v>316.88200000000001</v>
      </c>
      <c r="T125" s="3433">
        <f t="shared" ref="T125:T186" si="15">+N125-S125</f>
        <v>0</v>
      </c>
    </row>
    <row r="126" spans="1:20" ht="30">
      <c r="A126" s="2439" t="s">
        <v>648</v>
      </c>
      <c r="B126" s="130" t="s">
        <v>34</v>
      </c>
      <c r="C126" s="811">
        <v>25</v>
      </c>
      <c r="D126" s="171"/>
      <c r="E126" s="269">
        <f t="shared" si="9"/>
        <v>34.106000000000002</v>
      </c>
      <c r="F126" s="119">
        <f>+M126</f>
        <v>0</v>
      </c>
      <c r="G126" s="988">
        <f t="shared" si="11"/>
        <v>34.106000000000002</v>
      </c>
      <c r="H126" s="2571">
        <f t="shared" si="12"/>
        <v>1</v>
      </c>
      <c r="I126" s="222"/>
      <c r="J126" s="140">
        <f t="shared" ref="J126:J185" si="16">+J125+1</f>
        <v>3</v>
      </c>
      <c r="L126" s="232">
        <f t="shared" si="13"/>
        <v>2.8940000000000001</v>
      </c>
      <c r="M126" s="139">
        <f t="shared" si="14"/>
        <v>0</v>
      </c>
      <c r="N126">
        <v>2.8940000000000001</v>
      </c>
      <c r="S126">
        <v>2.8940000000000001</v>
      </c>
      <c r="T126" s="3433">
        <f t="shared" si="15"/>
        <v>0</v>
      </c>
    </row>
    <row r="127" spans="1:20" ht="15">
      <c r="A127" s="2439" t="s">
        <v>649</v>
      </c>
      <c r="B127" s="130" t="s">
        <v>34</v>
      </c>
      <c r="C127" s="811">
        <v>90</v>
      </c>
      <c r="D127" s="171"/>
      <c r="E127" s="269">
        <f t="shared" si="9"/>
        <v>1101.114</v>
      </c>
      <c r="F127" s="119">
        <f t="shared" si="10"/>
        <v>0</v>
      </c>
      <c r="G127" s="988">
        <f t="shared" si="11"/>
        <v>1101.114</v>
      </c>
      <c r="H127" s="2571">
        <f t="shared" si="12"/>
        <v>1</v>
      </c>
      <c r="I127" s="220"/>
      <c r="J127" s="140">
        <f t="shared" si="16"/>
        <v>4</v>
      </c>
      <c r="L127" s="232">
        <f t="shared" si="13"/>
        <v>694.88600000000008</v>
      </c>
      <c r="M127" s="139">
        <f t="shared" si="14"/>
        <v>0</v>
      </c>
      <c r="N127">
        <v>694.88599999999997</v>
      </c>
      <c r="S127">
        <v>694.88599999999997</v>
      </c>
      <c r="T127" s="3433">
        <f t="shared" si="15"/>
        <v>0</v>
      </c>
    </row>
    <row r="128" spans="1:20" ht="15" customHeight="1">
      <c r="A128" s="2439" t="s">
        <v>650</v>
      </c>
      <c r="B128" s="130" t="s">
        <v>34</v>
      </c>
      <c r="C128" s="811">
        <v>1</v>
      </c>
      <c r="D128" s="171"/>
      <c r="E128" s="269">
        <f t="shared" si="9"/>
        <v>22</v>
      </c>
      <c r="F128" s="119">
        <f t="shared" si="10"/>
        <v>0</v>
      </c>
      <c r="G128" s="988">
        <f t="shared" si="11"/>
        <v>22</v>
      </c>
      <c r="H128" s="2571">
        <f t="shared" si="12"/>
        <v>1</v>
      </c>
      <c r="I128" s="220"/>
      <c r="J128" s="140">
        <f t="shared" si="16"/>
        <v>5</v>
      </c>
      <c r="L128" s="232">
        <f t="shared" si="13"/>
        <v>0</v>
      </c>
      <c r="M128" s="139">
        <f t="shared" si="14"/>
        <v>0</v>
      </c>
      <c r="N128">
        <v>0</v>
      </c>
      <c r="S128">
        <v>0</v>
      </c>
      <c r="T128" s="3433">
        <f t="shared" si="15"/>
        <v>0</v>
      </c>
    </row>
    <row r="129" spans="1:20" ht="15" customHeight="1">
      <c r="A129" s="2439" t="s">
        <v>651</v>
      </c>
      <c r="B129" s="130" t="s">
        <v>34</v>
      </c>
      <c r="C129" s="811">
        <v>68</v>
      </c>
      <c r="D129" s="171"/>
      <c r="E129" s="269">
        <f t="shared" si="9"/>
        <v>972.88300000000004</v>
      </c>
      <c r="F129" s="119">
        <f t="shared" si="10"/>
        <v>0</v>
      </c>
      <c r="G129" s="988">
        <f t="shared" si="11"/>
        <v>972.88300000000004</v>
      </c>
      <c r="H129" s="2571">
        <f t="shared" si="12"/>
        <v>1</v>
      </c>
      <c r="I129" s="220"/>
      <c r="J129" s="140">
        <f t="shared" si="16"/>
        <v>6</v>
      </c>
      <c r="L129" s="232">
        <f t="shared" si="13"/>
        <v>385.11699999999996</v>
      </c>
      <c r="M129" s="139">
        <f t="shared" si="14"/>
        <v>0</v>
      </c>
      <c r="N129">
        <v>385.11700000000002</v>
      </c>
      <c r="S129">
        <v>385.11700000000002</v>
      </c>
      <c r="T129" s="3433">
        <f t="shared" si="15"/>
        <v>0</v>
      </c>
    </row>
    <row r="130" spans="1:20" ht="30">
      <c r="A130" s="2439" t="s">
        <v>652</v>
      </c>
      <c r="B130" s="130" t="s">
        <v>34</v>
      </c>
      <c r="C130" s="811">
        <v>71</v>
      </c>
      <c r="D130" s="171"/>
      <c r="E130" s="269">
        <f t="shared" si="9"/>
        <v>863.44399999999996</v>
      </c>
      <c r="F130" s="119">
        <f t="shared" si="10"/>
        <v>42.110000000000014</v>
      </c>
      <c r="G130" s="988">
        <f t="shared" si="11"/>
        <v>821.33399999999995</v>
      </c>
      <c r="H130" s="2571">
        <f t="shared" si="12"/>
        <v>0.95123018979806451</v>
      </c>
      <c r="I130" s="271"/>
      <c r="J130" s="140">
        <f t="shared" si="16"/>
        <v>7</v>
      </c>
      <c r="L130" s="232">
        <f t="shared" si="13"/>
        <v>555.55600000000004</v>
      </c>
      <c r="M130" s="139">
        <f t="shared" si="14"/>
        <v>42.110000000000014</v>
      </c>
      <c r="N130">
        <v>597.66600000000005</v>
      </c>
      <c r="S130">
        <v>597.66600000000005</v>
      </c>
      <c r="T130" s="3433">
        <f t="shared" si="15"/>
        <v>0</v>
      </c>
    </row>
    <row r="131" spans="1:20" ht="15">
      <c r="A131" s="3182" t="s">
        <v>653</v>
      </c>
      <c r="B131" s="130" t="s">
        <v>34</v>
      </c>
      <c r="C131" s="811">
        <v>56</v>
      </c>
      <c r="D131" s="171"/>
      <c r="E131" s="269">
        <f t="shared" si="9"/>
        <v>102.98500000000013</v>
      </c>
      <c r="F131" s="119">
        <f t="shared" si="10"/>
        <v>56.381000000000085</v>
      </c>
      <c r="G131" s="988">
        <f t="shared" si="11"/>
        <v>46.604000000000042</v>
      </c>
      <c r="H131" s="2571">
        <f t="shared" si="12"/>
        <v>0.4525319221245811</v>
      </c>
      <c r="I131" s="220"/>
      <c r="J131" s="140">
        <f t="shared" si="16"/>
        <v>8</v>
      </c>
      <c r="L131" s="232">
        <f t="shared" si="13"/>
        <v>1108.0149999999999</v>
      </c>
      <c r="M131" s="139">
        <f t="shared" si="14"/>
        <v>56.381000000000085</v>
      </c>
      <c r="N131">
        <v>1164.396</v>
      </c>
      <c r="S131">
        <v>1164.396</v>
      </c>
      <c r="T131" s="3433">
        <f t="shared" si="15"/>
        <v>0</v>
      </c>
    </row>
    <row r="132" spans="1:20" ht="15" customHeight="1">
      <c r="A132" s="2439" t="s">
        <v>654</v>
      </c>
      <c r="B132" s="130" t="s">
        <v>34</v>
      </c>
      <c r="C132" s="811">
        <v>26</v>
      </c>
      <c r="D132" s="171"/>
      <c r="E132" s="269">
        <f t="shared" si="9"/>
        <v>119.77800000000002</v>
      </c>
      <c r="F132" s="119">
        <f t="shared" si="10"/>
        <v>13.146000000000015</v>
      </c>
      <c r="G132" s="988">
        <f t="shared" si="11"/>
        <v>106.63200000000001</v>
      </c>
      <c r="H132" s="2571">
        <f t="shared" si="12"/>
        <v>0.89024695687020983</v>
      </c>
      <c r="I132" s="225"/>
      <c r="J132" s="140">
        <f t="shared" si="16"/>
        <v>9</v>
      </c>
      <c r="L132" s="232">
        <f t="shared" si="13"/>
        <v>200.22199999999998</v>
      </c>
      <c r="M132" s="139">
        <f t="shared" si="14"/>
        <v>13.146000000000015</v>
      </c>
      <c r="N132">
        <v>213.36799999999999</v>
      </c>
      <c r="S132">
        <v>213.36799999999999</v>
      </c>
      <c r="T132" s="3433">
        <f t="shared" si="15"/>
        <v>0</v>
      </c>
    </row>
    <row r="133" spans="1:20" s="2387" customFormat="1" ht="15" customHeight="1">
      <c r="A133" s="2546" t="s">
        <v>655</v>
      </c>
      <c r="B133" s="1461" t="s">
        <v>34</v>
      </c>
      <c r="C133" s="1462">
        <v>5</v>
      </c>
      <c r="D133" s="1462"/>
      <c r="E133" s="269">
        <f t="shared" si="9"/>
        <v>16</v>
      </c>
      <c r="F133" s="1250">
        <f t="shared" si="10"/>
        <v>0</v>
      </c>
      <c r="G133" s="1463">
        <f t="shared" si="11"/>
        <v>16</v>
      </c>
      <c r="H133" s="2571">
        <f t="shared" si="12"/>
        <v>1</v>
      </c>
      <c r="I133" s="1465"/>
      <c r="J133" s="1490">
        <f t="shared" si="16"/>
        <v>10</v>
      </c>
      <c r="L133" s="232">
        <f t="shared" si="13"/>
        <v>0</v>
      </c>
      <c r="M133" s="139">
        <f t="shared" si="14"/>
        <v>0</v>
      </c>
      <c r="N133" s="2387">
        <v>0</v>
      </c>
      <c r="S133" s="2387">
        <v>0</v>
      </c>
      <c r="T133" s="3433">
        <f t="shared" si="15"/>
        <v>0</v>
      </c>
    </row>
    <row r="134" spans="1:20" ht="15" customHeight="1">
      <c r="A134" s="2439" t="s">
        <v>656</v>
      </c>
      <c r="B134" s="130" t="s">
        <v>34</v>
      </c>
      <c r="C134" s="811">
        <v>186</v>
      </c>
      <c r="D134" s="1462"/>
      <c r="E134" s="269">
        <f t="shared" si="9"/>
        <v>2407.3269999999998</v>
      </c>
      <c r="F134" s="119">
        <f t="shared" si="10"/>
        <v>54.256999999999834</v>
      </c>
      <c r="G134" s="988">
        <f t="shared" si="11"/>
        <v>2353.0699999999997</v>
      </c>
      <c r="H134" s="2571">
        <f t="shared" si="12"/>
        <v>0.97746172414466337</v>
      </c>
      <c r="I134" s="220"/>
      <c r="J134" s="140">
        <f t="shared" si="16"/>
        <v>11</v>
      </c>
      <c r="L134" s="232">
        <f t="shared" si="13"/>
        <v>1306.6730000000002</v>
      </c>
      <c r="M134" s="139">
        <f t="shared" si="14"/>
        <v>54.256999999999834</v>
      </c>
      <c r="N134">
        <v>1360.93</v>
      </c>
      <c r="S134">
        <v>1360.93</v>
      </c>
      <c r="T134" s="3433">
        <f t="shared" si="15"/>
        <v>0</v>
      </c>
    </row>
    <row r="135" spans="1:20" ht="15" customHeight="1">
      <c r="A135" s="2439" t="s">
        <v>657</v>
      </c>
      <c r="B135" s="130" t="s">
        <v>34</v>
      </c>
      <c r="C135" s="811">
        <v>12</v>
      </c>
      <c r="D135" s="171"/>
      <c r="E135" s="269">
        <f t="shared" si="9"/>
        <v>215.82900000000001</v>
      </c>
      <c r="F135" s="119">
        <f t="shared" si="10"/>
        <v>0</v>
      </c>
      <c r="G135" s="988">
        <f t="shared" si="11"/>
        <v>215.82900000000001</v>
      </c>
      <c r="H135" s="2571">
        <f t="shared" si="12"/>
        <v>1</v>
      </c>
      <c r="I135" s="220"/>
      <c r="J135" s="140">
        <f t="shared" si="16"/>
        <v>12</v>
      </c>
      <c r="L135" s="232">
        <f t="shared" si="13"/>
        <v>27.170999999999996</v>
      </c>
      <c r="M135" s="139">
        <f t="shared" si="14"/>
        <v>0</v>
      </c>
      <c r="N135">
        <v>27.170999999999999</v>
      </c>
      <c r="S135">
        <v>27.170999999999999</v>
      </c>
      <c r="T135" s="3433">
        <f t="shared" si="15"/>
        <v>0</v>
      </c>
    </row>
    <row r="136" spans="1:20" ht="15" customHeight="1">
      <c r="A136" s="2439" t="s">
        <v>658</v>
      </c>
      <c r="B136" s="130" t="s">
        <v>34</v>
      </c>
      <c r="C136" s="811">
        <v>37</v>
      </c>
      <c r="D136" s="171"/>
      <c r="E136" s="269">
        <f t="shared" si="9"/>
        <v>392.17000000000007</v>
      </c>
      <c r="F136" s="119">
        <f t="shared" si="10"/>
        <v>0</v>
      </c>
      <c r="G136" s="988">
        <f t="shared" si="11"/>
        <v>392.17000000000007</v>
      </c>
      <c r="H136" s="2571">
        <f t="shared" si="12"/>
        <v>1</v>
      </c>
      <c r="I136" s="221"/>
      <c r="J136" s="140">
        <f t="shared" si="16"/>
        <v>13</v>
      </c>
      <c r="L136" s="232">
        <f t="shared" si="13"/>
        <v>340.82999999999993</v>
      </c>
      <c r="M136" s="139">
        <f t="shared" si="14"/>
        <v>0</v>
      </c>
      <c r="N136">
        <v>340.83</v>
      </c>
      <c r="S136">
        <v>340.83</v>
      </c>
      <c r="T136" s="3433">
        <f t="shared" si="15"/>
        <v>0</v>
      </c>
    </row>
    <row r="137" spans="1:20" ht="15" customHeight="1">
      <c r="A137" s="2439" t="s">
        <v>659</v>
      </c>
      <c r="B137" s="130" t="s">
        <v>34</v>
      </c>
      <c r="C137" s="811">
        <v>1</v>
      </c>
      <c r="D137" s="171"/>
      <c r="E137" s="269">
        <f t="shared" si="9"/>
        <v>22</v>
      </c>
      <c r="F137" s="119">
        <f t="shared" si="10"/>
        <v>0</v>
      </c>
      <c r="G137" s="988">
        <f t="shared" si="11"/>
        <v>22</v>
      </c>
      <c r="H137" s="2571">
        <f t="shared" si="12"/>
        <v>1</v>
      </c>
      <c r="I137" s="220"/>
      <c r="J137" s="140">
        <f t="shared" si="16"/>
        <v>14</v>
      </c>
      <c r="L137" s="232">
        <f t="shared" si="13"/>
        <v>0</v>
      </c>
      <c r="M137" s="139">
        <f t="shared" si="14"/>
        <v>0</v>
      </c>
      <c r="N137">
        <v>0</v>
      </c>
      <c r="S137">
        <v>0</v>
      </c>
      <c r="T137" s="3433">
        <f t="shared" si="15"/>
        <v>0</v>
      </c>
    </row>
    <row r="138" spans="1:20" ht="15">
      <c r="A138" s="2439" t="s">
        <v>660</v>
      </c>
      <c r="B138" s="130" t="s">
        <v>34</v>
      </c>
      <c r="C138" s="811">
        <v>68</v>
      </c>
      <c r="D138" s="171"/>
      <c r="E138" s="269">
        <f t="shared" si="9"/>
        <v>787.00599999999997</v>
      </c>
      <c r="F138" s="119">
        <f t="shared" si="10"/>
        <v>0</v>
      </c>
      <c r="G138" s="988">
        <f t="shared" si="11"/>
        <v>787.00599999999997</v>
      </c>
      <c r="H138" s="2571">
        <f t="shared" si="12"/>
        <v>1</v>
      </c>
      <c r="I138" s="220"/>
      <c r="J138" s="140">
        <f t="shared" si="16"/>
        <v>15</v>
      </c>
      <c r="L138" s="232">
        <f t="shared" si="13"/>
        <v>571.99400000000003</v>
      </c>
      <c r="M138" s="139">
        <f t="shared" si="14"/>
        <v>0</v>
      </c>
      <c r="N138">
        <v>571.99400000000003</v>
      </c>
      <c r="S138">
        <v>571.99400000000003</v>
      </c>
      <c r="T138" s="3433">
        <f t="shared" si="15"/>
        <v>0</v>
      </c>
    </row>
    <row r="139" spans="1:20" ht="30">
      <c r="A139" s="2439" t="s">
        <v>661</v>
      </c>
      <c r="B139" s="130" t="s">
        <v>34</v>
      </c>
      <c r="C139" s="811">
        <v>41</v>
      </c>
      <c r="D139" s="171"/>
      <c r="E139" s="269">
        <f t="shared" si="9"/>
        <v>355.22299999999996</v>
      </c>
      <c r="F139" s="119">
        <f t="shared" si="10"/>
        <v>0</v>
      </c>
      <c r="G139" s="988">
        <f t="shared" si="11"/>
        <v>355.22299999999996</v>
      </c>
      <c r="H139" s="2571">
        <f t="shared" si="12"/>
        <v>1</v>
      </c>
      <c r="I139" s="221"/>
      <c r="J139" s="140">
        <f t="shared" si="16"/>
        <v>16</v>
      </c>
      <c r="L139" s="232">
        <f t="shared" si="13"/>
        <v>456.77700000000004</v>
      </c>
      <c r="M139" s="139">
        <f t="shared" si="14"/>
        <v>0</v>
      </c>
      <c r="N139">
        <v>456.77699999999999</v>
      </c>
      <c r="S139">
        <v>456.77699999999999</v>
      </c>
      <c r="T139" s="3433">
        <f t="shared" si="15"/>
        <v>0</v>
      </c>
    </row>
    <row r="140" spans="1:20" ht="30">
      <c r="A140" s="2439" t="s">
        <v>662</v>
      </c>
      <c r="B140" s="130" t="s">
        <v>34</v>
      </c>
      <c r="C140" s="811">
        <v>132</v>
      </c>
      <c r="D140" s="171"/>
      <c r="E140" s="269">
        <f t="shared" si="9"/>
        <v>2012.9390000000001</v>
      </c>
      <c r="F140" s="119">
        <f t="shared" si="10"/>
        <v>0.53100000000006276</v>
      </c>
      <c r="G140" s="988">
        <f t="shared" si="11"/>
        <v>2012.4079999999999</v>
      </c>
      <c r="H140" s="2571">
        <f t="shared" si="12"/>
        <v>0.99973620661132789</v>
      </c>
      <c r="I140" s="271"/>
      <c r="J140" s="140">
        <f t="shared" si="16"/>
        <v>17</v>
      </c>
      <c r="L140" s="232">
        <f t="shared" si="13"/>
        <v>629.06099999999992</v>
      </c>
      <c r="M140" s="139">
        <f t="shared" si="14"/>
        <v>0.53100000000006276</v>
      </c>
      <c r="N140">
        <v>629.59199999999998</v>
      </c>
      <c r="S140">
        <v>629.59199999999998</v>
      </c>
      <c r="T140" s="3433">
        <f t="shared" si="15"/>
        <v>0</v>
      </c>
    </row>
    <row r="141" spans="1:20" ht="15">
      <c r="A141" s="2439" t="s">
        <v>663</v>
      </c>
      <c r="B141" s="130" t="s">
        <v>34</v>
      </c>
      <c r="C141" s="811">
        <v>2</v>
      </c>
      <c r="D141" s="171"/>
      <c r="E141" s="269">
        <f t="shared" si="9"/>
        <v>38.632999999999996</v>
      </c>
      <c r="F141" s="119">
        <f t="shared" si="10"/>
        <v>0</v>
      </c>
      <c r="G141" s="988">
        <f t="shared" si="11"/>
        <v>38.632999999999996</v>
      </c>
      <c r="H141" s="2571">
        <f t="shared" si="12"/>
        <v>1</v>
      </c>
      <c r="I141" s="987"/>
      <c r="J141" s="140">
        <f t="shared" si="16"/>
        <v>18</v>
      </c>
      <c r="L141" s="232">
        <f t="shared" si="13"/>
        <v>6.3670000000000009</v>
      </c>
      <c r="M141" s="139">
        <f t="shared" si="14"/>
        <v>0</v>
      </c>
      <c r="N141">
        <v>6.367</v>
      </c>
      <c r="S141">
        <v>6.367</v>
      </c>
      <c r="T141" s="3433">
        <f t="shared" si="15"/>
        <v>0</v>
      </c>
    </row>
    <row r="142" spans="1:20" ht="15" customHeight="1">
      <c r="A142" s="2439" t="s">
        <v>664</v>
      </c>
      <c r="B142" s="130" t="s">
        <v>34</v>
      </c>
      <c r="C142" s="811">
        <v>36</v>
      </c>
      <c r="D142" s="171"/>
      <c r="E142" s="269">
        <f t="shared" si="9"/>
        <v>329.42299999999994</v>
      </c>
      <c r="F142" s="119">
        <f t="shared" si="10"/>
        <v>0</v>
      </c>
      <c r="G142" s="988">
        <f t="shared" si="11"/>
        <v>329.42299999999994</v>
      </c>
      <c r="H142" s="2571">
        <f t="shared" si="12"/>
        <v>1</v>
      </c>
      <c r="I142" s="220"/>
      <c r="J142" s="140">
        <f t="shared" si="16"/>
        <v>19</v>
      </c>
      <c r="L142" s="232">
        <f t="shared" si="13"/>
        <v>389.57700000000006</v>
      </c>
      <c r="M142" s="139">
        <f t="shared" si="14"/>
        <v>0</v>
      </c>
      <c r="N142">
        <v>389.577</v>
      </c>
      <c r="S142">
        <v>389.577</v>
      </c>
      <c r="T142" s="3433">
        <f t="shared" si="15"/>
        <v>0</v>
      </c>
    </row>
    <row r="143" spans="1:20" ht="15" customHeight="1">
      <c r="A143" s="2439" t="s">
        <v>665</v>
      </c>
      <c r="B143" s="130" t="s">
        <v>34</v>
      </c>
      <c r="C143" s="811">
        <v>66</v>
      </c>
      <c r="D143" s="171"/>
      <c r="E143" s="269">
        <f t="shared" si="9"/>
        <v>1015.463</v>
      </c>
      <c r="F143" s="119">
        <f t="shared" si="10"/>
        <v>28.421000000000049</v>
      </c>
      <c r="G143" s="988">
        <f t="shared" si="11"/>
        <v>987.04199999999992</v>
      </c>
      <c r="H143" s="2571">
        <f t="shared" si="12"/>
        <v>0.97201178181775205</v>
      </c>
      <c r="I143" s="220"/>
      <c r="J143" s="140">
        <f t="shared" si="16"/>
        <v>20</v>
      </c>
      <c r="L143" s="232">
        <f t="shared" si="13"/>
        <v>311.53699999999998</v>
      </c>
      <c r="M143" s="139">
        <f t="shared" si="14"/>
        <v>28.421000000000049</v>
      </c>
      <c r="N143">
        <v>339.95800000000003</v>
      </c>
      <c r="S143">
        <v>339.95800000000003</v>
      </c>
      <c r="T143" s="3433">
        <f t="shared" si="15"/>
        <v>0</v>
      </c>
    </row>
    <row r="144" spans="1:20" ht="15">
      <c r="A144" s="2439" t="s">
        <v>666</v>
      </c>
      <c r="B144" s="130" t="s">
        <v>34</v>
      </c>
      <c r="C144" s="811">
        <v>87</v>
      </c>
      <c r="D144" s="171"/>
      <c r="E144" s="269">
        <f t="shared" si="9"/>
        <v>1069.9070000000002</v>
      </c>
      <c r="F144" s="119">
        <f t="shared" si="10"/>
        <v>0</v>
      </c>
      <c r="G144" s="988">
        <f t="shared" si="11"/>
        <v>1069.9070000000002</v>
      </c>
      <c r="H144" s="2571">
        <f t="shared" si="12"/>
        <v>1</v>
      </c>
      <c r="I144" s="220"/>
      <c r="J144" s="140">
        <f t="shared" si="16"/>
        <v>21</v>
      </c>
      <c r="L144" s="232">
        <f t="shared" si="13"/>
        <v>669.09299999999985</v>
      </c>
      <c r="M144" s="139">
        <f t="shared" si="14"/>
        <v>0</v>
      </c>
      <c r="N144">
        <v>669.09299999999996</v>
      </c>
      <c r="S144">
        <v>669.09299999999996</v>
      </c>
      <c r="T144" s="3433">
        <f t="shared" si="15"/>
        <v>0</v>
      </c>
    </row>
    <row r="145" spans="1:20" s="1415" customFormat="1" ht="30">
      <c r="A145" s="2439" t="s">
        <v>667</v>
      </c>
      <c r="B145" s="2390" t="s">
        <v>34</v>
      </c>
      <c r="C145" s="2397">
        <v>20</v>
      </c>
      <c r="D145" s="2397"/>
      <c r="E145" s="269">
        <f t="shared" si="9"/>
        <v>151.44399999999999</v>
      </c>
      <c r="F145" s="2398">
        <f t="shared" si="10"/>
        <v>0</v>
      </c>
      <c r="G145" s="2399">
        <f t="shared" si="11"/>
        <v>151.44399999999999</v>
      </c>
      <c r="H145" s="2571">
        <f t="shared" si="12"/>
        <v>1</v>
      </c>
      <c r="I145" s="2393"/>
      <c r="J145" s="2394">
        <f t="shared" si="16"/>
        <v>22</v>
      </c>
      <c r="L145" s="232">
        <f t="shared" si="13"/>
        <v>241.55600000000001</v>
      </c>
      <c r="M145" s="139">
        <f t="shared" si="14"/>
        <v>0</v>
      </c>
      <c r="N145" s="1415">
        <v>241.55600000000001</v>
      </c>
      <c r="S145" s="1415">
        <v>241.55600000000001</v>
      </c>
      <c r="T145" s="3433">
        <f t="shared" si="15"/>
        <v>0</v>
      </c>
    </row>
    <row r="146" spans="1:20" ht="15" customHeight="1">
      <c r="A146" s="2439" t="s">
        <v>668</v>
      </c>
      <c r="B146" s="130" t="s">
        <v>34</v>
      </c>
      <c r="C146" s="171">
        <v>31</v>
      </c>
      <c r="D146" s="171"/>
      <c r="E146" s="269">
        <f t="shared" si="9"/>
        <v>5.8909999999999627</v>
      </c>
      <c r="F146" s="119">
        <f t="shared" si="10"/>
        <v>0</v>
      </c>
      <c r="G146" s="988">
        <f t="shared" si="11"/>
        <v>5.8909999999999627</v>
      </c>
      <c r="H146" s="2571">
        <f t="shared" si="12"/>
        <v>1</v>
      </c>
      <c r="I146" s="175" t="s">
        <v>1089</v>
      </c>
      <c r="J146" s="140">
        <f t="shared" si="16"/>
        <v>23</v>
      </c>
      <c r="L146" s="232">
        <f t="shared" si="13"/>
        <v>606.10900000000004</v>
      </c>
      <c r="M146" s="139">
        <f t="shared" si="14"/>
        <v>0</v>
      </c>
      <c r="N146">
        <v>606.10900000000004</v>
      </c>
      <c r="S146">
        <v>606.10900000000004</v>
      </c>
      <c r="T146" s="3433">
        <f t="shared" si="15"/>
        <v>0</v>
      </c>
    </row>
    <row r="147" spans="1:20" ht="15">
      <c r="A147" s="2439" t="s">
        <v>669</v>
      </c>
      <c r="B147" s="130" t="s">
        <v>34</v>
      </c>
      <c r="C147" s="171">
        <v>5</v>
      </c>
      <c r="D147" s="171"/>
      <c r="E147" s="269">
        <f t="shared" si="9"/>
        <v>0.17900000000001626</v>
      </c>
      <c r="F147" s="119">
        <f t="shared" si="10"/>
        <v>0</v>
      </c>
      <c r="G147" s="988">
        <f t="shared" si="11"/>
        <v>0.17900000000001626</v>
      </c>
      <c r="H147" s="2571">
        <f t="shared" si="12"/>
        <v>1</v>
      </c>
      <c r="I147" s="220"/>
      <c r="J147" s="140">
        <f t="shared" si="16"/>
        <v>24</v>
      </c>
      <c r="L147" s="232">
        <f t="shared" si="13"/>
        <v>107.82099999999998</v>
      </c>
      <c r="M147" s="139">
        <f t="shared" si="14"/>
        <v>0</v>
      </c>
      <c r="N147">
        <v>107.821</v>
      </c>
      <c r="S147">
        <v>107.821</v>
      </c>
      <c r="T147" s="3433">
        <f t="shared" si="15"/>
        <v>0</v>
      </c>
    </row>
    <row r="148" spans="1:20" ht="30">
      <c r="A148" s="3271" t="s">
        <v>670</v>
      </c>
      <c r="B148" s="130" t="s">
        <v>34</v>
      </c>
      <c r="C148" s="171">
        <v>8</v>
      </c>
      <c r="D148" s="171"/>
      <c r="E148" s="269">
        <f t="shared" si="9"/>
        <v>2.3559999999999999</v>
      </c>
      <c r="F148" s="119">
        <f t="shared" si="10"/>
        <v>0</v>
      </c>
      <c r="G148" s="988">
        <f t="shared" si="11"/>
        <v>2.3559999999999999</v>
      </c>
      <c r="H148" s="2571">
        <f t="shared" si="12"/>
        <v>1</v>
      </c>
      <c r="I148" s="987"/>
      <c r="J148" s="140">
        <f t="shared" si="16"/>
        <v>25</v>
      </c>
      <c r="L148" s="232">
        <f t="shared" si="13"/>
        <v>11.644</v>
      </c>
      <c r="M148" s="139">
        <f t="shared" si="14"/>
        <v>0</v>
      </c>
      <c r="N148">
        <v>11.644</v>
      </c>
      <c r="S148">
        <v>11.644</v>
      </c>
      <c r="T148" s="3433">
        <f t="shared" si="15"/>
        <v>0</v>
      </c>
    </row>
    <row r="149" spans="1:20" ht="15" customHeight="1">
      <c r="A149" s="2439" t="s">
        <v>671</v>
      </c>
      <c r="B149" s="130" t="s">
        <v>34</v>
      </c>
      <c r="C149" s="171">
        <v>14</v>
      </c>
      <c r="D149" s="171"/>
      <c r="E149" s="269">
        <f t="shared" si="9"/>
        <v>87.387</v>
      </c>
      <c r="F149" s="119">
        <f t="shared" si="10"/>
        <v>0</v>
      </c>
      <c r="G149" s="988">
        <f t="shared" si="11"/>
        <v>87.387</v>
      </c>
      <c r="H149" s="2571">
        <f t="shared" si="12"/>
        <v>1</v>
      </c>
      <c r="I149" s="223"/>
      <c r="J149" s="140">
        <f t="shared" si="16"/>
        <v>26</v>
      </c>
      <c r="L149" s="232">
        <f t="shared" si="13"/>
        <v>199.613</v>
      </c>
      <c r="M149" s="139">
        <f t="shared" si="14"/>
        <v>0</v>
      </c>
      <c r="N149">
        <v>199.613</v>
      </c>
      <c r="S149">
        <v>199.613</v>
      </c>
      <c r="T149" s="3433">
        <f t="shared" si="15"/>
        <v>0</v>
      </c>
    </row>
    <row r="150" spans="1:20" ht="30">
      <c r="A150" s="2439" t="s">
        <v>672</v>
      </c>
      <c r="B150" s="130" t="s">
        <v>34</v>
      </c>
      <c r="C150" s="171">
        <v>11</v>
      </c>
      <c r="D150" s="171"/>
      <c r="E150" s="269">
        <f t="shared" si="9"/>
        <v>143.84300000000002</v>
      </c>
      <c r="F150" s="119">
        <f t="shared" si="10"/>
        <v>0</v>
      </c>
      <c r="G150" s="988">
        <f t="shared" si="11"/>
        <v>143.84300000000002</v>
      </c>
      <c r="H150" s="2571">
        <f t="shared" si="12"/>
        <v>1</v>
      </c>
      <c r="I150" s="220"/>
      <c r="J150" s="140">
        <f t="shared" si="16"/>
        <v>27</v>
      </c>
      <c r="L150" s="232">
        <f t="shared" si="13"/>
        <v>82.156999999999996</v>
      </c>
      <c r="M150" s="139">
        <f t="shared" si="14"/>
        <v>0</v>
      </c>
      <c r="N150">
        <v>82.156999999999996</v>
      </c>
      <c r="S150">
        <v>82.156999999999996</v>
      </c>
      <c r="T150" s="3433">
        <f t="shared" si="15"/>
        <v>0</v>
      </c>
    </row>
    <row r="151" spans="1:20" ht="15" customHeight="1">
      <c r="A151" s="2439" t="s">
        <v>673</v>
      </c>
      <c r="B151" s="130" t="s">
        <v>34</v>
      </c>
      <c r="C151" s="171">
        <v>21</v>
      </c>
      <c r="D151" s="171"/>
      <c r="E151" s="269">
        <f t="shared" si="9"/>
        <v>317.05700000000002</v>
      </c>
      <c r="F151" s="119">
        <f t="shared" si="10"/>
        <v>0</v>
      </c>
      <c r="G151" s="988">
        <f t="shared" si="11"/>
        <v>317.05700000000002</v>
      </c>
      <c r="H151" s="2571">
        <f t="shared" si="12"/>
        <v>1</v>
      </c>
      <c r="I151" s="987"/>
      <c r="J151" s="140">
        <f t="shared" si="16"/>
        <v>28</v>
      </c>
      <c r="L151" s="232">
        <f t="shared" si="13"/>
        <v>106.94299999999998</v>
      </c>
      <c r="M151" s="139">
        <f t="shared" si="14"/>
        <v>0</v>
      </c>
      <c r="N151">
        <v>106.943</v>
      </c>
      <c r="S151">
        <v>106.943</v>
      </c>
      <c r="T151" s="3433">
        <f t="shared" si="15"/>
        <v>0</v>
      </c>
    </row>
    <row r="152" spans="1:20" ht="15" customHeight="1">
      <c r="A152" s="2439" t="s">
        <v>674</v>
      </c>
      <c r="B152" s="130" t="s">
        <v>34</v>
      </c>
      <c r="C152" s="171">
        <v>23</v>
      </c>
      <c r="D152" s="171"/>
      <c r="E152" s="269">
        <f t="shared" si="9"/>
        <v>252.90899999999996</v>
      </c>
      <c r="F152" s="119">
        <f t="shared" si="10"/>
        <v>18.489999999999952</v>
      </c>
      <c r="G152" s="988">
        <f t="shared" si="11"/>
        <v>234.41900000000001</v>
      </c>
      <c r="H152" s="2571">
        <f t="shared" si="12"/>
        <v>0.9268906998169304</v>
      </c>
      <c r="I152" s="220"/>
      <c r="J152" s="140">
        <f t="shared" si="16"/>
        <v>29</v>
      </c>
      <c r="L152" s="232">
        <f t="shared" si="13"/>
        <v>216.09100000000004</v>
      </c>
      <c r="M152" s="139">
        <f t="shared" si="14"/>
        <v>18.489999999999952</v>
      </c>
      <c r="N152">
        <v>234.58099999999999</v>
      </c>
      <c r="S152">
        <v>234.58099999999999</v>
      </c>
      <c r="T152" s="3433">
        <f t="shared" si="15"/>
        <v>0</v>
      </c>
    </row>
    <row r="153" spans="1:20" s="2387" customFormat="1" ht="15" customHeight="1">
      <c r="A153" s="2439" t="s">
        <v>675</v>
      </c>
      <c r="B153" s="1461" t="s">
        <v>34</v>
      </c>
      <c r="C153" s="1462">
        <v>4</v>
      </c>
      <c r="D153" s="1462"/>
      <c r="E153" s="269">
        <f t="shared" si="9"/>
        <v>-22.506</v>
      </c>
      <c r="F153" s="1250">
        <f t="shared" si="10"/>
        <v>0</v>
      </c>
      <c r="G153" s="1463">
        <f>+E153-F153</f>
        <v>-22.506</v>
      </c>
      <c r="H153" s="2571">
        <f t="shared" si="12"/>
        <v>1</v>
      </c>
      <c r="I153" s="1464" t="s">
        <v>1089</v>
      </c>
      <c r="J153" s="1490">
        <f t="shared" si="16"/>
        <v>30</v>
      </c>
      <c r="L153" s="232">
        <f t="shared" si="13"/>
        <v>109.506</v>
      </c>
      <c r="M153" s="139">
        <f t="shared" si="14"/>
        <v>0</v>
      </c>
      <c r="N153" s="2387">
        <v>109.506</v>
      </c>
      <c r="S153" s="2387">
        <v>109.506</v>
      </c>
      <c r="T153" s="3433">
        <f t="shared" si="15"/>
        <v>0</v>
      </c>
    </row>
    <row r="154" spans="1:20" ht="30">
      <c r="A154" s="2439" t="s">
        <v>676</v>
      </c>
      <c r="B154" s="130" t="s">
        <v>34</v>
      </c>
      <c r="C154" s="171">
        <v>26</v>
      </c>
      <c r="D154" s="171"/>
      <c r="E154" s="269">
        <f t="shared" si="9"/>
        <v>349.52499999999998</v>
      </c>
      <c r="F154" s="119">
        <f t="shared" si="10"/>
        <v>0</v>
      </c>
      <c r="G154" s="988">
        <f t="shared" si="11"/>
        <v>349.52499999999998</v>
      </c>
      <c r="H154" s="2571">
        <f t="shared" si="12"/>
        <v>1</v>
      </c>
      <c r="I154" s="223"/>
      <c r="J154" s="140">
        <f t="shared" si="16"/>
        <v>31</v>
      </c>
      <c r="L154" s="232">
        <f t="shared" si="13"/>
        <v>171.47500000000002</v>
      </c>
      <c r="M154" s="139">
        <f t="shared" si="14"/>
        <v>0</v>
      </c>
      <c r="N154">
        <v>171.47499999999999</v>
      </c>
      <c r="S154">
        <v>171.47499999999999</v>
      </c>
      <c r="T154" s="3433">
        <f t="shared" si="15"/>
        <v>0</v>
      </c>
    </row>
    <row r="155" spans="1:20" ht="30">
      <c r="A155" s="2439" t="s">
        <v>677</v>
      </c>
      <c r="B155" s="130" t="s">
        <v>34</v>
      </c>
      <c r="C155" s="171">
        <v>42</v>
      </c>
      <c r="D155" s="171"/>
      <c r="E155" s="269">
        <f t="shared" si="9"/>
        <v>204.34300000000007</v>
      </c>
      <c r="F155" s="119">
        <f t="shared" si="10"/>
        <v>12.841000000000122</v>
      </c>
      <c r="G155" s="988">
        <f t="shared" si="11"/>
        <v>191.50199999999995</v>
      </c>
      <c r="H155" s="2571">
        <f t="shared" si="12"/>
        <v>0.93715957972624397</v>
      </c>
      <c r="I155" s="221"/>
      <c r="J155" s="133">
        <f t="shared" si="16"/>
        <v>32</v>
      </c>
      <c r="L155" s="232">
        <f t="shared" si="13"/>
        <v>631.65699999999993</v>
      </c>
      <c r="M155" s="139">
        <f t="shared" si="14"/>
        <v>12.841000000000122</v>
      </c>
      <c r="N155">
        <v>644.49800000000005</v>
      </c>
      <c r="S155">
        <v>644.49800000000005</v>
      </c>
      <c r="T155" s="3433">
        <f t="shared" si="15"/>
        <v>0</v>
      </c>
    </row>
    <row r="156" spans="1:20" ht="15" customHeight="1">
      <c r="A156" s="2439" t="s">
        <v>678</v>
      </c>
      <c r="B156" s="130" t="s">
        <v>34</v>
      </c>
      <c r="C156" s="171">
        <v>2</v>
      </c>
      <c r="D156" s="171"/>
      <c r="E156" s="269">
        <f t="shared" ref="E156:E186" si="17">+C156+G90+D156</f>
        <v>45</v>
      </c>
      <c r="F156" s="119">
        <f t="shared" si="10"/>
        <v>0</v>
      </c>
      <c r="G156" s="988">
        <f>+E156-F156</f>
        <v>45</v>
      </c>
      <c r="H156" s="2571">
        <f t="shared" si="12"/>
        <v>1</v>
      </c>
      <c r="I156" s="220"/>
      <c r="J156" s="140">
        <f t="shared" si="16"/>
        <v>33</v>
      </c>
      <c r="L156" s="232">
        <f t="shared" si="13"/>
        <v>0</v>
      </c>
      <c r="M156" s="139">
        <f t="shared" si="14"/>
        <v>0</v>
      </c>
      <c r="N156">
        <v>0</v>
      </c>
      <c r="S156">
        <v>0</v>
      </c>
      <c r="T156" s="3433">
        <f t="shared" si="15"/>
        <v>0</v>
      </c>
    </row>
    <row r="157" spans="1:20" ht="15" customHeight="1">
      <c r="A157" s="2439" t="s">
        <v>679</v>
      </c>
      <c r="B157" s="130" t="s">
        <v>34</v>
      </c>
      <c r="C157" s="171">
        <v>3</v>
      </c>
      <c r="D157" s="171"/>
      <c r="E157" s="269">
        <f t="shared" si="17"/>
        <v>61</v>
      </c>
      <c r="F157" s="119">
        <f t="shared" si="10"/>
        <v>0</v>
      </c>
      <c r="G157" s="988">
        <f t="shared" si="11"/>
        <v>61</v>
      </c>
      <c r="H157" s="2571">
        <f t="shared" si="12"/>
        <v>1</v>
      </c>
      <c r="I157" s="225"/>
      <c r="J157" s="140">
        <f t="shared" si="16"/>
        <v>34</v>
      </c>
      <c r="L157" s="232">
        <f t="shared" si="13"/>
        <v>0</v>
      </c>
      <c r="M157" s="139">
        <f t="shared" si="14"/>
        <v>0</v>
      </c>
      <c r="N157">
        <v>0</v>
      </c>
      <c r="S157">
        <v>0</v>
      </c>
      <c r="T157" s="3433">
        <f t="shared" si="15"/>
        <v>0</v>
      </c>
    </row>
    <row r="158" spans="1:20" ht="30">
      <c r="A158" s="2439" t="s">
        <v>680</v>
      </c>
      <c r="B158" s="130" t="s">
        <v>34</v>
      </c>
      <c r="C158" s="171">
        <v>38</v>
      </c>
      <c r="D158" s="171"/>
      <c r="E158" s="269">
        <f t="shared" si="17"/>
        <v>226.06500000000005</v>
      </c>
      <c r="F158" s="119">
        <f t="shared" si="10"/>
        <v>27.715000000000032</v>
      </c>
      <c r="G158" s="988">
        <f t="shared" si="11"/>
        <v>198.35000000000002</v>
      </c>
      <c r="H158" s="2571">
        <f t="shared" si="12"/>
        <v>0.8774025169752061</v>
      </c>
      <c r="I158" s="220"/>
      <c r="J158" s="140">
        <f t="shared" si="16"/>
        <v>35</v>
      </c>
      <c r="L158" s="232">
        <f t="shared" si="13"/>
        <v>534.93499999999995</v>
      </c>
      <c r="M158" s="139">
        <f t="shared" si="14"/>
        <v>27.715000000000032</v>
      </c>
      <c r="N158">
        <v>562.65</v>
      </c>
      <c r="S158">
        <v>562.65</v>
      </c>
      <c r="T158" s="3433">
        <f t="shared" si="15"/>
        <v>0</v>
      </c>
    </row>
    <row r="159" spans="1:20" ht="15" customHeight="1">
      <c r="A159" s="2439" t="s">
        <v>681</v>
      </c>
      <c r="B159" s="130" t="s">
        <v>34</v>
      </c>
      <c r="C159" s="171">
        <v>15</v>
      </c>
      <c r="D159" s="171"/>
      <c r="E159" s="269">
        <f t="shared" si="17"/>
        <v>156.51199999999997</v>
      </c>
      <c r="F159" s="119">
        <f t="shared" si="10"/>
        <v>4.0629999999999598</v>
      </c>
      <c r="G159" s="988">
        <f t="shared" si="11"/>
        <v>152.44900000000001</v>
      </c>
      <c r="H159" s="2571">
        <f t="shared" si="12"/>
        <v>0.97404032917603789</v>
      </c>
      <c r="I159" s="987"/>
      <c r="J159" s="140">
        <f t="shared" si="16"/>
        <v>36</v>
      </c>
      <c r="L159" s="232">
        <f t="shared" si="13"/>
        <v>137.48800000000003</v>
      </c>
      <c r="M159" s="139">
        <f t="shared" si="14"/>
        <v>4.0629999999999598</v>
      </c>
      <c r="N159">
        <v>141.55099999999999</v>
      </c>
      <c r="S159">
        <v>141.55099999999999</v>
      </c>
      <c r="T159" s="3433">
        <f t="shared" si="15"/>
        <v>0</v>
      </c>
    </row>
    <row r="160" spans="1:20" ht="15" customHeight="1">
      <c r="A160" s="3223" t="s">
        <v>682</v>
      </c>
      <c r="B160" s="130" t="s">
        <v>34</v>
      </c>
      <c r="C160" s="171">
        <v>101</v>
      </c>
      <c r="D160" s="171"/>
      <c r="E160" s="269">
        <f t="shared" si="17"/>
        <v>129.05400000000009</v>
      </c>
      <c r="F160" s="119">
        <f t="shared" si="10"/>
        <v>43.673000000000116</v>
      </c>
      <c r="G160" s="988">
        <f t="shared" si="11"/>
        <v>85.380999999999972</v>
      </c>
      <c r="H160" s="2571">
        <f t="shared" si="12"/>
        <v>0.66159127187068911</v>
      </c>
      <c r="I160" s="220"/>
      <c r="J160" s="140">
        <f t="shared" si="16"/>
        <v>37</v>
      </c>
      <c r="L160" s="232">
        <f t="shared" si="13"/>
        <v>744.94599999999991</v>
      </c>
      <c r="M160" s="139">
        <f t="shared" si="14"/>
        <v>43.673000000000116</v>
      </c>
      <c r="N160">
        <v>788.61900000000003</v>
      </c>
      <c r="S160">
        <v>788.61900000000003</v>
      </c>
      <c r="T160" s="3433">
        <f t="shared" si="15"/>
        <v>0</v>
      </c>
    </row>
    <row r="161" spans="1:20" ht="15" customHeight="1">
      <c r="A161" s="3182" t="s">
        <v>683</v>
      </c>
      <c r="B161" s="130" t="s">
        <v>34</v>
      </c>
      <c r="C161" s="171">
        <v>17</v>
      </c>
      <c r="D161" s="171"/>
      <c r="E161" s="269">
        <f t="shared" si="17"/>
        <v>60.805000000000021</v>
      </c>
      <c r="F161" s="119">
        <f t="shared" si="10"/>
        <v>0</v>
      </c>
      <c r="G161" s="988">
        <f t="shared" si="11"/>
        <v>60.805000000000021</v>
      </c>
      <c r="H161" s="2571">
        <f t="shared" si="12"/>
        <v>1</v>
      </c>
      <c r="I161" s="223"/>
      <c r="J161" s="140">
        <f t="shared" si="16"/>
        <v>38</v>
      </c>
      <c r="L161" s="232">
        <f t="shared" si="13"/>
        <v>120.19499999999998</v>
      </c>
      <c r="M161" s="139">
        <f t="shared" si="14"/>
        <v>0</v>
      </c>
      <c r="N161">
        <v>120.19499999999999</v>
      </c>
      <c r="S161">
        <v>120.19499999999999</v>
      </c>
      <c r="T161" s="3433">
        <f t="shared" si="15"/>
        <v>0</v>
      </c>
    </row>
    <row r="162" spans="1:20" ht="15" customHeight="1">
      <c r="A162" s="2439" t="s">
        <v>684</v>
      </c>
      <c r="B162" s="130" t="s">
        <v>34</v>
      </c>
      <c r="C162" s="171">
        <v>39</v>
      </c>
      <c r="D162" s="171"/>
      <c r="E162" s="269">
        <f t="shared" si="17"/>
        <v>271.1389999999999</v>
      </c>
      <c r="F162" s="119">
        <f t="shared" si="10"/>
        <v>0</v>
      </c>
      <c r="G162" s="988">
        <f t="shared" si="11"/>
        <v>271.1389999999999</v>
      </c>
      <c r="H162" s="2571">
        <f t="shared" si="12"/>
        <v>1</v>
      </c>
      <c r="I162" s="175"/>
      <c r="J162" s="140">
        <f t="shared" si="16"/>
        <v>39</v>
      </c>
      <c r="L162" s="232">
        <f t="shared" si="13"/>
        <v>514.8610000000001</v>
      </c>
      <c r="M162" s="139">
        <f t="shared" si="14"/>
        <v>0</v>
      </c>
      <c r="N162">
        <v>514.86099999999999</v>
      </c>
      <c r="S162">
        <v>514.86099999999999</v>
      </c>
      <c r="T162" s="3433">
        <f t="shared" si="15"/>
        <v>0</v>
      </c>
    </row>
    <row r="163" spans="1:20" ht="15" customHeight="1">
      <c r="A163" s="2439" t="s">
        <v>685</v>
      </c>
      <c r="B163" s="130" t="s">
        <v>34</v>
      </c>
      <c r="C163" s="171">
        <v>0</v>
      </c>
      <c r="D163" s="171"/>
      <c r="E163" s="269">
        <f t="shared" si="17"/>
        <v>0</v>
      </c>
      <c r="F163" s="119">
        <f t="shared" si="10"/>
        <v>0</v>
      </c>
      <c r="G163" s="988">
        <f t="shared" si="11"/>
        <v>0</v>
      </c>
      <c r="H163" s="2571" t="e">
        <f t="shared" si="12"/>
        <v>#DIV/0!</v>
      </c>
      <c r="I163" s="247"/>
      <c r="J163" s="140">
        <f t="shared" si="16"/>
        <v>40</v>
      </c>
      <c r="L163" s="232">
        <f t="shared" si="13"/>
        <v>0</v>
      </c>
      <c r="M163" s="139">
        <f t="shared" si="14"/>
        <v>0</v>
      </c>
      <c r="N163">
        <v>0</v>
      </c>
      <c r="S163">
        <v>0</v>
      </c>
      <c r="T163" s="3433">
        <f t="shared" si="15"/>
        <v>0</v>
      </c>
    </row>
    <row r="164" spans="1:20" ht="30">
      <c r="A164" s="2546" t="s">
        <v>686</v>
      </c>
      <c r="B164" s="130" t="s">
        <v>34</v>
      </c>
      <c r="C164" s="171">
        <v>17</v>
      </c>
      <c r="D164" s="171"/>
      <c r="E164" s="269">
        <f t="shared" si="17"/>
        <v>291.29700000000003</v>
      </c>
      <c r="F164" s="119">
        <f t="shared" si="10"/>
        <v>0</v>
      </c>
      <c r="G164" s="988">
        <f t="shared" si="11"/>
        <v>291.29700000000003</v>
      </c>
      <c r="H164" s="2571">
        <f t="shared" si="12"/>
        <v>1</v>
      </c>
      <c r="I164" s="220"/>
      <c r="J164" s="140">
        <f t="shared" si="16"/>
        <v>41</v>
      </c>
      <c r="L164" s="232">
        <f t="shared" si="13"/>
        <v>41.702999999999996</v>
      </c>
      <c r="M164" s="139">
        <f t="shared" si="14"/>
        <v>0</v>
      </c>
      <c r="N164">
        <v>41.703000000000003</v>
      </c>
      <c r="S164">
        <v>41.703000000000003</v>
      </c>
      <c r="T164" s="3433">
        <f t="shared" si="15"/>
        <v>0</v>
      </c>
    </row>
    <row r="165" spans="1:20" ht="30">
      <c r="A165" s="2439" t="s">
        <v>687</v>
      </c>
      <c r="B165" s="130" t="s">
        <v>34</v>
      </c>
      <c r="C165" s="171">
        <v>76</v>
      </c>
      <c r="D165" s="171"/>
      <c r="E165" s="269">
        <f t="shared" si="17"/>
        <v>734.5229999999998</v>
      </c>
      <c r="F165" s="119">
        <f t="shared" si="10"/>
        <v>0</v>
      </c>
      <c r="G165" s="988">
        <f t="shared" si="11"/>
        <v>734.5229999999998</v>
      </c>
      <c r="H165" s="2571">
        <f t="shared" si="12"/>
        <v>1</v>
      </c>
      <c r="I165" s="272"/>
      <c r="J165" s="140">
        <f t="shared" si="16"/>
        <v>42</v>
      </c>
      <c r="L165" s="232">
        <f t="shared" si="13"/>
        <v>787.4770000000002</v>
      </c>
      <c r="M165" s="139">
        <f t="shared" si="14"/>
        <v>0</v>
      </c>
      <c r="N165">
        <v>787.47699999999998</v>
      </c>
      <c r="S165">
        <v>787.47699999999998</v>
      </c>
      <c r="T165" s="3433">
        <f t="shared" si="15"/>
        <v>0</v>
      </c>
    </row>
    <row r="166" spans="1:20" ht="15">
      <c r="A166" s="2439" t="s">
        <v>688</v>
      </c>
      <c r="B166" s="130" t="s">
        <v>34</v>
      </c>
      <c r="C166" s="171">
        <v>46</v>
      </c>
      <c r="D166" s="171"/>
      <c r="E166" s="269">
        <f t="shared" si="17"/>
        <v>529.37799999999993</v>
      </c>
      <c r="F166" s="119">
        <f t="shared" si="10"/>
        <v>8.1299999999999386</v>
      </c>
      <c r="G166" s="988">
        <f t="shared" si="11"/>
        <v>521.24800000000005</v>
      </c>
      <c r="H166" s="2571">
        <f t="shared" si="12"/>
        <v>0.98464235385679066</v>
      </c>
      <c r="I166" s="220"/>
      <c r="J166" s="140">
        <f t="shared" si="16"/>
        <v>43</v>
      </c>
      <c r="L166" s="232">
        <f t="shared" si="13"/>
        <v>390.62200000000007</v>
      </c>
      <c r="M166" s="139">
        <f t="shared" si="14"/>
        <v>8.1299999999999386</v>
      </c>
      <c r="N166">
        <v>398.75200000000001</v>
      </c>
      <c r="S166">
        <v>398.75200000000001</v>
      </c>
      <c r="T166" s="3433">
        <f t="shared" si="15"/>
        <v>0</v>
      </c>
    </row>
    <row r="167" spans="1:20" ht="15" customHeight="1">
      <c r="A167" s="2439" t="s">
        <v>689</v>
      </c>
      <c r="B167" s="130" t="s">
        <v>34</v>
      </c>
      <c r="C167" s="171">
        <v>3</v>
      </c>
      <c r="D167" s="171"/>
      <c r="E167" s="269">
        <f t="shared" si="17"/>
        <v>38.786999999999999</v>
      </c>
      <c r="F167" s="119">
        <f t="shared" si="10"/>
        <v>0</v>
      </c>
      <c r="G167" s="988">
        <f t="shared" si="11"/>
        <v>38.786999999999999</v>
      </c>
      <c r="H167" s="2571">
        <f t="shared" si="12"/>
        <v>1</v>
      </c>
      <c r="I167" s="225"/>
      <c r="J167" s="140">
        <f t="shared" si="16"/>
        <v>44</v>
      </c>
      <c r="L167" s="232">
        <f t="shared" si="13"/>
        <v>22.213000000000001</v>
      </c>
      <c r="M167" s="139">
        <f t="shared" si="14"/>
        <v>0</v>
      </c>
      <c r="N167">
        <v>22.213000000000001</v>
      </c>
      <c r="S167">
        <v>22.213000000000001</v>
      </c>
      <c r="T167" s="3433">
        <f t="shared" si="15"/>
        <v>0</v>
      </c>
    </row>
    <row r="168" spans="1:20" ht="15" customHeight="1">
      <c r="A168" s="2439" t="s">
        <v>690</v>
      </c>
      <c r="B168" s="130" t="s">
        <v>34</v>
      </c>
      <c r="C168" s="171">
        <v>110</v>
      </c>
      <c r="D168" s="171"/>
      <c r="E168" s="269">
        <f t="shared" si="17"/>
        <v>1494.442</v>
      </c>
      <c r="F168" s="119">
        <f t="shared" si="10"/>
        <v>28.073999999999842</v>
      </c>
      <c r="G168" s="988">
        <f t="shared" si="11"/>
        <v>1466.3680000000002</v>
      </c>
      <c r="H168" s="2571">
        <f t="shared" si="12"/>
        <v>0.98121439306443481</v>
      </c>
      <c r="I168" s="1134"/>
      <c r="J168" s="140">
        <f t="shared" si="16"/>
        <v>45</v>
      </c>
      <c r="L168" s="232">
        <f t="shared" si="13"/>
        <v>715.55800000000011</v>
      </c>
      <c r="M168" s="139">
        <f t="shared" si="14"/>
        <v>28.073999999999842</v>
      </c>
      <c r="N168">
        <v>743.63199999999995</v>
      </c>
      <c r="S168">
        <v>743.63199999999995</v>
      </c>
      <c r="T168" s="3433">
        <f t="shared" si="15"/>
        <v>0</v>
      </c>
    </row>
    <row r="169" spans="1:20" ht="15">
      <c r="A169" s="2439" t="s">
        <v>691</v>
      </c>
      <c r="B169" s="1461" t="s">
        <v>34</v>
      </c>
      <c r="C169" s="1462">
        <v>43</v>
      </c>
      <c r="D169" s="1462"/>
      <c r="E169" s="269">
        <f t="shared" si="17"/>
        <v>-29.907000000000153</v>
      </c>
      <c r="F169" s="1250">
        <f t="shared" si="10"/>
        <v>6.9159999999998263</v>
      </c>
      <c r="G169" s="1463">
        <f t="shared" si="11"/>
        <v>-36.822999999999979</v>
      </c>
      <c r="H169" s="2571">
        <f t="shared" si="12"/>
        <v>1.2312502089811679</v>
      </c>
      <c r="I169" s="1464" t="s">
        <v>1089</v>
      </c>
      <c r="J169" s="140">
        <f t="shared" si="16"/>
        <v>46</v>
      </c>
      <c r="L169" s="232">
        <f t="shared" si="13"/>
        <v>885.90700000000015</v>
      </c>
      <c r="M169" s="139">
        <f t="shared" si="14"/>
        <v>6.9159999999998263</v>
      </c>
      <c r="N169">
        <v>892.82299999999998</v>
      </c>
      <c r="S169">
        <v>892.82299999999998</v>
      </c>
      <c r="T169" s="3433">
        <f t="shared" si="15"/>
        <v>0</v>
      </c>
    </row>
    <row r="170" spans="1:20" ht="30">
      <c r="A170" s="2439" t="s">
        <v>692</v>
      </c>
      <c r="B170" s="1461" t="s">
        <v>34</v>
      </c>
      <c r="C170" s="1462">
        <v>14</v>
      </c>
      <c r="D170" s="1462"/>
      <c r="E170" s="269">
        <f t="shared" si="17"/>
        <v>133.42399999999998</v>
      </c>
      <c r="F170" s="1250">
        <f t="shared" si="10"/>
        <v>0</v>
      </c>
      <c r="G170" s="1463">
        <f t="shared" si="11"/>
        <v>133.42399999999998</v>
      </c>
      <c r="H170" s="2571">
        <f t="shared" si="12"/>
        <v>1</v>
      </c>
      <c r="I170" s="1465"/>
      <c r="J170" s="140">
        <f t="shared" si="16"/>
        <v>47</v>
      </c>
      <c r="L170" s="232">
        <f t="shared" si="13"/>
        <v>150.57600000000002</v>
      </c>
      <c r="M170" s="139">
        <f t="shared" si="14"/>
        <v>0</v>
      </c>
      <c r="N170">
        <v>150.57599999999999</v>
      </c>
      <c r="S170">
        <v>150.57599999999999</v>
      </c>
      <c r="T170" s="3433">
        <f t="shared" si="15"/>
        <v>0</v>
      </c>
    </row>
    <row r="171" spans="1:20" ht="15">
      <c r="A171" s="2439" t="s">
        <v>693</v>
      </c>
      <c r="B171" s="1461" t="s">
        <v>34</v>
      </c>
      <c r="C171" s="1462">
        <v>44</v>
      </c>
      <c r="D171" s="1462"/>
      <c r="E171" s="269">
        <f t="shared" si="17"/>
        <v>499.24399999999991</v>
      </c>
      <c r="F171" s="1250">
        <f t="shared" si="10"/>
        <v>2.1299999999999386</v>
      </c>
      <c r="G171" s="1463">
        <f t="shared" si="11"/>
        <v>497.11399999999998</v>
      </c>
      <c r="H171" s="2571">
        <f t="shared" si="12"/>
        <v>0.99573354912627909</v>
      </c>
      <c r="I171" s="1466"/>
      <c r="J171" s="140">
        <f t="shared" si="16"/>
        <v>48</v>
      </c>
      <c r="L171" s="232">
        <f t="shared" si="13"/>
        <v>373.75600000000009</v>
      </c>
      <c r="M171" s="139">
        <f t="shared" si="14"/>
        <v>2.1299999999999386</v>
      </c>
      <c r="N171">
        <v>375.88600000000002</v>
      </c>
      <c r="S171">
        <v>375.88600000000002</v>
      </c>
      <c r="T171" s="3433">
        <f t="shared" si="15"/>
        <v>0</v>
      </c>
    </row>
    <row r="172" spans="1:20" ht="30">
      <c r="A172" s="2439" t="s">
        <v>694</v>
      </c>
      <c r="B172" s="1461" t="s">
        <v>34</v>
      </c>
      <c r="C172" s="1462">
        <v>27</v>
      </c>
      <c r="D172" s="1462"/>
      <c r="E172" s="269">
        <f t="shared" si="17"/>
        <v>349.75100000000003</v>
      </c>
      <c r="F172" s="1250">
        <f t="shared" si="10"/>
        <v>0</v>
      </c>
      <c r="G172" s="1463">
        <f t="shared" si="11"/>
        <v>349.75100000000003</v>
      </c>
      <c r="H172" s="2571">
        <f t="shared" si="12"/>
        <v>1</v>
      </c>
      <c r="I172" s="1466"/>
      <c r="J172" s="140">
        <f t="shared" si="16"/>
        <v>49</v>
      </c>
      <c r="L172" s="232">
        <f t="shared" si="13"/>
        <v>198.24899999999997</v>
      </c>
      <c r="M172" s="139">
        <f t="shared" si="14"/>
        <v>0</v>
      </c>
      <c r="N172">
        <v>198.249</v>
      </c>
      <c r="S172">
        <v>198.249</v>
      </c>
      <c r="T172" s="3433">
        <f t="shared" si="15"/>
        <v>0</v>
      </c>
    </row>
    <row r="173" spans="1:20" ht="15">
      <c r="A173" s="2439" t="s">
        <v>695</v>
      </c>
      <c r="B173" s="1461" t="s">
        <v>34</v>
      </c>
      <c r="C173" s="1462">
        <v>67</v>
      </c>
      <c r="D173" s="1462"/>
      <c r="E173" s="269">
        <f t="shared" si="17"/>
        <v>1082.931</v>
      </c>
      <c r="F173" s="1250">
        <f t="shared" si="10"/>
        <v>31.051999999999964</v>
      </c>
      <c r="G173" s="1463">
        <f t="shared" si="11"/>
        <v>1051.8790000000001</v>
      </c>
      <c r="H173" s="2571">
        <f t="shared" si="12"/>
        <v>0.97132596628963441</v>
      </c>
      <c r="I173" s="1464"/>
      <c r="J173" s="140">
        <f t="shared" si="16"/>
        <v>50</v>
      </c>
      <c r="L173" s="232">
        <f t="shared" si="13"/>
        <v>257.06900000000002</v>
      </c>
      <c r="M173" s="139">
        <f t="shared" si="14"/>
        <v>31.051999999999964</v>
      </c>
      <c r="N173">
        <v>288.12099999999998</v>
      </c>
      <c r="S173">
        <v>288.12099999999998</v>
      </c>
      <c r="T173" s="3433">
        <f t="shared" si="15"/>
        <v>0</v>
      </c>
    </row>
    <row r="174" spans="1:20" ht="15">
      <c r="A174" s="2439" t="s">
        <v>696</v>
      </c>
      <c r="B174" s="1461" t="s">
        <v>34</v>
      </c>
      <c r="C174" s="1462">
        <v>16</v>
      </c>
      <c r="D174" s="1462"/>
      <c r="E174" s="269">
        <f t="shared" si="17"/>
        <v>26.035999999999945</v>
      </c>
      <c r="F174" s="1250">
        <f t="shared" si="10"/>
        <v>9.8769999999999527</v>
      </c>
      <c r="G174" s="1463">
        <f t="shared" si="11"/>
        <v>16.158999999999992</v>
      </c>
      <c r="H174" s="2571">
        <f t="shared" si="12"/>
        <v>0.62064065140574687</v>
      </c>
      <c r="I174" s="1464"/>
      <c r="J174" s="140">
        <f t="shared" si="16"/>
        <v>51</v>
      </c>
      <c r="L174" s="232">
        <f t="shared" si="13"/>
        <v>284.96400000000006</v>
      </c>
      <c r="M174" s="139">
        <f t="shared" si="14"/>
        <v>9.8769999999999527</v>
      </c>
      <c r="N174">
        <v>294.84100000000001</v>
      </c>
      <c r="S174">
        <v>294.84100000000001</v>
      </c>
      <c r="T174" s="3433">
        <f t="shared" si="15"/>
        <v>0</v>
      </c>
    </row>
    <row r="175" spans="1:20" ht="30">
      <c r="A175" s="2459" t="s">
        <v>697</v>
      </c>
      <c r="B175" s="1461" t="s">
        <v>34</v>
      </c>
      <c r="C175" s="1462">
        <v>23</v>
      </c>
      <c r="D175" s="1462"/>
      <c r="E175" s="269">
        <f t="shared" si="17"/>
        <v>22.586000000000013</v>
      </c>
      <c r="F175" s="1250">
        <f t="shared" si="10"/>
        <v>0</v>
      </c>
      <c r="G175" s="1463">
        <f t="shared" si="11"/>
        <v>22.586000000000013</v>
      </c>
      <c r="H175" s="2571">
        <f t="shared" si="12"/>
        <v>1</v>
      </c>
      <c r="I175" s="1464"/>
      <c r="J175" s="140">
        <f t="shared" si="16"/>
        <v>52</v>
      </c>
      <c r="L175" s="232">
        <f t="shared" si="13"/>
        <v>352.41399999999999</v>
      </c>
      <c r="M175" s="139">
        <f t="shared" si="14"/>
        <v>0</v>
      </c>
      <c r="N175">
        <v>352.41399999999999</v>
      </c>
      <c r="S175">
        <v>352.41399999999999</v>
      </c>
      <c r="T175" s="3433">
        <f t="shared" si="15"/>
        <v>0</v>
      </c>
    </row>
    <row r="176" spans="1:20" ht="30">
      <c r="A176" s="2439" t="s">
        <v>698</v>
      </c>
      <c r="B176" s="1461" t="s">
        <v>34</v>
      </c>
      <c r="C176" s="1462">
        <v>44</v>
      </c>
      <c r="D176" s="1462"/>
      <c r="E176" s="269">
        <f t="shared" si="17"/>
        <v>406.899</v>
      </c>
      <c r="F176" s="1250">
        <f t="shared" si="10"/>
        <v>0</v>
      </c>
      <c r="G176" s="1463">
        <f t="shared" si="11"/>
        <v>406.899</v>
      </c>
      <c r="H176" s="2571">
        <f t="shared" si="12"/>
        <v>1</v>
      </c>
      <c r="I176" s="1464"/>
      <c r="J176" s="140">
        <f t="shared" si="16"/>
        <v>53</v>
      </c>
      <c r="L176" s="232">
        <f t="shared" si="13"/>
        <v>471.101</v>
      </c>
      <c r="M176" s="139">
        <f t="shared" si="14"/>
        <v>0</v>
      </c>
      <c r="N176">
        <v>471.101</v>
      </c>
      <c r="S176">
        <v>471.101</v>
      </c>
      <c r="T176" s="3433">
        <f t="shared" si="15"/>
        <v>0</v>
      </c>
    </row>
    <row r="177" spans="1:20" ht="30">
      <c r="A177" s="2439" t="s">
        <v>699</v>
      </c>
      <c r="B177" s="1461" t="s">
        <v>34</v>
      </c>
      <c r="C177" s="1462">
        <v>13</v>
      </c>
      <c r="D177" s="1462"/>
      <c r="E177" s="269">
        <f t="shared" si="17"/>
        <v>157.20100000000002</v>
      </c>
      <c r="F177" s="1250">
        <f t="shared" si="10"/>
        <v>0</v>
      </c>
      <c r="G177" s="1463">
        <f t="shared" si="11"/>
        <v>157.20100000000002</v>
      </c>
      <c r="H177" s="2571">
        <f t="shared" si="12"/>
        <v>1</v>
      </c>
      <c r="I177" s="1464"/>
      <c r="J177" s="140">
        <f t="shared" si="16"/>
        <v>54</v>
      </c>
      <c r="L177" s="232">
        <f t="shared" si="13"/>
        <v>107.79899999999998</v>
      </c>
      <c r="M177" s="139">
        <f t="shared" si="14"/>
        <v>0</v>
      </c>
      <c r="N177">
        <v>107.79900000000001</v>
      </c>
      <c r="S177">
        <v>107.79900000000001</v>
      </c>
      <c r="T177" s="3433">
        <f t="shared" si="15"/>
        <v>0</v>
      </c>
    </row>
    <row r="178" spans="1:20" s="1415" customFormat="1" ht="30">
      <c r="A178" s="2439" t="s">
        <v>700</v>
      </c>
      <c r="B178" s="2396" t="s">
        <v>34</v>
      </c>
      <c r="C178" s="2397">
        <v>4</v>
      </c>
      <c r="D178" s="2397"/>
      <c r="E178" s="269">
        <f t="shared" si="17"/>
        <v>25.143000000000001</v>
      </c>
      <c r="F178" s="2398">
        <f>+M178</f>
        <v>0</v>
      </c>
      <c r="G178" s="2399">
        <f t="shared" si="11"/>
        <v>25.143000000000001</v>
      </c>
      <c r="H178" s="2571">
        <f t="shared" si="12"/>
        <v>1</v>
      </c>
      <c r="I178" s="2393"/>
      <c r="J178" s="2394">
        <f t="shared" si="16"/>
        <v>55</v>
      </c>
      <c r="L178" s="232">
        <f t="shared" si="13"/>
        <v>61.856999999999999</v>
      </c>
      <c r="M178" s="139">
        <f t="shared" si="14"/>
        <v>0</v>
      </c>
      <c r="N178" s="1415">
        <v>61.856999999999999</v>
      </c>
      <c r="S178" s="1415">
        <v>61.856999999999999</v>
      </c>
      <c r="T178" s="3433">
        <f t="shared" si="15"/>
        <v>0</v>
      </c>
    </row>
    <row r="179" spans="1:20" ht="30">
      <c r="A179" s="2439" t="s">
        <v>701</v>
      </c>
      <c r="B179" s="1461" t="s">
        <v>34</v>
      </c>
      <c r="C179" s="1462">
        <v>99</v>
      </c>
      <c r="D179" s="1462"/>
      <c r="E179" s="269">
        <f t="shared" si="17"/>
        <v>238.70600000000036</v>
      </c>
      <c r="F179" s="1250">
        <f t="shared" si="10"/>
        <v>99.380000000000337</v>
      </c>
      <c r="G179" s="1463">
        <f t="shared" si="11"/>
        <v>139.32600000000002</v>
      </c>
      <c r="H179" s="2571">
        <f t="shared" si="12"/>
        <v>0.58367196467621174</v>
      </c>
      <c r="I179" s="1464"/>
      <c r="J179" s="140">
        <f t="shared" si="16"/>
        <v>56</v>
      </c>
      <c r="L179" s="232">
        <f t="shared" si="13"/>
        <v>1740.2939999999996</v>
      </c>
      <c r="M179" s="139">
        <f t="shared" si="14"/>
        <v>99.380000000000337</v>
      </c>
      <c r="N179">
        <v>1839.674</v>
      </c>
      <c r="S179">
        <v>1839.674</v>
      </c>
      <c r="T179" s="3433">
        <f t="shared" si="15"/>
        <v>0</v>
      </c>
    </row>
    <row r="180" spans="1:20" ht="30">
      <c r="A180" s="2546" t="s">
        <v>702</v>
      </c>
      <c r="B180" s="1461" t="s">
        <v>34</v>
      </c>
      <c r="C180" s="1462">
        <v>65</v>
      </c>
      <c r="D180" s="1462"/>
      <c r="E180" s="269">
        <f t="shared" si="17"/>
        <v>252.404</v>
      </c>
      <c r="F180" s="1250">
        <f t="shared" si="10"/>
        <v>0</v>
      </c>
      <c r="G180" s="1463">
        <f t="shared" si="11"/>
        <v>252.404</v>
      </c>
      <c r="H180" s="2571">
        <f t="shared" si="12"/>
        <v>1</v>
      </c>
      <c r="I180" s="1464"/>
      <c r="J180" s="140">
        <f t="shared" si="16"/>
        <v>57</v>
      </c>
      <c r="L180" s="232">
        <f t="shared" si="13"/>
        <v>517.596</v>
      </c>
      <c r="M180" s="139">
        <f t="shared" si="14"/>
        <v>0</v>
      </c>
      <c r="N180">
        <v>517.596</v>
      </c>
      <c r="S180">
        <v>517.596</v>
      </c>
      <c r="T180" s="3433">
        <f t="shared" si="15"/>
        <v>0</v>
      </c>
    </row>
    <row r="181" spans="1:20" s="1415" customFormat="1" ht="15">
      <c r="A181" s="3363" t="s">
        <v>703</v>
      </c>
      <c r="B181" s="3365" t="s">
        <v>34</v>
      </c>
      <c r="C181" s="3366">
        <v>0</v>
      </c>
      <c r="D181" s="2397"/>
      <c r="E181" s="269">
        <f t="shared" si="17"/>
        <v>6.5210000000001855</v>
      </c>
      <c r="F181" s="2398">
        <f t="shared" si="10"/>
        <v>4.4440000000001874</v>
      </c>
      <c r="G181" s="2399">
        <f t="shared" si="11"/>
        <v>2.0769999999999982</v>
      </c>
      <c r="H181" s="2571">
        <f t="shared" si="12"/>
        <v>0.31850943106884511</v>
      </c>
      <c r="I181" s="2426"/>
      <c r="J181" s="2628">
        <f t="shared" si="16"/>
        <v>58</v>
      </c>
      <c r="L181" s="232">
        <f t="shared" si="13"/>
        <v>1132.4249999999997</v>
      </c>
      <c r="M181" s="139">
        <f t="shared" si="14"/>
        <v>4.4440000000001874</v>
      </c>
      <c r="N181" s="1415">
        <v>1136.8689999999999</v>
      </c>
      <c r="S181" s="1415">
        <v>1136.8689999999999</v>
      </c>
      <c r="T181" s="3433">
        <f t="shared" si="15"/>
        <v>0</v>
      </c>
    </row>
    <row r="182" spans="1:20" ht="30">
      <c r="A182" s="2439" t="s">
        <v>704</v>
      </c>
      <c r="B182" s="1468" t="s">
        <v>34</v>
      </c>
      <c r="C182" s="1462">
        <v>6</v>
      </c>
      <c r="D182" s="1462"/>
      <c r="E182" s="269">
        <f t="shared" si="17"/>
        <v>83.522999999999996</v>
      </c>
      <c r="F182" s="1250">
        <f t="shared" si="10"/>
        <v>0</v>
      </c>
      <c r="G182" s="1463">
        <f t="shared" si="11"/>
        <v>83.522999999999996</v>
      </c>
      <c r="H182" s="2571">
        <f t="shared" si="12"/>
        <v>1</v>
      </c>
      <c r="I182" s="1460"/>
      <c r="J182" s="140">
        <f t="shared" si="16"/>
        <v>59</v>
      </c>
      <c r="L182" s="232">
        <f t="shared" si="13"/>
        <v>30.476999999999997</v>
      </c>
      <c r="M182" s="139">
        <f t="shared" si="14"/>
        <v>0</v>
      </c>
      <c r="N182">
        <v>30.477</v>
      </c>
      <c r="S182">
        <v>30.477</v>
      </c>
      <c r="T182" s="3433">
        <f t="shared" si="15"/>
        <v>0</v>
      </c>
    </row>
    <row r="183" spans="1:20" ht="18" customHeight="1">
      <c r="A183" s="2439" t="s">
        <v>705</v>
      </c>
      <c r="B183" s="1468" t="s">
        <v>34</v>
      </c>
      <c r="C183" s="1462">
        <v>0</v>
      </c>
      <c r="D183" s="1462"/>
      <c r="E183" s="269">
        <f t="shared" si="17"/>
        <v>0</v>
      </c>
      <c r="F183" s="1250">
        <f t="shared" si="10"/>
        <v>0</v>
      </c>
      <c r="G183" s="1463">
        <f t="shared" si="11"/>
        <v>0</v>
      </c>
      <c r="H183" s="2571" t="e">
        <f t="shared" si="12"/>
        <v>#DIV/0!</v>
      </c>
      <c r="I183" s="1469"/>
      <c r="J183" s="140">
        <f t="shared" si="16"/>
        <v>60</v>
      </c>
      <c r="L183" s="232">
        <f t="shared" si="13"/>
        <v>0</v>
      </c>
      <c r="M183" s="139">
        <f t="shared" si="14"/>
        <v>0</v>
      </c>
      <c r="N183">
        <v>0</v>
      </c>
      <c r="S183">
        <v>0</v>
      </c>
      <c r="T183" s="3433">
        <f t="shared" si="15"/>
        <v>0</v>
      </c>
    </row>
    <row r="184" spans="1:20" ht="15">
      <c r="A184" s="2439" t="s">
        <v>93</v>
      </c>
      <c r="B184" s="1468" t="s">
        <v>34</v>
      </c>
      <c r="C184" s="1462">
        <v>1</v>
      </c>
      <c r="D184" s="1462"/>
      <c r="E184" s="269">
        <f t="shared" si="17"/>
        <v>15.597999999999999</v>
      </c>
      <c r="F184" s="1250">
        <f t="shared" si="10"/>
        <v>0</v>
      </c>
      <c r="G184" s="1463">
        <f t="shared" si="11"/>
        <v>15.597999999999999</v>
      </c>
      <c r="H184" s="2571">
        <f t="shared" si="12"/>
        <v>1</v>
      </c>
      <c r="I184" s="1469"/>
      <c r="J184" s="140">
        <f t="shared" si="16"/>
        <v>61</v>
      </c>
      <c r="L184" s="232">
        <f t="shared" si="13"/>
        <v>5.4020000000000001</v>
      </c>
      <c r="M184" s="139">
        <f t="shared" si="14"/>
        <v>0</v>
      </c>
      <c r="N184">
        <v>5.4020000000000001</v>
      </c>
      <c r="S184">
        <v>5.4020000000000001</v>
      </c>
      <c r="T184" s="3433">
        <f t="shared" si="15"/>
        <v>0</v>
      </c>
    </row>
    <row r="185" spans="1:20" s="2082" customFormat="1" ht="15">
      <c r="A185" s="2439" t="s">
        <v>706</v>
      </c>
      <c r="B185" s="1468" t="s">
        <v>34</v>
      </c>
      <c r="C185" s="1462">
        <v>90</v>
      </c>
      <c r="D185" s="1462"/>
      <c r="E185" s="269">
        <f t="shared" si="17"/>
        <v>945.63599999999985</v>
      </c>
      <c r="F185" s="1250">
        <f t="shared" si="10"/>
        <v>21.190999999999804</v>
      </c>
      <c r="G185" s="1463">
        <f t="shared" si="11"/>
        <v>924.44500000000005</v>
      </c>
      <c r="H185" s="2571">
        <f t="shared" si="12"/>
        <v>0.97759074316121652</v>
      </c>
      <c r="I185" s="1469"/>
      <c r="J185" s="140">
        <f t="shared" si="16"/>
        <v>62</v>
      </c>
      <c r="L185" s="232">
        <f t="shared" si="13"/>
        <v>858.36400000000015</v>
      </c>
      <c r="M185" s="3328">
        <f>+N185-L185</f>
        <v>21.190999999999804</v>
      </c>
      <c r="N185" s="2082">
        <v>879.55499999999995</v>
      </c>
      <c r="S185" s="2082">
        <v>879.55499999999995</v>
      </c>
      <c r="T185" s="3433">
        <f t="shared" si="15"/>
        <v>0</v>
      </c>
    </row>
    <row r="186" spans="1:20" s="2573" customFormat="1" ht="15">
      <c r="A186" s="2439" t="s">
        <v>1262</v>
      </c>
      <c r="B186" s="1468" t="s">
        <v>34</v>
      </c>
      <c r="C186" s="1462">
        <v>12</v>
      </c>
      <c r="D186" s="1462"/>
      <c r="E186" s="269">
        <f t="shared" si="17"/>
        <v>3100.6210000000001</v>
      </c>
      <c r="F186" s="1250">
        <f t="shared" si="10"/>
        <v>19.844999999999914</v>
      </c>
      <c r="G186" s="1463">
        <f t="shared" si="11"/>
        <v>3080.7760000000003</v>
      </c>
      <c r="H186" s="2571">
        <f t="shared" si="12"/>
        <v>0.99359966922755161</v>
      </c>
      <c r="I186" s="1469"/>
      <c r="J186" s="140"/>
      <c r="L186" s="232">
        <f t="shared" si="13"/>
        <v>547.37900000000002</v>
      </c>
      <c r="M186" s="139">
        <f t="shared" si="14"/>
        <v>19.844999999999914</v>
      </c>
      <c r="N186" s="2573">
        <v>567.22399999999993</v>
      </c>
      <c r="S186" s="2573">
        <v>567.22399999999993</v>
      </c>
      <c r="T186" s="3433">
        <f t="shared" si="15"/>
        <v>0</v>
      </c>
    </row>
    <row r="187" spans="1:20" ht="15" customHeight="1">
      <c r="A187" s="1470" t="s">
        <v>52</v>
      </c>
      <c r="B187" s="1471" t="s">
        <v>34</v>
      </c>
      <c r="C187" s="1472">
        <f>SUM(C124:C186)</f>
        <v>2273</v>
      </c>
      <c r="D187" s="1472">
        <f>SUM(D124:D186)</f>
        <v>0</v>
      </c>
      <c r="E187" s="1473">
        <f>SUM(E124:E186)</f>
        <v>24963.892000000007</v>
      </c>
      <c r="F187" s="1474">
        <f>SUM(F124:F186)</f>
        <v>532.66700000000003</v>
      </c>
      <c r="G187" s="1475">
        <f>SUM(G124:G186)</f>
        <v>24431.225000000006</v>
      </c>
      <c r="H187" s="2571">
        <f>+G187/E187</f>
        <v>0.97866250182463532</v>
      </c>
      <c r="I187" s="1469"/>
      <c r="J187" s="140"/>
      <c r="L187" s="3325">
        <f>SUM(L124:L186)</f>
        <v>22443.053999999996</v>
      </c>
      <c r="M187" s="3315">
        <f>SUM(M124:M186)</f>
        <v>532.66700000000003</v>
      </c>
      <c r="N187" s="3315">
        <f>SUM(N124:N186)</f>
        <v>22975.72099999999</v>
      </c>
    </row>
    <row r="188" spans="1:20" ht="15" customHeight="1">
      <c r="A188" s="22"/>
      <c r="B188" s="8"/>
      <c r="C188" s="23"/>
      <c r="D188" s="23"/>
      <c r="E188" s="23"/>
      <c r="F188" s="24"/>
      <c r="G188" s="33"/>
      <c r="H188" s="32"/>
      <c r="I188" s="255"/>
    </row>
    <row r="189" spans="1:20" ht="15" customHeight="1">
      <c r="A189" s="3567" t="s">
        <v>55</v>
      </c>
      <c r="B189" s="3568"/>
      <c r="C189" s="15"/>
      <c r="D189" s="15"/>
      <c r="E189" s="15"/>
      <c r="F189" s="34"/>
      <c r="G189" s="8"/>
      <c r="H189" s="11"/>
      <c r="I189" s="255"/>
      <c r="K189" s="102"/>
      <c r="L189" s="232"/>
    </row>
    <row r="190" spans="1:20" ht="5.0999999999999996" customHeight="1">
      <c r="A190" s="11"/>
      <c r="B190" s="8"/>
      <c r="C190" s="15"/>
      <c r="D190" s="15"/>
      <c r="E190" s="15"/>
      <c r="F190" s="34"/>
      <c r="G190" s="8"/>
      <c r="H190" s="11"/>
      <c r="I190" s="255"/>
    </row>
    <row r="191" spans="1:20" ht="15" customHeight="1">
      <c r="A191" s="88" t="s">
        <v>47</v>
      </c>
      <c r="B191" s="88" t="s">
        <v>48</v>
      </c>
      <c r="C191" s="93" t="s">
        <v>49</v>
      </c>
      <c r="D191" s="93" t="s">
        <v>316</v>
      </c>
      <c r="E191" s="93" t="s">
        <v>50</v>
      </c>
      <c r="F191" s="88" t="s">
        <v>20</v>
      </c>
      <c r="G191" s="88" t="s">
        <v>21</v>
      </c>
      <c r="H191" s="88" t="s">
        <v>51</v>
      </c>
      <c r="I191" s="256" t="s">
        <v>23</v>
      </c>
    </row>
    <row r="192" spans="1:20" ht="15" customHeight="1">
      <c r="A192" s="1779" t="s">
        <v>56</v>
      </c>
      <c r="B192" s="117" t="s">
        <v>32</v>
      </c>
      <c r="C192" s="150">
        <v>2397.71</v>
      </c>
      <c r="D192" s="619"/>
      <c r="E192" s="31">
        <f>+C192+D192</f>
        <v>2397.71</v>
      </c>
      <c r="F192" s="119">
        <f>+SUM('RAE Anchoveta'!B141:B144)</f>
        <v>369.24299999999999</v>
      </c>
      <c r="G192" s="35">
        <f>+E192-F192</f>
        <v>2028.4670000000001</v>
      </c>
      <c r="H192" s="2571">
        <f>1-+F192/E192</f>
        <v>0.84600181006043274</v>
      </c>
      <c r="I192" s="224"/>
    </row>
    <row r="193" spans="1:9" ht="15" customHeight="1">
      <c r="A193" s="152" t="s">
        <v>57</v>
      </c>
      <c r="B193" s="117" t="s">
        <v>32</v>
      </c>
      <c r="C193" s="150">
        <v>443.49900000000002</v>
      </c>
      <c r="D193" s="120"/>
      <c r="E193" s="31">
        <f t="shared" ref="E193:E208" si="18">+C193+D193</f>
        <v>443.49900000000002</v>
      </c>
      <c r="F193" s="119">
        <f>+SUM('RAE Anchoveta'!B157:B160)</f>
        <v>23.264000000000003</v>
      </c>
      <c r="G193" s="35">
        <f t="shared" ref="G193:G208" si="19">+E193-F193</f>
        <v>420.23500000000001</v>
      </c>
      <c r="H193" s="2571">
        <f t="shared" ref="H193:H208" si="20">1-+F193/E193</f>
        <v>0.94754441385437171</v>
      </c>
      <c r="I193" s="214"/>
    </row>
    <row r="194" spans="1:9" ht="15" customHeight="1">
      <c r="A194" s="152" t="s">
        <v>58</v>
      </c>
      <c r="B194" s="117" t="s">
        <v>32</v>
      </c>
      <c r="C194" s="150">
        <v>0.16800000000000001</v>
      </c>
      <c r="D194" s="150"/>
      <c r="E194" s="31">
        <f t="shared" si="18"/>
        <v>0.16800000000000001</v>
      </c>
      <c r="F194" s="119">
        <f>+SUM('RAE Anchoveta'!B173:B176)</f>
        <v>0</v>
      </c>
      <c r="G194" s="36">
        <f t="shared" si="19"/>
        <v>0.16800000000000001</v>
      </c>
      <c r="H194" s="2571">
        <f t="shared" si="20"/>
        <v>1</v>
      </c>
      <c r="I194" s="214"/>
    </row>
    <row r="195" spans="1:9" ht="15" customHeight="1">
      <c r="A195" s="152" t="s">
        <v>102</v>
      </c>
      <c r="B195" s="117" t="s">
        <v>32</v>
      </c>
      <c r="C195" s="150">
        <v>5.0000000000000001E-3</v>
      </c>
      <c r="D195" s="150"/>
      <c r="E195" s="31">
        <f t="shared" si="18"/>
        <v>5.0000000000000001E-3</v>
      </c>
      <c r="F195" s="119">
        <f>+SUM('RAE Anchoveta'!B173:B176)</f>
        <v>0</v>
      </c>
      <c r="G195" s="36">
        <f t="shared" si="19"/>
        <v>5.0000000000000001E-3</v>
      </c>
      <c r="H195" s="2571">
        <f t="shared" si="20"/>
        <v>1</v>
      </c>
      <c r="I195" s="214"/>
    </row>
    <row r="196" spans="1:9" ht="15" customHeight="1">
      <c r="A196" s="3262" t="s">
        <v>59</v>
      </c>
      <c r="B196" s="117" t="s">
        <v>32</v>
      </c>
      <c r="C196" s="150">
        <v>1577.134</v>
      </c>
      <c r="D196" s="120"/>
      <c r="E196" s="31">
        <f t="shared" si="18"/>
        <v>1577.134</v>
      </c>
      <c r="F196" s="119">
        <f>+SUM('RAE Anchoveta'!B205:B208)</f>
        <v>190.09199999999998</v>
      </c>
      <c r="G196" s="35">
        <f t="shared" si="19"/>
        <v>1387.0419999999999</v>
      </c>
      <c r="H196" s="2571">
        <f t="shared" si="20"/>
        <v>0.8794699752842815</v>
      </c>
      <c r="I196" s="214"/>
    </row>
    <row r="197" spans="1:9" ht="15" customHeight="1">
      <c r="A197" s="152" t="s">
        <v>103</v>
      </c>
      <c r="B197" s="117" t="s">
        <v>32</v>
      </c>
      <c r="C197" s="150">
        <v>7.0000000000000001E-3</v>
      </c>
      <c r="D197" s="150"/>
      <c r="E197" s="31">
        <f t="shared" si="18"/>
        <v>7.0000000000000001E-3</v>
      </c>
      <c r="F197" s="119">
        <f>+SUM('RAE Anchoveta'!B221:B224)</f>
        <v>0</v>
      </c>
      <c r="G197" s="36">
        <f t="shared" si="19"/>
        <v>7.0000000000000001E-3</v>
      </c>
      <c r="H197" s="2571">
        <f t="shared" si="20"/>
        <v>1</v>
      </c>
      <c r="I197" s="214"/>
    </row>
    <row r="198" spans="1:9" ht="15" customHeight="1">
      <c r="A198" s="152" t="s">
        <v>104</v>
      </c>
      <c r="B198" s="117" t="s">
        <v>32</v>
      </c>
      <c r="C198" s="150">
        <v>2.9000000000000001E-2</v>
      </c>
      <c r="D198" s="150"/>
      <c r="E198" s="31">
        <f t="shared" si="18"/>
        <v>2.9000000000000001E-2</v>
      </c>
      <c r="F198" s="119">
        <f>+SUM('RAE Anchoveta'!B237:B240)</f>
        <v>0</v>
      </c>
      <c r="G198" s="36">
        <f t="shared" si="19"/>
        <v>2.9000000000000001E-2</v>
      </c>
      <c r="H198" s="2571">
        <f t="shared" si="20"/>
        <v>1</v>
      </c>
      <c r="I198" s="214"/>
    </row>
    <row r="199" spans="1:9" ht="15" customHeight="1">
      <c r="A199" s="152" t="s">
        <v>105</v>
      </c>
      <c r="B199" s="117" t="s">
        <v>32</v>
      </c>
      <c r="C199" s="150">
        <v>1E-3</v>
      </c>
      <c r="D199" s="151"/>
      <c r="E199" s="31">
        <f t="shared" si="18"/>
        <v>1E-3</v>
      </c>
      <c r="F199" s="119">
        <f>+SUM('RAE Anchoveta'!B269:B272)</f>
        <v>0</v>
      </c>
      <c r="G199" s="67">
        <f t="shared" si="19"/>
        <v>1E-3</v>
      </c>
      <c r="H199" s="2571">
        <f t="shared" si="20"/>
        <v>1</v>
      </c>
      <c r="I199" s="214"/>
    </row>
    <row r="200" spans="1:9" ht="15" customHeight="1">
      <c r="A200" s="152" t="s">
        <v>106</v>
      </c>
      <c r="B200" s="117" t="s">
        <v>32</v>
      </c>
      <c r="C200" s="150">
        <v>5.7000000000000002E-2</v>
      </c>
      <c r="D200" s="150"/>
      <c r="E200" s="31">
        <f t="shared" si="18"/>
        <v>5.7000000000000002E-2</v>
      </c>
      <c r="F200" s="119">
        <f>+SUM('RAE Anchoveta'!B269:B272)</f>
        <v>0</v>
      </c>
      <c r="G200" s="36">
        <f t="shared" si="19"/>
        <v>5.7000000000000002E-2</v>
      </c>
      <c r="H200" s="2571">
        <f t="shared" si="20"/>
        <v>1</v>
      </c>
      <c r="I200" s="214"/>
    </row>
    <row r="201" spans="1:9" ht="15" customHeight="1">
      <c r="A201" s="152" t="s">
        <v>107</v>
      </c>
      <c r="B201" s="117" t="s">
        <v>32</v>
      </c>
      <c r="C201" s="150">
        <v>100.136</v>
      </c>
      <c r="D201" s="120"/>
      <c r="E201" s="31">
        <f t="shared" si="18"/>
        <v>100.136</v>
      </c>
      <c r="F201" s="119">
        <f>+SUM('RAE Anchoveta'!B285:B288)</f>
        <v>22.497999999999998</v>
      </c>
      <c r="G201" s="35">
        <f t="shared" si="19"/>
        <v>77.638000000000005</v>
      </c>
      <c r="H201" s="2571">
        <f t="shared" si="20"/>
        <v>0.77532555724215069</v>
      </c>
      <c r="I201" s="214"/>
    </row>
    <row r="202" spans="1:9" ht="15" customHeight="1">
      <c r="A202" s="152" t="s">
        <v>108</v>
      </c>
      <c r="B202" s="117" t="s">
        <v>32</v>
      </c>
      <c r="C202" s="150">
        <v>1E-3</v>
      </c>
      <c r="D202" s="150"/>
      <c r="E202" s="31">
        <f t="shared" si="18"/>
        <v>1E-3</v>
      </c>
      <c r="F202" s="119">
        <f>+SUM('RAE Anchoveta'!B301:B304)</f>
        <v>0</v>
      </c>
      <c r="G202" s="36">
        <f t="shared" si="19"/>
        <v>1E-3</v>
      </c>
      <c r="H202" s="2571">
        <f t="shared" si="20"/>
        <v>1</v>
      </c>
      <c r="I202" s="214"/>
    </row>
    <row r="203" spans="1:9" ht="15" customHeight="1">
      <c r="A203" s="152" t="s">
        <v>109</v>
      </c>
      <c r="B203" s="117" t="s">
        <v>32</v>
      </c>
      <c r="C203" s="150">
        <v>2.9000000000000001E-2</v>
      </c>
      <c r="D203" s="150"/>
      <c r="E203" s="31">
        <f t="shared" si="18"/>
        <v>2.9000000000000001E-2</v>
      </c>
      <c r="F203" s="119">
        <f>+SUM('RAE Anchoveta'!B317:B320)</f>
        <v>0</v>
      </c>
      <c r="G203" s="36">
        <f t="shared" si="19"/>
        <v>2.9000000000000001E-2</v>
      </c>
      <c r="H203" s="2571">
        <f t="shared" si="20"/>
        <v>1</v>
      </c>
      <c r="I203" s="214"/>
    </row>
    <row r="204" spans="1:9" ht="15" customHeight="1">
      <c r="A204" s="1779" t="s">
        <v>125</v>
      </c>
      <c r="B204" s="117" t="s">
        <v>32</v>
      </c>
      <c r="C204" s="150">
        <v>373.07499999999999</v>
      </c>
      <c r="D204" s="120"/>
      <c r="E204" s="31">
        <f t="shared" si="18"/>
        <v>373.07499999999999</v>
      </c>
      <c r="F204" s="119">
        <f>+SUM('RAE Anchoveta'!B333:B336)</f>
        <v>73.504000000000005</v>
      </c>
      <c r="G204" s="35">
        <f t="shared" si="19"/>
        <v>299.57099999999997</v>
      </c>
      <c r="H204" s="2571">
        <f t="shared" si="20"/>
        <v>0.80297795349460566</v>
      </c>
      <c r="I204" s="214"/>
    </row>
    <row r="205" spans="1:9" ht="15" customHeight="1">
      <c r="A205" s="152" t="s">
        <v>126</v>
      </c>
      <c r="B205" s="117" t="s">
        <v>32</v>
      </c>
      <c r="C205" s="150">
        <v>865.10699999999997</v>
      </c>
      <c r="D205" s="120"/>
      <c r="E205" s="31">
        <f t="shared" si="18"/>
        <v>865.10699999999997</v>
      </c>
      <c r="F205" s="119">
        <f>+SUM('RAE Anchoveta'!B349:B352)</f>
        <v>29.931000000000001</v>
      </c>
      <c r="G205" s="35">
        <f t="shared" si="19"/>
        <v>835.17599999999993</v>
      </c>
      <c r="H205" s="2571">
        <f t="shared" si="20"/>
        <v>0.96540196761787844</v>
      </c>
      <c r="I205" s="214"/>
    </row>
    <row r="206" spans="1:9" ht="15" customHeight="1">
      <c r="A206" s="152" t="s">
        <v>127</v>
      </c>
      <c r="B206" s="117" t="s">
        <v>32</v>
      </c>
      <c r="C206" s="150">
        <v>5.0000000000000001E-3</v>
      </c>
      <c r="D206" s="150"/>
      <c r="E206" s="31">
        <f t="shared" si="18"/>
        <v>5.0000000000000001E-3</v>
      </c>
      <c r="F206" s="119">
        <f>+SUM('RAE Anchoveta'!B365:B368)</f>
        <v>0</v>
      </c>
      <c r="G206" s="36">
        <f t="shared" si="19"/>
        <v>5.0000000000000001E-3</v>
      </c>
      <c r="H206" s="2571">
        <f t="shared" si="20"/>
        <v>1</v>
      </c>
      <c r="I206" s="214"/>
    </row>
    <row r="207" spans="1:9" ht="15" customHeight="1">
      <c r="A207" s="152" t="s">
        <v>129</v>
      </c>
      <c r="B207" s="117" t="s">
        <v>32</v>
      </c>
      <c r="C207" s="150">
        <v>1E-3</v>
      </c>
      <c r="D207" s="150"/>
      <c r="E207" s="31">
        <f t="shared" si="18"/>
        <v>1E-3</v>
      </c>
      <c r="F207" s="119">
        <f>+SUM('RAE Anchoveta'!B381:B384)</f>
        <v>0</v>
      </c>
      <c r="G207" s="36">
        <f t="shared" si="19"/>
        <v>1E-3</v>
      </c>
      <c r="H207" s="2571">
        <f t="shared" si="20"/>
        <v>1</v>
      </c>
      <c r="I207" s="214"/>
    </row>
    <row r="208" spans="1:9" ht="15" customHeight="1">
      <c r="A208" s="152" t="s">
        <v>60</v>
      </c>
      <c r="B208" s="117" t="s">
        <v>32</v>
      </c>
      <c r="C208" s="150">
        <v>3.7999999999999999E-2</v>
      </c>
      <c r="D208" s="150"/>
      <c r="E208" s="31">
        <f t="shared" si="18"/>
        <v>3.7999999999999999E-2</v>
      </c>
      <c r="F208" s="119">
        <f>+SUM('RAE Anchoveta'!B397:B400)</f>
        <v>0</v>
      </c>
      <c r="G208" s="36">
        <f t="shared" si="19"/>
        <v>3.7999999999999999E-2</v>
      </c>
      <c r="H208" s="2571">
        <f t="shared" si="20"/>
        <v>1</v>
      </c>
      <c r="I208" s="224"/>
    </row>
    <row r="209" spans="1:9" ht="15" customHeight="1">
      <c r="A209" s="20" t="s">
        <v>52</v>
      </c>
      <c r="B209" s="20" t="s">
        <v>32</v>
      </c>
      <c r="C209" s="191">
        <f>SUM(C192:C208)</f>
        <v>5757.0020000000004</v>
      </c>
      <c r="D209" s="191"/>
      <c r="E209" s="17">
        <f>SUM(E192:E208)</f>
        <v>5757.0020000000004</v>
      </c>
      <c r="F209" s="2112">
        <f>SUM(F192:F208)</f>
        <v>708.53200000000004</v>
      </c>
      <c r="G209" s="147">
        <f>+E209-F209</f>
        <v>5048.47</v>
      </c>
      <c r="H209" s="11"/>
      <c r="I209" s="255"/>
    </row>
    <row r="210" spans="1:9" ht="5.0999999999999996" customHeight="1">
      <c r="A210" s="22"/>
      <c r="B210" s="8"/>
      <c r="C210" s="23"/>
      <c r="D210" s="23"/>
      <c r="E210" s="23"/>
      <c r="F210" s="24"/>
      <c r="G210" s="24"/>
      <c r="H210" s="11"/>
      <c r="I210" s="255"/>
    </row>
    <row r="211" spans="1:9" ht="15" customHeight="1">
      <c r="A211" s="88" t="s">
        <v>47</v>
      </c>
      <c r="B211" s="88" t="s">
        <v>48</v>
      </c>
      <c r="C211" s="93" t="s">
        <v>49</v>
      </c>
      <c r="D211" s="93" t="s">
        <v>316</v>
      </c>
      <c r="E211" s="93" t="s">
        <v>50</v>
      </c>
      <c r="F211" s="88" t="s">
        <v>20</v>
      </c>
      <c r="G211" s="88" t="s">
        <v>21</v>
      </c>
      <c r="H211" s="88" t="s">
        <v>51</v>
      </c>
      <c r="I211" s="256" t="s">
        <v>23</v>
      </c>
    </row>
    <row r="212" spans="1:9" ht="15" customHeight="1">
      <c r="A212" s="1779" t="s">
        <v>56</v>
      </c>
      <c r="B212" s="142" t="s">
        <v>33</v>
      </c>
      <c r="C212" s="31">
        <v>258.44200000000001</v>
      </c>
      <c r="D212" s="17"/>
      <c r="E212" s="31">
        <f>+C212+G192+D212</f>
        <v>2286.9090000000001</v>
      </c>
      <c r="F212" s="120">
        <f>+SUM('RAE Anchoveta'!B145:B148)</f>
        <v>723.28600000000006</v>
      </c>
      <c r="G212" s="17">
        <f>+E212-F212</f>
        <v>1563.623</v>
      </c>
      <c r="H212" s="2571">
        <f>1-+F212/E212</f>
        <v>0.6837276865848182</v>
      </c>
      <c r="I212" s="224"/>
    </row>
    <row r="213" spans="1:9" ht="15" customHeight="1">
      <c r="A213" s="152" t="s">
        <v>57</v>
      </c>
      <c r="B213" s="142" t="s">
        <v>33</v>
      </c>
      <c r="C213" s="31">
        <v>52.154000000000003</v>
      </c>
      <c r="D213" s="17"/>
      <c r="E213" s="31">
        <f t="shared" ref="E213:E227" si="21">+C213+G193+D213</f>
        <v>472.38900000000001</v>
      </c>
      <c r="F213" s="120">
        <f>+SUM('RAE Anchoveta'!B161:B164)</f>
        <v>38.494</v>
      </c>
      <c r="G213" s="17">
        <f t="shared" ref="G213:G228" si="22">+E213-F213</f>
        <v>433.89499999999998</v>
      </c>
      <c r="H213" s="2571">
        <f>1-+F213/E213</f>
        <v>0.91851207373584054</v>
      </c>
      <c r="I213" s="224"/>
    </row>
    <row r="214" spans="1:9" ht="15" customHeight="1">
      <c r="A214" s="152" t="s">
        <v>58</v>
      </c>
      <c r="B214" s="142" t="s">
        <v>33</v>
      </c>
      <c r="C214" s="31">
        <v>0.02</v>
      </c>
      <c r="D214" s="31"/>
      <c r="E214" s="31">
        <f t="shared" si="21"/>
        <v>0.188</v>
      </c>
      <c r="F214" s="150">
        <f>+SUM('RAE Anchoveta'!B177:B180)</f>
        <v>0</v>
      </c>
      <c r="G214" s="31">
        <f t="shared" si="22"/>
        <v>0.188</v>
      </c>
      <c r="H214" s="2571">
        <f t="shared" ref="H214:H228" si="23">1-+F214/E214</f>
        <v>1</v>
      </c>
      <c r="I214" s="224"/>
    </row>
    <row r="215" spans="1:9" ht="15" customHeight="1">
      <c r="A215" s="152" t="s">
        <v>102</v>
      </c>
      <c r="B215" s="142" t="s">
        <v>33</v>
      </c>
      <c r="C215" s="31">
        <v>1E-3</v>
      </c>
      <c r="D215" s="31"/>
      <c r="E215" s="31">
        <f t="shared" si="21"/>
        <v>6.0000000000000001E-3</v>
      </c>
      <c r="F215" s="150">
        <f>+SUM('RAE Anchoveta'!B193:B196)</f>
        <v>0</v>
      </c>
      <c r="G215" s="31">
        <f t="shared" si="22"/>
        <v>6.0000000000000001E-3</v>
      </c>
      <c r="H215" s="2571">
        <f t="shared" si="23"/>
        <v>1</v>
      </c>
      <c r="I215" s="224"/>
    </row>
    <row r="216" spans="1:9" ht="15" customHeight="1">
      <c r="A216" s="3262" t="s">
        <v>59</v>
      </c>
      <c r="B216" s="142" t="s">
        <v>33</v>
      </c>
      <c r="C216" s="31">
        <v>185.465</v>
      </c>
      <c r="D216" s="17"/>
      <c r="E216" s="31">
        <f t="shared" si="21"/>
        <v>1572.5069999999998</v>
      </c>
      <c r="F216" s="120">
        <f>+SUM('RAE Anchoveta'!B209:B212)</f>
        <v>507.10500000000002</v>
      </c>
      <c r="G216" s="17">
        <f t="shared" si="22"/>
        <v>1065.4019999999998</v>
      </c>
      <c r="H216" s="2571">
        <f t="shared" si="23"/>
        <v>0.67751812869513461</v>
      </c>
      <c r="I216" s="224"/>
    </row>
    <row r="217" spans="1:9" ht="15" customHeight="1">
      <c r="A217" s="152" t="s">
        <v>103</v>
      </c>
      <c r="B217" s="142" t="s">
        <v>33</v>
      </c>
      <c r="C217" s="31">
        <v>1E-3</v>
      </c>
      <c r="D217" s="113"/>
      <c r="E217" s="31">
        <f t="shared" si="21"/>
        <v>8.0000000000000002E-3</v>
      </c>
      <c r="F217" s="151">
        <f>+SUM('RAE Anchoveta'!B225:B228)</f>
        <v>0</v>
      </c>
      <c r="G217" s="113">
        <f t="shared" si="22"/>
        <v>8.0000000000000002E-3</v>
      </c>
      <c r="H217" s="2571">
        <f t="shared" si="23"/>
        <v>1</v>
      </c>
      <c r="I217" s="224"/>
    </row>
    <row r="218" spans="1:9" ht="15" customHeight="1">
      <c r="A218" s="152" t="s">
        <v>104</v>
      </c>
      <c r="B218" s="142" t="s">
        <v>33</v>
      </c>
      <c r="C218" s="31">
        <v>3.0000000000000001E-3</v>
      </c>
      <c r="D218" s="31"/>
      <c r="E218" s="31">
        <f t="shared" si="21"/>
        <v>3.2000000000000001E-2</v>
      </c>
      <c r="F218" s="150">
        <f>+SUM('RAE Anchoveta'!B241:B244)</f>
        <v>0</v>
      </c>
      <c r="G218" s="31">
        <f t="shared" si="22"/>
        <v>3.2000000000000001E-2</v>
      </c>
      <c r="H218" s="2571">
        <f t="shared" si="23"/>
        <v>1</v>
      </c>
      <c r="I218" s="224"/>
    </row>
    <row r="219" spans="1:9" ht="15" customHeight="1">
      <c r="A219" s="152" t="s">
        <v>105</v>
      </c>
      <c r="B219" s="142" t="s">
        <v>33</v>
      </c>
      <c r="C219" s="31">
        <v>0</v>
      </c>
      <c r="D219" s="31"/>
      <c r="E219" s="31">
        <f t="shared" si="21"/>
        <v>1E-3</v>
      </c>
      <c r="F219" s="150">
        <f>+SUM('RAE Anchoveta'!B257:B260)</f>
        <v>0</v>
      </c>
      <c r="G219" s="31">
        <f t="shared" si="22"/>
        <v>1E-3</v>
      </c>
      <c r="H219" s="2571">
        <f t="shared" si="23"/>
        <v>1</v>
      </c>
      <c r="I219" s="224"/>
    </row>
    <row r="220" spans="1:9" ht="15" customHeight="1">
      <c r="A220" s="152" t="s">
        <v>106</v>
      </c>
      <c r="B220" s="142" t="s">
        <v>33</v>
      </c>
      <c r="C220" s="31">
        <v>7.0000000000000001E-3</v>
      </c>
      <c r="D220" s="31"/>
      <c r="E220" s="31">
        <f t="shared" si="21"/>
        <v>6.4000000000000001E-2</v>
      </c>
      <c r="F220" s="150">
        <f>+SUM('RAE Anchoveta'!B273:B276)</f>
        <v>0</v>
      </c>
      <c r="G220" s="31">
        <f t="shared" si="22"/>
        <v>6.4000000000000001E-2</v>
      </c>
      <c r="H220" s="2571">
        <f t="shared" si="23"/>
        <v>1</v>
      </c>
      <c r="I220" s="224"/>
    </row>
    <row r="221" spans="1:9" ht="15" customHeight="1">
      <c r="A221" s="152" t="s">
        <v>107</v>
      </c>
      <c r="B221" s="142" t="s">
        <v>33</v>
      </c>
      <c r="C221" s="31">
        <v>11.776</v>
      </c>
      <c r="D221" s="17"/>
      <c r="E221" s="31">
        <f t="shared" si="21"/>
        <v>89.414000000000001</v>
      </c>
      <c r="F221" s="120">
        <f>+SUM('RAE Anchoveta'!B289:B292)</f>
        <v>0</v>
      </c>
      <c r="G221" s="17">
        <f t="shared" si="22"/>
        <v>89.414000000000001</v>
      </c>
      <c r="H221" s="2571">
        <f t="shared" si="23"/>
        <v>1</v>
      </c>
      <c r="I221" s="224"/>
    </row>
    <row r="222" spans="1:9" ht="15" customHeight="1">
      <c r="A222" s="152" t="s">
        <v>108</v>
      </c>
      <c r="B222" s="142" t="s">
        <v>33</v>
      </c>
      <c r="C222" s="31">
        <v>0</v>
      </c>
      <c r="D222" s="31"/>
      <c r="E222" s="31">
        <f t="shared" si="21"/>
        <v>1E-3</v>
      </c>
      <c r="F222" s="150">
        <f>+SUM('RAE Anchoveta'!B305:B308)</f>
        <v>0</v>
      </c>
      <c r="G222" s="31">
        <f t="shared" si="22"/>
        <v>1E-3</v>
      </c>
      <c r="H222" s="2571">
        <f t="shared" si="23"/>
        <v>1</v>
      </c>
      <c r="I222" s="224"/>
    </row>
    <row r="223" spans="1:9" ht="15" customHeight="1">
      <c r="A223" s="152" t="s">
        <v>109</v>
      </c>
      <c r="B223" s="142" t="s">
        <v>33</v>
      </c>
      <c r="C223" s="31">
        <v>3.0000000000000001E-3</v>
      </c>
      <c r="D223" s="31"/>
      <c r="E223" s="31">
        <f t="shared" si="21"/>
        <v>3.2000000000000001E-2</v>
      </c>
      <c r="F223" s="150">
        <f>+SUM('RAE Anchoveta'!B321:B324)</f>
        <v>0</v>
      </c>
      <c r="G223" s="31">
        <f t="shared" si="22"/>
        <v>3.2000000000000001E-2</v>
      </c>
      <c r="H223" s="2571">
        <f t="shared" si="23"/>
        <v>1</v>
      </c>
      <c r="I223" s="214"/>
    </row>
    <row r="224" spans="1:9" ht="15" customHeight="1">
      <c r="A224" s="1779" t="s">
        <v>125</v>
      </c>
      <c r="B224" s="142" t="s">
        <v>33</v>
      </c>
      <c r="C224" s="31">
        <v>67.391000000000005</v>
      </c>
      <c r="D224" s="17"/>
      <c r="E224" s="31">
        <f t="shared" si="21"/>
        <v>366.96199999999999</v>
      </c>
      <c r="F224" s="120">
        <f>+SUM('RAE Anchoveta'!B337:B340)</f>
        <v>109.739</v>
      </c>
      <c r="G224" s="17">
        <f t="shared" si="22"/>
        <v>257.22299999999996</v>
      </c>
      <c r="H224" s="2571">
        <f t="shared" si="23"/>
        <v>0.70095268719921955</v>
      </c>
      <c r="I224" s="214"/>
    </row>
    <row r="225" spans="1:9" ht="15" customHeight="1">
      <c r="A225" s="152" t="s">
        <v>126</v>
      </c>
      <c r="B225" s="142" t="s">
        <v>33</v>
      </c>
      <c r="C225" s="31">
        <v>101.733</v>
      </c>
      <c r="D225" s="17"/>
      <c r="E225" s="31">
        <f t="shared" si="21"/>
        <v>936.90899999999988</v>
      </c>
      <c r="F225" s="120">
        <f>+SUM('RAE Anchoveta'!B353:B356)</f>
        <v>93.431000000000012</v>
      </c>
      <c r="G225" s="17">
        <f t="shared" si="22"/>
        <v>843.47799999999984</v>
      </c>
      <c r="H225" s="2571">
        <f t="shared" si="23"/>
        <v>0.90027740154059788</v>
      </c>
      <c r="I225" s="214"/>
    </row>
    <row r="226" spans="1:9" ht="15" customHeight="1">
      <c r="A226" s="152" t="s">
        <v>127</v>
      </c>
      <c r="B226" s="142" t="s">
        <v>33</v>
      </c>
      <c r="C226" s="31">
        <v>1E-3</v>
      </c>
      <c r="D226" s="31"/>
      <c r="E226" s="31">
        <f t="shared" si="21"/>
        <v>6.0000000000000001E-3</v>
      </c>
      <c r="F226" s="150">
        <f>+SUM('RAE Anchoveta'!B369:B372)</f>
        <v>0</v>
      </c>
      <c r="G226" s="31">
        <f t="shared" si="22"/>
        <v>6.0000000000000001E-3</v>
      </c>
      <c r="H226" s="2571">
        <f t="shared" si="23"/>
        <v>1</v>
      </c>
      <c r="I226" s="214"/>
    </row>
    <row r="227" spans="1:9" ht="15" customHeight="1">
      <c r="A227" s="152" t="s">
        <v>128</v>
      </c>
      <c r="B227" s="142" t="s">
        <v>33</v>
      </c>
      <c r="C227" s="31">
        <v>0</v>
      </c>
      <c r="D227" s="31"/>
      <c r="E227" s="31">
        <f t="shared" si="21"/>
        <v>1E-3</v>
      </c>
      <c r="F227" s="150">
        <f>+SUM('RAE Anchoveta'!B385:B388)</f>
        <v>0</v>
      </c>
      <c r="G227" s="31">
        <f t="shared" si="22"/>
        <v>1E-3</v>
      </c>
      <c r="H227" s="2571">
        <f t="shared" si="23"/>
        <v>1</v>
      </c>
      <c r="I227" s="214"/>
    </row>
    <row r="228" spans="1:9" ht="15" customHeight="1">
      <c r="A228" s="152" t="s">
        <v>60</v>
      </c>
      <c r="B228" s="142" t="s">
        <v>33</v>
      </c>
      <c r="C228" s="31">
        <v>5.0000000000000001E-3</v>
      </c>
      <c r="D228" s="31"/>
      <c r="E228" s="31">
        <f t="shared" ref="E228" si="24">+C228+G208</f>
        <v>4.2999999999999997E-2</v>
      </c>
      <c r="F228" s="150">
        <f>+SUM('RAE Anchoveta'!B401:B404)</f>
        <v>0</v>
      </c>
      <c r="G228" s="31">
        <f t="shared" si="22"/>
        <v>4.2999999999999997E-2</v>
      </c>
      <c r="H228" s="2571">
        <f t="shared" si="23"/>
        <v>1</v>
      </c>
      <c r="I228" s="224"/>
    </row>
    <row r="229" spans="1:9" ht="15" customHeight="1">
      <c r="A229" s="20" t="s">
        <v>52</v>
      </c>
      <c r="B229" s="208" t="s">
        <v>33</v>
      </c>
      <c r="C229" s="138">
        <f>SUM(C212:C228)</f>
        <v>677.00199999999984</v>
      </c>
      <c r="D229" s="138"/>
      <c r="E229" s="138">
        <f>SUM(E212:E228)</f>
        <v>5725.4720000000007</v>
      </c>
      <c r="F229" s="138">
        <f>SUM(F212:F228)</f>
        <v>1472.0550000000003</v>
      </c>
      <c r="G229" s="147">
        <f>+E229-F2042</f>
        <v>5725.4720000000007</v>
      </c>
      <c r="H229" s="11"/>
      <c r="I229" s="255"/>
    </row>
    <row r="230" spans="1:9" ht="5.0999999999999996" customHeight="1">
      <c r="A230" s="25"/>
      <c r="B230" s="26"/>
      <c r="C230" s="23"/>
      <c r="D230" s="23"/>
      <c r="E230" s="23"/>
      <c r="F230" s="38"/>
      <c r="G230" s="24"/>
      <c r="H230" s="11"/>
      <c r="I230" s="255"/>
    </row>
    <row r="231" spans="1:9" ht="15" customHeight="1">
      <c r="A231" s="88" t="s">
        <v>47</v>
      </c>
      <c r="B231" s="88" t="s">
        <v>48</v>
      </c>
      <c r="C231" s="93" t="s">
        <v>49</v>
      </c>
      <c r="D231" s="93" t="s">
        <v>316</v>
      </c>
      <c r="E231" s="93" t="s">
        <v>50</v>
      </c>
      <c r="F231" s="88" t="s">
        <v>20</v>
      </c>
      <c r="G231" s="88" t="s">
        <v>21</v>
      </c>
      <c r="H231" s="88" t="s">
        <v>51</v>
      </c>
      <c r="I231" s="256" t="s">
        <v>23</v>
      </c>
    </row>
    <row r="232" spans="1:9" ht="15" customHeight="1">
      <c r="A232" s="1779" t="s">
        <v>56</v>
      </c>
      <c r="B232" s="142" t="s">
        <v>34</v>
      </c>
      <c r="C232" s="31">
        <v>129.41200000000001</v>
      </c>
      <c r="D232" s="17"/>
      <c r="E232" s="31">
        <f>+C232+G212+D232</f>
        <v>1693.0350000000001</v>
      </c>
      <c r="F232" s="120">
        <f>+SUM('RAE Anchoveta'!B149:B152)</f>
        <v>298.60699999999997</v>
      </c>
      <c r="G232" s="120">
        <f>+E232-F232</f>
        <v>1394.4280000000001</v>
      </c>
      <c r="H232" s="2571">
        <f t="shared" ref="H232:H248" si="25">1-+F232/E232</f>
        <v>0.82362620973577039</v>
      </c>
      <c r="I232" s="224"/>
    </row>
    <row r="233" spans="1:9" ht="15" customHeight="1">
      <c r="A233" s="152" t="s">
        <v>57</v>
      </c>
      <c r="B233" s="142" t="s">
        <v>34</v>
      </c>
      <c r="C233" s="31">
        <v>26.114999999999998</v>
      </c>
      <c r="D233" s="17"/>
      <c r="E233" s="31">
        <f t="shared" ref="E233:E248" si="26">+C233+G213+D233</f>
        <v>460.01</v>
      </c>
      <c r="F233" s="120">
        <f>+SUM('RAE Anchoveta'!B165:B168)</f>
        <v>4.0220000000000002</v>
      </c>
      <c r="G233" s="120">
        <f t="shared" ref="G233:G248" si="27">+E233-F233</f>
        <v>455.988</v>
      </c>
      <c r="H233" s="2571">
        <f t="shared" si="25"/>
        <v>0.99125671181061281</v>
      </c>
      <c r="I233" s="224"/>
    </row>
    <row r="234" spans="1:9" ht="15" customHeight="1">
      <c r="A234" s="152" t="s">
        <v>58</v>
      </c>
      <c r="B234" s="142" t="s">
        <v>34</v>
      </c>
      <c r="C234" s="31">
        <v>0.01</v>
      </c>
      <c r="D234" s="31"/>
      <c r="E234" s="31">
        <f t="shared" si="26"/>
        <v>0.19800000000000001</v>
      </c>
      <c r="F234" s="120">
        <v>0</v>
      </c>
      <c r="G234" s="150">
        <f t="shared" si="27"/>
        <v>0.19800000000000001</v>
      </c>
      <c r="H234" s="2571">
        <f t="shared" si="25"/>
        <v>1</v>
      </c>
      <c r="I234" s="224"/>
    </row>
    <row r="235" spans="1:9" ht="15" customHeight="1">
      <c r="A235" s="152" t="s">
        <v>102</v>
      </c>
      <c r="B235" s="142" t="s">
        <v>34</v>
      </c>
      <c r="C235" s="31">
        <v>0</v>
      </c>
      <c r="D235" s="31"/>
      <c r="E235" s="31">
        <f t="shared" si="26"/>
        <v>6.0000000000000001E-3</v>
      </c>
      <c r="F235" s="150">
        <f>+SUM('RAE Anchoveta'!B197:B200)</f>
        <v>0</v>
      </c>
      <c r="G235" s="1738">
        <f t="shared" si="27"/>
        <v>6.0000000000000001E-3</v>
      </c>
      <c r="H235" s="2571">
        <f t="shared" si="25"/>
        <v>1</v>
      </c>
      <c r="I235" s="224"/>
    </row>
    <row r="236" spans="1:9" ht="15" customHeight="1">
      <c r="A236" s="3262" t="s">
        <v>59</v>
      </c>
      <c r="B236" s="142" t="s">
        <v>34</v>
      </c>
      <c r="C236" s="31">
        <v>92.869</v>
      </c>
      <c r="D236" s="17"/>
      <c r="E236" s="31">
        <f t="shared" si="26"/>
        <v>1158.2709999999997</v>
      </c>
      <c r="F236" s="120">
        <f>+SUM('RAE Anchoveta'!B213:B216)</f>
        <v>216.637</v>
      </c>
      <c r="G236" s="120">
        <f t="shared" si="27"/>
        <v>941.63399999999979</v>
      </c>
      <c r="H236" s="2571">
        <f t="shared" si="25"/>
        <v>0.81296518690358299</v>
      </c>
      <c r="I236" s="224"/>
    </row>
    <row r="237" spans="1:9" ht="15" customHeight="1">
      <c r="A237" s="152" t="s">
        <v>103</v>
      </c>
      <c r="B237" s="142" t="s">
        <v>34</v>
      </c>
      <c r="C237" s="31">
        <v>0</v>
      </c>
      <c r="D237" s="31"/>
      <c r="E237" s="31">
        <f t="shared" si="26"/>
        <v>8.0000000000000002E-3</v>
      </c>
      <c r="F237" s="150">
        <f>+SUM('RAE Anchoveta'!B229:B232)</f>
        <v>0</v>
      </c>
      <c r="G237" s="150">
        <f t="shared" si="27"/>
        <v>8.0000000000000002E-3</v>
      </c>
      <c r="H237" s="2571">
        <f t="shared" si="25"/>
        <v>1</v>
      </c>
      <c r="I237" s="224"/>
    </row>
    <row r="238" spans="1:9" ht="15" customHeight="1">
      <c r="A238" s="152" t="s">
        <v>104</v>
      </c>
      <c r="B238" s="142" t="s">
        <v>34</v>
      </c>
      <c r="C238" s="31">
        <v>2E-3</v>
      </c>
      <c r="D238" s="31"/>
      <c r="E238" s="31">
        <f t="shared" si="26"/>
        <v>3.4000000000000002E-2</v>
      </c>
      <c r="F238" s="150">
        <f>+SUM('RAE Anchoveta'!B245:B248)</f>
        <v>0</v>
      </c>
      <c r="G238" s="150">
        <f t="shared" si="27"/>
        <v>3.4000000000000002E-2</v>
      </c>
      <c r="H238" s="2571">
        <f t="shared" si="25"/>
        <v>1</v>
      </c>
      <c r="I238" s="224"/>
    </row>
    <row r="239" spans="1:9" ht="15" customHeight="1">
      <c r="A239" s="152" t="s">
        <v>105</v>
      </c>
      <c r="B239" s="142" t="s">
        <v>34</v>
      </c>
      <c r="C239" s="31">
        <v>0</v>
      </c>
      <c r="D239" s="31"/>
      <c r="E239" s="31">
        <f t="shared" si="26"/>
        <v>1E-3</v>
      </c>
      <c r="F239" s="150">
        <f>+SUM('RAE Anchoveta'!B261:B264)</f>
        <v>0</v>
      </c>
      <c r="G239" s="150">
        <f t="shared" si="27"/>
        <v>1E-3</v>
      </c>
      <c r="H239" s="2571">
        <f t="shared" si="25"/>
        <v>1</v>
      </c>
      <c r="I239" s="224"/>
    </row>
    <row r="240" spans="1:9" ht="15" customHeight="1">
      <c r="A240" s="152" t="s">
        <v>106</v>
      </c>
      <c r="B240" s="142" t="s">
        <v>34</v>
      </c>
      <c r="C240" s="31">
        <v>3.0000000000000001E-3</v>
      </c>
      <c r="D240" s="31"/>
      <c r="E240" s="31">
        <f t="shared" si="26"/>
        <v>6.7000000000000004E-2</v>
      </c>
      <c r="F240" s="150">
        <f>+SUM('RAE Anchoveta'!B277:B280)</f>
        <v>0</v>
      </c>
      <c r="G240" s="150">
        <f t="shared" si="27"/>
        <v>6.7000000000000004E-2</v>
      </c>
      <c r="H240" s="2571">
        <f t="shared" si="25"/>
        <v>1</v>
      </c>
      <c r="I240" s="224"/>
    </row>
    <row r="241" spans="1:14" ht="15" customHeight="1">
      <c r="A241" s="152" t="s">
        <v>107</v>
      </c>
      <c r="B241" s="142" t="s">
        <v>34</v>
      </c>
      <c r="C241" s="31">
        <v>5.8959999999999999</v>
      </c>
      <c r="D241" s="17"/>
      <c r="E241" s="31">
        <f t="shared" si="26"/>
        <v>95.31</v>
      </c>
      <c r="F241" s="120">
        <f>+SUM('RAE Anchoveta'!B293:B296)</f>
        <v>0</v>
      </c>
      <c r="G241" s="120">
        <f t="shared" si="27"/>
        <v>95.31</v>
      </c>
      <c r="H241" s="2571">
        <f t="shared" si="25"/>
        <v>1</v>
      </c>
      <c r="I241" s="224"/>
    </row>
    <row r="242" spans="1:14" ht="15" customHeight="1">
      <c r="A242" s="152" t="s">
        <v>108</v>
      </c>
      <c r="B242" s="142" t="s">
        <v>34</v>
      </c>
      <c r="C242" s="31">
        <v>0</v>
      </c>
      <c r="D242" s="113"/>
      <c r="E242" s="31">
        <f t="shared" si="26"/>
        <v>1E-3</v>
      </c>
      <c r="F242" s="151">
        <f>+SUM('RAE Anchoveta'!B309:B312)</f>
        <v>0</v>
      </c>
      <c r="G242" s="151">
        <f t="shared" si="27"/>
        <v>1E-3</v>
      </c>
      <c r="H242" s="2571">
        <f t="shared" si="25"/>
        <v>1</v>
      </c>
      <c r="I242" s="224"/>
    </row>
    <row r="243" spans="1:14" ht="15" customHeight="1">
      <c r="A243" s="152" t="s">
        <v>109</v>
      </c>
      <c r="B243" s="142" t="s">
        <v>34</v>
      </c>
      <c r="C243" s="31">
        <v>2E-3</v>
      </c>
      <c r="D243" s="31"/>
      <c r="E243" s="31">
        <f t="shared" si="26"/>
        <v>3.4000000000000002E-2</v>
      </c>
      <c r="F243" s="150">
        <f>+SUM('RAE Anchoveta'!B325:B328)</f>
        <v>0</v>
      </c>
      <c r="G243" s="150">
        <f t="shared" si="27"/>
        <v>3.4000000000000002E-2</v>
      </c>
      <c r="H243" s="2571">
        <f t="shared" si="25"/>
        <v>1</v>
      </c>
      <c r="I243" s="224"/>
    </row>
    <row r="244" spans="1:14" ht="15" customHeight="1">
      <c r="A244" s="1779" t="s">
        <v>125</v>
      </c>
      <c r="B244" s="142" t="s">
        <v>34</v>
      </c>
      <c r="C244" s="31">
        <v>33.744999999999997</v>
      </c>
      <c r="D244" s="17"/>
      <c r="E244" s="31">
        <f t="shared" si="26"/>
        <v>290.96799999999996</v>
      </c>
      <c r="F244" s="120">
        <f>+SUM('RAE Anchoveta'!B341:B344)</f>
        <v>51.243000000000002</v>
      </c>
      <c r="G244" s="120">
        <f t="shared" si="27"/>
        <v>239.72499999999997</v>
      </c>
      <c r="H244" s="2571">
        <f t="shared" si="25"/>
        <v>0.8238878502103324</v>
      </c>
      <c r="I244" s="224"/>
    </row>
    <row r="245" spans="1:14" ht="15" customHeight="1">
      <c r="A245" s="152" t="s">
        <v>126</v>
      </c>
      <c r="B245" s="142" t="s">
        <v>34</v>
      </c>
      <c r="C245" s="31">
        <v>50.942</v>
      </c>
      <c r="D245" s="17"/>
      <c r="E245" s="31">
        <f t="shared" si="26"/>
        <v>894.41999999999985</v>
      </c>
      <c r="F245" s="120">
        <f>+SUM('RAE Anchoveta'!B357:B360)</f>
        <v>0</v>
      </c>
      <c r="G245" s="120">
        <f t="shared" si="27"/>
        <v>894.41999999999985</v>
      </c>
      <c r="H245" s="2571">
        <f t="shared" si="25"/>
        <v>1</v>
      </c>
      <c r="I245" s="1114"/>
    </row>
    <row r="246" spans="1:14" ht="15" customHeight="1">
      <c r="A246" s="152" t="s">
        <v>127</v>
      </c>
      <c r="B246" s="142" t="s">
        <v>34</v>
      </c>
      <c r="C246" s="31">
        <v>0</v>
      </c>
      <c r="D246" s="31"/>
      <c r="E246" s="31">
        <f t="shared" si="26"/>
        <v>6.0000000000000001E-3</v>
      </c>
      <c r="F246" s="150">
        <f>+SUM('RAE Anchoveta'!B373:B376)</f>
        <v>0</v>
      </c>
      <c r="G246" s="150">
        <f t="shared" si="27"/>
        <v>6.0000000000000001E-3</v>
      </c>
      <c r="H246" s="2571">
        <f t="shared" si="25"/>
        <v>1</v>
      </c>
      <c r="I246" s="224"/>
    </row>
    <row r="247" spans="1:14" ht="15" customHeight="1">
      <c r="A247" s="152" t="s">
        <v>128</v>
      </c>
      <c r="B247" s="142" t="s">
        <v>34</v>
      </c>
      <c r="C247" s="31">
        <v>0</v>
      </c>
      <c r="D247" s="31"/>
      <c r="E247" s="31">
        <f t="shared" si="26"/>
        <v>1E-3</v>
      </c>
      <c r="F247" s="150">
        <f>+SUM('RAE Anchoveta'!B389:B392)</f>
        <v>0</v>
      </c>
      <c r="G247" s="150">
        <f t="shared" si="27"/>
        <v>1E-3</v>
      </c>
      <c r="H247" s="2571">
        <f t="shared" si="25"/>
        <v>1</v>
      </c>
      <c r="I247" s="224"/>
    </row>
    <row r="248" spans="1:14" ht="15" customHeight="1">
      <c r="A248" s="152" t="s">
        <v>60</v>
      </c>
      <c r="B248" s="142" t="s">
        <v>34</v>
      </c>
      <c r="C248" s="31">
        <v>2E-3</v>
      </c>
      <c r="D248" s="31"/>
      <c r="E248" s="31">
        <f t="shared" si="26"/>
        <v>4.4999999999999998E-2</v>
      </c>
      <c r="F248" s="150">
        <f>+SUM('RAE Anchoveta'!B405:B408)</f>
        <v>0.02</v>
      </c>
      <c r="G248" s="150">
        <f t="shared" si="27"/>
        <v>2.4999999999999998E-2</v>
      </c>
      <c r="H248" s="2571">
        <f t="shared" si="25"/>
        <v>0.55555555555555558</v>
      </c>
      <c r="I248" s="224"/>
    </row>
    <row r="249" spans="1:14" ht="15" customHeight="1">
      <c r="A249" s="20" t="s">
        <v>52</v>
      </c>
      <c r="B249" s="37" t="s">
        <v>34</v>
      </c>
      <c r="C249" s="138">
        <f>SUM(C232:C248)</f>
        <v>338.99799999999999</v>
      </c>
      <c r="D249" s="138"/>
      <c r="E249" s="138">
        <f>SUM(E232:E248)</f>
        <v>4592.415</v>
      </c>
      <c r="F249" s="138">
        <f>SUM(F232:F248)</f>
        <v>570.529</v>
      </c>
      <c r="G249" s="138">
        <f>+E249-F2062</f>
        <v>4592.415</v>
      </c>
      <c r="H249" s="11"/>
      <c r="I249" s="255"/>
    </row>
    <row r="250" spans="1:14" ht="15" customHeight="1">
      <c r="A250" s="25"/>
      <c r="B250" s="26"/>
      <c r="C250" s="23"/>
      <c r="D250" s="23"/>
      <c r="E250" s="23"/>
      <c r="F250" s="38"/>
      <c r="G250" s="24"/>
      <c r="H250" s="11"/>
      <c r="I250" s="255"/>
      <c r="M250" s="1308"/>
    </row>
    <row r="251" spans="1:14" ht="15" customHeight="1">
      <c r="A251" s="3567" t="s">
        <v>61</v>
      </c>
      <c r="B251" s="3568"/>
      <c r="C251" s="23"/>
      <c r="D251" s="23"/>
      <c r="E251" s="23"/>
      <c r="F251" s="38"/>
      <c r="G251" s="24"/>
      <c r="H251" s="11"/>
      <c r="I251" s="255"/>
      <c r="M251" s="1736"/>
      <c r="N251" s="169"/>
    </row>
    <row r="252" spans="1:14" ht="5.0999999999999996" customHeight="1">
      <c r="A252" s="22"/>
      <c r="B252" s="8"/>
      <c r="C252" s="23"/>
      <c r="D252" s="23"/>
      <c r="E252" s="23"/>
      <c r="F252" s="24"/>
      <c r="G252" s="24"/>
      <c r="H252" s="32"/>
      <c r="I252" s="255"/>
      <c r="M252" s="1737"/>
      <c r="N252" s="169"/>
    </row>
    <row r="253" spans="1:14" ht="15" customHeight="1">
      <c r="A253" s="88" t="s">
        <v>47</v>
      </c>
      <c r="B253" s="88" t="s">
        <v>48</v>
      </c>
      <c r="C253" s="93" t="s">
        <v>49</v>
      </c>
      <c r="D253" s="93" t="s">
        <v>316</v>
      </c>
      <c r="E253" s="93" t="s">
        <v>50</v>
      </c>
      <c r="F253" s="88" t="s">
        <v>20</v>
      </c>
      <c r="G253" s="88" t="s">
        <v>21</v>
      </c>
      <c r="H253" s="88" t="s">
        <v>51</v>
      </c>
      <c r="I253" s="256" t="s">
        <v>23</v>
      </c>
      <c r="M253" s="1736"/>
      <c r="N253" s="169"/>
    </row>
    <row r="254" spans="1:14" ht="15" customHeight="1">
      <c r="A254" s="2109" t="s">
        <v>62</v>
      </c>
      <c r="B254" s="117" t="s">
        <v>38</v>
      </c>
      <c r="C254" s="113">
        <v>57.19</v>
      </c>
      <c r="D254" s="19"/>
      <c r="E254" s="19">
        <f>+C254</f>
        <v>57.19</v>
      </c>
      <c r="F254" s="3255">
        <f>+SUM('RAE Anchoveta'!B415:B420)</f>
        <v>0</v>
      </c>
      <c r="G254" s="29">
        <f>+E254-F254</f>
        <v>57.19</v>
      </c>
      <c r="H254" s="2571">
        <f t="shared" ref="H254:H264" si="28">1-+F254/E254</f>
        <v>1</v>
      </c>
      <c r="I254" s="224"/>
      <c r="M254" s="1502"/>
      <c r="N254" s="1455"/>
    </row>
    <row r="255" spans="1:14" s="1919" customFormat="1" ht="15" customHeight="1">
      <c r="A255" s="2109" t="s">
        <v>594</v>
      </c>
      <c r="B255" s="117" t="s">
        <v>38</v>
      </c>
      <c r="C255" s="113">
        <v>636.26099999999997</v>
      </c>
      <c r="D255" s="19"/>
      <c r="E255" s="19">
        <f t="shared" ref="E255:E265" si="29">+C255</f>
        <v>636.26099999999997</v>
      </c>
      <c r="F255" s="3255">
        <f>+SUM('RAE Anchoveta'!B431:B436)</f>
        <v>84.588999999999999</v>
      </c>
      <c r="G255" s="29">
        <f t="shared" ref="G255:G265" si="30">+E255-F255</f>
        <v>551.67200000000003</v>
      </c>
      <c r="H255" s="2571">
        <f t="shared" si="28"/>
        <v>0.86705298611733239</v>
      </c>
      <c r="I255" s="224"/>
      <c r="M255" s="1502"/>
      <c r="N255" s="1455"/>
    </row>
    <row r="256" spans="1:14" ht="15" customHeight="1">
      <c r="A256" s="2109" t="s">
        <v>526</v>
      </c>
      <c r="B256" s="117" t="s">
        <v>38</v>
      </c>
      <c r="C256" s="113">
        <v>1136.2170000000001</v>
      </c>
      <c r="D256" s="19"/>
      <c r="E256" s="19">
        <f>+C256</f>
        <v>1136.2170000000001</v>
      </c>
      <c r="F256" s="3255">
        <f>+SUM('RAE Anchoveta'!B447:B452)</f>
        <v>0</v>
      </c>
      <c r="G256" s="29">
        <f t="shared" si="30"/>
        <v>1136.2170000000001</v>
      </c>
      <c r="H256" s="2571">
        <f t="shared" si="28"/>
        <v>1</v>
      </c>
      <c r="I256" s="224"/>
      <c r="M256" s="791"/>
      <c r="N256" s="1455"/>
    </row>
    <row r="257" spans="1:14" s="1919" customFormat="1" ht="15" customHeight="1">
      <c r="A257" s="2109" t="s">
        <v>595</v>
      </c>
      <c r="B257" s="117" t="s">
        <v>38</v>
      </c>
      <c r="C257" s="113">
        <v>318.27800000000002</v>
      </c>
      <c r="D257" s="19"/>
      <c r="E257" s="19">
        <f t="shared" si="29"/>
        <v>318.27800000000002</v>
      </c>
      <c r="F257" s="3255">
        <f>+SUM('RAE Anchoveta'!B463:B468)</f>
        <v>0</v>
      </c>
      <c r="G257" s="29">
        <f t="shared" si="30"/>
        <v>318.27800000000002</v>
      </c>
      <c r="H257" s="2571">
        <f t="shared" si="28"/>
        <v>1</v>
      </c>
      <c r="I257" s="224"/>
      <c r="M257" s="791"/>
      <c r="N257" s="1455"/>
    </row>
    <row r="258" spans="1:14" ht="15" customHeight="1">
      <c r="A258" s="2109" t="s">
        <v>63</v>
      </c>
      <c r="B258" s="117" t="s">
        <v>38</v>
      </c>
      <c r="C258" s="113">
        <v>143.68700000000001</v>
      </c>
      <c r="D258" s="19"/>
      <c r="E258" s="19">
        <f t="shared" si="29"/>
        <v>143.68700000000001</v>
      </c>
      <c r="F258" s="3255">
        <f>+SUM('RAE Anchoveta'!B479:B484)</f>
        <v>1.1779999999999999</v>
      </c>
      <c r="G258" s="29">
        <f t="shared" si="30"/>
        <v>142.50900000000001</v>
      </c>
      <c r="H258" s="2571">
        <f t="shared" si="28"/>
        <v>0.99180162436406916</v>
      </c>
      <c r="I258" s="224"/>
      <c r="M258" s="791"/>
      <c r="N258" s="1455"/>
    </row>
    <row r="259" spans="1:14" ht="15" customHeight="1">
      <c r="A259" s="2109" t="s">
        <v>614</v>
      </c>
      <c r="B259" s="117" t="s">
        <v>38</v>
      </c>
      <c r="C259" s="113">
        <v>2.3220000000000001</v>
      </c>
      <c r="D259" s="31"/>
      <c r="E259" s="19">
        <f t="shared" si="29"/>
        <v>2.3220000000000001</v>
      </c>
      <c r="F259" s="3255">
        <f>+SUM('RAE Anchoveta'!B527:B532)</f>
        <v>0</v>
      </c>
      <c r="G259" s="29">
        <f t="shared" si="30"/>
        <v>2.3220000000000001</v>
      </c>
      <c r="H259" s="2571">
        <f t="shared" si="28"/>
        <v>1</v>
      </c>
      <c r="I259" s="224"/>
      <c r="M259" s="791"/>
      <c r="N259" s="1456"/>
    </row>
    <row r="260" spans="1:14" ht="15" customHeight="1">
      <c r="A260" s="2110" t="s">
        <v>529</v>
      </c>
      <c r="B260" s="117" t="s">
        <v>38</v>
      </c>
      <c r="C260" s="113">
        <v>0</v>
      </c>
      <c r="D260" s="19"/>
      <c r="E260" s="19">
        <f t="shared" si="29"/>
        <v>0</v>
      </c>
      <c r="F260" s="3255">
        <f>+SUM('RAE Anchoveta'!B559:B564)</f>
        <v>0</v>
      </c>
      <c r="G260" s="29">
        <f t="shared" si="30"/>
        <v>0</v>
      </c>
      <c r="H260" s="2571" t="e">
        <f t="shared" si="28"/>
        <v>#DIV/0!</v>
      </c>
      <c r="I260" s="224"/>
      <c r="M260" s="791"/>
      <c r="N260" s="1455"/>
    </row>
    <row r="261" spans="1:14" ht="15" customHeight="1">
      <c r="A261" s="2109" t="s">
        <v>64</v>
      </c>
      <c r="B261" s="117" t="s">
        <v>38</v>
      </c>
      <c r="C261" s="113">
        <v>393.95699999999999</v>
      </c>
      <c r="D261" s="19"/>
      <c r="E261" s="19">
        <f t="shared" si="29"/>
        <v>393.95699999999999</v>
      </c>
      <c r="F261" s="3255">
        <f>+SUM('RAE Anchoveta'!B495:B500)</f>
        <v>0</v>
      </c>
      <c r="G261" s="29">
        <f t="shared" si="30"/>
        <v>393.95699999999999</v>
      </c>
      <c r="H261" s="2571">
        <f t="shared" si="28"/>
        <v>1</v>
      </c>
      <c r="I261" s="224"/>
      <c r="M261" s="791"/>
      <c r="N261" s="1457"/>
    </row>
    <row r="262" spans="1:14" ht="15" customHeight="1">
      <c r="A262" s="2109" t="s">
        <v>527</v>
      </c>
      <c r="B262" s="117" t="s">
        <v>38</v>
      </c>
      <c r="C262" s="113">
        <v>8.1679999999999993</v>
      </c>
      <c r="D262" s="19"/>
      <c r="E262" s="19">
        <f t="shared" si="29"/>
        <v>8.1679999999999993</v>
      </c>
      <c r="F262" s="3255">
        <f>+SUM('RAE Anchoveta'!B511:B516)</f>
        <v>0</v>
      </c>
      <c r="G262" s="29">
        <f t="shared" si="30"/>
        <v>8.1679999999999993</v>
      </c>
      <c r="H262" s="2571">
        <f t="shared" si="28"/>
        <v>1</v>
      </c>
      <c r="I262" s="224"/>
      <c r="M262" s="791"/>
      <c r="N262" s="1457"/>
    </row>
    <row r="263" spans="1:14" ht="15" customHeight="1">
      <c r="A263" s="2109" t="s">
        <v>528</v>
      </c>
      <c r="B263" s="117" t="s">
        <v>38</v>
      </c>
      <c r="C263" s="113">
        <v>0</v>
      </c>
      <c r="D263" s="19"/>
      <c r="E263" s="19">
        <f t="shared" si="29"/>
        <v>0</v>
      </c>
      <c r="F263" s="3255">
        <f>+SUM('RAE Anchoveta'!B575:B580)</f>
        <v>0</v>
      </c>
      <c r="G263" s="29">
        <f t="shared" si="30"/>
        <v>0</v>
      </c>
      <c r="H263" s="2571" t="e">
        <f t="shared" si="28"/>
        <v>#DIV/0!</v>
      </c>
      <c r="I263" s="224"/>
      <c r="K263" s="1311"/>
      <c r="M263" s="791"/>
      <c r="N263" s="1457"/>
    </row>
    <row r="264" spans="1:14" ht="15" customHeight="1">
      <c r="A264" s="2109" t="s">
        <v>123</v>
      </c>
      <c r="B264" s="117" t="s">
        <v>38</v>
      </c>
      <c r="C264" s="113">
        <v>609.125</v>
      </c>
      <c r="D264" s="19"/>
      <c r="E264" s="19">
        <f t="shared" si="29"/>
        <v>609.125</v>
      </c>
      <c r="F264" s="3255">
        <f>+SUM('RAE Anchoveta'!B591:B596)</f>
        <v>0</v>
      </c>
      <c r="G264" s="29">
        <f t="shared" si="30"/>
        <v>609.125</v>
      </c>
      <c r="H264" s="2571">
        <f t="shared" si="28"/>
        <v>1</v>
      </c>
      <c r="I264" s="224"/>
      <c r="M264" s="791"/>
      <c r="N264" s="1458"/>
    </row>
    <row r="265" spans="1:14" ht="15" customHeight="1">
      <c r="A265" s="2109" t="s">
        <v>60</v>
      </c>
      <c r="B265" s="117" t="s">
        <v>38</v>
      </c>
      <c r="C265" s="113">
        <v>32.795999999999999</v>
      </c>
      <c r="D265" s="19"/>
      <c r="E265" s="19">
        <f t="shared" si="29"/>
        <v>32.795999999999999</v>
      </c>
      <c r="F265" s="3255">
        <f>+SUM('RAE Anchoveta'!B543:B548)</f>
        <v>10.945999999999998</v>
      </c>
      <c r="G265" s="29">
        <f t="shared" si="30"/>
        <v>21.85</v>
      </c>
      <c r="H265" s="2571">
        <f t="shared" ref="H265" si="31">+F265/E265</f>
        <v>0.33376021466032435</v>
      </c>
      <c r="I265" s="214"/>
      <c r="M265" s="791"/>
      <c r="N265" s="1457"/>
    </row>
    <row r="266" spans="1:14" ht="15" customHeight="1">
      <c r="A266" s="20" t="s">
        <v>52</v>
      </c>
      <c r="B266" s="20" t="s">
        <v>38</v>
      </c>
      <c r="C266" s="145">
        <f>SUM(C254:C265)</f>
        <v>3338.0009999999997</v>
      </c>
      <c r="D266" s="145"/>
      <c r="E266" s="145">
        <f>SUM(E254:E265)</f>
        <v>3338.0009999999997</v>
      </c>
      <c r="F266" s="145">
        <f>SUM(F254:F265)</f>
        <v>96.712999999999994</v>
      </c>
      <c r="G266" s="21">
        <f>+E266-F266</f>
        <v>3241.2879999999996</v>
      </c>
      <c r="H266" s="32"/>
      <c r="I266" s="255"/>
      <c r="M266" s="791"/>
      <c r="N266" s="169"/>
    </row>
    <row r="267" spans="1:14" ht="5.0999999999999996" customHeight="1">
      <c r="A267" s="22"/>
      <c r="B267" s="8"/>
      <c r="C267" s="23"/>
      <c r="D267" s="23"/>
      <c r="E267" s="23"/>
      <c r="F267" s="24"/>
      <c r="G267" s="24"/>
      <c r="H267" s="32"/>
      <c r="I267" s="255"/>
      <c r="M267" s="169"/>
      <c r="N267" s="169"/>
    </row>
    <row r="268" spans="1:14" ht="15" customHeight="1">
      <c r="A268" s="88" t="s">
        <v>47</v>
      </c>
      <c r="B268" s="88" t="s">
        <v>48</v>
      </c>
      <c r="C268" s="93" t="s">
        <v>49</v>
      </c>
      <c r="D268" s="93" t="s">
        <v>316</v>
      </c>
      <c r="E268" s="93" t="s">
        <v>50</v>
      </c>
      <c r="F268" s="88" t="s">
        <v>20</v>
      </c>
      <c r="G268" s="88" t="s">
        <v>21</v>
      </c>
      <c r="H268" s="88" t="s">
        <v>51</v>
      </c>
      <c r="I268" s="256" t="s">
        <v>23</v>
      </c>
      <c r="M268" s="169"/>
      <c r="N268" s="169"/>
    </row>
    <row r="269" spans="1:14" ht="15" customHeight="1">
      <c r="A269" s="16" t="s">
        <v>62</v>
      </c>
      <c r="B269" s="142" t="s">
        <v>39</v>
      </c>
      <c r="C269" s="113">
        <v>14.305999999999999</v>
      </c>
      <c r="D269" s="19"/>
      <c r="E269" s="19">
        <f>+C269+G254</f>
        <v>71.495999999999995</v>
      </c>
      <c r="F269" s="18">
        <f>+SUM('RAE Anchoveta'!B421:B426)</f>
        <v>0</v>
      </c>
      <c r="G269" s="18">
        <f>+E269-F269</f>
        <v>71.495999999999995</v>
      </c>
      <c r="H269" s="2571">
        <f t="shared" ref="H269:H280" si="32">1-+F269/E269</f>
        <v>1</v>
      </c>
      <c r="I269" s="257"/>
      <c r="J269" s="103">
        <f>+F254+F269</f>
        <v>0</v>
      </c>
      <c r="M269" s="169"/>
      <c r="N269" s="1455"/>
    </row>
    <row r="270" spans="1:14" s="1919" customFormat="1" ht="15" customHeight="1">
      <c r="A270" s="1779" t="s">
        <v>594</v>
      </c>
      <c r="B270" s="142" t="s">
        <v>39</v>
      </c>
      <c r="C270" s="113">
        <v>159.161</v>
      </c>
      <c r="D270" s="19"/>
      <c r="E270" s="19">
        <f t="shared" ref="E270:E272" si="33">+C270+G255</f>
        <v>710.83300000000008</v>
      </c>
      <c r="F270" s="18">
        <f>+SUM('RAE Anchoveta'!B437:B442)</f>
        <v>48.386000000000003</v>
      </c>
      <c r="G270" s="18">
        <f t="shared" ref="G270:G275" si="34">+E270-F270</f>
        <v>662.44700000000012</v>
      </c>
      <c r="H270" s="2571">
        <f t="shared" si="32"/>
        <v>0.93193056596978474</v>
      </c>
      <c r="I270" s="257"/>
      <c r="J270" s="103">
        <f t="shared" ref="J270:J280" si="35">+F255+F270</f>
        <v>132.97499999999999</v>
      </c>
      <c r="M270" s="169"/>
      <c r="N270" s="1455"/>
    </row>
    <row r="271" spans="1:14" ht="15" customHeight="1">
      <c r="A271" s="16" t="s">
        <v>526</v>
      </c>
      <c r="B271" s="142" t="s">
        <v>39</v>
      </c>
      <c r="C271" s="113">
        <v>284.22399999999999</v>
      </c>
      <c r="D271" s="19"/>
      <c r="E271" s="19">
        <f t="shared" si="33"/>
        <v>1420.441</v>
      </c>
      <c r="F271" s="18">
        <f>+SUM('RAE Anchoveta'!B453:B458)</f>
        <v>9.77</v>
      </c>
      <c r="G271" s="18">
        <f t="shared" si="34"/>
        <v>1410.671</v>
      </c>
      <c r="H271" s="2571">
        <f t="shared" si="32"/>
        <v>0.99312185441000367</v>
      </c>
      <c r="I271" s="257"/>
      <c r="J271" s="103">
        <f t="shared" si="35"/>
        <v>9.77</v>
      </c>
      <c r="M271" s="169"/>
      <c r="N271" s="1455"/>
    </row>
    <row r="272" spans="1:14" s="1919" customFormat="1" ht="15" customHeight="1">
      <c r="A272" s="1779" t="s">
        <v>595</v>
      </c>
      <c r="B272" s="142" t="s">
        <v>39</v>
      </c>
      <c r="C272" s="113">
        <v>79.617000000000004</v>
      </c>
      <c r="D272" s="19"/>
      <c r="E272" s="19">
        <f t="shared" si="33"/>
        <v>397.89500000000004</v>
      </c>
      <c r="F272" s="18">
        <f>+SUM('RAE Anchoveta'!B469:B474)</f>
        <v>9.9239999999999995</v>
      </c>
      <c r="G272" s="18">
        <f t="shared" si="34"/>
        <v>387.97100000000006</v>
      </c>
      <c r="H272" s="2571">
        <f t="shared" si="32"/>
        <v>0.97505874665426806</v>
      </c>
      <c r="I272" s="257"/>
      <c r="J272" s="103">
        <f t="shared" si="35"/>
        <v>9.9239999999999995</v>
      </c>
      <c r="M272" s="169"/>
      <c r="N272" s="1455"/>
    </row>
    <row r="273" spans="1:14" ht="15" customHeight="1">
      <c r="A273" s="1476" t="s">
        <v>63</v>
      </c>
      <c r="B273" s="142" t="s">
        <v>39</v>
      </c>
      <c r="C273" s="113">
        <v>35.942999999999998</v>
      </c>
      <c r="D273" s="19"/>
      <c r="E273" s="19">
        <f t="shared" ref="E273:E281" si="36">+C273+G258</f>
        <v>178.452</v>
      </c>
      <c r="F273" s="18">
        <f>+SUM('RAE Anchoveta'!B485:B490)</f>
        <v>0</v>
      </c>
      <c r="G273" s="18">
        <f t="shared" si="34"/>
        <v>178.452</v>
      </c>
      <c r="H273" s="2571">
        <f t="shared" si="32"/>
        <v>1</v>
      </c>
      <c r="I273" s="224"/>
      <c r="J273" s="103">
        <f t="shared" si="35"/>
        <v>1.1779999999999999</v>
      </c>
      <c r="M273" s="169"/>
      <c r="N273" s="1455"/>
    </row>
    <row r="274" spans="1:14" ht="15" customHeight="1">
      <c r="A274" s="16" t="s">
        <v>530</v>
      </c>
      <c r="B274" s="142" t="s">
        <v>39</v>
      </c>
      <c r="C274" s="113">
        <v>0.58099999999999996</v>
      </c>
      <c r="D274" s="113"/>
      <c r="E274" s="19">
        <f t="shared" si="36"/>
        <v>2.903</v>
      </c>
      <c r="F274" s="18">
        <f>+SUM('RAE Anchoveta'!B533:B538)</f>
        <v>0</v>
      </c>
      <c r="G274" s="18">
        <f t="shared" si="34"/>
        <v>2.903</v>
      </c>
      <c r="H274" s="2571">
        <f t="shared" si="32"/>
        <v>1</v>
      </c>
      <c r="I274" s="224"/>
      <c r="J274" s="103">
        <f t="shared" si="35"/>
        <v>0</v>
      </c>
      <c r="M274" s="169"/>
      <c r="N274" s="1456"/>
    </row>
    <row r="275" spans="1:14" ht="15" customHeight="1">
      <c r="A275" s="77" t="s">
        <v>529</v>
      </c>
      <c r="B275" s="142" t="s">
        <v>39</v>
      </c>
      <c r="C275" s="113">
        <v>0</v>
      </c>
      <c r="D275" s="19"/>
      <c r="E275" s="19">
        <f t="shared" si="36"/>
        <v>0</v>
      </c>
      <c r="F275" s="18">
        <f>+SUM('RAE Anchoveta'!B565:B570)</f>
        <v>0</v>
      </c>
      <c r="G275" s="18">
        <f t="shared" si="34"/>
        <v>0</v>
      </c>
      <c r="H275" s="2571" t="e">
        <f t="shared" si="32"/>
        <v>#DIV/0!</v>
      </c>
      <c r="I275" s="224"/>
      <c r="J275" s="103">
        <f t="shared" si="35"/>
        <v>0</v>
      </c>
      <c r="M275" s="169"/>
      <c r="N275" s="1455"/>
    </row>
    <row r="276" spans="1:14" ht="15" customHeight="1">
      <c r="A276" s="16" t="s">
        <v>64</v>
      </c>
      <c r="B276" s="142" t="s">
        <v>39</v>
      </c>
      <c r="C276" s="113">
        <v>98.548000000000002</v>
      </c>
      <c r="D276" s="19"/>
      <c r="E276" s="19">
        <f t="shared" si="36"/>
        <v>492.505</v>
      </c>
      <c r="F276" s="18">
        <f>+SUM('RAE Anchoveta'!B501:B506)</f>
        <v>3.3000000000000003</v>
      </c>
      <c r="G276" s="18">
        <f t="shared" ref="G276:G280" si="37">+E276-F276</f>
        <v>489.20499999999998</v>
      </c>
      <c r="H276" s="2571">
        <f t="shared" si="32"/>
        <v>0.99329956041055423</v>
      </c>
      <c r="I276" s="224"/>
      <c r="J276" s="103">
        <f t="shared" si="35"/>
        <v>3.3000000000000003</v>
      </c>
      <c r="M276" s="169"/>
      <c r="N276" s="1457"/>
    </row>
    <row r="277" spans="1:14" ht="15" customHeight="1">
      <c r="A277" s="16" t="s">
        <v>527</v>
      </c>
      <c r="B277" s="142" t="s">
        <v>39</v>
      </c>
      <c r="C277" s="113">
        <v>2.0430000000000001</v>
      </c>
      <c r="D277" s="19"/>
      <c r="E277" s="19">
        <f t="shared" si="36"/>
        <v>10.210999999999999</v>
      </c>
      <c r="F277" s="18">
        <f>+SUM('RAE Anchoveta'!B517:B522)</f>
        <v>0</v>
      </c>
      <c r="G277" s="18">
        <f t="shared" si="37"/>
        <v>10.210999999999999</v>
      </c>
      <c r="H277" s="2571">
        <f t="shared" si="32"/>
        <v>1</v>
      </c>
      <c r="I277" s="224"/>
      <c r="J277" s="103">
        <f t="shared" si="35"/>
        <v>0</v>
      </c>
      <c r="M277" s="169"/>
      <c r="N277" s="1457"/>
    </row>
    <row r="278" spans="1:14" ht="15" customHeight="1">
      <c r="A278" s="16" t="s">
        <v>528</v>
      </c>
      <c r="B278" s="142" t="s">
        <v>39</v>
      </c>
      <c r="C278" s="113">
        <v>0</v>
      </c>
      <c r="D278" s="19"/>
      <c r="E278" s="19">
        <f t="shared" si="36"/>
        <v>0</v>
      </c>
      <c r="F278" s="18">
        <f>+SUM('RAE Anchoveta'!B581:B586)</f>
        <v>0</v>
      </c>
      <c r="G278" s="18">
        <f t="shared" si="37"/>
        <v>0</v>
      </c>
      <c r="H278" s="2571" t="e">
        <f t="shared" si="32"/>
        <v>#DIV/0!</v>
      </c>
      <c r="I278" s="224"/>
      <c r="J278" s="103">
        <f t="shared" si="35"/>
        <v>0</v>
      </c>
      <c r="M278" s="169"/>
      <c r="N278" s="1457"/>
    </row>
    <row r="279" spans="1:14" ht="15" customHeight="1">
      <c r="A279" s="16" t="s">
        <v>123</v>
      </c>
      <c r="B279" s="142" t="s">
        <v>39</v>
      </c>
      <c r="C279" s="113">
        <v>152.37200000000001</v>
      </c>
      <c r="D279" s="19"/>
      <c r="E279" s="19">
        <f t="shared" si="36"/>
        <v>761.49700000000007</v>
      </c>
      <c r="F279" s="18">
        <f>+SUM('RAE Anchoveta'!B597:B602)</f>
        <v>420.85699999999997</v>
      </c>
      <c r="G279" s="18">
        <f t="shared" si="37"/>
        <v>340.6400000000001</v>
      </c>
      <c r="H279" s="2571">
        <f t="shared" si="32"/>
        <v>0.44732940510599528</v>
      </c>
      <c r="I279" s="224"/>
      <c r="J279" s="103">
        <f t="shared" si="35"/>
        <v>420.85699999999997</v>
      </c>
      <c r="M279" s="169"/>
      <c r="N279" s="1458"/>
    </row>
    <row r="280" spans="1:14" ht="15" customHeight="1">
      <c r="A280" s="16" t="s">
        <v>60</v>
      </c>
      <c r="B280" s="142" t="s">
        <v>39</v>
      </c>
      <c r="C280" s="113">
        <v>8.2040000000000006</v>
      </c>
      <c r="D280" s="19"/>
      <c r="E280" s="19">
        <f t="shared" si="36"/>
        <v>30.054000000000002</v>
      </c>
      <c r="F280" s="18">
        <f>+SUM('RAE Anchoveta'!B549:B554)</f>
        <v>4.5939999999999994</v>
      </c>
      <c r="G280" s="237">
        <f t="shared" si="37"/>
        <v>25.46</v>
      </c>
      <c r="H280" s="2571">
        <f t="shared" si="32"/>
        <v>0.84714181140613565</v>
      </c>
      <c r="I280" s="224"/>
      <c r="J280" s="103">
        <f t="shared" si="35"/>
        <v>15.539999999999997</v>
      </c>
      <c r="M280" s="169"/>
      <c r="N280" s="1457"/>
    </row>
    <row r="281" spans="1:14" ht="15" customHeight="1">
      <c r="A281" s="20" t="s">
        <v>52</v>
      </c>
      <c r="B281" s="37" t="s">
        <v>39</v>
      </c>
      <c r="C281" s="1924">
        <f>SUM(C269:C280)</f>
        <v>834.99900000000002</v>
      </c>
      <c r="D281" s="21"/>
      <c r="E281" s="21">
        <f t="shared" si="36"/>
        <v>4076.2869999999994</v>
      </c>
      <c r="F281" s="21">
        <f>SUM(F269:F280)</f>
        <v>496.83099999999996</v>
      </c>
      <c r="G281" s="21">
        <f>+E281-F281</f>
        <v>3579.4559999999992</v>
      </c>
      <c r="H281" s="32"/>
      <c r="I281" s="258"/>
      <c r="J281" s="3266">
        <f>SUM(J269:J280)</f>
        <v>593.54399999999998</v>
      </c>
    </row>
    <row r="282" spans="1:14">
      <c r="C282" s="232"/>
    </row>
  </sheetData>
  <mergeCells count="8">
    <mergeCell ref="A251:B251"/>
    <mergeCell ref="A2:I2"/>
    <mergeCell ref="A18:B18"/>
    <mergeCell ref="A55:B55"/>
    <mergeCell ref="A189:B189"/>
    <mergeCell ref="G55:H55"/>
    <mergeCell ref="A4:B4"/>
    <mergeCell ref="A35:B35"/>
  </mergeCells>
  <phoneticPr fontId="0" type="noConversion"/>
  <conditionalFormatting sqref="H13:H15 H192:H208 H121 H232:H248 H26:H27 H31:H32 H187 H38:H40 H44:H46 H50:H52 H7:H9 H212:H228 H21:H22">
    <cfRule type="cellIs" dxfId="241" priority="970" stopIfTrue="1" operator="lessThan">
      <formula>0</formula>
    </cfRule>
    <cfRule type="cellIs" dxfId="240" priority="972" stopIfTrue="1" operator="lessThan">
      <formula>0</formula>
    </cfRule>
  </conditionalFormatting>
  <conditionalFormatting sqref="H13:H15 H192:H208 H121 H232:H248 H26:H27 H31:H32 H187 H38:H40 H44:H46 H50:H52 H7:H9 H212:H228 H21:H22">
    <cfRule type="cellIs" dxfId="239" priority="923" stopIfTrue="1" operator="lessThan">
      <formula>0.05</formula>
    </cfRule>
  </conditionalFormatting>
  <conditionalFormatting sqref="H13 H7">
    <cfRule type="cellIs" dxfId="238" priority="875" stopIfTrue="1" operator="lessThan">
      <formula>0</formula>
    </cfRule>
    <cfRule type="cellIs" dxfId="237" priority="881" stopIfTrue="1" operator="lessThan">
      <formula>-0.01</formula>
    </cfRule>
    <cfRule type="cellIs" dxfId="236" priority="882" stopIfTrue="1" operator="lessThan">
      <formula>-0.01</formula>
    </cfRule>
    <cfRule type="cellIs" dxfId="235" priority="884" stopIfTrue="1" operator="lessThan">
      <formula>0</formula>
    </cfRule>
    <cfRule type="cellIs" dxfId="234" priority="885" stopIfTrue="1" operator="lessThan">
      <formula>0</formula>
    </cfRule>
  </conditionalFormatting>
  <conditionalFormatting sqref="H14:H15 H8:H9">
    <cfRule type="cellIs" dxfId="233" priority="877" stopIfTrue="1" operator="lessThan">
      <formula>-0.01</formula>
    </cfRule>
    <cfRule type="cellIs" dxfId="232" priority="878" stopIfTrue="1" operator="lessThan">
      <formula>-0.01</formula>
    </cfRule>
    <cfRule type="cellIs" dxfId="231" priority="879" stopIfTrue="1" operator="lessThan">
      <formula>0</formula>
    </cfRule>
    <cfRule type="cellIs" dxfId="230" priority="880" stopIfTrue="1" operator="lessThan">
      <formula>0</formula>
    </cfRule>
  </conditionalFormatting>
  <conditionalFormatting sqref="H8:H9">
    <cfRule type="cellIs" dxfId="229" priority="148" stopIfTrue="1" operator="lessThan">
      <formula>0</formula>
    </cfRule>
    <cfRule type="cellIs" dxfId="228" priority="149" stopIfTrue="1" operator="lessThan">
      <formula>0</formula>
    </cfRule>
    <cfRule type="cellIs" dxfId="227" priority="150" stopIfTrue="1" operator="lessThan">
      <formula>0</formula>
    </cfRule>
  </conditionalFormatting>
  <conditionalFormatting sqref="H58">
    <cfRule type="cellIs" dxfId="226" priority="138" operator="lessThan">
      <formula>0.05</formula>
    </cfRule>
    <cfRule type="cellIs" dxfId="225" priority="142" operator="lessThan">
      <formula>0.1</formula>
    </cfRule>
    <cfRule type="cellIs" dxfId="224" priority="145" operator="lessThan">
      <formula>0.2</formula>
    </cfRule>
    <cfRule type="cellIs" dxfId="223" priority="147" operator="lessThan">
      <formula>0.5</formula>
    </cfRule>
  </conditionalFormatting>
  <conditionalFormatting sqref="H59:H121">
    <cfRule type="cellIs" dxfId="222" priority="146" operator="lessThan">
      <formula>0.5</formula>
    </cfRule>
  </conditionalFormatting>
  <conditionalFormatting sqref="H59:H121">
    <cfRule type="cellIs" dxfId="221" priority="143" operator="lessThan">
      <formula>0.2</formula>
    </cfRule>
    <cfRule type="cellIs" dxfId="220" priority="144" operator="lessThan">
      <formula>0.5</formula>
    </cfRule>
  </conditionalFormatting>
  <conditionalFormatting sqref="H59:H121">
    <cfRule type="cellIs" dxfId="219" priority="139" operator="lessThan">
      <formula>0.1</formula>
    </cfRule>
    <cfRule type="cellIs" dxfId="218" priority="140" operator="lessThan">
      <formula>0.2</formula>
    </cfRule>
    <cfRule type="cellIs" dxfId="217" priority="141" operator="lessThan">
      <formula>0.5</formula>
    </cfRule>
  </conditionalFormatting>
  <conditionalFormatting sqref="H59:H121">
    <cfRule type="cellIs" dxfId="216" priority="134" operator="lessThan">
      <formula>0.05</formula>
    </cfRule>
    <cfRule type="cellIs" dxfId="215" priority="135" operator="lessThan">
      <formula>0.1</formula>
    </cfRule>
    <cfRule type="cellIs" dxfId="214" priority="136" operator="lessThan">
      <formula>0.2</formula>
    </cfRule>
    <cfRule type="cellIs" dxfId="213" priority="137" operator="lessThan">
      <formula>0.5</formula>
    </cfRule>
  </conditionalFormatting>
  <conditionalFormatting sqref="H124:H187">
    <cfRule type="cellIs" dxfId="212" priority="130" operator="lessThan">
      <formula>0.05</formula>
    </cfRule>
    <cfRule type="cellIs" dxfId="211" priority="131" operator="lessThan">
      <formula>0.1</formula>
    </cfRule>
    <cfRule type="cellIs" dxfId="210" priority="132" operator="lessThan">
      <formula>0.2</formula>
    </cfRule>
    <cfRule type="cellIs" dxfId="209" priority="133" operator="lessThan">
      <formula>0.5</formula>
    </cfRule>
  </conditionalFormatting>
  <conditionalFormatting sqref="H192:H208">
    <cfRule type="cellIs" dxfId="208" priority="126" operator="lessThan">
      <formula>0.05</formula>
    </cfRule>
    <cfRule type="cellIs" dxfId="207" priority="127" operator="lessThan">
      <formula>0.1</formula>
    </cfRule>
    <cfRule type="cellIs" dxfId="206" priority="128" operator="lessThan">
      <formula>0.2</formula>
    </cfRule>
    <cfRule type="cellIs" dxfId="205" priority="129" operator="lessThan">
      <formula>0.5</formula>
    </cfRule>
  </conditionalFormatting>
  <conditionalFormatting sqref="H212:H228">
    <cfRule type="cellIs" dxfId="204" priority="122" operator="lessThan">
      <formula>0.05</formula>
    </cfRule>
    <cfRule type="cellIs" dxfId="203" priority="123" operator="lessThan">
      <formula>0.1</formula>
    </cfRule>
    <cfRule type="cellIs" dxfId="202" priority="124" operator="lessThan">
      <formula>0.2</formula>
    </cfRule>
    <cfRule type="cellIs" dxfId="201" priority="125" operator="lessThan">
      <formula>0.5</formula>
    </cfRule>
  </conditionalFormatting>
  <conditionalFormatting sqref="H232:H248">
    <cfRule type="cellIs" dxfId="200" priority="121" operator="lessThan">
      <formula>0.5</formula>
    </cfRule>
  </conditionalFormatting>
  <conditionalFormatting sqref="H232:H248">
    <cfRule type="cellIs" dxfId="199" priority="119" operator="lessThan">
      <formula>0.2</formula>
    </cfRule>
    <cfRule type="cellIs" dxfId="198" priority="120" operator="lessThan">
      <formula>0.5</formula>
    </cfRule>
  </conditionalFormatting>
  <conditionalFormatting sqref="H232:H248">
    <cfRule type="cellIs" dxfId="197" priority="116" operator="lessThan">
      <formula>0.1</formula>
    </cfRule>
    <cfRule type="cellIs" dxfId="196" priority="117" operator="lessThan">
      <formula>0.2</formula>
    </cfRule>
    <cfRule type="cellIs" dxfId="195" priority="118" operator="lessThan">
      <formula>0.5</formula>
    </cfRule>
  </conditionalFormatting>
  <conditionalFormatting sqref="H232:H248">
    <cfRule type="cellIs" dxfId="194" priority="112" operator="lessThan">
      <formula>0.05</formula>
    </cfRule>
    <cfRule type="cellIs" dxfId="193" priority="113" operator="lessThan">
      <formula>0.1</formula>
    </cfRule>
    <cfRule type="cellIs" dxfId="192" priority="114" operator="lessThan">
      <formula>0.2</formula>
    </cfRule>
    <cfRule type="cellIs" dxfId="191" priority="115" operator="lessThan">
      <formula>0.5</formula>
    </cfRule>
  </conditionalFormatting>
  <conditionalFormatting sqref="H254:H265">
    <cfRule type="cellIs" dxfId="190" priority="110" stopIfTrue="1" operator="lessThan">
      <formula>0</formula>
    </cfRule>
    <cfRule type="cellIs" dxfId="189" priority="111" stopIfTrue="1" operator="lessThan">
      <formula>0</formula>
    </cfRule>
  </conditionalFormatting>
  <conditionalFormatting sqref="H254:H265">
    <cfRule type="cellIs" dxfId="188" priority="109" stopIfTrue="1" operator="lessThan">
      <formula>0.05</formula>
    </cfRule>
  </conditionalFormatting>
  <conditionalFormatting sqref="H254:H265">
    <cfRule type="cellIs" dxfId="187" priority="108" operator="lessThan">
      <formula>0.5</formula>
    </cfRule>
  </conditionalFormatting>
  <conditionalFormatting sqref="H254:H265">
    <cfRule type="cellIs" dxfId="186" priority="106" operator="lessThan">
      <formula>0.2</formula>
    </cfRule>
    <cfRule type="cellIs" dxfId="185" priority="107" operator="lessThan">
      <formula>0.5</formula>
    </cfRule>
  </conditionalFormatting>
  <conditionalFormatting sqref="H254:H265">
    <cfRule type="cellIs" dxfId="184" priority="103" operator="lessThan">
      <formula>0.1</formula>
    </cfRule>
    <cfRule type="cellIs" dxfId="183" priority="104" operator="lessThan">
      <formula>0.2</formula>
    </cfRule>
    <cfRule type="cellIs" dxfId="182" priority="105" operator="lessThan">
      <formula>0.5</formula>
    </cfRule>
  </conditionalFormatting>
  <conditionalFormatting sqref="H254:H265">
    <cfRule type="cellIs" dxfId="181" priority="99" operator="lessThan">
      <formula>0.05</formula>
    </cfRule>
    <cfRule type="cellIs" dxfId="180" priority="100" operator="lessThan">
      <formula>0.1</formula>
    </cfRule>
    <cfRule type="cellIs" dxfId="179" priority="101" operator="lessThan">
      <formula>0.2</formula>
    </cfRule>
    <cfRule type="cellIs" dxfId="178" priority="102" operator="lessThan">
      <formula>0.5</formula>
    </cfRule>
  </conditionalFormatting>
  <conditionalFormatting sqref="H254">
    <cfRule type="cellIs" dxfId="177" priority="97" stopIfTrue="1" operator="lessThan">
      <formula>0</formula>
    </cfRule>
    <cfRule type="cellIs" dxfId="176" priority="98" stopIfTrue="1" operator="lessThan">
      <formula>0</formula>
    </cfRule>
  </conditionalFormatting>
  <conditionalFormatting sqref="H254">
    <cfRule type="cellIs" dxfId="175" priority="96" stopIfTrue="1" operator="lessThan">
      <formula>0.05</formula>
    </cfRule>
  </conditionalFormatting>
  <conditionalFormatting sqref="H254">
    <cfRule type="cellIs" dxfId="174" priority="95" operator="lessThan">
      <formula>0.5</formula>
    </cfRule>
  </conditionalFormatting>
  <conditionalFormatting sqref="H254">
    <cfRule type="cellIs" dxfId="173" priority="93" operator="lessThan">
      <formula>0.2</formula>
    </cfRule>
    <cfRule type="cellIs" dxfId="172" priority="94" operator="lessThan">
      <formula>0.5</formula>
    </cfRule>
  </conditionalFormatting>
  <conditionalFormatting sqref="H254">
    <cfRule type="cellIs" dxfId="171" priority="90" operator="lessThan">
      <formula>0.1</formula>
    </cfRule>
    <cfRule type="cellIs" dxfId="170" priority="91" operator="lessThan">
      <formula>0.2</formula>
    </cfRule>
    <cfRule type="cellIs" dxfId="169" priority="92" operator="lessThan">
      <formula>0.5</formula>
    </cfRule>
  </conditionalFormatting>
  <conditionalFormatting sqref="H254">
    <cfRule type="cellIs" dxfId="168" priority="86" operator="lessThan">
      <formula>0.05</formula>
    </cfRule>
    <cfRule type="cellIs" dxfId="167" priority="87" operator="lessThan">
      <formula>0.1</formula>
    </cfRule>
    <cfRule type="cellIs" dxfId="166" priority="88" operator="lessThan">
      <formula>0.2</formula>
    </cfRule>
    <cfRule type="cellIs" dxfId="165" priority="89" operator="lessThan">
      <formula>0.5</formula>
    </cfRule>
  </conditionalFormatting>
  <conditionalFormatting sqref="H254:H265">
    <cfRule type="cellIs" dxfId="164" priority="84" stopIfTrue="1" operator="lessThan">
      <formula>0</formula>
    </cfRule>
    <cfRule type="cellIs" dxfId="163" priority="85" stopIfTrue="1" operator="lessThan">
      <formula>0</formula>
    </cfRule>
  </conditionalFormatting>
  <conditionalFormatting sqref="H254:H265">
    <cfRule type="cellIs" dxfId="162" priority="83" stopIfTrue="1" operator="lessThan">
      <formula>0.05</formula>
    </cfRule>
  </conditionalFormatting>
  <conditionalFormatting sqref="H254:H265">
    <cfRule type="cellIs" dxfId="161" priority="82" operator="lessThan">
      <formula>0.5</formula>
    </cfRule>
  </conditionalFormatting>
  <conditionalFormatting sqref="H254:H265">
    <cfRule type="cellIs" dxfId="160" priority="80" operator="lessThan">
      <formula>0.2</formula>
    </cfRule>
    <cfRule type="cellIs" dxfId="159" priority="81" operator="lessThan">
      <formula>0.5</formula>
    </cfRule>
  </conditionalFormatting>
  <conditionalFormatting sqref="H254:H265">
    <cfRule type="cellIs" dxfId="158" priority="77" operator="lessThan">
      <formula>0.1</formula>
    </cfRule>
    <cfRule type="cellIs" dxfId="157" priority="78" operator="lessThan">
      <formula>0.2</formula>
    </cfRule>
    <cfRule type="cellIs" dxfId="156" priority="79" operator="lessThan">
      <formula>0.5</formula>
    </cfRule>
  </conditionalFormatting>
  <conditionalFormatting sqref="H254:H265">
    <cfRule type="cellIs" dxfId="155" priority="73" operator="lessThan">
      <formula>0.05</formula>
    </cfRule>
    <cfRule type="cellIs" dxfId="154" priority="74" operator="lessThan">
      <formula>0.1</formula>
    </cfRule>
    <cfRule type="cellIs" dxfId="153" priority="75" operator="lessThan">
      <formula>0.2</formula>
    </cfRule>
    <cfRule type="cellIs" dxfId="152" priority="76" operator="lessThan">
      <formula>0.5</formula>
    </cfRule>
  </conditionalFormatting>
  <conditionalFormatting sqref="H269:H280">
    <cfRule type="cellIs" dxfId="151" priority="71" stopIfTrue="1" operator="lessThan">
      <formula>0</formula>
    </cfRule>
    <cfRule type="cellIs" dxfId="150" priority="72" stopIfTrue="1" operator="lessThan">
      <formula>0</formula>
    </cfRule>
  </conditionalFormatting>
  <conditionalFormatting sqref="H269:H280">
    <cfRule type="cellIs" dxfId="149" priority="70" stopIfTrue="1" operator="lessThan">
      <formula>0.05</formula>
    </cfRule>
  </conditionalFormatting>
  <conditionalFormatting sqref="H269:H280">
    <cfRule type="cellIs" dxfId="148" priority="69" operator="lessThan">
      <formula>0.5</formula>
    </cfRule>
  </conditionalFormatting>
  <conditionalFormatting sqref="H269:H280">
    <cfRule type="cellIs" dxfId="147" priority="67" operator="lessThan">
      <formula>0.2</formula>
    </cfRule>
    <cfRule type="cellIs" dxfId="146" priority="68" operator="lessThan">
      <formula>0.5</formula>
    </cfRule>
  </conditionalFormatting>
  <conditionalFormatting sqref="H269:H280">
    <cfRule type="cellIs" dxfId="145" priority="64" operator="lessThan">
      <formula>0.1</formula>
    </cfRule>
    <cfRule type="cellIs" dxfId="144" priority="65" operator="lessThan">
      <formula>0.2</formula>
    </cfRule>
    <cfRule type="cellIs" dxfId="143" priority="66" operator="lessThan">
      <formula>0.5</formula>
    </cfRule>
  </conditionalFormatting>
  <conditionalFormatting sqref="H269:H280">
    <cfRule type="cellIs" dxfId="142" priority="60" operator="lessThan">
      <formula>0.05</formula>
    </cfRule>
    <cfRule type="cellIs" dxfId="141" priority="61" operator="lessThan">
      <formula>0.1</formula>
    </cfRule>
    <cfRule type="cellIs" dxfId="140" priority="62" operator="lessThan">
      <formula>0.2</formula>
    </cfRule>
    <cfRule type="cellIs" dxfId="139" priority="63" operator="lessThan">
      <formula>0.5</formula>
    </cfRule>
  </conditionalFormatting>
  <conditionalFormatting sqref="H269:H280">
    <cfRule type="cellIs" dxfId="138" priority="58" stopIfTrue="1" operator="lessThan">
      <formula>0</formula>
    </cfRule>
    <cfRule type="cellIs" dxfId="137" priority="59" stopIfTrue="1" operator="lessThan">
      <formula>0</formula>
    </cfRule>
  </conditionalFormatting>
  <conditionalFormatting sqref="H269:H280">
    <cfRule type="cellIs" dxfId="136" priority="57" stopIfTrue="1" operator="lessThan">
      <formula>0.05</formula>
    </cfRule>
  </conditionalFormatting>
  <conditionalFormatting sqref="H269:H280">
    <cfRule type="cellIs" dxfId="135" priority="56" operator="lessThan">
      <formula>0.5</formula>
    </cfRule>
  </conditionalFormatting>
  <conditionalFormatting sqref="H269:H280">
    <cfRule type="cellIs" dxfId="134" priority="54" operator="lessThan">
      <formula>0.2</formula>
    </cfRule>
    <cfRule type="cellIs" dxfId="133" priority="55" operator="lessThan">
      <formula>0.5</formula>
    </cfRule>
  </conditionalFormatting>
  <conditionalFormatting sqref="H269:H280">
    <cfRule type="cellIs" dxfId="132" priority="51" operator="lessThan">
      <formula>0.1</formula>
    </cfRule>
    <cfRule type="cellIs" dxfId="131" priority="52" operator="lessThan">
      <formula>0.2</formula>
    </cfRule>
    <cfRule type="cellIs" dxfId="130" priority="53" operator="lessThan">
      <formula>0.5</formula>
    </cfRule>
  </conditionalFormatting>
  <conditionalFormatting sqref="H269:H280">
    <cfRule type="cellIs" dxfId="129" priority="47" operator="lessThan">
      <formula>0.05</formula>
    </cfRule>
    <cfRule type="cellIs" dxfId="128" priority="48" operator="lessThan">
      <formula>0.1</formula>
    </cfRule>
    <cfRule type="cellIs" dxfId="127" priority="49" operator="lessThan">
      <formula>0.2</formula>
    </cfRule>
    <cfRule type="cellIs" dxfId="126" priority="50" operator="lessThan">
      <formula>0.5</formula>
    </cfRule>
  </conditionalFormatting>
  <conditionalFormatting sqref="H269:H280">
    <cfRule type="cellIs" dxfId="125" priority="45" stopIfTrue="1" operator="lessThan">
      <formula>0</formula>
    </cfRule>
    <cfRule type="cellIs" dxfId="124" priority="46" stopIfTrue="1" operator="lessThan">
      <formula>0</formula>
    </cfRule>
  </conditionalFormatting>
  <conditionalFormatting sqref="H269:H280">
    <cfRule type="cellIs" dxfId="123" priority="44" stopIfTrue="1" operator="lessThan">
      <formula>0.05</formula>
    </cfRule>
  </conditionalFormatting>
  <conditionalFormatting sqref="H269:H280">
    <cfRule type="cellIs" dxfId="122" priority="43" operator="lessThan">
      <formula>0.5</formula>
    </cfRule>
  </conditionalFormatting>
  <conditionalFormatting sqref="H269:H280">
    <cfRule type="cellIs" dxfId="121" priority="41" operator="lessThan">
      <formula>0.2</formula>
    </cfRule>
    <cfRule type="cellIs" dxfId="120" priority="42" operator="lessThan">
      <formula>0.5</formula>
    </cfRule>
  </conditionalFormatting>
  <conditionalFormatting sqref="H269:H280">
    <cfRule type="cellIs" dxfId="119" priority="38" operator="lessThan">
      <formula>0.1</formula>
    </cfRule>
    <cfRule type="cellIs" dxfId="118" priority="39" operator="lessThan">
      <formula>0.2</formula>
    </cfRule>
    <cfRule type="cellIs" dxfId="117" priority="40" operator="lessThan">
      <formula>0.5</formula>
    </cfRule>
  </conditionalFormatting>
  <conditionalFormatting sqref="H269:H280">
    <cfRule type="cellIs" dxfId="116" priority="34" operator="lessThan">
      <formula>0.05</formula>
    </cfRule>
    <cfRule type="cellIs" dxfId="115" priority="35" operator="lessThan">
      <formula>0.1</formula>
    </cfRule>
    <cfRule type="cellIs" dxfId="114" priority="36" operator="lessThan">
      <formula>0.2</formula>
    </cfRule>
    <cfRule type="cellIs" dxfId="113" priority="37" operator="lessThan">
      <formula>0.5</formula>
    </cfRule>
  </conditionalFormatting>
  <conditionalFormatting sqref="H269:H280">
    <cfRule type="cellIs" dxfId="112" priority="32" stopIfTrue="1" operator="lessThan">
      <formula>0</formula>
    </cfRule>
    <cfRule type="cellIs" dxfId="111" priority="33" stopIfTrue="1" operator="lessThan">
      <formula>0</formula>
    </cfRule>
  </conditionalFormatting>
  <conditionalFormatting sqref="H269:H280">
    <cfRule type="cellIs" dxfId="110" priority="31" stopIfTrue="1" operator="lessThan">
      <formula>0.05</formula>
    </cfRule>
  </conditionalFormatting>
  <conditionalFormatting sqref="H269:H280">
    <cfRule type="cellIs" dxfId="109" priority="30" operator="lessThan">
      <formula>0.5</formula>
    </cfRule>
  </conditionalFormatting>
  <conditionalFormatting sqref="H269:H280">
    <cfRule type="cellIs" dxfId="108" priority="28" operator="lessThan">
      <formula>0.2</formula>
    </cfRule>
    <cfRule type="cellIs" dxfId="107" priority="29" operator="lessThan">
      <formula>0.5</formula>
    </cfRule>
  </conditionalFormatting>
  <conditionalFormatting sqref="H269:H280">
    <cfRule type="cellIs" dxfId="106" priority="25" operator="lessThan">
      <formula>0.1</formula>
    </cfRule>
    <cfRule type="cellIs" dxfId="105" priority="26" operator="lessThan">
      <formula>0.2</formula>
    </cfRule>
    <cfRule type="cellIs" dxfId="104" priority="27" operator="lessThan">
      <formula>0.5</formula>
    </cfRule>
  </conditionalFormatting>
  <conditionalFormatting sqref="H269:H280">
    <cfRule type="cellIs" dxfId="103" priority="21" operator="lessThan">
      <formula>0.05</formula>
    </cfRule>
    <cfRule type="cellIs" dxfId="102" priority="22" operator="lessThan">
      <formula>0.1</formula>
    </cfRule>
    <cfRule type="cellIs" dxfId="101" priority="23" operator="lessThan">
      <formula>0.2</formula>
    </cfRule>
    <cfRule type="cellIs" dxfId="100" priority="24" operator="lessThan">
      <formula>0.5</formula>
    </cfRule>
  </conditionalFormatting>
  <conditionalFormatting sqref="H124:H186">
    <cfRule type="cellIs" dxfId="99" priority="20" operator="lessThan">
      <formula>0.5</formula>
    </cfRule>
  </conditionalFormatting>
  <conditionalFormatting sqref="H124:H186">
    <cfRule type="cellIs" dxfId="98" priority="18" operator="lessThan">
      <formula>0.2</formula>
    </cfRule>
    <cfRule type="cellIs" dxfId="97" priority="19" operator="lessThan">
      <formula>0.5</formula>
    </cfRule>
  </conditionalFormatting>
  <conditionalFormatting sqref="H124:H186">
    <cfRule type="cellIs" dxfId="96" priority="15" operator="lessThan">
      <formula>0.1</formula>
    </cfRule>
    <cfRule type="cellIs" dxfId="95" priority="16" operator="lessThan">
      <formula>0.2</formula>
    </cfRule>
    <cfRule type="cellIs" dxfId="94" priority="17" operator="lessThan">
      <formula>0.5</formula>
    </cfRule>
  </conditionalFormatting>
  <conditionalFormatting sqref="H124:H186">
    <cfRule type="cellIs" dxfId="93" priority="11" operator="lessThan">
      <formula>0.05</formula>
    </cfRule>
    <cfRule type="cellIs" dxfId="92" priority="12" operator="lessThan">
      <formula>0.1</formula>
    </cfRule>
    <cfRule type="cellIs" dxfId="91" priority="13" operator="lessThan">
      <formula>0.2</formula>
    </cfRule>
    <cfRule type="cellIs" dxfId="90" priority="14" operator="lessThan">
      <formula>0.5</formula>
    </cfRule>
  </conditionalFormatting>
  <conditionalFormatting sqref="H124:H186">
    <cfRule type="cellIs" dxfId="89" priority="10" operator="lessThan">
      <formula>0.5</formula>
    </cfRule>
  </conditionalFormatting>
  <conditionalFormatting sqref="H124:H186">
    <cfRule type="cellIs" dxfId="88" priority="8" operator="lessThan">
      <formula>0.2</formula>
    </cfRule>
    <cfRule type="cellIs" dxfId="87" priority="9" operator="lessThan">
      <formula>0.5</formula>
    </cfRule>
  </conditionalFormatting>
  <conditionalFormatting sqref="H124:H186">
    <cfRule type="cellIs" dxfId="86" priority="5" operator="lessThan">
      <formula>0.1</formula>
    </cfRule>
    <cfRule type="cellIs" dxfId="85" priority="6" operator="lessThan">
      <formula>0.2</formula>
    </cfRule>
    <cfRule type="cellIs" dxfId="84" priority="7" operator="lessThan">
      <formula>0.5</formula>
    </cfRule>
  </conditionalFormatting>
  <conditionalFormatting sqref="H124:H186">
    <cfRule type="cellIs" dxfId="83" priority="1" operator="lessThan">
      <formula>0.05</formula>
    </cfRule>
    <cfRule type="cellIs" dxfId="82" priority="2" operator="lessThan">
      <formula>0.1</formula>
    </cfRule>
    <cfRule type="cellIs" dxfId="81" priority="3" operator="lessThan">
      <formula>0.2</formula>
    </cfRule>
    <cfRule type="cellIs" dxfId="80" priority="4" operator="lessThan">
      <formula>0.5</formula>
    </cfRule>
  </conditionalFormatting>
  <pageMargins left="1.2598425196850394" right="0.39370078740157483" top="0.39370078740157483" bottom="0.35433070866141736" header="0" footer="0"/>
  <pageSetup paperSize="5" orientation="landscape" r:id="rId1"/>
  <headerFooter alignWithMargins="0"/>
  <rowBreaks count="3" manualBreakCount="3">
    <brk id="54" max="7" man="1"/>
    <brk id="122" max="7" man="1"/>
    <brk id="187" max="7" man="1"/>
  </rowBreaks>
  <legacyDrawing r:id="rId2"/>
</worksheet>
</file>

<file path=xl/worksheets/sheet5.xml><?xml version="1.0" encoding="utf-8"?>
<worksheet xmlns="http://schemas.openxmlformats.org/spreadsheetml/2006/main" xmlns:r="http://schemas.openxmlformats.org/officeDocument/2006/relationships">
  <sheetPr>
    <tabColor theme="8" tint="0.39997558519241921"/>
  </sheetPr>
  <dimension ref="A2:AH603"/>
  <sheetViews>
    <sheetView workbookViewId="0"/>
  </sheetViews>
  <sheetFormatPr baseColWidth="10" defaultRowHeight="12.75"/>
  <cols>
    <col min="1" max="2" width="11.42578125" style="82"/>
    <col min="3" max="3" width="13.28515625" style="82" customWidth="1"/>
    <col min="4" max="7" width="11.42578125" style="82"/>
    <col min="8" max="8" width="8.28515625" style="82" customWidth="1"/>
    <col min="9" max="10" width="8" style="82" bestFit="1" customWidth="1"/>
    <col min="11" max="11" width="7" style="82" bestFit="1" customWidth="1"/>
    <col min="12" max="12" width="7.140625" style="82" bestFit="1" customWidth="1"/>
    <col min="13" max="13" width="7" style="82" bestFit="1" customWidth="1"/>
    <col min="14" max="14" width="7.140625" style="82" bestFit="1" customWidth="1"/>
    <col min="15" max="15" width="7" style="82" bestFit="1" customWidth="1"/>
    <col min="16" max="16" width="7.140625" style="82" bestFit="1" customWidth="1"/>
    <col min="17" max="17" width="7" style="82" bestFit="1" customWidth="1"/>
    <col min="18" max="18" width="7.140625" style="82" bestFit="1" customWidth="1"/>
    <col min="19" max="23" width="7" style="82" bestFit="1" customWidth="1"/>
    <col min="24" max="24" width="8" style="82" bestFit="1" customWidth="1"/>
    <col min="25" max="26" width="7" style="82" bestFit="1" customWidth="1"/>
    <col min="27" max="27" width="7.140625" style="82" bestFit="1" customWidth="1"/>
    <col min="28" max="28" width="7.42578125" style="82" customWidth="1"/>
    <col min="29" max="29" width="7" style="82" bestFit="1" customWidth="1"/>
    <col min="30" max="30" width="8" style="82" bestFit="1" customWidth="1"/>
    <col min="31" max="31" width="7" style="82" bestFit="1" customWidth="1"/>
    <col min="32" max="32" width="6.140625" style="82" bestFit="1" customWidth="1"/>
    <col min="33" max="16384" width="11.42578125" style="82"/>
  </cols>
  <sheetData>
    <row r="2" spans="1:34" ht="15">
      <c r="A2" s="3569" t="s">
        <v>562</v>
      </c>
      <c r="B2" s="3570"/>
      <c r="C2" s="3570"/>
      <c r="D2" s="3570"/>
      <c r="E2" s="3570"/>
      <c r="F2" s="3570"/>
      <c r="G2" s="3570"/>
      <c r="H2" s="3570"/>
      <c r="I2" s="3570"/>
      <c r="J2" s="3570"/>
      <c r="K2" s="3570"/>
      <c r="L2" s="3570"/>
      <c r="M2" s="3570"/>
      <c r="N2" s="3570"/>
      <c r="O2" s="3570"/>
      <c r="P2" s="3570"/>
      <c r="Q2" s="3570"/>
      <c r="R2" s="3570"/>
      <c r="S2" s="3570"/>
      <c r="T2" s="3571"/>
      <c r="U2" s="11"/>
      <c r="V2" s="11"/>
      <c r="W2" s="11"/>
      <c r="X2" s="11"/>
      <c r="Y2" s="11"/>
      <c r="Z2" s="11"/>
      <c r="AA2" s="11"/>
      <c r="AB2" s="11"/>
      <c r="AC2" s="11"/>
      <c r="AD2" s="11"/>
      <c r="AE2" s="11"/>
      <c r="AF2" s="11"/>
      <c r="AG2" s="11"/>
      <c r="AH2" s="1"/>
    </row>
    <row r="3" spans="1:34" s="115" customFormat="1" ht="15">
      <c r="A3" s="135"/>
      <c r="B3" s="135"/>
      <c r="C3" s="135"/>
      <c r="D3" s="135"/>
      <c r="E3" s="135"/>
      <c r="F3" s="135"/>
      <c r="G3" s="135"/>
      <c r="H3" s="135"/>
      <c r="I3" s="135"/>
      <c r="J3" s="135"/>
      <c r="K3" s="135"/>
      <c r="L3" s="135"/>
      <c r="M3" s="135"/>
      <c r="N3" s="135"/>
      <c r="O3" s="135"/>
      <c r="P3" s="135"/>
      <c r="Q3" s="135"/>
      <c r="R3" s="135"/>
      <c r="S3" s="135"/>
      <c r="T3" s="135"/>
      <c r="U3" s="60"/>
      <c r="V3" s="3579"/>
      <c r="W3" s="3579"/>
      <c r="X3" s="3579"/>
      <c r="Y3" s="3579"/>
      <c r="Z3" s="3579"/>
      <c r="AA3" s="3579"/>
      <c r="AB3" s="3579"/>
      <c r="AC3" s="3579"/>
      <c r="AD3" s="60"/>
      <c r="AE3" s="60"/>
      <c r="AF3" s="60"/>
      <c r="AG3" s="60"/>
      <c r="AH3" s="60"/>
    </row>
    <row r="4" spans="1:34" s="115" customFormat="1" ht="15">
      <c r="A4" s="3591" t="s">
        <v>117</v>
      </c>
      <c r="B4" s="3592"/>
      <c r="C4" s="3592"/>
      <c r="D4" s="3592"/>
      <c r="E4" s="3592"/>
      <c r="F4" s="3592"/>
      <c r="G4" s="3592"/>
      <c r="H4" s="3592"/>
      <c r="I4" s="3592"/>
      <c r="J4" s="3592"/>
      <c r="K4" s="3592"/>
      <c r="L4" s="3592"/>
      <c r="M4" s="3592"/>
      <c r="N4" s="3592"/>
      <c r="O4" s="3592"/>
      <c r="P4" s="3592"/>
      <c r="Q4" s="3592"/>
      <c r="R4" s="3593"/>
      <c r="S4" s="135"/>
      <c r="T4" s="135"/>
      <c r="U4" s="60"/>
      <c r="V4" s="60"/>
      <c r="W4" s="60"/>
      <c r="X4" s="60"/>
      <c r="Y4" s="60"/>
      <c r="Z4" s="60"/>
      <c r="AA4" s="60"/>
      <c r="AB4" s="60"/>
      <c r="AC4" s="60"/>
      <c r="AD4" s="60"/>
      <c r="AE4" s="60"/>
      <c r="AF4" s="60"/>
      <c r="AG4" s="60"/>
      <c r="AH4" s="60"/>
    </row>
    <row r="5" spans="1:34" s="115" customFormat="1" ht="6.75" customHeight="1">
      <c r="A5" s="136"/>
      <c r="B5" s="137"/>
      <c r="C5" s="137"/>
      <c r="D5" s="137"/>
      <c r="E5" s="137"/>
      <c r="F5" s="137"/>
      <c r="G5" s="137"/>
      <c r="H5" s="137"/>
      <c r="I5" s="135"/>
      <c r="J5" s="135"/>
      <c r="K5" s="135"/>
      <c r="L5" s="135"/>
      <c r="M5" s="135"/>
      <c r="N5" s="135"/>
      <c r="O5" s="135"/>
      <c r="P5" s="135"/>
      <c r="Q5" s="135"/>
      <c r="R5" s="135"/>
      <c r="S5" s="135"/>
      <c r="T5" s="135"/>
      <c r="U5" s="60"/>
      <c r="V5" s="60"/>
      <c r="W5" s="60"/>
      <c r="X5" s="60"/>
      <c r="Y5" s="60"/>
      <c r="Z5" s="60"/>
      <c r="AA5" s="60"/>
      <c r="AB5" s="60"/>
      <c r="AC5" s="60"/>
      <c r="AD5" s="60"/>
      <c r="AE5" s="60"/>
      <c r="AF5" s="60"/>
      <c r="AG5" s="60"/>
      <c r="AH5" s="60"/>
    </row>
    <row r="6" spans="1:34" s="115" customFormat="1" ht="15">
      <c r="A6" s="3595" t="s">
        <v>120</v>
      </c>
      <c r="B6" s="3596"/>
      <c r="C6" s="3596"/>
      <c r="D6" s="3596"/>
      <c r="E6" s="3596"/>
      <c r="F6" s="3596"/>
      <c r="G6" s="3596"/>
      <c r="H6" s="3597"/>
      <c r="I6" s="11"/>
      <c r="J6" s="11"/>
      <c r="K6" s="11"/>
      <c r="M6" s="11"/>
      <c r="N6" s="11"/>
      <c r="O6" s="11"/>
      <c r="P6" s="11"/>
      <c r="Q6" s="11"/>
      <c r="R6" s="11"/>
      <c r="S6" s="11"/>
      <c r="T6" s="11"/>
      <c r="U6" s="11"/>
      <c r="V6" s="11"/>
      <c r="W6" s="11"/>
      <c r="X6" s="11"/>
      <c r="Y6" s="11"/>
      <c r="Z6" s="11"/>
      <c r="AA6" s="11"/>
      <c r="AB6" s="11"/>
      <c r="AC6" s="11"/>
      <c r="AD6" s="11"/>
      <c r="AE6" s="11"/>
      <c r="AF6" s="11"/>
      <c r="AG6" s="11"/>
      <c r="AH6" s="11"/>
    </row>
    <row r="7" spans="1:34" s="115" customFormat="1" ht="15">
      <c r="A7" s="5" t="s">
        <v>72</v>
      </c>
      <c r="B7" s="5" t="s">
        <v>73</v>
      </c>
      <c r="C7" s="1249">
        <v>1</v>
      </c>
      <c r="D7" s="30">
        <v>2</v>
      </c>
      <c r="E7" s="30">
        <v>3</v>
      </c>
      <c r="F7" s="30">
        <v>4</v>
      </c>
      <c r="G7" s="30">
        <v>5</v>
      </c>
      <c r="H7" s="30">
        <v>6</v>
      </c>
      <c r="I7" s="30">
        <v>7</v>
      </c>
      <c r="J7" s="30">
        <v>8</v>
      </c>
      <c r="K7" s="30">
        <v>9</v>
      </c>
      <c r="L7" s="30">
        <v>10</v>
      </c>
      <c r="M7" s="30">
        <v>11</v>
      </c>
      <c r="N7" s="30">
        <v>12</v>
      </c>
      <c r="O7" s="30">
        <v>13</v>
      </c>
      <c r="P7" s="30">
        <v>14</v>
      </c>
      <c r="Q7" s="30">
        <v>15</v>
      </c>
      <c r="R7" s="30">
        <v>16</v>
      </c>
      <c r="S7" s="30">
        <v>17</v>
      </c>
      <c r="T7" s="30">
        <v>18</v>
      </c>
      <c r="U7" s="30">
        <v>19</v>
      </c>
      <c r="V7" s="30">
        <v>20</v>
      </c>
      <c r="W7" s="30">
        <v>21</v>
      </c>
      <c r="X7" s="30">
        <v>22</v>
      </c>
      <c r="Y7" s="30">
        <v>23</v>
      </c>
      <c r="Z7" s="30">
        <v>24</v>
      </c>
      <c r="AA7" s="30">
        <v>25</v>
      </c>
      <c r="AB7" s="30">
        <v>26</v>
      </c>
      <c r="AC7" s="30">
        <v>27</v>
      </c>
      <c r="AD7" s="30">
        <v>28</v>
      </c>
      <c r="AE7" s="30">
        <v>29</v>
      </c>
      <c r="AF7" s="30">
        <v>30</v>
      </c>
      <c r="AG7" s="30">
        <v>31</v>
      </c>
      <c r="AH7" s="39" t="s">
        <v>74</v>
      </c>
    </row>
    <row r="8" spans="1:34" s="115" customFormat="1" ht="15">
      <c r="A8" s="1999" t="s">
        <v>75</v>
      </c>
      <c r="B8" s="18">
        <f>+AH8</f>
        <v>0</v>
      </c>
      <c r="C8" s="158"/>
      <c r="D8" s="201"/>
      <c r="E8" s="1824">
        <v>0</v>
      </c>
      <c r="F8" s="1824">
        <v>0</v>
      </c>
      <c r="G8" s="201">
        <v>0</v>
      </c>
      <c r="H8" s="201"/>
      <c r="I8" s="203"/>
      <c r="J8" s="203"/>
      <c r="K8" s="203"/>
      <c r="L8" s="203"/>
      <c r="M8" s="201"/>
      <c r="N8" s="201"/>
      <c r="O8" s="201"/>
      <c r="P8" s="201"/>
      <c r="Q8" s="201"/>
      <c r="R8" s="201"/>
      <c r="S8" s="201"/>
      <c r="T8" s="201"/>
      <c r="U8" s="201"/>
      <c r="V8" s="201"/>
      <c r="W8" s="204"/>
      <c r="X8" s="201"/>
      <c r="Y8" s="201"/>
      <c r="Z8" s="201"/>
      <c r="AA8" s="201"/>
      <c r="AB8" s="201"/>
      <c r="AC8" s="201"/>
      <c r="AD8" s="201"/>
      <c r="AE8" s="201"/>
      <c r="AF8" s="201"/>
      <c r="AG8" s="201"/>
      <c r="AH8" s="53">
        <f>SUM(C8:AG8)</f>
        <v>0</v>
      </c>
    </row>
    <row r="9" spans="1:34" s="115" customFormat="1" ht="15">
      <c r="A9" s="1999" t="s">
        <v>76</v>
      </c>
      <c r="B9" s="18">
        <f t="shared" ref="B9:B19" si="0">+AH9</f>
        <v>0</v>
      </c>
      <c r="C9" s="158"/>
      <c r="D9" s="201"/>
      <c r="E9" s="201"/>
      <c r="F9" s="201"/>
      <c r="G9" s="201"/>
      <c r="H9" s="201"/>
      <c r="I9" s="201"/>
      <c r="J9" s="201"/>
      <c r="K9" s="201"/>
      <c r="L9" s="201"/>
      <c r="M9" s="201"/>
      <c r="N9" s="201"/>
      <c r="O9" s="201"/>
      <c r="P9" s="201"/>
      <c r="Q9" s="201"/>
      <c r="R9" s="201"/>
      <c r="S9" s="201"/>
      <c r="T9" s="201"/>
      <c r="U9" s="201"/>
      <c r="V9" s="201"/>
      <c r="W9" s="201"/>
      <c r="X9" s="201"/>
      <c r="Y9" s="201"/>
      <c r="Z9" s="201"/>
      <c r="AA9" s="201"/>
      <c r="AB9" s="201"/>
      <c r="AC9" s="201"/>
      <c r="AD9" s="201"/>
      <c r="AE9" s="201"/>
      <c r="AF9" s="201"/>
      <c r="AG9" s="201"/>
      <c r="AH9" s="53">
        <f t="shared" ref="AH9:AH19" si="1">SUM(C9:AG9)</f>
        <v>0</v>
      </c>
    </row>
    <row r="10" spans="1:34" s="115" customFormat="1" ht="15">
      <c r="A10" s="1999" t="s">
        <v>77</v>
      </c>
      <c r="B10" s="18">
        <f t="shared" si="0"/>
        <v>0</v>
      </c>
      <c r="C10" s="205"/>
      <c r="D10" s="206"/>
      <c r="E10" s="207"/>
      <c r="F10" s="207"/>
      <c r="G10" s="207"/>
      <c r="H10" s="207"/>
      <c r="I10" s="207"/>
      <c r="J10" s="207"/>
      <c r="K10" s="207"/>
      <c r="L10" s="207"/>
      <c r="M10" s="207"/>
      <c r="N10" s="207"/>
      <c r="O10" s="207"/>
      <c r="P10" s="207"/>
      <c r="Q10" s="207"/>
      <c r="R10" s="207"/>
      <c r="S10" s="207"/>
      <c r="T10" s="207"/>
      <c r="U10" s="207"/>
      <c r="V10" s="207"/>
      <c r="W10" s="207"/>
      <c r="X10" s="207"/>
      <c r="Y10" s="207"/>
      <c r="Z10" s="207"/>
      <c r="AA10" s="207"/>
      <c r="AB10" s="207"/>
      <c r="AC10" s="207"/>
      <c r="AD10" s="207"/>
      <c r="AE10" s="207"/>
      <c r="AF10" s="207"/>
      <c r="AG10" s="207"/>
      <c r="AH10" s="53">
        <f t="shared" si="1"/>
        <v>0</v>
      </c>
    </row>
    <row r="11" spans="1:34" s="115" customFormat="1" ht="15">
      <c r="A11" s="1999" t="s">
        <v>78</v>
      </c>
      <c r="B11" s="18">
        <f t="shared" si="0"/>
        <v>0</v>
      </c>
      <c r="C11" s="107"/>
      <c r="D11" s="108"/>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09"/>
      <c r="AG11" s="109"/>
      <c r="AH11" s="53">
        <f t="shared" si="1"/>
        <v>0</v>
      </c>
    </row>
    <row r="12" spans="1:34" s="115" customFormat="1" ht="15">
      <c r="A12" s="1999" t="s">
        <v>79</v>
      </c>
      <c r="B12" s="18">
        <f t="shared" si="0"/>
        <v>0</v>
      </c>
      <c r="C12" s="107"/>
      <c r="D12" s="108"/>
      <c r="E12" s="109"/>
      <c r="F12" s="109"/>
      <c r="G12" s="109"/>
      <c r="H12" s="109"/>
      <c r="I12" s="109"/>
      <c r="J12" s="109"/>
      <c r="K12" s="1251"/>
      <c r="L12" s="109"/>
      <c r="M12" s="109"/>
      <c r="N12" s="109"/>
      <c r="O12" s="109"/>
      <c r="P12" s="109"/>
      <c r="Q12" s="109"/>
      <c r="R12" s="109"/>
      <c r="S12" s="109"/>
      <c r="T12" s="109"/>
      <c r="U12" s="109"/>
      <c r="V12" s="109"/>
      <c r="W12" s="109"/>
      <c r="X12" s="109"/>
      <c r="Y12" s="109"/>
      <c r="Z12" s="109"/>
      <c r="AA12" s="109"/>
      <c r="AB12" s="109"/>
      <c r="AC12" s="109"/>
      <c r="AD12" s="109"/>
      <c r="AE12" s="109"/>
      <c r="AF12" s="109"/>
      <c r="AG12" s="109"/>
      <c r="AH12" s="53">
        <f t="shared" si="1"/>
        <v>0</v>
      </c>
    </row>
    <row r="13" spans="1:34" s="115" customFormat="1" ht="15">
      <c r="A13" s="1999" t="s">
        <v>80</v>
      </c>
      <c r="B13" s="18">
        <f t="shared" si="0"/>
        <v>0.2</v>
      </c>
      <c r="C13" s="127"/>
      <c r="D13" s="127"/>
      <c r="E13" s="127"/>
      <c r="F13" s="127"/>
      <c r="G13" s="127"/>
      <c r="H13" s="127"/>
      <c r="I13" s="127"/>
      <c r="J13" s="127">
        <v>0.2</v>
      </c>
      <c r="K13" s="127"/>
      <c r="L13" s="127"/>
      <c r="M13" s="127"/>
      <c r="N13" s="127"/>
      <c r="O13" s="127"/>
      <c r="P13" s="127"/>
      <c r="Q13" s="127"/>
      <c r="R13" s="127"/>
      <c r="S13" s="127"/>
      <c r="T13" s="127"/>
      <c r="U13" s="127"/>
      <c r="V13" s="127"/>
      <c r="W13" s="127"/>
      <c r="X13" s="127"/>
      <c r="Y13" s="127"/>
      <c r="Z13" s="127"/>
      <c r="AA13" s="127"/>
      <c r="AB13" s="127"/>
      <c r="AC13" s="127"/>
      <c r="AD13" s="127"/>
      <c r="AE13" s="127"/>
      <c r="AF13" s="127"/>
      <c r="AG13" s="127"/>
      <c r="AH13" s="53">
        <f t="shared" si="1"/>
        <v>0.2</v>
      </c>
    </row>
    <row r="14" spans="1:34" s="115" customFormat="1" ht="15">
      <c r="A14" s="1999" t="s">
        <v>81</v>
      </c>
      <c r="B14" s="18">
        <f t="shared" si="0"/>
        <v>0</v>
      </c>
      <c r="C14" s="127"/>
      <c r="D14" s="127"/>
      <c r="E14" s="127"/>
      <c r="F14" s="127"/>
      <c r="G14" s="127"/>
      <c r="H14" s="127"/>
      <c r="I14" s="127"/>
      <c r="J14" s="127"/>
      <c r="K14" s="127"/>
      <c r="L14" s="127"/>
      <c r="M14" s="127"/>
      <c r="N14" s="127"/>
      <c r="O14" s="127"/>
      <c r="P14" s="127"/>
      <c r="Q14" s="127"/>
      <c r="R14" s="127"/>
      <c r="S14" s="127"/>
      <c r="T14" s="127"/>
      <c r="U14" s="127"/>
      <c r="V14" s="127"/>
      <c r="W14" s="127"/>
      <c r="X14" s="127"/>
      <c r="Y14" s="127"/>
      <c r="Z14" s="127"/>
      <c r="AA14" s="127"/>
      <c r="AB14" s="127"/>
      <c r="AC14" s="127"/>
      <c r="AD14" s="127"/>
      <c r="AE14" s="127"/>
      <c r="AF14" s="127"/>
      <c r="AG14" s="127"/>
      <c r="AH14" s="53">
        <f t="shared" si="1"/>
        <v>0</v>
      </c>
    </row>
    <row r="15" spans="1:34" s="115" customFormat="1" ht="15">
      <c r="A15" s="1999" t="s">
        <v>82</v>
      </c>
      <c r="B15" s="18">
        <f t="shared" si="0"/>
        <v>0</v>
      </c>
      <c r="C15" s="1930"/>
      <c r="D15" s="1930"/>
      <c r="E15" s="1930"/>
      <c r="F15" s="1930"/>
      <c r="G15" s="1930"/>
      <c r="H15" s="1930"/>
      <c r="I15" s="1930"/>
      <c r="J15" s="1930"/>
      <c r="K15" s="1930"/>
      <c r="L15" s="1930"/>
      <c r="M15" s="1930"/>
      <c r="N15" s="1930"/>
      <c r="O15" s="1930"/>
      <c r="P15" s="1930"/>
      <c r="Q15" s="1930"/>
      <c r="R15" s="1930"/>
      <c r="S15" s="1930"/>
      <c r="T15" s="1930"/>
      <c r="U15" s="1930"/>
      <c r="V15" s="1930"/>
      <c r="W15" s="1930"/>
      <c r="X15" s="1930"/>
      <c r="Y15" s="1930"/>
      <c r="Z15" s="1930"/>
      <c r="AA15" s="1930"/>
      <c r="AB15" s="1930"/>
      <c r="AC15" s="1930"/>
      <c r="AD15" s="1930"/>
      <c r="AE15" s="1930"/>
      <c r="AF15" s="1930"/>
      <c r="AG15" s="1930"/>
      <c r="AH15" s="53">
        <f t="shared" si="1"/>
        <v>0</v>
      </c>
    </row>
    <row r="16" spans="1:34" s="115" customFormat="1" ht="15">
      <c r="A16" s="1999" t="s">
        <v>83</v>
      </c>
      <c r="B16" s="18">
        <f t="shared" si="0"/>
        <v>0</v>
      </c>
      <c r="C16" s="1930"/>
      <c r="D16" s="1930"/>
      <c r="E16" s="1930"/>
      <c r="F16" s="1930"/>
      <c r="G16" s="1930"/>
      <c r="H16" s="1930"/>
      <c r="I16" s="1930"/>
      <c r="J16" s="1930"/>
      <c r="K16" s="1930"/>
      <c r="L16" s="1930"/>
      <c r="M16" s="1930"/>
      <c r="N16" s="1930"/>
      <c r="O16" s="1930"/>
      <c r="P16" s="1930"/>
      <c r="Q16" s="1930"/>
      <c r="R16" s="1930"/>
      <c r="S16" s="1930"/>
      <c r="T16" s="1930"/>
      <c r="U16" s="1930"/>
      <c r="V16" s="1930"/>
      <c r="W16" s="1930"/>
      <c r="X16" s="1930"/>
      <c r="Y16" s="1930"/>
      <c r="Z16" s="1930"/>
      <c r="AA16" s="1930"/>
      <c r="AB16" s="1930"/>
      <c r="AC16" s="1930"/>
      <c r="AD16" s="1930"/>
      <c r="AE16" s="1930"/>
      <c r="AF16" s="1930"/>
      <c r="AG16" s="1930"/>
      <c r="AH16" s="53">
        <f t="shared" si="1"/>
        <v>0</v>
      </c>
    </row>
    <row r="17" spans="1:34" s="115" customFormat="1" ht="15">
      <c r="A17" s="1999" t="s">
        <v>84</v>
      </c>
      <c r="B17" s="18">
        <f t="shared" si="0"/>
        <v>0</v>
      </c>
      <c r="C17" s="127"/>
      <c r="D17" s="127"/>
      <c r="E17" s="127"/>
      <c r="F17" s="127"/>
      <c r="G17" s="127"/>
      <c r="H17" s="127"/>
      <c r="I17" s="127"/>
      <c r="J17" s="127"/>
      <c r="K17" s="127"/>
      <c r="L17" s="127"/>
      <c r="M17" s="127"/>
      <c r="N17" s="127"/>
      <c r="O17" s="127"/>
      <c r="P17" s="127"/>
      <c r="Q17" s="127"/>
      <c r="R17" s="127"/>
      <c r="S17" s="127"/>
      <c r="T17" s="127"/>
      <c r="U17" s="127"/>
      <c r="V17" s="127"/>
      <c r="W17" s="127"/>
      <c r="X17" s="127"/>
      <c r="Y17" s="127"/>
      <c r="Z17" s="127"/>
      <c r="AA17" s="127"/>
      <c r="AB17" s="127"/>
      <c r="AC17" s="127"/>
      <c r="AD17" s="127"/>
      <c r="AE17" s="127"/>
      <c r="AF17" s="127"/>
      <c r="AG17" s="127"/>
      <c r="AH17" s="53">
        <f t="shared" si="1"/>
        <v>0</v>
      </c>
    </row>
    <row r="18" spans="1:34" s="115" customFormat="1" ht="15">
      <c r="A18" s="1740" t="s">
        <v>85</v>
      </c>
      <c r="B18" s="18">
        <f t="shared" si="0"/>
        <v>0</v>
      </c>
      <c r="C18" s="127"/>
      <c r="D18" s="127"/>
      <c r="E18" s="127"/>
      <c r="F18" s="127"/>
      <c r="G18" s="127"/>
      <c r="H18" s="127"/>
      <c r="I18" s="127"/>
      <c r="J18" s="127"/>
      <c r="K18" s="127"/>
      <c r="L18" s="127"/>
      <c r="M18" s="127"/>
      <c r="N18" s="127"/>
      <c r="O18" s="127"/>
      <c r="P18" s="127"/>
      <c r="Q18" s="127"/>
      <c r="R18" s="127"/>
      <c r="S18" s="127"/>
      <c r="T18" s="127"/>
      <c r="U18" s="127"/>
      <c r="V18" s="127"/>
      <c r="W18" s="127"/>
      <c r="X18" s="127"/>
      <c r="Y18" s="127"/>
      <c r="Z18" s="127"/>
      <c r="AA18" s="127"/>
      <c r="AB18" s="127"/>
      <c r="AC18" s="127"/>
      <c r="AD18" s="127"/>
      <c r="AE18" s="127"/>
      <c r="AF18" s="127"/>
      <c r="AG18" s="127"/>
      <c r="AH18" s="53">
        <f t="shared" si="1"/>
        <v>0</v>
      </c>
    </row>
    <row r="19" spans="1:34" s="115" customFormat="1" ht="15">
      <c r="A19" s="1740" t="s">
        <v>86</v>
      </c>
      <c r="B19" s="18">
        <f t="shared" si="0"/>
        <v>0</v>
      </c>
      <c r="C19" s="127"/>
      <c r="D19" s="127"/>
      <c r="E19" s="127"/>
      <c r="F19" s="127"/>
      <c r="G19" s="127"/>
      <c r="H19" s="127"/>
      <c r="I19" s="127"/>
      <c r="J19" s="127"/>
      <c r="K19" s="127"/>
      <c r="L19" s="127"/>
      <c r="M19" s="127"/>
      <c r="N19" s="127"/>
      <c r="O19" s="127"/>
      <c r="P19" s="127"/>
      <c r="Q19" s="127"/>
      <c r="R19" s="127"/>
      <c r="S19" s="127"/>
      <c r="T19" s="127"/>
      <c r="U19" s="127"/>
      <c r="V19" s="127"/>
      <c r="W19" s="127"/>
      <c r="X19" s="127"/>
      <c r="Y19" s="127"/>
      <c r="Z19" s="127"/>
      <c r="AA19" s="127"/>
      <c r="AB19" s="127"/>
      <c r="AC19" s="127"/>
      <c r="AD19" s="127"/>
      <c r="AE19" s="127"/>
      <c r="AF19" s="127"/>
      <c r="AG19" s="127"/>
      <c r="AH19" s="53">
        <f t="shared" si="1"/>
        <v>0</v>
      </c>
    </row>
    <row r="20" spans="1:34" s="115" customFormat="1" ht="15">
      <c r="A20" s="88" t="s">
        <v>74</v>
      </c>
      <c r="B20" s="89">
        <f>SUM(B8:B19)</f>
        <v>0.2</v>
      </c>
      <c r="C20" s="46">
        <f>SUM(C8:C19)</f>
        <v>0</v>
      </c>
      <c r="D20" s="46">
        <f t="shared" ref="D20:AG20" si="2">SUM(D8:D19)</f>
        <v>0</v>
      </c>
      <c r="E20" s="46">
        <f>SUM(E8:E19)</f>
        <v>0</v>
      </c>
      <c r="F20" s="46">
        <f>SUM(F8:F19)</f>
        <v>0</v>
      </c>
      <c r="G20" s="46">
        <f t="shared" si="2"/>
        <v>0</v>
      </c>
      <c r="H20" s="46">
        <f t="shared" si="2"/>
        <v>0</v>
      </c>
      <c r="I20" s="46">
        <f t="shared" si="2"/>
        <v>0</v>
      </c>
      <c r="J20" s="46">
        <f t="shared" si="2"/>
        <v>0.2</v>
      </c>
      <c r="K20" s="46">
        <f t="shared" si="2"/>
        <v>0</v>
      </c>
      <c r="L20" s="46">
        <f t="shared" si="2"/>
        <v>0</v>
      </c>
      <c r="M20" s="46">
        <f t="shared" si="2"/>
        <v>0</v>
      </c>
      <c r="N20" s="46">
        <f t="shared" si="2"/>
        <v>0</v>
      </c>
      <c r="O20" s="46">
        <f>SUM(O8:O19)</f>
        <v>0</v>
      </c>
      <c r="P20" s="46">
        <f t="shared" si="2"/>
        <v>0</v>
      </c>
      <c r="Q20" s="46">
        <f t="shared" si="2"/>
        <v>0</v>
      </c>
      <c r="R20" s="46">
        <f t="shared" si="2"/>
        <v>0</v>
      </c>
      <c r="S20" s="46">
        <f t="shared" si="2"/>
        <v>0</v>
      </c>
      <c r="T20" s="46">
        <f t="shared" si="2"/>
        <v>0</v>
      </c>
      <c r="U20" s="46">
        <f t="shared" si="2"/>
        <v>0</v>
      </c>
      <c r="V20" s="46">
        <f t="shared" si="2"/>
        <v>0</v>
      </c>
      <c r="W20" s="46">
        <f t="shared" si="2"/>
        <v>0</v>
      </c>
      <c r="X20" s="46">
        <f t="shared" si="2"/>
        <v>0</v>
      </c>
      <c r="Y20" s="46">
        <f t="shared" si="2"/>
        <v>0</v>
      </c>
      <c r="Z20" s="46">
        <f t="shared" si="2"/>
        <v>0</v>
      </c>
      <c r="AA20" s="46">
        <f t="shared" si="2"/>
        <v>0</v>
      </c>
      <c r="AB20" s="46">
        <f t="shared" si="2"/>
        <v>0</v>
      </c>
      <c r="AC20" s="46">
        <f t="shared" si="2"/>
        <v>0</v>
      </c>
      <c r="AD20" s="46">
        <f t="shared" si="2"/>
        <v>0</v>
      </c>
      <c r="AE20" s="46">
        <f t="shared" si="2"/>
        <v>0</v>
      </c>
      <c r="AF20" s="46">
        <f t="shared" si="2"/>
        <v>0</v>
      </c>
      <c r="AG20" s="46">
        <f t="shared" si="2"/>
        <v>0</v>
      </c>
      <c r="AH20" s="46">
        <f>SUM(AH8:AH19)</f>
        <v>0.2</v>
      </c>
    </row>
    <row r="21" spans="1:34" s="115" customFormat="1" ht="15">
      <c r="A21" s="135"/>
      <c r="B21" s="135"/>
      <c r="C21" s="135"/>
      <c r="D21" s="135"/>
      <c r="E21" s="135"/>
      <c r="F21" s="135"/>
      <c r="G21" s="135"/>
      <c r="H21" s="135"/>
      <c r="I21" s="135"/>
      <c r="J21" s="135"/>
      <c r="K21" s="135"/>
      <c r="L21" s="135"/>
      <c r="M21" s="135"/>
      <c r="N21" s="135"/>
      <c r="O21" s="135"/>
      <c r="P21" s="135"/>
      <c r="Q21" s="135"/>
      <c r="R21" s="135"/>
      <c r="S21" s="135"/>
      <c r="T21" s="135"/>
      <c r="U21" s="60"/>
      <c r="V21" s="60"/>
      <c r="W21" s="60"/>
      <c r="X21" s="60"/>
      <c r="Y21" s="60"/>
      <c r="Z21" s="60"/>
      <c r="AA21" s="60"/>
      <c r="AB21" s="60"/>
      <c r="AC21" s="60"/>
      <c r="AD21" s="60"/>
      <c r="AE21" s="60"/>
      <c r="AF21" s="60"/>
      <c r="AG21" s="60"/>
      <c r="AH21" s="60"/>
    </row>
    <row r="22" spans="1:34" s="115" customFormat="1" ht="15">
      <c r="A22" s="3569" t="s">
        <v>118</v>
      </c>
      <c r="B22" s="3570"/>
      <c r="C22" s="3570"/>
      <c r="D22" s="3570"/>
      <c r="E22" s="3570"/>
      <c r="F22" s="3570"/>
      <c r="G22" s="3570"/>
      <c r="H22" s="357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row>
    <row r="23" spans="1:34" s="115" customFormat="1" ht="15">
      <c r="A23" s="5" t="s">
        <v>72</v>
      </c>
      <c r="B23" s="5" t="s">
        <v>73</v>
      </c>
      <c r="C23" s="1249">
        <v>1</v>
      </c>
      <c r="D23" s="30">
        <v>2</v>
      </c>
      <c r="E23" s="30">
        <v>3</v>
      </c>
      <c r="F23" s="30">
        <v>4</v>
      </c>
      <c r="G23" s="30">
        <v>5</v>
      </c>
      <c r="H23" s="30">
        <v>6</v>
      </c>
      <c r="I23" s="30">
        <v>7</v>
      </c>
      <c r="J23" s="30">
        <v>8</v>
      </c>
      <c r="K23" s="30">
        <v>9</v>
      </c>
      <c r="L23" s="30">
        <v>10</v>
      </c>
      <c r="M23" s="30">
        <v>11</v>
      </c>
      <c r="N23" s="30">
        <v>12</v>
      </c>
      <c r="O23" s="30">
        <v>13</v>
      </c>
      <c r="P23" s="30">
        <v>14</v>
      </c>
      <c r="Q23" s="30">
        <v>15</v>
      </c>
      <c r="R23" s="30">
        <v>16</v>
      </c>
      <c r="S23" s="30">
        <v>17</v>
      </c>
      <c r="T23" s="30">
        <v>18</v>
      </c>
      <c r="U23" s="30">
        <v>19</v>
      </c>
      <c r="V23" s="30">
        <v>20</v>
      </c>
      <c r="W23" s="30">
        <v>21</v>
      </c>
      <c r="X23" s="30">
        <v>22</v>
      </c>
      <c r="Y23" s="30">
        <v>23</v>
      </c>
      <c r="Z23" s="30">
        <v>24</v>
      </c>
      <c r="AA23" s="30">
        <v>25</v>
      </c>
      <c r="AB23" s="30">
        <v>26</v>
      </c>
      <c r="AC23" s="30">
        <v>27</v>
      </c>
      <c r="AD23" s="30">
        <v>28</v>
      </c>
      <c r="AE23" s="30">
        <v>29</v>
      </c>
      <c r="AF23" s="30">
        <v>30</v>
      </c>
      <c r="AG23" s="30">
        <v>31</v>
      </c>
      <c r="AH23" s="39" t="s">
        <v>74</v>
      </c>
    </row>
    <row r="24" spans="1:34" s="115" customFormat="1" ht="15">
      <c r="A24" s="1999" t="s">
        <v>75</v>
      </c>
      <c r="B24" s="18">
        <f>+AH24</f>
        <v>13.49</v>
      </c>
      <c r="C24" s="127">
        <v>0</v>
      </c>
      <c r="D24" s="127">
        <v>0</v>
      </c>
      <c r="E24" s="127">
        <v>1.8</v>
      </c>
      <c r="F24" s="127">
        <v>10.19</v>
      </c>
      <c r="G24" s="127">
        <v>1.5</v>
      </c>
      <c r="H24" s="127">
        <v>0</v>
      </c>
      <c r="I24" s="127">
        <v>0</v>
      </c>
      <c r="J24" s="127">
        <v>0</v>
      </c>
      <c r="K24" s="127">
        <v>0</v>
      </c>
      <c r="L24" s="127">
        <v>0</v>
      </c>
      <c r="M24" s="127">
        <v>0</v>
      </c>
      <c r="N24" s="127">
        <v>0</v>
      </c>
      <c r="O24" s="127">
        <v>0</v>
      </c>
      <c r="P24" s="127">
        <v>0</v>
      </c>
      <c r="Q24" s="127">
        <v>0</v>
      </c>
      <c r="R24" s="127">
        <v>0</v>
      </c>
      <c r="S24" s="127">
        <v>0</v>
      </c>
      <c r="T24" s="127">
        <v>0</v>
      </c>
      <c r="U24" s="127">
        <v>0</v>
      </c>
      <c r="V24" s="127">
        <v>0</v>
      </c>
      <c r="W24" s="127">
        <v>0</v>
      </c>
      <c r="X24" s="127">
        <v>0</v>
      </c>
      <c r="Y24" s="127">
        <v>0</v>
      </c>
      <c r="Z24" s="127">
        <v>0</v>
      </c>
      <c r="AA24" s="127">
        <v>0</v>
      </c>
      <c r="AB24" s="127">
        <v>0</v>
      </c>
      <c r="AC24" s="127">
        <v>0</v>
      </c>
      <c r="AD24" s="127">
        <v>0</v>
      </c>
      <c r="AE24" s="127">
        <v>0</v>
      </c>
      <c r="AF24" s="127">
        <v>0</v>
      </c>
      <c r="AG24" s="127">
        <v>0</v>
      </c>
      <c r="AH24" s="53">
        <f>SUM(C24:AG24)</f>
        <v>13.49</v>
      </c>
    </row>
    <row r="25" spans="1:34" s="115" customFormat="1" ht="15">
      <c r="A25" s="1999" t="s">
        <v>76</v>
      </c>
      <c r="B25" s="18">
        <f t="shared" ref="B25:B35" si="3">+AH25</f>
        <v>79.703000000000003</v>
      </c>
      <c r="C25" s="127">
        <v>0</v>
      </c>
      <c r="D25" s="127">
        <v>0</v>
      </c>
      <c r="E25" s="127">
        <v>0</v>
      </c>
      <c r="F25" s="127">
        <v>0</v>
      </c>
      <c r="G25" s="127">
        <v>0</v>
      </c>
      <c r="H25" s="127">
        <v>0</v>
      </c>
      <c r="I25" s="127">
        <v>0</v>
      </c>
      <c r="J25" s="127">
        <v>0</v>
      </c>
      <c r="K25" s="127">
        <v>0</v>
      </c>
      <c r="L25" s="127">
        <v>0</v>
      </c>
      <c r="M25" s="127">
        <v>31.561</v>
      </c>
      <c r="N25" s="127">
        <v>48.142000000000003</v>
      </c>
      <c r="O25" s="127">
        <v>0</v>
      </c>
      <c r="P25" s="127">
        <v>0</v>
      </c>
      <c r="Q25" s="127">
        <v>0</v>
      </c>
      <c r="R25" s="127">
        <v>0</v>
      </c>
      <c r="S25" s="127">
        <v>0</v>
      </c>
      <c r="T25" s="127">
        <v>0</v>
      </c>
      <c r="U25" s="127">
        <v>0</v>
      </c>
      <c r="V25" s="127">
        <v>0</v>
      </c>
      <c r="W25" s="127">
        <v>0</v>
      </c>
      <c r="X25" s="127">
        <v>0</v>
      </c>
      <c r="Y25" s="127">
        <v>0</v>
      </c>
      <c r="Z25" s="127">
        <v>0</v>
      </c>
      <c r="AA25" s="127">
        <v>0</v>
      </c>
      <c r="AB25" s="127">
        <v>0</v>
      </c>
      <c r="AC25" s="127">
        <v>0</v>
      </c>
      <c r="AD25" s="127">
        <v>0</v>
      </c>
      <c r="AE25" s="127"/>
      <c r="AF25" s="127"/>
      <c r="AG25" s="127"/>
      <c r="AH25" s="53">
        <f t="shared" ref="AH25:AH35" si="4">SUM(C25:AG25)</f>
        <v>79.703000000000003</v>
      </c>
    </row>
    <row r="26" spans="1:34" s="115" customFormat="1" ht="15">
      <c r="A26" s="1999" t="s">
        <v>77</v>
      </c>
      <c r="B26" s="18">
        <f t="shared" si="3"/>
        <v>946.99299999999994</v>
      </c>
      <c r="C26" s="127">
        <v>0</v>
      </c>
      <c r="D26" s="127">
        <v>0</v>
      </c>
      <c r="E26" s="127">
        <v>0</v>
      </c>
      <c r="F26" s="127">
        <v>13.129000000000001</v>
      </c>
      <c r="G26" s="127">
        <v>34.596000000000004</v>
      </c>
      <c r="H26" s="112">
        <v>72.533999999999992</v>
      </c>
      <c r="I26" s="112">
        <v>0</v>
      </c>
      <c r="J26" s="112">
        <v>0</v>
      </c>
      <c r="K26" s="112">
        <v>0</v>
      </c>
      <c r="L26" s="112">
        <v>0</v>
      </c>
      <c r="M26" s="112">
        <v>0</v>
      </c>
      <c r="N26" s="112">
        <v>91.167000000000002</v>
      </c>
      <c r="O26" s="112">
        <v>10.429</v>
      </c>
      <c r="P26" s="112">
        <v>118.57</v>
      </c>
      <c r="Q26" s="112">
        <v>0</v>
      </c>
      <c r="R26" s="112">
        <v>0</v>
      </c>
      <c r="S26" s="112">
        <v>0</v>
      </c>
      <c r="T26" s="112">
        <v>9.6790000000000003</v>
      </c>
      <c r="U26" s="112">
        <v>89.858999999999995</v>
      </c>
      <c r="V26" s="112">
        <v>22.577000000000002</v>
      </c>
      <c r="W26" s="112">
        <v>5.3369999999999997</v>
      </c>
      <c r="X26" s="112">
        <v>0</v>
      </c>
      <c r="Y26" s="112">
        <v>0</v>
      </c>
      <c r="Z26" s="112">
        <v>0</v>
      </c>
      <c r="AA26" s="112">
        <v>171.10300000000001</v>
      </c>
      <c r="AB26" s="112">
        <v>102.952</v>
      </c>
      <c r="AC26" s="112">
        <v>97.323000000000008</v>
      </c>
      <c r="AD26" s="112">
        <v>107.738</v>
      </c>
      <c r="AE26" s="112">
        <v>0</v>
      </c>
      <c r="AF26" s="112">
        <v>0</v>
      </c>
      <c r="AG26" s="112">
        <v>0</v>
      </c>
      <c r="AH26" s="53">
        <f t="shared" si="4"/>
        <v>946.99299999999994</v>
      </c>
    </row>
    <row r="27" spans="1:34" s="115" customFormat="1" ht="15">
      <c r="A27" s="1999" t="s">
        <v>78</v>
      </c>
      <c r="B27" s="18">
        <f t="shared" si="3"/>
        <v>1946.3819999999998</v>
      </c>
      <c r="C27" s="263">
        <v>172.602</v>
      </c>
      <c r="D27" s="154">
        <v>210.92799999999997</v>
      </c>
      <c r="E27" s="154">
        <v>36.792999999999999</v>
      </c>
      <c r="F27" s="154">
        <v>96.581999999999994</v>
      </c>
      <c r="G27" s="154">
        <v>10.31</v>
      </c>
      <c r="H27" s="154">
        <v>0</v>
      </c>
      <c r="I27" s="154">
        <v>0</v>
      </c>
      <c r="J27" s="154">
        <v>0</v>
      </c>
      <c r="K27" s="154">
        <v>59.195</v>
      </c>
      <c r="L27" s="154">
        <v>55.671999999999997</v>
      </c>
      <c r="M27" s="154">
        <v>4.351</v>
      </c>
      <c r="N27" s="154">
        <v>0</v>
      </c>
      <c r="O27" s="154">
        <v>0</v>
      </c>
      <c r="P27" s="154">
        <v>0</v>
      </c>
      <c r="Q27" s="154">
        <v>83.940000000000012</v>
      </c>
      <c r="R27" s="154">
        <v>334.72300000000007</v>
      </c>
      <c r="S27" s="154">
        <v>354.291</v>
      </c>
      <c r="T27" s="154">
        <v>287.64300000000003</v>
      </c>
      <c r="U27" s="154">
        <v>13.677</v>
      </c>
      <c r="V27" s="154">
        <v>0</v>
      </c>
      <c r="W27" s="154">
        <v>0</v>
      </c>
      <c r="X27" s="154">
        <v>57.307000000000002</v>
      </c>
      <c r="Y27" s="154">
        <v>2.774</v>
      </c>
      <c r="Z27" s="154">
        <v>0</v>
      </c>
      <c r="AA27" s="154">
        <v>0</v>
      </c>
      <c r="AB27" s="154">
        <v>0</v>
      </c>
      <c r="AC27" s="154">
        <v>0</v>
      </c>
      <c r="AD27" s="154">
        <v>0</v>
      </c>
      <c r="AE27" s="154">
        <v>141.56300000000002</v>
      </c>
      <c r="AF27" s="154">
        <v>24.031000000000002</v>
      </c>
      <c r="AG27" s="154"/>
      <c r="AH27" s="53">
        <f t="shared" si="4"/>
        <v>1946.3819999999998</v>
      </c>
    </row>
    <row r="28" spans="1:34" s="115" customFormat="1" ht="15">
      <c r="A28" s="1999" t="s">
        <v>79</v>
      </c>
      <c r="B28" s="18">
        <f t="shared" si="3"/>
        <v>4495.067</v>
      </c>
      <c r="C28" s="49">
        <v>0</v>
      </c>
      <c r="D28" s="18">
        <v>140.97699999999998</v>
      </c>
      <c r="E28" s="18">
        <v>110.807</v>
      </c>
      <c r="F28" s="18">
        <v>0</v>
      </c>
      <c r="G28" s="18">
        <v>0</v>
      </c>
      <c r="H28" s="18">
        <v>55.744999999999997</v>
      </c>
      <c r="I28" s="18">
        <v>444.65000000000003</v>
      </c>
      <c r="J28" s="18">
        <v>327.76400000000001</v>
      </c>
      <c r="K28" s="18">
        <v>514.15700000000004</v>
      </c>
      <c r="L28" s="18">
        <v>519.22600000000011</v>
      </c>
      <c r="M28" s="18">
        <v>36.409999999999997</v>
      </c>
      <c r="N28" s="18">
        <v>0</v>
      </c>
      <c r="O28" s="18">
        <v>201.899</v>
      </c>
      <c r="P28" s="18">
        <v>303.959</v>
      </c>
      <c r="Q28" s="18">
        <v>0</v>
      </c>
      <c r="R28" s="18">
        <v>0</v>
      </c>
      <c r="S28" s="18">
        <v>89.914000000000001</v>
      </c>
      <c r="T28" s="18">
        <v>0</v>
      </c>
      <c r="U28" s="18">
        <v>0</v>
      </c>
      <c r="V28" s="18">
        <v>224.053</v>
      </c>
      <c r="W28" s="18">
        <v>0</v>
      </c>
      <c r="X28" s="18">
        <v>365.47699999999992</v>
      </c>
      <c r="Y28" s="18">
        <v>382.16000000000008</v>
      </c>
      <c r="Z28" s="18">
        <v>301.93100000000004</v>
      </c>
      <c r="AA28" s="18">
        <v>234.577</v>
      </c>
      <c r="AB28" s="18">
        <v>0</v>
      </c>
      <c r="AC28" s="18">
        <v>237.92100000000002</v>
      </c>
      <c r="AD28" s="18">
        <v>0</v>
      </c>
      <c r="AE28" s="18">
        <v>0</v>
      </c>
      <c r="AF28" s="18">
        <v>0</v>
      </c>
      <c r="AG28" s="18">
        <v>3.44</v>
      </c>
      <c r="AH28" s="53">
        <f t="shared" si="4"/>
        <v>4495.067</v>
      </c>
    </row>
    <row r="29" spans="1:34" s="115" customFormat="1" ht="15">
      <c r="A29" s="1999" t="s">
        <v>80</v>
      </c>
      <c r="B29" s="18">
        <f t="shared" si="3"/>
        <v>61.58</v>
      </c>
      <c r="C29" s="49">
        <v>0</v>
      </c>
      <c r="D29" s="18">
        <v>0</v>
      </c>
      <c r="E29" s="18">
        <v>0</v>
      </c>
      <c r="F29" s="18">
        <v>0</v>
      </c>
      <c r="G29" s="18">
        <v>0</v>
      </c>
      <c r="H29" s="18">
        <v>0</v>
      </c>
      <c r="I29" s="18">
        <v>0</v>
      </c>
      <c r="J29" s="18">
        <v>61.58</v>
      </c>
      <c r="K29" s="18"/>
      <c r="L29" s="18"/>
      <c r="M29" s="18"/>
      <c r="N29" s="18"/>
      <c r="O29" s="18"/>
      <c r="P29" s="18"/>
      <c r="Q29" s="18"/>
      <c r="R29" s="18"/>
      <c r="S29" s="18"/>
      <c r="T29" s="18"/>
      <c r="U29" s="18"/>
      <c r="V29" s="18"/>
      <c r="W29" s="18"/>
      <c r="X29" s="18"/>
      <c r="Y29" s="18"/>
      <c r="Z29" s="18"/>
      <c r="AA29" s="18"/>
      <c r="AB29" s="18"/>
      <c r="AC29" s="18"/>
      <c r="AD29" s="18"/>
      <c r="AE29" s="18"/>
      <c r="AF29" s="18"/>
      <c r="AG29" s="18"/>
      <c r="AH29" s="53">
        <f t="shared" si="4"/>
        <v>61.58</v>
      </c>
    </row>
    <row r="30" spans="1:34" s="115" customFormat="1" ht="15">
      <c r="A30" s="1999" t="s">
        <v>81</v>
      </c>
      <c r="B30" s="18">
        <f t="shared" si="3"/>
        <v>34.156999999999996</v>
      </c>
      <c r="C30" s="49"/>
      <c r="D30" s="53">
        <v>4.2569999999999997</v>
      </c>
      <c r="E30" s="53"/>
      <c r="F30" s="53"/>
      <c r="G30" s="18"/>
      <c r="H30" s="18"/>
      <c r="I30" s="18"/>
      <c r="J30" s="57"/>
      <c r="K30" s="57"/>
      <c r="L30" s="53"/>
      <c r="M30" s="53"/>
      <c r="N30" s="53"/>
      <c r="O30" s="53"/>
      <c r="P30" s="53"/>
      <c r="Q30" s="53"/>
      <c r="R30" s="53"/>
      <c r="S30" s="53"/>
      <c r="T30" s="53"/>
      <c r="U30" s="53"/>
      <c r="V30" s="53"/>
      <c r="W30" s="53"/>
      <c r="X30" s="53"/>
      <c r="Y30" s="53"/>
      <c r="Z30" s="53"/>
      <c r="AA30" s="53"/>
      <c r="AB30" s="53"/>
      <c r="AC30" s="53"/>
      <c r="AD30" s="53"/>
      <c r="AE30" s="53">
        <v>29.9</v>
      </c>
      <c r="AF30" s="53"/>
      <c r="AG30" s="53"/>
      <c r="AH30" s="53">
        <f t="shared" si="4"/>
        <v>34.156999999999996</v>
      </c>
    </row>
    <row r="31" spans="1:34" s="115" customFormat="1" ht="15">
      <c r="A31" s="1999" t="s">
        <v>82</v>
      </c>
      <c r="B31" s="18">
        <f t="shared" si="3"/>
        <v>0</v>
      </c>
      <c r="C31" s="112"/>
      <c r="D31" s="112"/>
      <c r="E31" s="112"/>
      <c r="F31" s="112"/>
      <c r="G31" s="112"/>
      <c r="H31" s="112"/>
      <c r="I31" s="112"/>
      <c r="J31" s="839"/>
      <c r="K31" s="839"/>
      <c r="L31" s="839"/>
      <c r="M31" s="839"/>
      <c r="N31" s="839"/>
      <c r="O31" s="839"/>
      <c r="P31" s="839"/>
      <c r="Q31" s="839"/>
      <c r="R31" s="839"/>
      <c r="S31" s="839"/>
      <c r="T31" s="839"/>
      <c r="U31" s="839"/>
      <c r="V31" s="839"/>
      <c r="W31" s="839"/>
      <c r="X31" s="839"/>
      <c r="Y31" s="839"/>
      <c r="Z31" s="839"/>
      <c r="AA31" s="839"/>
      <c r="AB31" s="839"/>
      <c r="AC31" s="839"/>
      <c r="AD31" s="839"/>
      <c r="AE31" s="839"/>
      <c r="AF31" s="839"/>
      <c r="AG31" s="839"/>
      <c r="AH31" s="118"/>
    </row>
    <row r="32" spans="1:34" s="115" customFormat="1" ht="15">
      <c r="A32" s="1999" t="s">
        <v>83</v>
      </c>
      <c r="B32" s="18">
        <f t="shared" si="3"/>
        <v>0</v>
      </c>
      <c r="C32" s="1930"/>
      <c r="D32" s="1930"/>
      <c r="E32" s="1930"/>
      <c r="F32" s="1930"/>
      <c r="G32" s="1930"/>
      <c r="H32" s="1930"/>
      <c r="I32" s="1930"/>
      <c r="J32" s="1930"/>
      <c r="K32" s="1930"/>
      <c r="L32" s="1930"/>
      <c r="M32" s="1930"/>
      <c r="N32" s="1930"/>
      <c r="O32" s="1930"/>
      <c r="P32" s="1930"/>
      <c r="Q32" s="1930"/>
      <c r="R32" s="1930"/>
      <c r="S32" s="1930"/>
      <c r="T32" s="1930"/>
      <c r="U32" s="1930"/>
      <c r="V32" s="1930"/>
      <c r="W32" s="1930"/>
      <c r="X32" s="1930"/>
      <c r="Y32" s="1930"/>
      <c r="Z32" s="112"/>
      <c r="AA32" s="112"/>
      <c r="AB32" s="112"/>
      <c r="AC32" s="112"/>
      <c r="AD32" s="112"/>
      <c r="AE32" s="112"/>
      <c r="AF32" s="112"/>
      <c r="AG32" s="112"/>
      <c r="AH32" s="118"/>
    </row>
    <row r="33" spans="1:34" s="115" customFormat="1" ht="15">
      <c r="A33" s="1999" t="s">
        <v>84</v>
      </c>
      <c r="B33" s="18">
        <f t="shared" si="3"/>
        <v>0</v>
      </c>
      <c r="C33" s="49"/>
      <c r="D33" s="53"/>
      <c r="E33" s="53"/>
      <c r="F33" s="53"/>
      <c r="G33" s="18"/>
      <c r="H33" s="18"/>
      <c r="I33" s="18"/>
      <c r="J33" s="18"/>
      <c r="K33" s="18"/>
      <c r="L33" s="18"/>
      <c r="M33" s="18"/>
      <c r="N33" s="18"/>
      <c r="O33" s="53"/>
      <c r="P33" s="18"/>
      <c r="Q33" s="18"/>
      <c r="R33" s="18"/>
      <c r="S33" s="18"/>
      <c r="T33" s="18"/>
      <c r="U33" s="18"/>
      <c r="V33" s="18"/>
      <c r="W33" s="18"/>
      <c r="X33" s="18"/>
      <c r="Y33" s="18"/>
      <c r="Z33" s="18"/>
      <c r="AA33" s="18"/>
      <c r="AB33" s="18"/>
      <c r="AC33" s="18"/>
      <c r="AD33" s="18"/>
      <c r="AE33" s="53"/>
      <c r="AF33" s="18"/>
      <c r="AG33" s="53"/>
      <c r="AH33" s="53">
        <f t="shared" si="4"/>
        <v>0</v>
      </c>
    </row>
    <row r="34" spans="1:34" s="115" customFormat="1" ht="15">
      <c r="A34" s="1740" t="s">
        <v>85</v>
      </c>
      <c r="B34" s="18">
        <f t="shared" si="3"/>
        <v>9.5340000000000007</v>
      </c>
      <c r="C34" s="49"/>
      <c r="D34" s="18"/>
      <c r="E34" s="18"/>
      <c r="F34" s="18"/>
      <c r="G34" s="11"/>
      <c r="H34" s="18"/>
      <c r="I34" s="18"/>
      <c r="J34" s="18"/>
      <c r="K34" s="18"/>
      <c r="L34" s="18"/>
      <c r="M34" s="18">
        <v>9.5340000000000007</v>
      </c>
      <c r="N34" s="18"/>
      <c r="O34" s="18"/>
      <c r="P34" s="18"/>
      <c r="Q34" s="18"/>
      <c r="R34" s="18"/>
      <c r="S34" s="18"/>
      <c r="T34" s="18"/>
      <c r="U34" s="18"/>
      <c r="V34" s="18"/>
      <c r="W34" s="18"/>
      <c r="X34" s="18"/>
      <c r="Y34" s="11"/>
      <c r="Z34" s="18"/>
      <c r="AA34" s="18"/>
      <c r="AB34" s="18"/>
      <c r="AC34" s="18"/>
      <c r="AD34" s="18"/>
      <c r="AE34" s="53"/>
      <c r="AF34" s="18"/>
      <c r="AG34" s="53"/>
      <c r="AH34" s="53">
        <f t="shared" si="4"/>
        <v>9.5340000000000007</v>
      </c>
    </row>
    <row r="35" spans="1:34" s="115" customFormat="1" ht="15">
      <c r="A35" s="1740" t="s">
        <v>86</v>
      </c>
      <c r="B35" s="18">
        <f t="shared" si="3"/>
        <v>90.603000000000009</v>
      </c>
      <c r="C35" s="49">
        <v>0</v>
      </c>
      <c r="D35" s="18">
        <v>0</v>
      </c>
      <c r="E35" s="18">
        <v>0</v>
      </c>
      <c r="F35" s="18">
        <v>0</v>
      </c>
      <c r="G35" s="18">
        <v>0</v>
      </c>
      <c r="H35" s="18">
        <v>0</v>
      </c>
      <c r="I35" s="18">
        <v>0</v>
      </c>
      <c r="J35" s="18">
        <v>0</v>
      </c>
      <c r="K35" s="18">
        <v>0</v>
      </c>
      <c r="L35" s="18">
        <v>0</v>
      </c>
      <c r="M35" s="18">
        <v>0</v>
      </c>
      <c r="N35" s="18">
        <v>0</v>
      </c>
      <c r="O35" s="18">
        <v>2.3650000000000002</v>
      </c>
      <c r="P35" s="18">
        <v>0</v>
      </c>
      <c r="Q35" s="18">
        <v>0</v>
      </c>
      <c r="R35" s="18">
        <v>0</v>
      </c>
      <c r="S35" s="18">
        <v>3.3050000000000002</v>
      </c>
      <c r="T35" s="18">
        <v>0</v>
      </c>
      <c r="U35" s="18">
        <v>0</v>
      </c>
      <c r="V35" s="18">
        <v>0</v>
      </c>
      <c r="W35" s="18">
        <v>0</v>
      </c>
      <c r="X35" s="18">
        <v>0</v>
      </c>
      <c r="Y35" s="18">
        <v>0</v>
      </c>
      <c r="Z35" s="18">
        <v>0</v>
      </c>
      <c r="AA35" s="18">
        <v>0</v>
      </c>
      <c r="AB35" s="18">
        <v>0</v>
      </c>
      <c r="AC35" s="18">
        <v>21.564</v>
      </c>
      <c r="AD35" s="18">
        <v>28.905000000000001</v>
      </c>
      <c r="AE35" s="53">
        <v>0</v>
      </c>
      <c r="AF35" s="18">
        <v>34.463999999999999</v>
      </c>
      <c r="AG35" s="53">
        <v>0</v>
      </c>
      <c r="AH35" s="53">
        <f t="shared" si="4"/>
        <v>90.603000000000009</v>
      </c>
    </row>
    <row r="36" spans="1:34" s="115" customFormat="1" ht="15">
      <c r="A36" s="88" t="s">
        <v>74</v>
      </c>
      <c r="B36" s="89">
        <f>SUM(B24:B35)</f>
        <v>7677.509</v>
      </c>
      <c r="C36" s="46">
        <f t="shared" ref="C36:AF36" si="5">SUM(C24:C35)</f>
        <v>172.602</v>
      </c>
      <c r="D36" s="46">
        <f t="shared" si="5"/>
        <v>356.16199999999998</v>
      </c>
      <c r="E36" s="46">
        <f t="shared" si="5"/>
        <v>149.4</v>
      </c>
      <c r="F36" s="46">
        <f t="shared" si="5"/>
        <v>119.901</v>
      </c>
      <c r="G36" s="46">
        <f t="shared" si="5"/>
        <v>46.406000000000006</v>
      </c>
      <c r="H36" s="46">
        <f t="shared" si="5"/>
        <v>128.279</v>
      </c>
      <c r="I36" s="46">
        <f t="shared" si="5"/>
        <v>444.65000000000003</v>
      </c>
      <c r="J36" s="46">
        <f t="shared" si="5"/>
        <v>389.34399999999999</v>
      </c>
      <c r="K36" s="46">
        <f t="shared" si="5"/>
        <v>573.35200000000009</v>
      </c>
      <c r="L36" s="46">
        <f t="shared" si="5"/>
        <v>574.89800000000014</v>
      </c>
      <c r="M36" s="46">
        <f t="shared" si="5"/>
        <v>81.856000000000009</v>
      </c>
      <c r="N36" s="46">
        <f t="shared" si="5"/>
        <v>139.309</v>
      </c>
      <c r="O36" s="46">
        <f t="shared" si="5"/>
        <v>214.69300000000001</v>
      </c>
      <c r="P36" s="46">
        <f t="shared" si="5"/>
        <v>422.529</v>
      </c>
      <c r="Q36" s="46">
        <f t="shared" si="5"/>
        <v>83.940000000000012</v>
      </c>
      <c r="R36" s="46">
        <f t="shared" si="5"/>
        <v>334.72300000000007</v>
      </c>
      <c r="S36" s="46">
        <f t="shared" si="5"/>
        <v>447.51</v>
      </c>
      <c r="T36" s="46">
        <f t="shared" si="5"/>
        <v>297.322</v>
      </c>
      <c r="U36" s="46">
        <f t="shared" si="5"/>
        <v>103.536</v>
      </c>
      <c r="V36" s="46">
        <f t="shared" si="5"/>
        <v>246.63</v>
      </c>
      <c r="W36" s="46">
        <f t="shared" si="5"/>
        <v>5.3369999999999997</v>
      </c>
      <c r="X36" s="46">
        <f t="shared" si="5"/>
        <v>422.78399999999993</v>
      </c>
      <c r="Y36" s="46">
        <f t="shared" si="5"/>
        <v>384.93400000000008</v>
      </c>
      <c r="Z36" s="46">
        <f t="shared" si="5"/>
        <v>301.93100000000004</v>
      </c>
      <c r="AA36" s="46">
        <f t="shared" si="5"/>
        <v>405.68</v>
      </c>
      <c r="AB36" s="46">
        <f t="shared" si="5"/>
        <v>102.952</v>
      </c>
      <c r="AC36" s="46">
        <f t="shared" si="5"/>
        <v>356.80800000000005</v>
      </c>
      <c r="AD36" s="46">
        <f t="shared" si="5"/>
        <v>136.643</v>
      </c>
      <c r="AE36" s="46">
        <f t="shared" si="5"/>
        <v>171.46300000000002</v>
      </c>
      <c r="AF36" s="46">
        <f t="shared" si="5"/>
        <v>58.495000000000005</v>
      </c>
      <c r="AG36" s="46">
        <f>SUM(AG24:AG35)</f>
        <v>3.44</v>
      </c>
      <c r="AH36" s="46">
        <f>SUM(AH24:AH35)</f>
        <v>7677.509</v>
      </c>
    </row>
    <row r="37" spans="1:34" s="115" customFormat="1" ht="15">
      <c r="A37" s="135"/>
      <c r="B37" s="135"/>
      <c r="C37" s="135"/>
      <c r="D37" s="135"/>
      <c r="E37" s="135"/>
      <c r="F37" s="135"/>
      <c r="G37" s="135"/>
      <c r="H37" s="135"/>
      <c r="I37" s="135"/>
      <c r="J37" s="135"/>
      <c r="K37" s="135"/>
      <c r="L37" s="135"/>
      <c r="M37" s="135"/>
      <c r="N37" s="135"/>
      <c r="O37" s="135"/>
      <c r="P37" s="135"/>
      <c r="Q37" s="135"/>
      <c r="R37" s="135"/>
      <c r="S37" s="135"/>
      <c r="T37" s="135"/>
      <c r="U37" s="60"/>
      <c r="V37" s="60"/>
      <c r="W37" s="60"/>
      <c r="X37" s="60"/>
      <c r="Y37" s="60"/>
      <c r="Z37" s="60"/>
      <c r="AA37" s="60"/>
      <c r="AB37" s="60"/>
      <c r="AC37" s="60"/>
      <c r="AD37" s="60"/>
      <c r="AE37" s="60"/>
      <c r="AF37" s="60"/>
      <c r="AG37" s="60"/>
      <c r="AH37" s="60"/>
    </row>
    <row r="38" spans="1:34" s="115" customFormat="1" ht="15">
      <c r="A38" s="3569" t="s">
        <v>119</v>
      </c>
      <c r="B38" s="3570"/>
      <c r="C38" s="3570"/>
      <c r="D38" s="3570"/>
      <c r="E38" s="3570"/>
      <c r="F38" s="3570"/>
      <c r="G38" s="3570"/>
      <c r="H38" s="357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row>
    <row r="39" spans="1:34" s="115" customFormat="1" ht="15">
      <c r="A39" s="5" t="s">
        <v>72</v>
      </c>
      <c r="B39" s="5" t="s">
        <v>73</v>
      </c>
      <c r="C39" s="1249">
        <v>1</v>
      </c>
      <c r="D39" s="30">
        <v>2</v>
      </c>
      <c r="E39" s="30">
        <v>3</v>
      </c>
      <c r="F39" s="30">
        <v>4</v>
      </c>
      <c r="G39" s="30">
        <v>5</v>
      </c>
      <c r="H39" s="30">
        <v>6</v>
      </c>
      <c r="I39" s="30">
        <v>7</v>
      </c>
      <c r="J39" s="30">
        <v>8</v>
      </c>
      <c r="K39" s="30">
        <v>9</v>
      </c>
      <c r="L39" s="30">
        <v>10</v>
      </c>
      <c r="M39" s="30">
        <v>11</v>
      </c>
      <c r="N39" s="30">
        <v>12</v>
      </c>
      <c r="O39" s="30">
        <v>13</v>
      </c>
      <c r="P39" s="30">
        <v>14</v>
      </c>
      <c r="Q39" s="30">
        <v>15</v>
      </c>
      <c r="R39" s="30">
        <v>16</v>
      </c>
      <c r="S39" s="30">
        <v>17</v>
      </c>
      <c r="T39" s="30">
        <v>18</v>
      </c>
      <c r="U39" s="30">
        <v>19</v>
      </c>
      <c r="V39" s="30">
        <v>20</v>
      </c>
      <c r="W39" s="30">
        <v>21</v>
      </c>
      <c r="X39" s="30">
        <v>22</v>
      </c>
      <c r="Y39" s="30">
        <v>23</v>
      </c>
      <c r="Z39" s="30">
        <v>24</v>
      </c>
      <c r="AA39" s="30">
        <v>25</v>
      </c>
      <c r="AB39" s="30">
        <v>26</v>
      </c>
      <c r="AC39" s="30">
        <v>27</v>
      </c>
      <c r="AD39" s="30">
        <v>28</v>
      </c>
      <c r="AE39" s="30">
        <v>29</v>
      </c>
      <c r="AF39" s="30">
        <v>30</v>
      </c>
      <c r="AG39" s="30">
        <v>31</v>
      </c>
      <c r="AH39" s="39" t="s">
        <v>74</v>
      </c>
    </row>
    <row r="40" spans="1:34" s="115" customFormat="1" ht="15">
      <c r="A40" s="1999" t="s">
        <v>75</v>
      </c>
      <c r="B40" s="18">
        <f t="shared" ref="B40:B51" si="6">+AH40</f>
        <v>6.2E-2</v>
      </c>
      <c r="C40" s="110">
        <v>0</v>
      </c>
      <c r="D40" s="111">
        <v>0</v>
      </c>
      <c r="E40" s="111">
        <v>0</v>
      </c>
      <c r="F40" s="111">
        <v>0</v>
      </c>
      <c r="G40" s="111">
        <v>0.03</v>
      </c>
      <c r="H40" s="111">
        <v>0</v>
      </c>
      <c r="I40" s="111">
        <v>1.2E-2</v>
      </c>
      <c r="J40" s="111">
        <v>0</v>
      </c>
      <c r="K40" s="111">
        <v>0</v>
      </c>
      <c r="L40" s="111">
        <v>0</v>
      </c>
      <c r="M40" s="111">
        <v>0</v>
      </c>
      <c r="N40" s="111">
        <v>0</v>
      </c>
      <c r="O40" s="111">
        <v>0</v>
      </c>
      <c r="P40" s="111">
        <v>0</v>
      </c>
      <c r="Q40" s="108">
        <v>0</v>
      </c>
      <c r="R40" s="111">
        <v>0</v>
      </c>
      <c r="S40" s="111">
        <v>0</v>
      </c>
      <c r="T40" s="111">
        <v>0</v>
      </c>
      <c r="U40" s="111">
        <v>0</v>
      </c>
      <c r="V40" s="108">
        <v>0</v>
      </c>
      <c r="W40" s="108">
        <v>0</v>
      </c>
      <c r="X40" s="111">
        <v>0.01</v>
      </c>
      <c r="Y40" s="111">
        <v>0.01</v>
      </c>
      <c r="Z40" s="111">
        <v>0</v>
      </c>
      <c r="AA40" s="111">
        <v>0</v>
      </c>
      <c r="AB40" s="111">
        <v>0</v>
      </c>
      <c r="AC40" s="111">
        <v>0</v>
      </c>
      <c r="AD40" s="108">
        <v>0</v>
      </c>
      <c r="AE40" s="111">
        <v>0</v>
      </c>
      <c r="AF40" s="111">
        <v>0</v>
      </c>
      <c r="AG40" s="111">
        <v>0</v>
      </c>
      <c r="AH40" s="53">
        <f>SUM(C40:AG40)</f>
        <v>6.2E-2</v>
      </c>
    </row>
    <row r="41" spans="1:34" s="115" customFormat="1" ht="15">
      <c r="A41" s="1999" t="s">
        <v>76</v>
      </c>
      <c r="B41" s="18">
        <f t="shared" si="6"/>
        <v>0</v>
      </c>
      <c r="C41" s="110"/>
      <c r="D41" s="111"/>
      <c r="E41" s="111"/>
      <c r="F41" s="111"/>
      <c r="G41" s="111"/>
      <c r="H41" s="111"/>
      <c r="I41" s="111"/>
      <c r="J41" s="111"/>
      <c r="K41" s="111"/>
      <c r="L41" s="111"/>
      <c r="M41" s="111"/>
      <c r="N41" s="111"/>
      <c r="O41" s="111"/>
      <c r="P41" s="111"/>
      <c r="Q41" s="111"/>
      <c r="R41" s="111"/>
      <c r="S41" s="111"/>
      <c r="T41" s="111"/>
      <c r="U41" s="111"/>
      <c r="V41" s="111"/>
      <c r="W41" s="111"/>
      <c r="X41" s="111"/>
      <c r="Y41" s="111"/>
      <c r="Z41" s="111"/>
      <c r="AA41" s="111"/>
      <c r="AB41" s="111"/>
      <c r="AC41" s="111"/>
      <c r="AD41" s="111"/>
      <c r="AE41" s="111"/>
      <c r="AF41" s="111"/>
      <c r="AG41" s="111"/>
      <c r="AH41" s="53">
        <f t="shared" ref="AH41:AH51" si="7">SUM(C41:AG41)</f>
        <v>0</v>
      </c>
    </row>
    <row r="42" spans="1:34" s="115" customFormat="1" ht="15">
      <c r="A42" s="1999" t="s">
        <v>77</v>
      </c>
      <c r="B42" s="18">
        <f t="shared" si="6"/>
        <v>3.04</v>
      </c>
      <c r="C42" s="202">
        <v>0</v>
      </c>
      <c r="D42" s="154">
        <v>0</v>
      </c>
      <c r="E42" s="216">
        <v>0</v>
      </c>
      <c r="F42" s="216">
        <v>0</v>
      </c>
      <c r="G42" s="216">
        <v>0</v>
      </c>
      <c r="H42" s="216">
        <v>0</v>
      </c>
      <c r="I42" s="216">
        <v>0</v>
      </c>
      <c r="J42" s="216">
        <v>0</v>
      </c>
      <c r="K42" s="216">
        <v>0</v>
      </c>
      <c r="L42" s="216">
        <v>0</v>
      </c>
      <c r="M42" s="216">
        <v>0</v>
      </c>
      <c r="N42" s="216">
        <v>0</v>
      </c>
      <c r="O42" s="216">
        <v>0</v>
      </c>
      <c r="P42" s="216">
        <v>0</v>
      </c>
      <c r="Q42" s="215">
        <v>0</v>
      </c>
      <c r="R42" s="215">
        <v>0</v>
      </c>
      <c r="S42" s="215">
        <v>0</v>
      </c>
      <c r="T42" s="215">
        <v>0</v>
      </c>
      <c r="U42" s="215">
        <v>0</v>
      </c>
      <c r="V42" s="215">
        <v>0</v>
      </c>
      <c r="W42" s="215">
        <v>0</v>
      </c>
      <c r="X42" s="215">
        <v>0</v>
      </c>
      <c r="Y42" s="215">
        <v>0</v>
      </c>
      <c r="Z42" s="215">
        <v>0</v>
      </c>
      <c r="AA42" s="215">
        <v>0</v>
      </c>
      <c r="AB42" s="215">
        <v>0</v>
      </c>
      <c r="AC42" s="215">
        <v>0</v>
      </c>
      <c r="AD42" s="215">
        <v>3.04</v>
      </c>
      <c r="AE42" s="215">
        <v>0</v>
      </c>
      <c r="AF42" s="215">
        <v>0</v>
      </c>
      <c r="AG42" s="215">
        <v>0</v>
      </c>
      <c r="AH42" s="53">
        <f t="shared" si="7"/>
        <v>3.04</v>
      </c>
    </row>
    <row r="43" spans="1:34" s="115" customFormat="1" ht="15">
      <c r="A43" s="1999" t="s">
        <v>78</v>
      </c>
      <c r="B43" s="18">
        <f t="shared" si="6"/>
        <v>0</v>
      </c>
      <c r="C43" s="261">
        <v>0</v>
      </c>
      <c r="D43" s="111">
        <v>0</v>
      </c>
      <c r="E43" s="262">
        <v>0</v>
      </c>
      <c r="F43" s="262">
        <v>0</v>
      </c>
      <c r="G43" s="262">
        <v>0</v>
      </c>
      <c r="H43" s="262">
        <v>0</v>
      </c>
      <c r="I43" s="262">
        <v>0</v>
      </c>
      <c r="J43" s="262">
        <v>0</v>
      </c>
      <c r="K43" s="262">
        <v>0</v>
      </c>
      <c r="L43" s="262">
        <v>0</v>
      </c>
      <c r="M43" s="262">
        <v>0</v>
      </c>
      <c r="N43" s="262">
        <v>0</v>
      </c>
      <c r="O43" s="262">
        <v>0</v>
      </c>
      <c r="P43" s="262">
        <v>0</v>
      </c>
      <c r="Q43" s="109">
        <v>0</v>
      </c>
      <c r="R43" s="109">
        <v>0</v>
      </c>
      <c r="S43" s="109">
        <v>0</v>
      </c>
      <c r="T43" s="109">
        <v>0</v>
      </c>
      <c r="U43" s="109">
        <v>0</v>
      </c>
      <c r="V43" s="109">
        <v>0</v>
      </c>
      <c r="W43" s="109">
        <v>0</v>
      </c>
      <c r="X43" s="109">
        <v>0</v>
      </c>
      <c r="Y43" s="109">
        <v>0</v>
      </c>
      <c r="Z43" s="109">
        <v>0</v>
      </c>
      <c r="AA43" s="109">
        <v>0</v>
      </c>
      <c r="AB43" s="109">
        <v>0</v>
      </c>
      <c r="AC43" s="109">
        <v>0</v>
      </c>
      <c r="AD43" s="109">
        <v>0</v>
      </c>
      <c r="AE43" s="109">
        <v>0</v>
      </c>
      <c r="AF43" s="109">
        <v>0</v>
      </c>
      <c r="AG43" s="109"/>
      <c r="AH43" s="53">
        <f t="shared" si="7"/>
        <v>0</v>
      </c>
    </row>
    <row r="44" spans="1:34" s="115" customFormat="1" ht="15">
      <c r="A44" s="1999" t="s">
        <v>79</v>
      </c>
      <c r="B44" s="18">
        <f t="shared" si="6"/>
        <v>1</v>
      </c>
      <c r="C44" s="49">
        <v>0</v>
      </c>
      <c r="D44" s="18">
        <v>0</v>
      </c>
      <c r="E44" s="18">
        <v>0</v>
      </c>
      <c r="F44" s="18">
        <v>0</v>
      </c>
      <c r="G44" s="18">
        <v>0</v>
      </c>
      <c r="H44" s="18">
        <v>0</v>
      </c>
      <c r="I44" s="18">
        <v>0</v>
      </c>
      <c r="J44" s="18">
        <v>0</v>
      </c>
      <c r="K44" s="18">
        <v>0</v>
      </c>
      <c r="L44" s="18">
        <v>0</v>
      </c>
      <c r="M44" s="18">
        <v>0</v>
      </c>
      <c r="N44" s="18">
        <v>0</v>
      </c>
      <c r="O44" s="18">
        <v>0</v>
      </c>
      <c r="P44" s="18">
        <v>0</v>
      </c>
      <c r="Q44" s="18">
        <v>0</v>
      </c>
      <c r="R44" s="18">
        <v>0</v>
      </c>
      <c r="S44" s="18">
        <v>0</v>
      </c>
      <c r="T44" s="18">
        <v>0</v>
      </c>
      <c r="U44" s="18">
        <v>0</v>
      </c>
      <c r="V44" s="18">
        <v>1</v>
      </c>
      <c r="W44" s="18">
        <v>0</v>
      </c>
      <c r="X44" s="18">
        <v>0</v>
      </c>
      <c r="Y44" s="18">
        <v>0</v>
      </c>
      <c r="Z44" s="18">
        <v>0</v>
      </c>
      <c r="AA44" s="18">
        <v>0</v>
      </c>
      <c r="AB44" s="18">
        <v>0</v>
      </c>
      <c r="AC44" s="18">
        <v>0</v>
      </c>
      <c r="AD44" s="18">
        <v>0</v>
      </c>
      <c r="AE44" s="18">
        <v>0</v>
      </c>
      <c r="AF44" s="18">
        <v>0</v>
      </c>
      <c r="AG44" s="18">
        <v>0</v>
      </c>
      <c r="AH44" s="53">
        <f t="shared" si="7"/>
        <v>1</v>
      </c>
    </row>
    <row r="45" spans="1:34" s="115" customFormat="1" ht="15">
      <c r="A45" s="1999" t="s">
        <v>80</v>
      </c>
      <c r="B45" s="18">
        <f t="shared" si="6"/>
        <v>0</v>
      </c>
      <c r="C45" s="49">
        <v>0</v>
      </c>
      <c r="D45" s="18">
        <v>0</v>
      </c>
      <c r="E45" s="18">
        <v>0</v>
      </c>
      <c r="F45" s="18">
        <v>0</v>
      </c>
      <c r="G45" s="18">
        <v>0</v>
      </c>
      <c r="H45" s="18">
        <v>0</v>
      </c>
      <c r="I45" s="18">
        <v>0</v>
      </c>
      <c r="J45" s="18">
        <v>0</v>
      </c>
      <c r="K45" s="18">
        <v>0</v>
      </c>
      <c r="L45" s="18">
        <v>0</v>
      </c>
      <c r="M45" s="18">
        <v>0</v>
      </c>
      <c r="N45" s="18">
        <v>0</v>
      </c>
      <c r="O45" s="18">
        <v>0</v>
      </c>
      <c r="P45" s="18">
        <v>0</v>
      </c>
      <c r="Q45" s="18">
        <v>0</v>
      </c>
      <c r="R45" s="18">
        <v>0</v>
      </c>
      <c r="S45" s="18">
        <v>0</v>
      </c>
      <c r="T45" s="18"/>
      <c r="U45" s="18"/>
      <c r="V45" s="18"/>
      <c r="W45" s="18"/>
      <c r="X45" s="18"/>
      <c r="Y45" s="18"/>
      <c r="Z45" s="18"/>
      <c r="AA45" s="18"/>
      <c r="AB45" s="18"/>
      <c r="AC45" s="18"/>
      <c r="AD45" s="18"/>
      <c r="AE45" s="18"/>
      <c r="AF45" s="18"/>
      <c r="AG45" s="18"/>
      <c r="AH45" s="53">
        <f t="shared" si="7"/>
        <v>0</v>
      </c>
    </row>
    <row r="46" spans="1:34" s="115" customFormat="1" ht="15">
      <c r="A46" s="1999" t="s">
        <v>81</v>
      </c>
      <c r="B46" s="18">
        <f t="shared" si="6"/>
        <v>0</v>
      </c>
      <c r="C46" s="49"/>
      <c r="D46" s="18"/>
      <c r="E46" s="18"/>
      <c r="F46" s="18"/>
      <c r="G46" s="18"/>
      <c r="H46" s="18"/>
      <c r="I46" s="18"/>
      <c r="J46" s="49"/>
      <c r="K46" s="49"/>
      <c r="L46" s="18"/>
      <c r="M46" s="18"/>
      <c r="N46" s="18"/>
      <c r="O46" s="18"/>
      <c r="P46" s="18"/>
      <c r="Q46" s="53"/>
      <c r="R46" s="53"/>
      <c r="S46" s="53"/>
      <c r="T46" s="53"/>
      <c r="U46" s="53"/>
      <c r="V46" s="53"/>
      <c r="W46" s="53"/>
      <c r="X46" s="53"/>
      <c r="Y46" s="53"/>
      <c r="Z46" s="53"/>
      <c r="AA46" s="53"/>
      <c r="AB46" s="53"/>
      <c r="AC46" s="53"/>
      <c r="AD46" s="53"/>
      <c r="AE46" s="53"/>
      <c r="AF46" s="53"/>
      <c r="AG46" s="53"/>
      <c r="AH46" s="53">
        <f t="shared" si="7"/>
        <v>0</v>
      </c>
    </row>
    <row r="47" spans="1:34" s="115" customFormat="1" ht="15">
      <c r="A47" s="1999" t="s">
        <v>82</v>
      </c>
      <c r="B47" s="18">
        <f t="shared" si="6"/>
        <v>0</v>
      </c>
      <c r="C47" s="112"/>
      <c r="D47" s="112"/>
      <c r="E47" s="112"/>
      <c r="F47" s="112"/>
      <c r="G47" s="112"/>
      <c r="H47" s="112"/>
      <c r="I47" s="112"/>
      <c r="J47" s="112"/>
      <c r="K47" s="112"/>
      <c r="L47" s="112"/>
      <c r="M47" s="112"/>
      <c r="N47" s="112"/>
      <c r="O47" s="112"/>
      <c r="P47" s="112"/>
      <c r="Q47" s="839"/>
      <c r="R47" s="839"/>
      <c r="S47" s="839"/>
      <c r="T47" s="839"/>
      <c r="U47" s="839"/>
      <c r="V47" s="839"/>
      <c r="W47" s="839"/>
      <c r="X47" s="839"/>
      <c r="Y47" s="839"/>
      <c r="Z47" s="839"/>
      <c r="AA47" s="839"/>
      <c r="AB47" s="839"/>
      <c r="AC47" s="839"/>
      <c r="AD47" s="839"/>
      <c r="AE47" s="839"/>
      <c r="AF47" s="839"/>
      <c r="AG47" s="839"/>
      <c r="AH47" s="53">
        <f t="shared" si="7"/>
        <v>0</v>
      </c>
    </row>
    <row r="48" spans="1:34" s="115" customFormat="1" ht="15">
      <c r="A48" s="1999" t="s">
        <v>83</v>
      </c>
      <c r="B48" s="18">
        <f t="shared" si="6"/>
        <v>0</v>
      </c>
      <c r="C48" s="1930"/>
      <c r="D48" s="1930"/>
      <c r="E48" s="1930"/>
      <c r="F48" s="1930"/>
      <c r="G48" s="1930"/>
      <c r="H48" s="1930"/>
      <c r="I48" s="1930"/>
      <c r="J48" s="1930"/>
      <c r="K48" s="1930"/>
      <c r="L48" s="1930"/>
      <c r="M48" s="1930"/>
      <c r="N48" s="1930"/>
      <c r="O48" s="1930"/>
      <c r="P48" s="1930"/>
      <c r="Q48" s="1930"/>
      <c r="R48" s="1930"/>
      <c r="S48" s="1930"/>
      <c r="T48" s="1930"/>
      <c r="U48" s="1930"/>
      <c r="V48" s="1930"/>
      <c r="W48" s="1930"/>
      <c r="X48" s="1930"/>
      <c r="Y48" s="1930"/>
      <c r="Z48" s="1287"/>
      <c r="AA48" s="1287"/>
      <c r="AB48" s="1287"/>
      <c r="AC48" s="1287"/>
      <c r="AD48" s="1287"/>
      <c r="AE48" s="1287"/>
      <c r="AF48" s="1287"/>
      <c r="AG48" s="1287"/>
      <c r="AH48" s="53">
        <f t="shared" si="7"/>
        <v>0</v>
      </c>
    </row>
    <row r="49" spans="1:34" s="115" customFormat="1" ht="15">
      <c r="A49" s="1999" t="s">
        <v>84</v>
      </c>
      <c r="B49" s="18">
        <f t="shared" si="6"/>
        <v>9.4000000000000014E-2</v>
      </c>
      <c r="C49" s="1287">
        <v>0</v>
      </c>
      <c r="D49" s="1488">
        <v>0</v>
      </c>
      <c r="E49" s="1488">
        <v>0</v>
      </c>
      <c r="F49" s="1488">
        <v>0</v>
      </c>
      <c r="G49" s="1287">
        <v>0</v>
      </c>
      <c r="H49" s="1287">
        <v>1.4999999999999999E-2</v>
      </c>
      <c r="I49" s="1287">
        <v>0</v>
      </c>
      <c r="J49" s="1287">
        <v>1.2E-2</v>
      </c>
      <c r="K49" s="1287">
        <v>0</v>
      </c>
      <c r="L49" s="1287">
        <v>0</v>
      </c>
      <c r="M49" s="1287">
        <v>0</v>
      </c>
      <c r="N49" s="1287">
        <v>0</v>
      </c>
      <c r="O49" s="1488">
        <v>1.2E-2</v>
      </c>
      <c r="P49" s="1287">
        <v>0</v>
      </c>
      <c r="Q49" s="1287">
        <v>0.01</v>
      </c>
      <c r="R49" s="1287">
        <v>1.4999999999999999E-2</v>
      </c>
      <c r="S49" s="1287">
        <v>0</v>
      </c>
      <c r="T49" s="1287">
        <v>0.01</v>
      </c>
      <c r="U49" s="1287">
        <v>0</v>
      </c>
      <c r="V49" s="1287">
        <v>7.0000000000000001E-3</v>
      </c>
      <c r="W49" s="1287">
        <v>0</v>
      </c>
      <c r="X49" s="1287">
        <v>0</v>
      </c>
      <c r="Y49" s="1287">
        <v>0</v>
      </c>
      <c r="Z49" s="1287">
        <v>0</v>
      </c>
      <c r="AA49" s="1287">
        <v>0</v>
      </c>
      <c r="AB49" s="1287">
        <v>0</v>
      </c>
      <c r="AC49" s="1287">
        <v>7.0000000000000001E-3</v>
      </c>
      <c r="AD49" s="1287">
        <v>6.0000000000000001E-3</v>
      </c>
      <c r="AE49" s="1488">
        <v>0</v>
      </c>
      <c r="AF49" s="1287">
        <v>0</v>
      </c>
      <c r="AG49" s="1488">
        <v>0</v>
      </c>
      <c r="AH49" s="53">
        <f t="shared" si="7"/>
        <v>9.4000000000000014E-2</v>
      </c>
    </row>
    <row r="50" spans="1:34" s="115" customFormat="1" ht="15">
      <c r="A50" s="1740" t="s">
        <v>85</v>
      </c>
      <c r="B50" s="18">
        <f t="shared" si="6"/>
        <v>0.03</v>
      </c>
      <c r="C50" s="1287"/>
      <c r="D50" s="1287"/>
      <c r="E50" s="1287"/>
      <c r="F50" s="1287"/>
      <c r="G50" s="1433"/>
      <c r="H50" s="1287"/>
      <c r="I50" s="1287">
        <v>0.03</v>
      </c>
      <c r="J50" s="1287"/>
      <c r="K50" s="1287"/>
      <c r="L50" s="1287"/>
      <c r="M50" s="1287"/>
      <c r="N50" s="1287"/>
      <c r="O50" s="1287"/>
      <c r="P50" s="1287"/>
      <c r="Q50" s="1287"/>
      <c r="R50" s="1287"/>
      <c r="S50" s="1287"/>
      <c r="T50" s="1287"/>
      <c r="U50" s="1287"/>
      <c r="V50" s="1287"/>
      <c r="W50" s="1287"/>
      <c r="X50" s="1287"/>
      <c r="Y50" s="1433"/>
      <c r="Z50" s="1287"/>
      <c r="AA50" s="1287"/>
      <c r="AB50" s="1287"/>
      <c r="AC50" s="1287"/>
      <c r="AD50" s="1287"/>
      <c r="AE50" s="1488"/>
      <c r="AF50" s="1287"/>
      <c r="AG50" s="1488"/>
      <c r="AH50" s="53">
        <f t="shared" si="7"/>
        <v>0.03</v>
      </c>
    </row>
    <row r="51" spans="1:34" s="115" customFormat="1" ht="15">
      <c r="A51" s="1740" t="s">
        <v>86</v>
      </c>
      <c r="B51" s="18">
        <f t="shared" si="6"/>
        <v>0</v>
      </c>
      <c r="C51" s="1287"/>
      <c r="D51" s="1287"/>
      <c r="E51" s="1287"/>
      <c r="F51" s="1287"/>
      <c r="G51" s="1287"/>
      <c r="H51" s="1287"/>
      <c r="I51" s="1287"/>
      <c r="J51" s="1287"/>
      <c r="K51" s="1287"/>
      <c r="L51" s="1287"/>
      <c r="M51" s="1287"/>
      <c r="N51" s="1287"/>
      <c r="O51" s="1287"/>
      <c r="P51" s="1287"/>
      <c r="Q51" s="1287"/>
      <c r="R51" s="1287"/>
      <c r="S51" s="1287"/>
      <c r="T51" s="1287"/>
      <c r="U51" s="1287"/>
      <c r="V51" s="1287"/>
      <c r="W51" s="1287"/>
      <c r="X51" s="1287"/>
      <c r="Y51" s="1287"/>
      <c r="Z51" s="1287"/>
      <c r="AA51" s="1287"/>
      <c r="AB51" s="1287"/>
      <c r="AC51" s="1287"/>
      <c r="AD51" s="1287"/>
      <c r="AE51" s="1287"/>
      <c r="AF51" s="1287"/>
      <c r="AG51" s="1287"/>
      <c r="AH51" s="53">
        <f t="shared" si="7"/>
        <v>0</v>
      </c>
    </row>
    <row r="52" spans="1:34" s="115" customFormat="1" ht="15">
      <c r="A52" s="88" t="s">
        <v>74</v>
      </c>
      <c r="B52" s="89">
        <f>SUM(B40:B51)</f>
        <v>4.2260000000000009</v>
      </c>
      <c r="C52" s="46">
        <f>SUM(C40:C50)</f>
        <v>0</v>
      </c>
      <c r="D52" s="53">
        <f>SUM(D40:D50)</f>
        <v>0</v>
      </c>
      <c r="E52" s="53">
        <v>0</v>
      </c>
      <c r="F52" s="53">
        <f t="shared" ref="F52:AC52" si="8">SUM(F40:F50)</f>
        <v>0</v>
      </c>
      <c r="G52" s="53">
        <f t="shared" si="8"/>
        <v>0.03</v>
      </c>
      <c r="H52" s="53">
        <f t="shared" si="8"/>
        <v>1.4999999999999999E-2</v>
      </c>
      <c r="I52" s="53">
        <f t="shared" si="8"/>
        <v>4.1999999999999996E-2</v>
      </c>
      <c r="J52" s="53">
        <f t="shared" si="8"/>
        <v>1.2E-2</v>
      </c>
      <c r="K52" s="53">
        <f t="shared" si="8"/>
        <v>0</v>
      </c>
      <c r="L52" s="53">
        <f t="shared" si="8"/>
        <v>0</v>
      </c>
      <c r="M52" s="53">
        <f t="shared" si="8"/>
        <v>0</v>
      </c>
      <c r="N52" s="53">
        <f t="shared" si="8"/>
        <v>0</v>
      </c>
      <c r="O52" s="53">
        <f t="shared" si="8"/>
        <v>1.2E-2</v>
      </c>
      <c r="P52" s="53">
        <f t="shared" si="8"/>
        <v>0</v>
      </c>
      <c r="Q52" s="53">
        <f t="shared" si="8"/>
        <v>0.01</v>
      </c>
      <c r="R52" s="53">
        <f t="shared" si="8"/>
        <v>1.4999999999999999E-2</v>
      </c>
      <c r="S52" s="53">
        <f t="shared" si="8"/>
        <v>0</v>
      </c>
      <c r="T52" s="53">
        <f t="shared" si="8"/>
        <v>0.01</v>
      </c>
      <c r="U52" s="53">
        <f t="shared" si="8"/>
        <v>0</v>
      </c>
      <c r="V52" s="53">
        <f t="shared" si="8"/>
        <v>1.0069999999999999</v>
      </c>
      <c r="W52" s="53">
        <f t="shared" si="8"/>
        <v>0</v>
      </c>
      <c r="X52" s="53">
        <f t="shared" si="8"/>
        <v>0.01</v>
      </c>
      <c r="Y52" s="53">
        <f t="shared" si="8"/>
        <v>0.01</v>
      </c>
      <c r="Z52" s="53">
        <f t="shared" si="8"/>
        <v>0</v>
      </c>
      <c r="AA52" s="53">
        <f t="shared" si="8"/>
        <v>0</v>
      </c>
      <c r="AB52" s="53">
        <f t="shared" si="8"/>
        <v>0</v>
      </c>
      <c r="AC52" s="53">
        <f t="shared" si="8"/>
        <v>7.0000000000000001E-3</v>
      </c>
      <c r="AD52" s="53">
        <v>0</v>
      </c>
      <c r="AE52" s="53">
        <f>SUM(AE40:AE50)</f>
        <v>0</v>
      </c>
      <c r="AF52" s="53">
        <f>SUM(AF40:AF50)</f>
        <v>0</v>
      </c>
      <c r="AG52" s="53">
        <f>SUM(AG40:AG50)</f>
        <v>0</v>
      </c>
      <c r="AH52" s="46">
        <f>SUM(AH40:AH50)</f>
        <v>4.2260000000000009</v>
      </c>
    </row>
    <row r="53" spans="1:34" s="83" customFormat="1" ht="15">
      <c r="A53" s="50"/>
      <c r="B53" s="50"/>
      <c r="C53" s="50"/>
      <c r="D53" s="50"/>
      <c r="E53" s="50"/>
      <c r="F53" s="50"/>
      <c r="G53" s="50"/>
      <c r="H53" s="50"/>
      <c r="I53" s="50"/>
      <c r="J53" s="50"/>
      <c r="K53" s="50"/>
      <c r="L53" s="50"/>
      <c r="M53" s="50"/>
      <c r="N53" s="50"/>
      <c r="O53" s="50"/>
      <c r="P53" s="50"/>
      <c r="Q53" s="50"/>
      <c r="R53" s="50"/>
      <c r="S53" s="50"/>
      <c r="T53" s="50"/>
      <c r="U53" s="11"/>
      <c r="V53" s="11"/>
      <c r="W53" s="11"/>
      <c r="X53" s="11"/>
      <c r="Y53" s="11"/>
      <c r="Z53" s="11"/>
      <c r="AA53" s="11"/>
      <c r="AB53" s="11"/>
      <c r="AC53" s="11"/>
      <c r="AD53" s="11"/>
      <c r="AE53" s="11"/>
      <c r="AF53" s="11"/>
      <c r="AG53" s="11"/>
      <c r="AH53" s="11"/>
    </row>
    <row r="54" spans="1:34" ht="15">
      <c r="A54" s="3591" t="s">
        <v>95</v>
      </c>
      <c r="B54" s="3592"/>
      <c r="C54" s="3592"/>
      <c r="D54" s="3592"/>
      <c r="E54" s="3592"/>
      <c r="F54" s="3592"/>
      <c r="G54" s="3592"/>
      <c r="H54" s="3592"/>
      <c r="I54" s="3592"/>
      <c r="J54" s="3592"/>
      <c r="K54" s="3592"/>
      <c r="L54" s="3592"/>
      <c r="M54" s="3592"/>
      <c r="N54" s="3592"/>
      <c r="O54" s="3592"/>
      <c r="P54" s="3592"/>
      <c r="Q54" s="3592"/>
      <c r="R54" s="3593"/>
      <c r="S54" s="11"/>
      <c r="T54" s="11"/>
      <c r="U54" s="11"/>
      <c r="V54" s="11"/>
      <c r="W54" s="11"/>
      <c r="X54" s="11"/>
      <c r="Y54" s="11"/>
      <c r="Z54" s="11"/>
      <c r="AA54" s="11"/>
      <c r="AB54" s="11"/>
      <c r="AC54" s="11"/>
      <c r="AD54" s="11"/>
      <c r="AE54" s="11"/>
      <c r="AF54" s="11"/>
      <c r="AG54" s="11"/>
      <c r="AH54" s="1"/>
    </row>
    <row r="55" spans="1:34" ht="5.0999999999999996" customHeight="1">
      <c r="A55" s="50"/>
      <c r="B55" s="74"/>
      <c r="C55" s="13"/>
      <c r="D55" s="52"/>
      <c r="E55" s="52"/>
      <c r="F55" s="52"/>
      <c r="G55" s="52"/>
      <c r="H55" s="52"/>
      <c r="I55" s="52"/>
      <c r="J55" s="52"/>
      <c r="K55" s="52"/>
      <c r="L55" s="52"/>
      <c r="M55" s="52"/>
      <c r="N55" s="52"/>
      <c r="O55" s="52"/>
      <c r="P55" s="52"/>
      <c r="Q55" s="52"/>
      <c r="R55" s="52"/>
      <c r="S55" s="52"/>
      <c r="T55" s="52"/>
      <c r="U55" s="52"/>
      <c r="V55" s="52"/>
      <c r="W55" s="52"/>
      <c r="X55" s="52"/>
      <c r="Y55" s="52"/>
      <c r="Z55" s="52"/>
      <c r="AA55" s="52"/>
      <c r="AB55" s="52"/>
      <c r="AC55" s="52"/>
      <c r="AD55" s="52"/>
      <c r="AE55" s="52"/>
      <c r="AF55" s="52"/>
      <c r="AG55" s="52"/>
      <c r="AH55" s="13"/>
    </row>
    <row r="56" spans="1:34" ht="15">
      <c r="A56" s="3569" t="s">
        <v>90</v>
      </c>
      <c r="B56" s="3570"/>
      <c r="C56" s="3570"/>
      <c r="D56" s="3570"/>
      <c r="E56" s="3570"/>
      <c r="F56" s="3570"/>
      <c r="G56" s="3570"/>
      <c r="H56" s="3571"/>
      <c r="I56" s="11"/>
      <c r="J56" s="2323" t="s">
        <v>1178</v>
      </c>
      <c r="K56" s="11"/>
      <c r="L56" s="11"/>
      <c r="M56" s="11"/>
      <c r="N56" s="11"/>
      <c r="O56" s="11"/>
      <c r="P56" s="11"/>
      <c r="Q56" s="11"/>
      <c r="R56" s="11"/>
      <c r="S56" s="11"/>
      <c r="T56" s="11"/>
      <c r="U56" s="11"/>
      <c r="V56" s="11"/>
      <c r="W56" s="11"/>
      <c r="X56" s="11"/>
      <c r="Y56" s="11"/>
      <c r="Z56" s="11"/>
      <c r="AA56" s="11"/>
      <c r="AB56" s="11"/>
      <c r="AC56" s="11"/>
      <c r="AD56" s="11"/>
      <c r="AE56" s="11"/>
      <c r="AF56" s="11"/>
      <c r="AG56" s="11"/>
      <c r="AH56" s="11"/>
    </row>
    <row r="57" spans="1:34" s="167" customFormat="1">
      <c r="A57" s="178" t="s">
        <v>72</v>
      </c>
      <c r="B57" s="178" t="s">
        <v>73</v>
      </c>
      <c r="C57" s="178">
        <v>1</v>
      </c>
      <c r="D57" s="179">
        <v>2</v>
      </c>
      <c r="E57" s="179">
        <v>3</v>
      </c>
      <c r="F57" s="179">
        <v>4</v>
      </c>
      <c r="G57" s="179">
        <v>5</v>
      </c>
      <c r="H57" s="179">
        <v>6</v>
      </c>
      <c r="I57" s="179">
        <v>7</v>
      </c>
      <c r="J57" s="179">
        <v>8</v>
      </c>
      <c r="K57" s="179">
        <v>9</v>
      </c>
      <c r="L57" s="179">
        <v>10</v>
      </c>
      <c r="M57" s="179">
        <v>11</v>
      </c>
      <c r="N57" s="179">
        <v>12</v>
      </c>
      <c r="O57" s="179">
        <v>13</v>
      </c>
      <c r="P57" s="179">
        <v>14</v>
      </c>
      <c r="Q57" s="179">
        <v>15</v>
      </c>
      <c r="R57" s="179">
        <v>16</v>
      </c>
      <c r="S57" s="179">
        <v>17</v>
      </c>
      <c r="T57" s="179">
        <v>18</v>
      </c>
      <c r="U57" s="179">
        <v>19</v>
      </c>
      <c r="V57" s="179">
        <v>20</v>
      </c>
      <c r="W57" s="179">
        <v>21</v>
      </c>
      <c r="X57" s="179">
        <v>22</v>
      </c>
      <c r="Y57" s="179">
        <v>23</v>
      </c>
      <c r="Z57" s="179">
        <v>24</v>
      </c>
      <c r="AA57" s="179">
        <v>25</v>
      </c>
      <c r="AB57" s="179">
        <v>26</v>
      </c>
      <c r="AC57" s="179">
        <v>27</v>
      </c>
      <c r="AD57" s="179">
        <v>28</v>
      </c>
      <c r="AE57" s="179">
        <v>29</v>
      </c>
      <c r="AF57" s="179">
        <v>30</v>
      </c>
      <c r="AG57" s="179">
        <v>31</v>
      </c>
      <c r="AH57" s="891" t="s">
        <v>74</v>
      </c>
    </row>
    <row r="58" spans="1:34" s="167" customFormat="1">
      <c r="A58" s="892" t="s">
        <v>75</v>
      </c>
      <c r="B58" s="159">
        <f t="shared" ref="B58:B69" si="9">+AH58</f>
        <v>0</v>
      </c>
      <c r="C58" s="688" t="s">
        <v>111</v>
      </c>
      <c r="D58" s="688" t="s">
        <v>111</v>
      </c>
      <c r="E58" s="688" t="s">
        <v>111</v>
      </c>
      <c r="F58" s="688" t="s">
        <v>111</v>
      </c>
      <c r="G58" s="688" t="s">
        <v>111</v>
      </c>
      <c r="H58" s="688" t="s">
        <v>111</v>
      </c>
      <c r="I58" s="688" t="s">
        <v>111</v>
      </c>
      <c r="J58" s="688" t="s">
        <v>111</v>
      </c>
      <c r="K58" s="688" t="s">
        <v>111</v>
      </c>
      <c r="L58" s="688" t="s">
        <v>111</v>
      </c>
      <c r="M58" s="688" t="s">
        <v>111</v>
      </c>
      <c r="N58" s="688" t="s">
        <v>111</v>
      </c>
      <c r="O58" s="688" t="s">
        <v>111</v>
      </c>
      <c r="P58" s="688" t="s">
        <v>111</v>
      </c>
      <c r="Q58" s="688" t="s">
        <v>111</v>
      </c>
      <c r="R58" s="688" t="s">
        <v>111</v>
      </c>
      <c r="S58" s="688" t="s">
        <v>111</v>
      </c>
      <c r="T58" s="688" t="s">
        <v>111</v>
      </c>
      <c r="U58" s="688" t="s">
        <v>111</v>
      </c>
      <c r="V58" s="688" t="s">
        <v>111</v>
      </c>
      <c r="W58" s="688" t="s">
        <v>111</v>
      </c>
      <c r="X58" s="688" t="s">
        <v>111</v>
      </c>
      <c r="Y58" s="688" t="s">
        <v>111</v>
      </c>
      <c r="Z58" s="688" t="s">
        <v>111</v>
      </c>
      <c r="AA58" s="688" t="s">
        <v>111</v>
      </c>
      <c r="AB58" s="688" t="s">
        <v>111</v>
      </c>
      <c r="AC58" s="688" t="s">
        <v>111</v>
      </c>
      <c r="AD58" s="688" t="s">
        <v>111</v>
      </c>
      <c r="AE58" s="688" t="s">
        <v>111</v>
      </c>
      <c r="AF58" s="688" t="s">
        <v>111</v>
      </c>
      <c r="AG58" s="688" t="s">
        <v>111</v>
      </c>
      <c r="AH58" s="689">
        <f>SUM(C58:AG58)</f>
        <v>0</v>
      </c>
    </row>
    <row r="59" spans="1:34" s="167" customFormat="1">
      <c r="A59" s="892" t="s">
        <v>76</v>
      </c>
      <c r="B59" s="159">
        <f t="shared" si="9"/>
        <v>0</v>
      </c>
      <c r="C59" s="688" t="s">
        <v>111</v>
      </c>
      <c r="D59" s="688" t="s">
        <v>111</v>
      </c>
      <c r="E59" s="688" t="s">
        <v>111</v>
      </c>
      <c r="F59" s="688" t="s">
        <v>111</v>
      </c>
      <c r="G59" s="688" t="s">
        <v>111</v>
      </c>
      <c r="H59" s="688" t="s">
        <v>111</v>
      </c>
      <c r="I59" s="688" t="s">
        <v>111</v>
      </c>
      <c r="J59" s="688" t="s">
        <v>111</v>
      </c>
      <c r="K59" s="688" t="s">
        <v>111</v>
      </c>
      <c r="L59" s="688" t="s">
        <v>111</v>
      </c>
      <c r="M59" s="688" t="s">
        <v>111</v>
      </c>
      <c r="N59" s="688" t="s">
        <v>111</v>
      </c>
      <c r="O59" s="688" t="s">
        <v>111</v>
      </c>
      <c r="P59" s="688" t="s">
        <v>111</v>
      </c>
      <c r="Q59" s="688" t="s">
        <v>111</v>
      </c>
      <c r="R59" s="688" t="s">
        <v>111</v>
      </c>
      <c r="S59" s="688" t="s">
        <v>111</v>
      </c>
      <c r="T59" s="688" t="s">
        <v>111</v>
      </c>
      <c r="U59" s="688" t="s">
        <v>111</v>
      </c>
      <c r="V59" s="688" t="s">
        <v>111</v>
      </c>
      <c r="W59" s="688" t="s">
        <v>111</v>
      </c>
      <c r="X59" s="688" t="s">
        <v>111</v>
      </c>
      <c r="Y59" s="688" t="s">
        <v>111</v>
      </c>
      <c r="Z59" s="688" t="s">
        <v>111</v>
      </c>
      <c r="AA59" s="688" t="s">
        <v>111</v>
      </c>
      <c r="AB59" s="688" t="s">
        <v>111</v>
      </c>
      <c r="AC59" s="688" t="s">
        <v>111</v>
      </c>
      <c r="AD59" s="688" t="s">
        <v>111</v>
      </c>
      <c r="AE59" s="688" t="s">
        <v>111</v>
      </c>
      <c r="AF59" s="688" t="s">
        <v>111</v>
      </c>
      <c r="AG59" s="688" t="s">
        <v>111</v>
      </c>
      <c r="AH59" s="689">
        <f t="shared" ref="AH59:AH69" si="10">SUM(C59:AG59)</f>
        <v>0</v>
      </c>
    </row>
    <row r="60" spans="1:34" s="167" customFormat="1">
      <c r="A60" s="892" t="s">
        <v>77</v>
      </c>
      <c r="B60" s="159">
        <f t="shared" si="9"/>
        <v>2401.9909999999995</v>
      </c>
      <c r="C60" s="688" t="s">
        <v>111</v>
      </c>
      <c r="D60" s="688" t="s">
        <v>111</v>
      </c>
      <c r="E60" s="688" t="s">
        <v>111</v>
      </c>
      <c r="F60" s="688" t="s">
        <v>111</v>
      </c>
      <c r="G60" s="688" t="s">
        <v>111</v>
      </c>
      <c r="H60" s="893">
        <v>203.125</v>
      </c>
      <c r="I60" s="893">
        <v>214.25</v>
      </c>
      <c r="J60" s="893">
        <v>223.15600000000001</v>
      </c>
      <c r="K60" s="893">
        <v>0</v>
      </c>
      <c r="L60" s="2458">
        <v>0</v>
      </c>
      <c r="M60" s="2458">
        <v>132.02000000000001</v>
      </c>
      <c r="N60" s="2458">
        <v>240.58</v>
      </c>
      <c r="O60" s="2458">
        <v>185.39</v>
      </c>
      <c r="P60" s="2458">
        <v>0</v>
      </c>
      <c r="Q60" s="2458">
        <v>0</v>
      </c>
      <c r="R60" s="2458">
        <v>179.53</v>
      </c>
      <c r="S60" s="2458">
        <v>94.56</v>
      </c>
      <c r="T60" s="2458">
        <v>196.73</v>
      </c>
      <c r="U60" s="2458">
        <v>119.85</v>
      </c>
      <c r="V60" s="2458">
        <v>32.255000000000003</v>
      </c>
      <c r="W60" s="2458">
        <v>54.555</v>
      </c>
      <c r="X60" s="2458">
        <v>0</v>
      </c>
      <c r="Y60" s="2458">
        <v>131.55000000000001</v>
      </c>
      <c r="Z60" s="2458">
        <v>3.6</v>
      </c>
      <c r="AA60" s="2458">
        <v>0</v>
      </c>
      <c r="AB60" s="2458">
        <v>113.72</v>
      </c>
      <c r="AC60" s="2458">
        <v>141.97999999999999</v>
      </c>
      <c r="AD60" s="2458">
        <v>135.13999999999999</v>
      </c>
      <c r="AE60" s="2458">
        <v>0</v>
      </c>
      <c r="AF60" s="2458">
        <v>0</v>
      </c>
      <c r="AG60" s="2458">
        <v>0</v>
      </c>
      <c r="AH60" s="689">
        <f t="shared" si="10"/>
        <v>2401.9909999999995</v>
      </c>
    </row>
    <row r="61" spans="1:34" s="167" customFormat="1">
      <c r="A61" s="892" t="s">
        <v>78</v>
      </c>
      <c r="B61" s="159">
        <f t="shared" si="9"/>
        <v>1706.7930000000001</v>
      </c>
      <c r="C61" s="2458">
        <v>119.13500000000001</v>
      </c>
      <c r="D61" s="2458">
        <v>125.88</v>
      </c>
      <c r="E61" s="2458">
        <v>153.82</v>
      </c>
      <c r="F61" s="2458">
        <v>132.22</v>
      </c>
      <c r="G61" s="2458">
        <v>54.152999999999999</v>
      </c>
      <c r="H61" s="2458">
        <v>87.284999999999997</v>
      </c>
      <c r="I61" s="2458">
        <v>0</v>
      </c>
      <c r="J61" s="2458">
        <v>77.14</v>
      </c>
      <c r="K61" s="2458">
        <v>139.28</v>
      </c>
      <c r="L61" s="2458">
        <v>122</v>
      </c>
      <c r="M61" s="2458">
        <v>33.51</v>
      </c>
      <c r="N61" s="2458">
        <v>0</v>
      </c>
      <c r="O61" s="2458">
        <v>0</v>
      </c>
      <c r="P61" s="2458">
        <v>164.495</v>
      </c>
      <c r="Q61" s="2458">
        <v>99.17</v>
      </c>
      <c r="R61" s="2458">
        <v>177.32</v>
      </c>
      <c r="S61" s="2458">
        <v>0</v>
      </c>
      <c r="T61" s="2458">
        <v>135.16</v>
      </c>
      <c r="U61" s="2458">
        <v>76.224999999999994</v>
      </c>
      <c r="V61" s="2458">
        <v>0</v>
      </c>
      <c r="W61" s="2458">
        <v>10</v>
      </c>
      <c r="X61" s="2458">
        <v>0</v>
      </c>
      <c r="Y61" s="2458">
        <v>0</v>
      </c>
      <c r="Z61" s="2458">
        <v>0</v>
      </c>
      <c r="AA61" s="2458">
        <v>0</v>
      </c>
      <c r="AB61" s="2458">
        <v>0</v>
      </c>
      <c r="AC61" s="2458">
        <v>0</v>
      </c>
      <c r="AD61" s="2458">
        <v>0</v>
      </c>
      <c r="AE61" s="2458">
        <v>0</v>
      </c>
      <c r="AF61" s="2458">
        <v>0</v>
      </c>
      <c r="AG61" s="2458">
        <v>0</v>
      </c>
      <c r="AH61" s="689">
        <f t="shared" si="10"/>
        <v>1706.7930000000001</v>
      </c>
    </row>
    <row r="62" spans="1:34" s="167" customFormat="1">
      <c r="A62" s="192" t="s">
        <v>79</v>
      </c>
      <c r="B62" s="159">
        <f t="shared" si="9"/>
        <v>310.10700000000003</v>
      </c>
      <c r="C62" s="183">
        <v>0</v>
      </c>
      <c r="D62" s="183">
        <v>0</v>
      </c>
      <c r="E62" s="183">
        <v>0</v>
      </c>
      <c r="F62" s="183">
        <v>0</v>
      </c>
      <c r="G62" s="183">
        <v>0</v>
      </c>
      <c r="H62" s="183">
        <v>0</v>
      </c>
      <c r="I62" s="183">
        <v>93.59</v>
      </c>
      <c r="J62" s="183">
        <v>67.349999999999994</v>
      </c>
      <c r="K62" s="183">
        <v>0</v>
      </c>
      <c r="L62" s="183">
        <v>0</v>
      </c>
      <c r="M62" s="183">
        <v>0</v>
      </c>
      <c r="N62" s="183">
        <v>0</v>
      </c>
      <c r="O62" s="183">
        <v>0</v>
      </c>
      <c r="P62" s="183">
        <v>0</v>
      </c>
      <c r="Q62" s="183">
        <v>0</v>
      </c>
      <c r="R62" s="183">
        <v>0</v>
      </c>
      <c r="S62" s="183">
        <v>139.06700000000001</v>
      </c>
      <c r="T62" s="183">
        <v>5.0999999999999996</v>
      </c>
      <c r="U62" s="183">
        <v>0</v>
      </c>
      <c r="V62" s="183">
        <v>0</v>
      </c>
      <c r="W62" s="183">
        <v>0</v>
      </c>
      <c r="X62" s="183">
        <v>0</v>
      </c>
      <c r="Y62" s="183">
        <v>5</v>
      </c>
      <c r="Z62" s="183">
        <v>0</v>
      </c>
      <c r="AA62" s="183">
        <v>0</v>
      </c>
      <c r="AB62" s="183">
        <v>0</v>
      </c>
      <c r="AC62" s="183">
        <v>0</v>
      </c>
      <c r="AD62" s="183">
        <v>0</v>
      </c>
      <c r="AE62" s="183">
        <v>0</v>
      </c>
      <c r="AF62" s="183">
        <v>0</v>
      </c>
      <c r="AG62" s="183">
        <v>0</v>
      </c>
      <c r="AH62" s="689">
        <f t="shared" si="10"/>
        <v>310.10700000000003</v>
      </c>
    </row>
    <row r="63" spans="1:34" s="167" customFormat="1">
      <c r="A63" s="192" t="s">
        <v>80</v>
      </c>
      <c r="B63" s="159">
        <f t="shared" si="9"/>
        <v>0</v>
      </c>
      <c r="C63" s="183"/>
      <c r="D63" s="159"/>
      <c r="E63" s="159"/>
      <c r="F63" s="159"/>
      <c r="G63" s="159"/>
      <c r="H63" s="2458"/>
      <c r="I63" s="2458"/>
      <c r="J63" s="2458"/>
      <c r="K63" s="2458"/>
      <c r="L63" s="2458"/>
      <c r="M63" s="2458"/>
      <c r="N63" s="2458"/>
      <c r="O63" s="2458"/>
      <c r="P63" s="2458"/>
      <c r="Q63" s="2458"/>
      <c r="R63" s="2458"/>
      <c r="S63" s="2458"/>
      <c r="T63" s="2458"/>
      <c r="U63" s="2458"/>
      <c r="V63" s="2458"/>
      <c r="W63" s="2458"/>
      <c r="X63" s="2458"/>
      <c r="Y63" s="159"/>
      <c r="Z63" s="159"/>
      <c r="AA63" s="159"/>
      <c r="AB63" s="159"/>
      <c r="AC63" s="159"/>
      <c r="AD63" s="159"/>
      <c r="AE63" s="159"/>
      <c r="AF63" s="159"/>
      <c r="AG63" s="159"/>
      <c r="AH63" s="689">
        <f t="shared" si="10"/>
        <v>0</v>
      </c>
    </row>
    <row r="64" spans="1:34" s="167" customFormat="1" ht="15">
      <c r="A64" s="192" t="s">
        <v>81</v>
      </c>
      <c r="B64" s="159">
        <f t="shared" si="9"/>
        <v>0</v>
      </c>
      <c r="C64" s="1287"/>
      <c r="D64" s="1488"/>
      <c r="E64" s="1488"/>
      <c r="F64" s="1488"/>
      <c r="G64" s="1287"/>
      <c r="H64" s="1287"/>
      <c r="I64" s="1287"/>
      <c r="J64" s="2466"/>
      <c r="K64" s="2466"/>
      <c r="L64" s="1488"/>
      <c r="M64" s="1488"/>
      <c r="N64" s="1488"/>
      <c r="O64" s="1488"/>
      <c r="P64" s="1488"/>
      <c r="Q64" s="1488"/>
      <c r="R64" s="1488"/>
      <c r="S64" s="1488"/>
      <c r="T64" s="1488"/>
      <c r="U64" s="1488"/>
      <c r="V64" s="1488"/>
      <c r="W64" s="688"/>
      <c r="X64" s="688"/>
      <c r="Y64" s="688"/>
      <c r="Z64" s="688"/>
      <c r="AA64" s="688"/>
      <c r="AB64" s="688"/>
      <c r="AC64" s="688"/>
      <c r="AD64" s="688"/>
      <c r="AE64" s="688"/>
      <c r="AF64" s="688" t="s">
        <v>111</v>
      </c>
      <c r="AG64" s="688" t="s">
        <v>111</v>
      </c>
      <c r="AH64" s="689">
        <f t="shared" si="10"/>
        <v>0</v>
      </c>
    </row>
    <row r="65" spans="1:34" s="167" customFormat="1">
      <c r="A65" s="192" t="s">
        <v>82</v>
      </c>
      <c r="B65" s="159">
        <f t="shared" si="9"/>
        <v>0</v>
      </c>
      <c r="C65" s="688" t="s">
        <v>111</v>
      </c>
      <c r="D65" s="688" t="s">
        <v>111</v>
      </c>
      <c r="E65" s="688" t="s">
        <v>111</v>
      </c>
      <c r="F65" s="688" t="s">
        <v>111</v>
      </c>
      <c r="G65" s="688" t="s">
        <v>111</v>
      </c>
      <c r="H65" s="688" t="s">
        <v>111</v>
      </c>
      <c r="I65" s="688" t="s">
        <v>111</v>
      </c>
      <c r="J65" s="688" t="s">
        <v>111</v>
      </c>
      <c r="K65" s="688" t="s">
        <v>111</v>
      </c>
      <c r="L65" s="688" t="s">
        <v>111</v>
      </c>
      <c r="M65" s="688" t="s">
        <v>111</v>
      </c>
      <c r="N65" s="688" t="s">
        <v>111</v>
      </c>
      <c r="O65" s="688" t="s">
        <v>111</v>
      </c>
      <c r="P65" s="688" t="s">
        <v>111</v>
      </c>
      <c r="Q65" s="688" t="s">
        <v>111</v>
      </c>
      <c r="R65" s="688" t="s">
        <v>111</v>
      </c>
      <c r="S65" s="688" t="s">
        <v>111</v>
      </c>
      <c r="T65" s="688" t="s">
        <v>111</v>
      </c>
      <c r="U65" s="688" t="s">
        <v>111</v>
      </c>
      <c r="V65" s="688" t="s">
        <v>111</v>
      </c>
      <c r="W65" s="688" t="s">
        <v>111</v>
      </c>
      <c r="X65" s="688" t="s">
        <v>111</v>
      </c>
      <c r="Y65" s="688" t="s">
        <v>111</v>
      </c>
      <c r="Z65" s="688" t="s">
        <v>111</v>
      </c>
      <c r="AA65" s="688" t="s">
        <v>111</v>
      </c>
      <c r="AB65" s="688" t="s">
        <v>111</v>
      </c>
      <c r="AC65" s="688" t="s">
        <v>111</v>
      </c>
      <c r="AD65" s="688" t="s">
        <v>111</v>
      </c>
      <c r="AE65" s="688" t="s">
        <v>111</v>
      </c>
      <c r="AF65" s="688" t="s">
        <v>111</v>
      </c>
      <c r="AG65" s="688" t="s">
        <v>111</v>
      </c>
      <c r="AH65" s="689">
        <f t="shared" si="10"/>
        <v>0</v>
      </c>
    </row>
    <row r="66" spans="1:34" s="167" customFormat="1">
      <c r="A66" s="180" t="s">
        <v>83</v>
      </c>
      <c r="B66" s="159">
        <f t="shared" si="9"/>
        <v>0</v>
      </c>
      <c r="C66" s="688" t="s">
        <v>111</v>
      </c>
      <c r="D66" s="688" t="s">
        <v>111</v>
      </c>
      <c r="E66" s="688" t="s">
        <v>111</v>
      </c>
      <c r="F66" s="688" t="s">
        <v>111</v>
      </c>
      <c r="G66" s="688" t="s">
        <v>111</v>
      </c>
      <c r="H66" s="688" t="s">
        <v>111</v>
      </c>
      <c r="I66" s="688" t="s">
        <v>111</v>
      </c>
      <c r="J66" s="688" t="s">
        <v>111</v>
      </c>
      <c r="K66" s="688" t="s">
        <v>111</v>
      </c>
      <c r="L66" s="688" t="s">
        <v>111</v>
      </c>
      <c r="M66" s="688" t="s">
        <v>111</v>
      </c>
      <c r="N66" s="688" t="s">
        <v>111</v>
      </c>
      <c r="O66" s="688" t="s">
        <v>111</v>
      </c>
      <c r="P66" s="688" t="s">
        <v>111</v>
      </c>
      <c r="Q66" s="688" t="s">
        <v>111</v>
      </c>
      <c r="R66" s="688" t="s">
        <v>111</v>
      </c>
      <c r="S66" s="688" t="s">
        <v>111</v>
      </c>
      <c r="T66" s="688" t="s">
        <v>111</v>
      </c>
      <c r="U66" s="688" t="s">
        <v>111</v>
      </c>
      <c r="V66" s="688" t="s">
        <v>111</v>
      </c>
      <c r="W66" s="688" t="s">
        <v>111</v>
      </c>
      <c r="X66" s="688" t="s">
        <v>111</v>
      </c>
      <c r="Y66" s="688" t="s">
        <v>111</v>
      </c>
      <c r="Z66" s="688" t="s">
        <v>111</v>
      </c>
      <c r="AA66" s="688" t="s">
        <v>111</v>
      </c>
      <c r="AB66" s="688" t="s">
        <v>111</v>
      </c>
      <c r="AC66" s="688" t="s">
        <v>111</v>
      </c>
      <c r="AD66" s="688" t="s">
        <v>111</v>
      </c>
      <c r="AE66" s="688" t="s">
        <v>111</v>
      </c>
      <c r="AF66" s="688" t="s">
        <v>111</v>
      </c>
      <c r="AG66" s="688" t="s">
        <v>111</v>
      </c>
      <c r="AH66" s="689">
        <f t="shared" si="10"/>
        <v>0</v>
      </c>
    </row>
    <row r="67" spans="1:34" s="167" customFormat="1">
      <c r="A67" s="180" t="s">
        <v>84</v>
      </c>
      <c r="B67" s="159">
        <f t="shared" si="9"/>
        <v>0</v>
      </c>
      <c r="C67" s="688" t="s">
        <v>111</v>
      </c>
      <c r="D67" s="688" t="s">
        <v>111</v>
      </c>
      <c r="E67" s="688" t="s">
        <v>111</v>
      </c>
      <c r="F67" s="688" t="s">
        <v>111</v>
      </c>
      <c r="G67" s="688" t="s">
        <v>111</v>
      </c>
      <c r="H67" s="688" t="s">
        <v>111</v>
      </c>
      <c r="I67" s="688" t="s">
        <v>111</v>
      </c>
      <c r="J67" s="688" t="s">
        <v>111</v>
      </c>
      <c r="K67" s="688" t="s">
        <v>111</v>
      </c>
      <c r="L67" s="688" t="s">
        <v>111</v>
      </c>
      <c r="M67" s="688" t="s">
        <v>111</v>
      </c>
      <c r="N67" s="688" t="s">
        <v>111</v>
      </c>
      <c r="O67" s="688" t="s">
        <v>111</v>
      </c>
      <c r="P67" s="688" t="s">
        <v>111</v>
      </c>
      <c r="Q67" s="688" t="s">
        <v>111</v>
      </c>
      <c r="R67" s="688" t="s">
        <v>111</v>
      </c>
      <c r="S67" s="688" t="s">
        <v>111</v>
      </c>
      <c r="T67" s="688" t="s">
        <v>111</v>
      </c>
      <c r="U67" s="688" t="s">
        <v>111</v>
      </c>
      <c r="V67" s="688" t="s">
        <v>111</v>
      </c>
      <c r="W67" s="688" t="s">
        <v>111</v>
      </c>
      <c r="X67" s="1553"/>
      <c r="Y67" s="1553"/>
      <c r="Z67" s="1553"/>
      <c r="AA67" s="1553"/>
      <c r="AB67" s="1553"/>
      <c r="AC67" s="1553"/>
      <c r="AD67" s="1553"/>
      <c r="AE67" s="1553"/>
      <c r="AF67" s="1553"/>
      <c r="AG67" s="1553"/>
      <c r="AH67" s="689">
        <f t="shared" si="10"/>
        <v>0</v>
      </c>
    </row>
    <row r="68" spans="1:34" s="167" customFormat="1">
      <c r="A68" s="180" t="s">
        <v>85</v>
      </c>
      <c r="B68" s="159">
        <f t="shared" si="9"/>
        <v>0</v>
      </c>
      <c r="C68" s="183"/>
      <c r="D68" s="159"/>
      <c r="E68" s="159"/>
      <c r="F68" s="159"/>
      <c r="G68" s="64"/>
      <c r="H68" s="159"/>
      <c r="I68" s="159"/>
      <c r="J68" s="159"/>
      <c r="K68" s="159"/>
      <c r="L68" s="159"/>
      <c r="M68" s="159"/>
      <c r="N68" s="159"/>
      <c r="O68" s="159"/>
      <c r="P68" s="159"/>
      <c r="Q68" s="159"/>
      <c r="R68" s="159"/>
      <c r="S68" s="159"/>
      <c r="T68" s="159"/>
      <c r="U68" s="159"/>
      <c r="V68" s="159"/>
      <c r="W68" s="159"/>
      <c r="X68" s="159"/>
      <c r="Y68" s="64"/>
      <c r="Z68" s="159"/>
      <c r="AA68" s="159"/>
      <c r="AB68" s="159"/>
      <c r="AC68" s="159"/>
      <c r="AD68" s="159"/>
      <c r="AE68" s="689"/>
      <c r="AF68" s="159"/>
      <c r="AG68" s="689"/>
      <c r="AH68" s="689">
        <f t="shared" si="10"/>
        <v>0</v>
      </c>
    </row>
    <row r="69" spans="1:34" s="167" customFormat="1" ht="15">
      <c r="A69" s="180" t="s">
        <v>86</v>
      </c>
      <c r="B69" s="159">
        <f t="shared" si="9"/>
        <v>0</v>
      </c>
      <c r="C69" s="183"/>
      <c r="D69" s="159"/>
      <c r="E69" s="159"/>
      <c r="F69" s="159"/>
      <c r="G69" s="159"/>
      <c r="H69" s="159"/>
      <c r="I69" s="159"/>
      <c r="J69" s="159"/>
      <c r="K69" s="159"/>
      <c r="L69" s="1280" t="s">
        <v>111</v>
      </c>
      <c r="M69" s="1280" t="s">
        <v>111</v>
      </c>
      <c r="N69" s="1280" t="s">
        <v>111</v>
      </c>
      <c r="O69" s="1280" t="s">
        <v>111</v>
      </c>
      <c r="P69" s="1280" t="s">
        <v>111</v>
      </c>
      <c r="Q69" s="1280" t="s">
        <v>111</v>
      </c>
      <c r="R69" s="1280" t="s">
        <v>111</v>
      </c>
      <c r="S69" s="1280" t="s">
        <v>111</v>
      </c>
      <c r="T69" s="1280" t="s">
        <v>111</v>
      </c>
      <c r="U69" s="1280" t="s">
        <v>111</v>
      </c>
      <c r="V69" s="1280" t="s">
        <v>111</v>
      </c>
      <c r="W69" s="1280" t="s">
        <v>111</v>
      </c>
      <c r="X69" s="1280" t="s">
        <v>111</v>
      </c>
      <c r="Y69" s="1280" t="s">
        <v>111</v>
      </c>
      <c r="Z69" s="1280" t="s">
        <v>111</v>
      </c>
      <c r="AA69" s="1280" t="s">
        <v>111</v>
      </c>
      <c r="AB69" s="1280" t="s">
        <v>111</v>
      </c>
      <c r="AC69" s="1280" t="s">
        <v>111</v>
      </c>
      <c r="AD69" s="1280" t="s">
        <v>111</v>
      </c>
      <c r="AE69" s="1280" t="s">
        <v>111</v>
      </c>
      <c r="AF69" s="1280" t="s">
        <v>111</v>
      </c>
      <c r="AG69" s="1280" t="s">
        <v>111</v>
      </c>
      <c r="AH69" s="689">
        <f t="shared" si="10"/>
        <v>0</v>
      </c>
    </row>
    <row r="70" spans="1:34" ht="15">
      <c r="A70" s="88" t="s">
        <v>74</v>
      </c>
      <c r="B70" s="92">
        <f>SUM(B58:B69)</f>
        <v>4418.8909999999996</v>
      </c>
      <c r="C70" s="46">
        <f>SUM(C58:C68)</f>
        <v>119.13500000000001</v>
      </c>
      <c r="D70" s="53">
        <f>SUM(D58:D68)</f>
        <v>125.88</v>
      </c>
      <c r="E70" s="53">
        <v>0</v>
      </c>
      <c r="F70" s="53">
        <f t="shared" ref="F70:AC70" si="11">SUM(F58:F68)</f>
        <v>132.22</v>
      </c>
      <c r="G70" s="53">
        <f t="shared" si="11"/>
        <v>54.152999999999999</v>
      </c>
      <c r="H70" s="53">
        <f t="shared" si="11"/>
        <v>290.40999999999997</v>
      </c>
      <c r="I70" s="53">
        <f t="shared" si="11"/>
        <v>307.84000000000003</v>
      </c>
      <c r="J70" s="53">
        <f t="shared" si="11"/>
        <v>367.64599999999996</v>
      </c>
      <c r="K70" s="53">
        <f t="shared" si="11"/>
        <v>139.28</v>
      </c>
      <c r="L70" s="53">
        <f t="shared" si="11"/>
        <v>122</v>
      </c>
      <c r="M70" s="53">
        <f t="shared" si="11"/>
        <v>165.53</v>
      </c>
      <c r="N70" s="53">
        <f t="shared" si="11"/>
        <v>240.58</v>
      </c>
      <c r="O70" s="53">
        <f t="shared" si="11"/>
        <v>185.39</v>
      </c>
      <c r="P70" s="53">
        <f t="shared" si="11"/>
        <v>164.495</v>
      </c>
      <c r="Q70" s="53">
        <f t="shared" si="11"/>
        <v>99.17</v>
      </c>
      <c r="R70" s="53">
        <f t="shared" si="11"/>
        <v>356.85</v>
      </c>
      <c r="S70" s="53">
        <f t="shared" si="11"/>
        <v>233.62700000000001</v>
      </c>
      <c r="T70" s="53">
        <f t="shared" si="11"/>
        <v>336.99</v>
      </c>
      <c r="U70" s="53">
        <f t="shared" si="11"/>
        <v>196.07499999999999</v>
      </c>
      <c r="V70" s="53">
        <f t="shared" si="11"/>
        <v>32.255000000000003</v>
      </c>
      <c r="W70" s="53">
        <f t="shared" si="11"/>
        <v>64.555000000000007</v>
      </c>
      <c r="X70" s="53">
        <f t="shared" si="11"/>
        <v>0</v>
      </c>
      <c r="Y70" s="53">
        <f t="shared" si="11"/>
        <v>136.55000000000001</v>
      </c>
      <c r="Z70" s="53">
        <f t="shared" si="11"/>
        <v>3.6</v>
      </c>
      <c r="AA70" s="53">
        <f t="shared" si="11"/>
        <v>0</v>
      </c>
      <c r="AB70" s="53">
        <f t="shared" si="11"/>
        <v>113.72</v>
      </c>
      <c r="AC70" s="53">
        <f t="shared" si="11"/>
        <v>141.97999999999999</v>
      </c>
      <c r="AD70" s="53">
        <v>0</v>
      </c>
      <c r="AE70" s="53">
        <f>SUM(AE58:AE68)</f>
        <v>0</v>
      </c>
      <c r="AF70" s="53">
        <f>SUM(AF58:AF68)</f>
        <v>0</v>
      </c>
      <c r="AG70" s="53">
        <f>SUM(AG58:AG68)</f>
        <v>0</v>
      </c>
      <c r="AH70" s="46">
        <f>SUM(AH58:AH68)</f>
        <v>4418.8909999999996</v>
      </c>
    </row>
    <row r="71" spans="1:34" ht="5.0999999999999996" customHeight="1">
      <c r="A71" s="51"/>
      <c r="B71" s="51"/>
      <c r="C71" s="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
    </row>
    <row r="72" spans="1:34" ht="15">
      <c r="A72" s="3569" t="s">
        <v>60</v>
      </c>
      <c r="B72" s="3570"/>
      <c r="C72" s="3570"/>
      <c r="D72" s="3570"/>
      <c r="E72" s="3570"/>
      <c r="F72" s="3570"/>
      <c r="G72" s="3570"/>
      <c r="H72" s="357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row>
    <row r="73" spans="1:34" ht="15">
      <c r="A73" s="5" t="s">
        <v>72</v>
      </c>
      <c r="B73" s="5" t="s">
        <v>73</v>
      </c>
      <c r="C73" s="5">
        <v>1</v>
      </c>
      <c r="D73" s="30">
        <v>2</v>
      </c>
      <c r="E73" s="30">
        <v>3</v>
      </c>
      <c r="F73" s="30">
        <v>4</v>
      </c>
      <c r="G73" s="30">
        <v>5</v>
      </c>
      <c r="H73" s="30">
        <v>6</v>
      </c>
      <c r="I73" s="30">
        <v>7</v>
      </c>
      <c r="J73" s="30">
        <v>8</v>
      </c>
      <c r="K73" s="30">
        <v>9</v>
      </c>
      <c r="L73" s="30">
        <v>10</v>
      </c>
      <c r="M73" s="30">
        <v>11</v>
      </c>
      <c r="N73" s="30">
        <v>12</v>
      </c>
      <c r="O73" s="30">
        <v>13</v>
      </c>
      <c r="P73" s="30">
        <v>14</v>
      </c>
      <c r="Q73" s="30">
        <v>15</v>
      </c>
      <c r="R73" s="30">
        <v>16</v>
      </c>
      <c r="S73" s="30">
        <v>17</v>
      </c>
      <c r="T73" s="30">
        <v>18</v>
      </c>
      <c r="U73" s="30">
        <v>19</v>
      </c>
      <c r="V73" s="30">
        <v>20</v>
      </c>
      <c r="W73" s="30">
        <v>21</v>
      </c>
      <c r="X73" s="30">
        <v>22</v>
      </c>
      <c r="Y73" s="30">
        <v>23</v>
      </c>
      <c r="Z73" s="30">
        <v>24</v>
      </c>
      <c r="AA73" s="30">
        <v>25</v>
      </c>
      <c r="AB73" s="30">
        <v>26</v>
      </c>
      <c r="AC73" s="30">
        <v>27</v>
      </c>
      <c r="AD73" s="30">
        <v>28</v>
      </c>
      <c r="AE73" s="30">
        <v>29</v>
      </c>
      <c r="AF73" s="30">
        <v>30</v>
      </c>
      <c r="AG73" s="30">
        <v>31</v>
      </c>
      <c r="AH73" s="39" t="s">
        <v>74</v>
      </c>
    </row>
    <row r="74" spans="1:34" ht="15">
      <c r="A74" s="143" t="s">
        <v>75</v>
      </c>
      <c r="B74" s="112">
        <f t="shared" ref="B74:B85" si="12">+AH74</f>
        <v>0</v>
      </c>
      <c r="C74" s="688" t="s">
        <v>111</v>
      </c>
      <c r="D74" s="688" t="s">
        <v>111</v>
      </c>
      <c r="E74" s="688" t="s">
        <v>111</v>
      </c>
      <c r="F74" s="688" t="s">
        <v>111</v>
      </c>
      <c r="G74" s="688" t="s">
        <v>111</v>
      </c>
      <c r="H74" s="688" t="s">
        <v>111</v>
      </c>
      <c r="I74" s="688" t="s">
        <v>111</v>
      </c>
      <c r="J74" s="688" t="s">
        <v>111</v>
      </c>
      <c r="K74" s="688" t="s">
        <v>111</v>
      </c>
      <c r="L74" s="688" t="s">
        <v>111</v>
      </c>
      <c r="M74" s="688" t="s">
        <v>111</v>
      </c>
      <c r="N74" s="688" t="s">
        <v>111</v>
      </c>
      <c r="O74" s="688" t="s">
        <v>111</v>
      </c>
      <c r="P74" s="688" t="s">
        <v>111</v>
      </c>
      <c r="Q74" s="688" t="s">
        <v>111</v>
      </c>
      <c r="R74" s="688" t="s">
        <v>111</v>
      </c>
      <c r="S74" s="688" t="s">
        <v>111</v>
      </c>
      <c r="T74" s="688" t="s">
        <v>111</v>
      </c>
      <c r="U74" s="688" t="s">
        <v>111</v>
      </c>
      <c r="V74" s="688" t="s">
        <v>111</v>
      </c>
      <c r="W74" s="688" t="s">
        <v>111</v>
      </c>
      <c r="X74" s="688" t="s">
        <v>111</v>
      </c>
      <c r="Y74" s="688" t="s">
        <v>111</v>
      </c>
      <c r="Z74" s="688" t="s">
        <v>111</v>
      </c>
      <c r="AA74" s="688" t="s">
        <v>111</v>
      </c>
      <c r="AB74" s="688" t="s">
        <v>111</v>
      </c>
      <c r="AC74" s="688" t="s">
        <v>111</v>
      </c>
      <c r="AD74" s="688" t="s">
        <v>111</v>
      </c>
      <c r="AE74" s="688" t="s">
        <v>111</v>
      </c>
      <c r="AF74" s="688" t="s">
        <v>111</v>
      </c>
      <c r="AG74" s="688" t="s">
        <v>111</v>
      </c>
      <c r="AH74" s="53">
        <f>SUM(C74:AG74)</f>
        <v>0</v>
      </c>
    </row>
    <row r="75" spans="1:34" ht="15">
      <c r="A75" s="143" t="s">
        <v>76</v>
      </c>
      <c r="B75" s="112">
        <f t="shared" si="12"/>
        <v>0.3</v>
      </c>
      <c r="C75" s="688" t="s">
        <v>111</v>
      </c>
      <c r="D75" s="688" t="s">
        <v>111</v>
      </c>
      <c r="E75" s="688" t="s">
        <v>111</v>
      </c>
      <c r="F75" s="688" t="s">
        <v>111</v>
      </c>
      <c r="G75" s="688" t="s">
        <v>111</v>
      </c>
      <c r="H75" s="688" t="s">
        <v>111</v>
      </c>
      <c r="I75" s="688" t="s">
        <v>111</v>
      </c>
      <c r="J75" s="688" t="s">
        <v>111</v>
      </c>
      <c r="K75" s="688" t="s">
        <v>111</v>
      </c>
      <c r="L75" s="688" t="s">
        <v>111</v>
      </c>
      <c r="M75" s="688" t="s">
        <v>111</v>
      </c>
      <c r="N75" s="688" t="s">
        <v>111</v>
      </c>
      <c r="O75" s="688" t="s">
        <v>111</v>
      </c>
      <c r="P75" s="688" t="s">
        <v>111</v>
      </c>
      <c r="Q75" s="688" t="s">
        <v>111</v>
      </c>
      <c r="R75" s="1930">
        <v>0.15</v>
      </c>
      <c r="S75" s="688" t="s">
        <v>111</v>
      </c>
      <c r="T75" s="688" t="s">
        <v>111</v>
      </c>
      <c r="U75" s="688" t="s">
        <v>111</v>
      </c>
      <c r="V75" s="688" t="s">
        <v>111</v>
      </c>
      <c r="W75" s="1930">
        <v>0.15</v>
      </c>
      <c r="X75" s="688" t="s">
        <v>111</v>
      </c>
      <c r="Y75" s="688" t="s">
        <v>111</v>
      </c>
      <c r="Z75" s="688" t="s">
        <v>111</v>
      </c>
      <c r="AA75" s="688" t="s">
        <v>111</v>
      </c>
      <c r="AB75" s="688" t="s">
        <v>111</v>
      </c>
      <c r="AC75" s="688" t="s">
        <v>111</v>
      </c>
      <c r="AD75" s="688" t="s">
        <v>111</v>
      </c>
      <c r="AE75" s="688" t="s">
        <v>111</v>
      </c>
      <c r="AF75" s="688" t="s">
        <v>111</v>
      </c>
      <c r="AG75" s="688" t="s">
        <v>111</v>
      </c>
      <c r="AH75" s="53">
        <f t="shared" ref="AH75:AH85" si="13">SUM(C75:AG75)</f>
        <v>0.3</v>
      </c>
    </row>
    <row r="76" spans="1:34" ht="15">
      <c r="A76" s="143" t="s">
        <v>77</v>
      </c>
      <c r="B76" s="112">
        <f t="shared" si="12"/>
        <v>28.03</v>
      </c>
      <c r="C76" s="688" t="s">
        <v>111</v>
      </c>
      <c r="D76" s="688" t="s">
        <v>111</v>
      </c>
      <c r="E76" s="688" t="s">
        <v>111</v>
      </c>
      <c r="F76" s="688" t="s">
        <v>111</v>
      </c>
      <c r="G76" s="688" t="s">
        <v>111</v>
      </c>
      <c r="H76" s="18">
        <v>27.43</v>
      </c>
      <c r="I76" s="18">
        <v>0</v>
      </c>
      <c r="J76" s="18">
        <v>0</v>
      </c>
      <c r="K76" s="18">
        <v>0</v>
      </c>
      <c r="L76" s="18">
        <v>0</v>
      </c>
      <c r="M76" s="18">
        <v>0</v>
      </c>
      <c r="N76" s="18">
        <v>0</v>
      </c>
      <c r="O76" s="18">
        <v>0</v>
      </c>
      <c r="P76" s="18">
        <v>0</v>
      </c>
      <c r="Q76" s="18">
        <v>0</v>
      </c>
      <c r="R76" s="18">
        <v>0</v>
      </c>
      <c r="S76" s="18">
        <v>0</v>
      </c>
      <c r="T76" s="18">
        <v>0</v>
      </c>
      <c r="U76" s="18">
        <v>0.1</v>
      </c>
      <c r="V76" s="18">
        <v>0</v>
      </c>
      <c r="W76" s="18">
        <v>0</v>
      </c>
      <c r="X76" s="18">
        <v>0.5</v>
      </c>
      <c r="Y76" s="18">
        <v>0</v>
      </c>
      <c r="Z76" s="18">
        <v>0</v>
      </c>
      <c r="AA76" s="18">
        <v>0</v>
      </c>
      <c r="AB76" s="18">
        <v>0</v>
      </c>
      <c r="AC76" s="1930">
        <v>0</v>
      </c>
      <c r="AD76" s="1930">
        <v>0</v>
      </c>
      <c r="AE76" s="1930">
        <v>0</v>
      </c>
      <c r="AF76" s="1930">
        <v>0</v>
      </c>
      <c r="AG76" s="1930">
        <v>0</v>
      </c>
      <c r="AH76" s="53">
        <f t="shared" si="13"/>
        <v>28.03</v>
      </c>
    </row>
    <row r="77" spans="1:34" ht="15">
      <c r="A77" s="143" t="s">
        <v>78</v>
      </c>
      <c r="B77" s="112">
        <f t="shared" si="12"/>
        <v>2.77</v>
      </c>
      <c r="C77" s="1930">
        <v>0</v>
      </c>
      <c r="D77" s="1930">
        <v>0</v>
      </c>
      <c r="E77" s="1930">
        <v>0</v>
      </c>
      <c r="F77" s="1930">
        <v>0</v>
      </c>
      <c r="G77" s="1930">
        <v>2.6</v>
      </c>
      <c r="H77" s="1930">
        <v>0</v>
      </c>
      <c r="I77" s="1930">
        <v>0</v>
      </c>
      <c r="J77" s="1930">
        <v>0</v>
      </c>
      <c r="K77" s="1930">
        <v>0</v>
      </c>
      <c r="L77" s="183">
        <v>0</v>
      </c>
      <c r="M77" s="183">
        <v>0</v>
      </c>
      <c r="N77" s="183">
        <v>0</v>
      </c>
      <c r="O77" s="183">
        <v>0</v>
      </c>
      <c r="P77" s="183">
        <v>0</v>
      </c>
      <c r="Q77" s="183">
        <v>0.17</v>
      </c>
      <c r="R77" s="183">
        <v>0</v>
      </c>
      <c r="S77" s="183">
        <v>0</v>
      </c>
      <c r="T77" s="183">
        <v>0</v>
      </c>
      <c r="U77" s="183">
        <v>0</v>
      </c>
      <c r="V77" s="183">
        <v>0</v>
      </c>
      <c r="W77" s="183">
        <v>0</v>
      </c>
      <c r="X77" s="183">
        <v>0</v>
      </c>
      <c r="Y77" s="183">
        <v>0</v>
      </c>
      <c r="Z77" s="183">
        <v>0</v>
      </c>
      <c r="AA77" s="183">
        <v>0</v>
      </c>
      <c r="AB77" s="183">
        <v>0</v>
      </c>
      <c r="AC77" s="183">
        <v>0</v>
      </c>
      <c r="AD77" s="183">
        <v>0</v>
      </c>
      <c r="AE77" s="183">
        <v>0</v>
      </c>
      <c r="AF77" s="183">
        <v>0</v>
      </c>
      <c r="AG77" s="1930">
        <v>0</v>
      </c>
      <c r="AH77" s="53">
        <f t="shared" si="13"/>
        <v>2.77</v>
      </c>
    </row>
    <row r="78" spans="1:34" ht="15">
      <c r="A78" s="128" t="s">
        <v>79</v>
      </c>
      <c r="B78" s="112">
        <f t="shared" si="12"/>
        <v>0</v>
      </c>
      <c r="C78" s="297"/>
      <c r="D78" s="297"/>
      <c r="E78" s="297"/>
      <c r="F78" s="297"/>
      <c r="G78" s="297"/>
      <c r="H78" s="297"/>
      <c r="I78" s="297"/>
      <c r="J78" s="297"/>
      <c r="K78" s="297"/>
      <c r="L78" s="297"/>
      <c r="M78" s="297"/>
      <c r="N78" s="297"/>
      <c r="O78" s="297"/>
      <c r="P78" s="297"/>
      <c r="Q78" s="297"/>
      <c r="R78" s="297"/>
      <c r="S78" s="297"/>
      <c r="T78" s="18"/>
      <c r="U78" s="18"/>
      <c r="V78" s="18"/>
      <c r="W78" s="18"/>
      <c r="X78" s="18"/>
      <c r="Y78" s="18"/>
      <c r="Z78" s="18"/>
      <c r="AA78" s="18"/>
      <c r="AB78" s="18"/>
      <c r="AC78" s="18"/>
      <c r="AD78" s="18"/>
      <c r="AE78" s="18"/>
      <c r="AF78" s="18"/>
      <c r="AG78" s="18"/>
      <c r="AH78" s="53">
        <f t="shared" si="13"/>
        <v>0</v>
      </c>
    </row>
    <row r="79" spans="1:34" ht="15">
      <c r="A79" s="128" t="s">
        <v>80</v>
      </c>
      <c r="B79" s="112">
        <f t="shared" si="12"/>
        <v>0</v>
      </c>
      <c r="C79" s="1287"/>
      <c r="D79" s="1287"/>
      <c r="E79" s="1287"/>
      <c r="F79" s="1287"/>
      <c r="G79" s="1287"/>
      <c r="H79" s="1287"/>
      <c r="I79" s="1287"/>
      <c r="J79" s="1287"/>
      <c r="K79" s="1287"/>
      <c r="L79" s="1287"/>
      <c r="M79" s="1287"/>
      <c r="N79" s="1287"/>
      <c r="O79" s="1287"/>
      <c r="P79" s="1287"/>
      <c r="Q79" s="1287"/>
      <c r="R79" s="1287"/>
      <c r="S79" s="1287"/>
      <c r="T79" s="1287"/>
      <c r="U79" s="1287"/>
      <c r="V79" s="1287"/>
      <c r="W79" s="1287"/>
      <c r="X79" s="1287"/>
      <c r="Y79" s="1287"/>
      <c r="Z79" s="1287"/>
      <c r="AA79" s="1287"/>
      <c r="AB79" s="1287"/>
      <c r="AC79" s="1287"/>
      <c r="AD79" s="1287"/>
      <c r="AE79" s="1287"/>
      <c r="AF79" s="1287"/>
      <c r="AG79" s="1287"/>
      <c r="AH79" s="53">
        <f t="shared" si="13"/>
        <v>0</v>
      </c>
    </row>
    <row r="80" spans="1:34" ht="15">
      <c r="A80" s="128" t="s">
        <v>81</v>
      </c>
      <c r="B80" s="112">
        <f t="shared" si="12"/>
        <v>0</v>
      </c>
      <c r="C80" s="1287"/>
      <c r="D80" s="1488"/>
      <c r="E80" s="1488"/>
      <c r="F80" s="1488"/>
      <c r="G80" s="1287"/>
      <c r="H80" s="1287"/>
      <c r="I80" s="1287"/>
      <c r="J80" s="2466"/>
      <c r="K80" s="2466"/>
      <c r="L80" s="1488"/>
      <c r="M80" s="1488"/>
      <c r="N80" s="1488"/>
      <c r="O80" s="1488"/>
      <c r="P80" s="1488"/>
      <c r="Q80" s="1488"/>
      <c r="R80" s="1488"/>
      <c r="S80" s="1488"/>
      <c r="T80" s="1488"/>
      <c r="U80" s="1488"/>
      <c r="V80" s="1488"/>
      <c r="W80" s="688"/>
      <c r="X80" s="688"/>
      <c r="Y80" s="688"/>
      <c r="Z80" s="688"/>
      <c r="AA80" s="688"/>
      <c r="AB80" s="688"/>
      <c r="AC80" s="688"/>
      <c r="AD80" s="688"/>
      <c r="AE80" s="688"/>
      <c r="AF80" s="688" t="s">
        <v>111</v>
      </c>
      <c r="AG80" s="688" t="s">
        <v>111</v>
      </c>
      <c r="AH80" s="53">
        <f t="shared" si="13"/>
        <v>0</v>
      </c>
    </row>
    <row r="81" spans="1:34" ht="15">
      <c r="A81" s="128" t="s">
        <v>82</v>
      </c>
      <c r="B81" s="112">
        <f t="shared" si="12"/>
        <v>0</v>
      </c>
      <c r="C81" s="688" t="s">
        <v>111</v>
      </c>
      <c r="D81" s="688" t="s">
        <v>111</v>
      </c>
      <c r="E81" s="688" t="s">
        <v>111</v>
      </c>
      <c r="F81" s="688" t="s">
        <v>111</v>
      </c>
      <c r="G81" s="688" t="s">
        <v>111</v>
      </c>
      <c r="H81" s="688" t="s">
        <v>111</v>
      </c>
      <c r="I81" s="688" t="s">
        <v>111</v>
      </c>
      <c r="J81" s="688" t="s">
        <v>111</v>
      </c>
      <c r="K81" s="688" t="s">
        <v>111</v>
      </c>
      <c r="L81" s="688" t="s">
        <v>111</v>
      </c>
      <c r="M81" s="688" t="s">
        <v>111</v>
      </c>
      <c r="N81" s="688" t="s">
        <v>111</v>
      </c>
      <c r="O81" s="688" t="s">
        <v>111</v>
      </c>
      <c r="P81" s="688" t="s">
        <v>111</v>
      </c>
      <c r="Q81" s="688" t="s">
        <v>111</v>
      </c>
      <c r="R81" s="688" t="s">
        <v>111</v>
      </c>
      <c r="S81" s="688" t="s">
        <v>111</v>
      </c>
      <c r="T81" s="688" t="s">
        <v>111</v>
      </c>
      <c r="U81" s="688" t="s">
        <v>111</v>
      </c>
      <c r="V81" s="688" t="s">
        <v>111</v>
      </c>
      <c r="W81" s="688" t="s">
        <v>111</v>
      </c>
      <c r="X81" s="688" t="s">
        <v>111</v>
      </c>
      <c r="Y81" s="688" t="s">
        <v>111</v>
      </c>
      <c r="Z81" s="688" t="s">
        <v>111</v>
      </c>
      <c r="AA81" s="688" t="s">
        <v>111</v>
      </c>
      <c r="AB81" s="688" t="s">
        <v>111</v>
      </c>
      <c r="AC81" s="688" t="s">
        <v>111</v>
      </c>
      <c r="AD81" s="688" t="s">
        <v>111</v>
      </c>
      <c r="AE81" s="688" t="s">
        <v>111</v>
      </c>
      <c r="AF81" s="688" t="s">
        <v>111</v>
      </c>
      <c r="AG81" s="688" t="s">
        <v>111</v>
      </c>
      <c r="AH81" s="53">
        <f t="shared" si="13"/>
        <v>0</v>
      </c>
    </row>
    <row r="82" spans="1:34" ht="15">
      <c r="A82" s="129" t="s">
        <v>83</v>
      </c>
      <c r="B82" s="112">
        <f t="shared" si="12"/>
        <v>0</v>
      </c>
      <c r="C82" s="688" t="s">
        <v>111</v>
      </c>
      <c r="D82" s="688" t="s">
        <v>111</v>
      </c>
      <c r="E82" s="688" t="s">
        <v>111</v>
      </c>
      <c r="F82" s="688" t="s">
        <v>111</v>
      </c>
      <c r="G82" s="688" t="s">
        <v>111</v>
      </c>
      <c r="H82" s="688" t="s">
        <v>111</v>
      </c>
      <c r="I82" s="688" t="s">
        <v>111</v>
      </c>
      <c r="J82" s="688" t="s">
        <v>111</v>
      </c>
      <c r="K82" s="688" t="s">
        <v>111</v>
      </c>
      <c r="L82" s="688" t="s">
        <v>111</v>
      </c>
      <c r="M82" s="688" t="s">
        <v>111</v>
      </c>
      <c r="N82" s="688" t="s">
        <v>111</v>
      </c>
      <c r="O82" s="688" t="s">
        <v>111</v>
      </c>
      <c r="P82" s="688" t="s">
        <v>111</v>
      </c>
      <c r="Q82" s="688" t="s">
        <v>111</v>
      </c>
      <c r="R82" s="688" t="s">
        <v>111</v>
      </c>
      <c r="S82" s="688" t="s">
        <v>111</v>
      </c>
      <c r="T82" s="688" t="s">
        <v>111</v>
      </c>
      <c r="U82" s="688" t="s">
        <v>111</v>
      </c>
      <c r="V82" s="688" t="s">
        <v>111</v>
      </c>
      <c r="W82" s="688" t="s">
        <v>111</v>
      </c>
      <c r="X82" s="688" t="s">
        <v>111</v>
      </c>
      <c r="Y82" s="688" t="s">
        <v>111</v>
      </c>
      <c r="Z82" s="688" t="s">
        <v>111</v>
      </c>
      <c r="AA82" s="688" t="s">
        <v>111</v>
      </c>
      <c r="AB82" s="688" t="s">
        <v>111</v>
      </c>
      <c r="AC82" s="688" t="s">
        <v>111</v>
      </c>
      <c r="AD82" s="688" t="s">
        <v>111</v>
      </c>
      <c r="AE82" s="688" t="s">
        <v>111</v>
      </c>
      <c r="AF82" s="688" t="s">
        <v>111</v>
      </c>
      <c r="AG82" s="688" t="s">
        <v>111</v>
      </c>
      <c r="AH82" s="53">
        <f t="shared" si="13"/>
        <v>0</v>
      </c>
    </row>
    <row r="83" spans="1:34" ht="15">
      <c r="A83" s="129" t="s">
        <v>84</v>
      </c>
      <c r="B83" s="18">
        <f t="shared" si="12"/>
        <v>0</v>
      </c>
      <c r="C83" s="688" t="s">
        <v>111</v>
      </c>
      <c r="D83" s="688" t="s">
        <v>111</v>
      </c>
      <c r="E83" s="688" t="s">
        <v>111</v>
      </c>
      <c r="F83" s="688" t="s">
        <v>111</v>
      </c>
      <c r="G83" s="688" t="s">
        <v>111</v>
      </c>
      <c r="H83" s="688" t="s">
        <v>111</v>
      </c>
      <c r="I83" s="688" t="s">
        <v>111</v>
      </c>
      <c r="J83" s="688" t="s">
        <v>111</v>
      </c>
      <c r="K83" s="688" t="s">
        <v>111</v>
      </c>
      <c r="L83" s="688" t="s">
        <v>111</v>
      </c>
      <c r="M83" s="688" t="s">
        <v>111</v>
      </c>
      <c r="N83" s="688" t="s">
        <v>111</v>
      </c>
      <c r="O83" s="688" t="s">
        <v>111</v>
      </c>
      <c r="P83" s="688" t="s">
        <v>111</v>
      </c>
      <c r="Q83" s="688" t="s">
        <v>111</v>
      </c>
      <c r="R83" s="688" t="s">
        <v>111</v>
      </c>
      <c r="S83" s="688" t="s">
        <v>111</v>
      </c>
      <c r="T83" s="688" t="s">
        <v>111</v>
      </c>
      <c r="U83" s="688" t="s">
        <v>111</v>
      </c>
      <c r="V83" s="688" t="s">
        <v>111</v>
      </c>
      <c r="W83" s="688" t="s">
        <v>111</v>
      </c>
      <c r="X83" s="1287"/>
      <c r="Y83" s="1287"/>
      <c r="Z83" s="1287"/>
      <c r="AA83" s="1287"/>
      <c r="AB83" s="1287"/>
      <c r="AC83" s="1287"/>
      <c r="AD83" s="1287"/>
      <c r="AE83" s="1488"/>
      <c r="AF83" s="1287"/>
      <c r="AG83" s="1488"/>
      <c r="AH83" s="53">
        <f t="shared" si="13"/>
        <v>0</v>
      </c>
    </row>
    <row r="84" spans="1:34" ht="15">
      <c r="A84" s="129" t="s">
        <v>85</v>
      </c>
      <c r="B84" s="18">
        <f t="shared" si="12"/>
        <v>0</v>
      </c>
      <c r="C84" s="49"/>
      <c r="D84" s="18"/>
      <c r="E84" s="18"/>
      <c r="F84" s="18"/>
      <c r="G84" s="11"/>
      <c r="H84" s="18"/>
      <c r="I84" s="18"/>
      <c r="J84" s="18"/>
      <c r="K84" s="18"/>
      <c r="L84" s="18"/>
      <c r="M84" s="18"/>
      <c r="N84" s="18"/>
      <c r="O84" s="18"/>
      <c r="P84" s="18"/>
      <c r="Q84" s="18"/>
      <c r="R84" s="18"/>
      <c r="S84" s="18"/>
      <c r="T84" s="18"/>
      <c r="U84" s="18"/>
      <c r="V84" s="18"/>
      <c r="W84" s="18"/>
      <c r="X84" s="18"/>
      <c r="Y84" s="11"/>
      <c r="Z84" s="18"/>
      <c r="AA84" s="18"/>
      <c r="AB84" s="18"/>
      <c r="AC84" s="18"/>
      <c r="AD84" s="18"/>
      <c r="AE84" s="53"/>
      <c r="AF84" s="18"/>
      <c r="AG84" s="53"/>
      <c r="AH84" s="53">
        <f t="shared" si="13"/>
        <v>0</v>
      </c>
    </row>
    <row r="85" spans="1:34" ht="15">
      <c r="A85" s="129" t="s">
        <v>86</v>
      </c>
      <c r="B85" s="18">
        <f t="shared" si="12"/>
        <v>0</v>
      </c>
      <c r="C85" s="49"/>
      <c r="D85" s="18"/>
      <c r="E85" s="18"/>
      <c r="F85" s="18"/>
      <c r="G85" s="18"/>
      <c r="H85" s="18"/>
      <c r="I85" s="18"/>
      <c r="J85" s="18"/>
      <c r="K85" s="18"/>
      <c r="L85" s="1280" t="s">
        <v>111</v>
      </c>
      <c r="M85" s="1280" t="s">
        <v>111</v>
      </c>
      <c r="N85" s="1280" t="s">
        <v>111</v>
      </c>
      <c r="O85" s="1280" t="s">
        <v>111</v>
      </c>
      <c r="P85" s="1280" t="s">
        <v>111</v>
      </c>
      <c r="Q85" s="1280" t="s">
        <v>111</v>
      </c>
      <c r="R85" s="1280" t="s">
        <v>111</v>
      </c>
      <c r="S85" s="1280" t="s">
        <v>111</v>
      </c>
      <c r="T85" s="1280" t="s">
        <v>111</v>
      </c>
      <c r="U85" s="1280" t="s">
        <v>111</v>
      </c>
      <c r="V85" s="1280" t="s">
        <v>111</v>
      </c>
      <c r="W85" s="1280" t="s">
        <v>111</v>
      </c>
      <c r="X85" s="1280" t="s">
        <v>111</v>
      </c>
      <c r="Y85" s="1280" t="s">
        <v>111</v>
      </c>
      <c r="Z85" s="1280" t="s">
        <v>111</v>
      </c>
      <c r="AA85" s="1280" t="s">
        <v>111</v>
      </c>
      <c r="AB85" s="1280" t="s">
        <v>111</v>
      </c>
      <c r="AC85" s="1280" t="s">
        <v>111</v>
      </c>
      <c r="AD85" s="1280" t="s">
        <v>111</v>
      </c>
      <c r="AE85" s="1280" t="s">
        <v>111</v>
      </c>
      <c r="AF85" s="1280" t="s">
        <v>111</v>
      </c>
      <c r="AG85" s="1280" t="s">
        <v>111</v>
      </c>
      <c r="AH85" s="53">
        <f t="shared" si="13"/>
        <v>0</v>
      </c>
    </row>
    <row r="86" spans="1:34" ht="15">
      <c r="A86" s="88" t="s">
        <v>74</v>
      </c>
      <c r="B86" s="92">
        <f>SUM(B74:B85)</f>
        <v>31.1</v>
      </c>
      <c r="C86" s="46">
        <f>SUM(C74:C84)</f>
        <v>0</v>
      </c>
      <c r="D86" s="53">
        <f>SUM(D74:D84)</f>
        <v>0</v>
      </c>
      <c r="E86" s="53">
        <v>0</v>
      </c>
      <c r="F86" s="53">
        <f t="shared" ref="F86:AC86" si="14">SUM(F74:F84)</f>
        <v>0</v>
      </c>
      <c r="G86" s="53">
        <f t="shared" si="14"/>
        <v>2.6</v>
      </c>
      <c r="H86" s="53">
        <f t="shared" si="14"/>
        <v>27.43</v>
      </c>
      <c r="I86" s="53">
        <f t="shared" si="14"/>
        <v>0</v>
      </c>
      <c r="J86" s="53">
        <f t="shared" si="14"/>
        <v>0</v>
      </c>
      <c r="K86" s="53">
        <f t="shared" si="14"/>
        <v>0</v>
      </c>
      <c r="L86" s="53">
        <f t="shared" si="14"/>
        <v>0</v>
      </c>
      <c r="M86" s="53">
        <f t="shared" si="14"/>
        <v>0</v>
      </c>
      <c r="N86" s="53">
        <f t="shared" si="14"/>
        <v>0</v>
      </c>
      <c r="O86" s="53">
        <f t="shared" si="14"/>
        <v>0</v>
      </c>
      <c r="P86" s="53">
        <f t="shared" si="14"/>
        <v>0</v>
      </c>
      <c r="Q86" s="53">
        <f t="shared" si="14"/>
        <v>0.17</v>
      </c>
      <c r="R86" s="53">
        <f t="shared" si="14"/>
        <v>0.15</v>
      </c>
      <c r="S86" s="53">
        <f t="shared" si="14"/>
        <v>0</v>
      </c>
      <c r="T86" s="53">
        <f t="shared" si="14"/>
        <v>0</v>
      </c>
      <c r="U86" s="53">
        <f t="shared" si="14"/>
        <v>0.1</v>
      </c>
      <c r="V86" s="53">
        <f t="shared" si="14"/>
        <v>0</v>
      </c>
      <c r="W86" s="53">
        <f t="shared" si="14"/>
        <v>0.15</v>
      </c>
      <c r="X86" s="53">
        <f t="shared" si="14"/>
        <v>0.5</v>
      </c>
      <c r="Y86" s="53">
        <f t="shared" si="14"/>
        <v>0</v>
      </c>
      <c r="Z86" s="53">
        <f t="shared" si="14"/>
        <v>0</v>
      </c>
      <c r="AA86" s="53">
        <f t="shared" si="14"/>
        <v>0</v>
      </c>
      <c r="AB86" s="53">
        <f t="shared" si="14"/>
        <v>0</v>
      </c>
      <c r="AC86" s="53">
        <f t="shared" si="14"/>
        <v>0</v>
      </c>
      <c r="AD86" s="53">
        <v>0</v>
      </c>
      <c r="AE86" s="53">
        <f>SUM(AE74:AE84)</f>
        <v>0</v>
      </c>
      <c r="AF86" s="53">
        <f>SUM(AF74:AF84)</f>
        <v>0</v>
      </c>
      <c r="AG86" s="53">
        <f>SUM(AG74:AG84)</f>
        <v>0</v>
      </c>
      <c r="AH86" s="46">
        <f>SUM(AH74:AH84)</f>
        <v>31.1</v>
      </c>
    </row>
    <row r="87" spans="1:34" ht="15">
      <c r="A87" s="136"/>
      <c r="B87" s="238"/>
      <c r="C87" s="54"/>
      <c r="D87" s="55"/>
      <c r="E87" s="55"/>
      <c r="F87" s="55"/>
      <c r="G87" s="55"/>
      <c r="H87" s="55"/>
      <c r="I87" s="55"/>
      <c r="J87" s="55"/>
      <c r="K87" s="55"/>
      <c r="L87" s="55"/>
      <c r="M87" s="55"/>
      <c r="N87" s="55"/>
      <c r="O87" s="55"/>
      <c r="P87" s="55"/>
      <c r="Q87" s="55"/>
      <c r="R87" s="56"/>
      <c r="S87" s="52"/>
      <c r="T87" s="52"/>
      <c r="U87" s="52"/>
      <c r="V87" s="52"/>
      <c r="W87" s="52"/>
      <c r="X87" s="52"/>
      <c r="Y87" s="52"/>
      <c r="Z87" s="52"/>
      <c r="AA87" s="52"/>
      <c r="AB87" s="52"/>
      <c r="AC87" s="52"/>
      <c r="AD87" s="52"/>
      <c r="AE87" s="52"/>
      <c r="AF87" s="52"/>
      <c r="AG87" s="52"/>
      <c r="AH87" s="13"/>
    </row>
    <row r="88" spans="1:34" ht="15">
      <c r="A88" s="3580" t="s">
        <v>70</v>
      </c>
      <c r="B88" s="3581"/>
      <c r="C88" s="3581"/>
      <c r="D88" s="3581"/>
      <c r="E88" s="3581"/>
      <c r="F88" s="3581"/>
      <c r="G88" s="3581"/>
      <c r="H88" s="3581"/>
      <c r="I88" s="3581"/>
      <c r="J88" s="3581"/>
      <c r="K88" s="3581"/>
      <c r="L88" s="3581"/>
      <c r="M88" s="3581"/>
      <c r="N88" s="3581"/>
      <c r="O88" s="3581"/>
      <c r="P88" s="3581"/>
      <c r="Q88" s="3581"/>
      <c r="R88" s="3581"/>
      <c r="S88" s="34"/>
      <c r="T88" s="34"/>
      <c r="U88" s="34"/>
      <c r="V88" s="34"/>
      <c r="W88" s="34"/>
      <c r="X88" s="34"/>
      <c r="Y88" s="34"/>
      <c r="Z88" s="34"/>
      <c r="AA88" s="34"/>
      <c r="AB88" s="34"/>
      <c r="AC88" s="34"/>
      <c r="AD88" s="34"/>
      <c r="AE88" s="34"/>
      <c r="AF88" s="34"/>
      <c r="AG88" s="34"/>
      <c r="AH88" s="70"/>
    </row>
    <row r="89" spans="1:34" ht="17.25">
      <c r="A89" s="3598" t="s">
        <v>188</v>
      </c>
      <c r="B89" s="3599"/>
      <c r="C89" s="3599"/>
      <c r="D89" s="3599"/>
      <c r="E89" s="3599"/>
      <c r="F89" s="3599"/>
      <c r="G89" s="3599"/>
      <c r="H89" s="3599"/>
      <c r="I89" s="3599"/>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70"/>
    </row>
    <row r="90" spans="1:34" ht="15">
      <c r="A90" s="5" t="s">
        <v>72</v>
      </c>
      <c r="B90" s="28" t="s">
        <v>73</v>
      </c>
      <c r="C90" s="72">
        <v>1</v>
      </c>
      <c r="D90" s="35">
        <v>2</v>
      </c>
      <c r="E90" s="35">
        <v>3</v>
      </c>
      <c r="F90" s="35">
        <v>4</v>
      </c>
      <c r="G90" s="35">
        <v>5</v>
      </c>
      <c r="H90" s="35">
        <v>6</v>
      </c>
      <c r="I90" s="35">
        <v>7</v>
      </c>
      <c r="J90" s="35">
        <v>8</v>
      </c>
      <c r="K90" s="35">
        <v>9</v>
      </c>
      <c r="L90" s="35">
        <v>10</v>
      </c>
      <c r="M90" s="35">
        <v>11</v>
      </c>
      <c r="N90" s="35">
        <v>12</v>
      </c>
      <c r="O90" s="35">
        <v>13</v>
      </c>
      <c r="P90" s="35">
        <v>14</v>
      </c>
      <c r="Q90" s="35">
        <v>15</v>
      </c>
      <c r="R90" s="35">
        <v>16</v>
      </c>
      <c r="S90" s="35">
        <v>17</v>
      </c>
      <c r="T90" s="35">
        <v>18</v>
      </c>
      <c r="U90" s="35">
        <v>19</v>
      </c>
      <c r="V90" s="35">
        <v>20</v>
      </c>
      <c r="W90" s="35">
        <v>21</v>
      </c>
      <c r="X90" s="35">
        <v>22</v>
      </c>
      <c r="Y90" s="35">
        <v>23</v>
      </c>
      <c r="Z90" s="35">
        <v>24</v>
      </c>
      <c r="AA90" s="35">
        <v>25</v>
      </c>
      <c r="AB90" s="35">
        <v>26</v>
      </c>
      <c r="AC90" s="35">
        <v>27</v>
      </c>
      <c r="AD90" s="35">
        <v>28</v>
      </c>
      <c r="AE90" s="35">
        <v>29</v>
      </c>
      <c r="AF90" s="35">
        <v>30</v>
      </c>
      <c r="AG90" s="35">
        <v>31</v>
      </c>
      <c r="AH90" s="71" t="s">
        <v>74</v>
      </c>
    </row>
    <row r="91" spans="1:34" ht="15">
      <c r="A91" s="128" t="s">
        <v>75</v>
      </c>
      <c r="B91" s="28">
        <f t="shared" ref="B91:B102" si="15">+AH91</f>
        <v>0</v>
      </c>
      <c r="C91" s="688" t="s">
        <v>111</v>
      </c>
      <c r="D91" s="688" t="s">
        <v>111</v>
      </c>
      <c r="E91" s="688" t="s">
        <v>111</v>
      </c>
      <c r="F91" s="688" t="s">
        <v>111</v>
      </c>
      <c r="G91" s="688" t="s">
        <v>111</v>
      </c>
      <c r="H91" s="688" t="s">
        <v>111</v>
      </c>
      <c r="I91" s="688" t="s">
        <v>111</v>
      </c>
      <c r="J91" s="688" t="s">
        <v>111</v>
      </c>
      <c r="K91" s="688" t="s">
        <v>111</v>
      </c>
      <c r="L91" s="688" t="s">
        <v>111</v>
      </c>
      <c r="M91" s="688" t="s">
        <v>111</v>
      </c>
      <c r="N91" s="688" t="s">
        <v>111</v>
      </c>
      <c r="O91" s="688" t="s">
        <v>111</v>
      </c>
      <c r="P91" s="688" t="s">
        <v>111</v>
      </c>
      <c r="Q91" s="688" t="s">
        <v>111</v>
      </c>
      <c r="R91" s="688" t="s">
        <v>111</v>
      </c>
      <c r="S91" s="688" t="s">
        <v>111</v>
      </c>
      <c r="T91" s="688" t="s">
        <v>111</v>
      </c>
      <c r="U91" s="688" t="s">
        <v>111</v>
      </c>
      <c r="V91" s="688" t="s">
        <v>111</v>
      </c>
      <c r="W91" s="688" t="s">
        <v>111</v>
      </c>
      <c r="X91" s="688" t="s">
        <v>111</v>
      </c>
      <c r="Y91" s="688" t="s">
        <v>111</v>
      </c>
      <c r="Z91" s="688" t="s">
        <v>111</v>
      </c>
      <c r="AA91" s="688" t="s">
        <v>111</v>
      </c>
      <c r="AB91" s="688" t="s">
        <v>111</v>
      </c>
      <c r="AC91" s="688" t="s">
        <v>111</v>
      </c>
      <c r="AD91" s="688" t="s">
        <v>111</v>
      </c>
      <c r="AE91" s="688" t="s">
        <v>111</v>
      </c>
      <c r="AF91" s="688" t="s">
        <v>111</v>
      </c>
      <c r="AG91" s="688" t="s">
        <v>111</v>
      </c>
      <c r="AH91" s="71">
        <f>SUM(C91:AG91)</f>
        <v>0</v>
      </c>
    </row>
    <row r="92" spans="1:34" ht="15">
      <c r="A92" s="128" t="s">
        <v>76</v>
      </c>
      <c r="B92" s="28">
        <f t="shared" si="15"/>
        <v>0</v>
      </c>
      <c r="C92" s="688" t="s">
        <v>111</v>
      </c>
      <c r="D92" s="688" t="s">
        <v>111</v>
      </c>
      <c r="E92" s="688" t="s">
        <v>111</v>
      </c>
      <c r="F92" s="688" t="s">
        <v>111</v>
      </c>
      <c r="G92" s="688" t="s">
        <v>111</v>
      </c>
      <c r="H92" s="688" t="s">
        <v>111</v>
      </c>
      <c r="I92" s="688" t="s">
        <v>111</v>
      </c>
      <c r="J92" s="688" t="s">
        <v>111</v>
      </c>
      <c r="K92" s="688" t="s">
        <v>111</v>
      </c>
      <c r="L92" s="688" t="s">
        <v>111</v>
      </c>
      <c r="M92" s="688" t="s">
        <v>111</v>
      </c>
      <c r="N92" s="688" t="s">
        <v>111</v>
      </c>
      <c r="O92" s="688" t="s">
        <v>111</v>
      </c>
      <c r="P92" s="688" t="s">
        <v>111</v>
      </c>
      <c r="Q92" s="688" t="s">
        <v>111</v>
      </c>
      <c r="R92" s="688" t="s">
        <v>111</v>
      </c>
      <c r="S92" s="688" t="s">
        <v>111</v>
      </c>
      <c r="T92" s="688" t="s">
        <v>111</v>
      </c>
      <c r="U92" s="688" t="s">
        <v>111</v>
      </c>
      <c r="V92" s="688" t="s">
        <v>111</v>
      </c>
      <c r="W92" s="688" t="s">
        <v>111</v>
      </c>
      <c r="X92" s="688" t="s">
        <v>111</v>
      </c>
      <c r="Y92" s="688" t="s">
        <v>111</v>
      </c>
      <c r="Z92" s="688" t="s">
        <v>111</v>
      </c>
      <c r="AA92" s="688" t="s">
        <v>111</v>
      </c>
      <c r="AB92" s="688" t="s">
        <v>111</v>
      </c>
      <c r="AC92" s="688" t="s">
        <v>111</v>
      </c>
      <c r="AD92" s="688" t="s">
        <v>111</v>
      </c>
      <c r="AE92" s="688" t="s">
        <v>111</v>
      </c>
      <c r="AF92" s="688" t="s">
        <v>111</v>
      </c>
      <c r="AG92" s="688" t="s">
        <v>111</v>
      </c>
      <c r="AH92" s="71">
        <f t="shared" ref="AH92:AH102" si="16">SUM(C92:AG92)</f>
        <v>0</v>
      </c>
    </row>
    <row r="93" spans="1:34" ht="15">
      <c r="A93" s="128" t="s">
        <v>77</v>
      </c>
      <c r="B93" s="28">
        <f t="shared" si="15"/>
        <v>325.404</v>
      </c>
      <c r="C93" s="688" t="s">
        <v>111</v>
      </c>
      <c r="D93" s="688" t="s">
        <v>111</v>
      </c>
      <c r="E93" s="688" t="s">
        <v>111</v>
      </c>
      <c r="F93" s="688" t="s">
        <v>111</v>
      </c>
      <c r="G93" s="688" t="s">
        <v>111</v>
      </c>
      <c r="H93" s="1287"/>
      <c r="I93" s="1287"/>
      <c r="J93" s="1287"/>
      <c r="K93" s="1287"/>
      <c r="L93" s="1287"/>
      <c r="M93" s="1287"/>
      <c r="N93" s="1287"/>
      <c r="O93" s="1287"/>
      <c r="P93" s="1287"/>
      <c r="Q93" s="1287">
        <v>20.952999999999999</v>
      </c>
      <c r="R93" s="1287"/>
      <c r="S93" s="1287">
        <v>8.0500000000000007</v>
      </c>
      <c r="T93" s="1287">
        <v>34.24</v>
      </c>
      <c r="U93" s="1815"/>
      <c r="V93" s="1287"/>
      <c r="W93" s="1287">
        <v>47.555999999999997</v>
      </c>
      <c r="X93" s="1287"/>
      <c r="Y93" s="1287"/>
      <c r="Z93" s="1287"/>
      <c r="AA93" s="1287">
        <v>8.548</v>
      </c>
      <c r="AB93" s="1287">
        <v>65.504000000000005</v>
      </c>
      <c r="AC93" s="1930">
        <v>46.002000000000002</v>
      </c>
      <c r="AD93" s="1930">
        <v>47.484000000000002</v>
      </c>
      <c r="AE93" s="1930">
        <v>38.076000000000001</v>
      </c>
      <c r="AF93" s="1930"/>
      <c r="AG93" s="1930">
        <v>8.9909999999999997</v>
      </c>
      <c r="AH93" s="71">
        <f t="shared" si="16"/>
        <v>325.404</v>
      </c>
    </row>
    <row r="94" spans="1:34" ht="15">
      <c r="A94" s="128" t="s">
        <v>78</v>
      </c>
      <c r="B94" s="28">
        <f t="shared" si="15"/>
        <v>347.82499999999999</v>
      </c>
      <c r="C94" s="3168">
        <v>55.814999999999998</v>
      </c>
      <c r="D94" s="3168">
        <v>91.114000000000004</v>
      </c>
      <c r="E94" s="3168"/>
      <c r="F94" s="3168"/>
      <c r="G94" s="3168">
        <v>16.238</v>
      </c>
      <c r="H94" s="3168"/>
      <c r="I94" s="3168"/>
      <c r="J94" s="3168"/>
      <c r="K94" s="3168">
        <v>14.093</v>
      </c>
      <c r="L94" s="18">
        <v>45.436999999999998</v>
      </c>
      <c r="M94" s="18"/>
      <c r="N94" s="18"/>
      <c r="O94" s="18"/>
      <c r="P94" s="18">
        <v>48.503999999999998</v>
      </c>
      <c r="Q94" s="287">
        <v>51.08</v>
      </c>
      <c r="R94" s="287">
        <v>25.544</v>
      </c>
      <c r="S94" s="153"/>
      <c r="T94" s="153"/>
      <c r="U94" s="153"/>
      <c r="V94" s="153"/>
      <c r="W94" s="153"/>
      <c r="X94" s="153"/>
      <c r="Y94" s="153"/>
      <c r="Z94" s="153"/>
      <c r="AA94" s="153"/>
      <c r="AB94" s="153"/>
      <c r="AC94" s="153"/>
      <c r="AD94" s="153"/>
      <c r="AE94" s="153"/>
      <c r="AF94" s="153"/>
      <c r="AG94" s="153"/>
      <c r="AH94" s="71">
        <f t="shared" si="16"/>
        <v>347.82499999999999</v>
      </c>
    </row>
    <row r="95" spans="1:34" ht="15">
      <c r="A95" s="132" t="s">
        <v>79</v>
      </c>
      <c r="B95" s="28">
        <f t="shared" si="15"/>
        <v>0</v>
      </c>
      <c r="C95" s="2465"/>
      <c r="D95" s="2465"/>
      <c r="E95" s="2465"/>
      <c r="F95" s="2465"/>
      <c r="G95" s="2465"/>
      <c r="H95" s="1287"/>
      <c r="I95" s="1287"/>
      <c r="J95" s="1287"/>
      <c r="K95" s="1287"/>
      <c r="L95" s="1287"/>
      <c r="M95" s="1287"/>
      <c r="N95" s="1287"/>
      <c r="O95" s="1287"/>
      <c r="P95" s="1287"/>
      <c r="Q95" s="1287"/>
      <c r="R95" s="1287"/>
      <c r="S95" s="1287"/>
      <c r="T95" s="1287"/>
      <c r="U95" s="1287"/>
      <c r="V95" s="1287"/>
      <c r="W95" s="1287"/>
      <c r="X95" s="1287"/>
      <c r="Y95" s="1287"/>
      <c r="Z95" s="1287"/>
      <c r="AA95" s="1287"/>
      <c r="AB95" s="1287"/>
      <c r="AC95" s="1287"/>
      <c r="AD95" s="1287"/>
      <c r="AE95" s="1287"/>
      <c r="AF95" s="1287"/>
      <c r="AG95" s="1287"/>
      <c r="AH95" s="71">
        <f>SUM(C95:AG95)</f>
        <v>0</v>
      </c>
    </row>
    <row r="96" spans="1:34" ht="15">
      <c r="A96" s="132" t="s">
        <v>80</v>
      </c>
      <c r="B96" s="28">
        <f t="shared" si="15"/>
        <v>0</v>
      </c>
      <c r="C96" s="1287"/>
      <c r="D96" s="1287"/>
      <c r="E96" s="1287"/>
      <c r="F96" s="1287"/>
      <c r="G96" s="1287"/>
      <c r="H96" s="1287"/>
      <c r="I96" s="1287"/>
      <c r="J96" s="1287"/>
      <c r="K96" s="1287"/>
      <c r="L96" s="1287"/>
      <c r="M96" s="1287"/>
      <c r="N96" s="1287"/>
      <c r="O96" s="1287"/>
      <c r="P96" s="1287"/>
      <c r="Q96" s="1287"/>
      <c r="R96" s="1287"/>
      <c r="S96" s="1287"/>
      <c r="T96" s="1287"/>
      <c r="U96" s="1287"/>
      <c r="V96" s="1287"/>
      <c r="W96" s="1287"/>
      <c r="X96" s="1287"/>
      <c r="Y96" s="1287"/>
      <c r="Z96" s="1287"/>
      <c r="AA96" s="1287"/>
      <c r="AB96" s="1287"/>
      <c r="AC96" s="1287"/>
      <c r="AD96" s="1287"/>
      <c r="AE96" s="1287"/>
      <c r="AF96" s="1287"/>
      <c r="AG96" s="1287"/>
      <c r="AH96" s="71">
        <f t="shared" si="16"/>
        <v>0</v>
      </c>
    </row>
    <row r="97" spans="1:34" ht="15">
      <c r="A97" s="132" t="s">
        <v>81</v>
      </c>
      <c r="B97" s="28">
        <f t="shared" si="15"/>
        <v>0</v>
      </c>
      <c r="C97" s="1287"/>
      <c r="D97" s="1488"/>
      <c r="E97" s="1488"/>
      <c r="F97" s="1488"/>
      <c r="G97" s="1287"/>
      <c r="H97" s="1287"/>
      <c r="I97" s="1287"/>
      <c r="J97" s="2466"/>
      <c r="K97" s="2466"/>
      <c r="L97" s="1488"/>
      <c r="M97" s="1488"/>
      <c r="N97" s="1488"/>
      <c r="O97" s="1488"/>
      <c r="P97" s="1488"/>
      <c r="Q97" s="1488"/>
      <c r="R97" s="1488"/>
      <c r="S97" s="1488"/>
      <c r="T97" s="1488"/>
      <c r="U97" s="1488"/>
      <c r="V97" s="1488"/>
      <c r="W97" s="688"/>
      <c r="X97" s="688"/>
      <c r="Y97" s="688"/>
      <c r="Z97" s="688"/>
      <c r="AA97" s="688"/>
      <c r="AB97" s="688"/>
      <c r="AC97" s="688"/>
      <c r="AD97" s="688"/>
      <c r="AE97" s="688"/>
      <c r="AF97" s="688" t="s">
        <v>111</v>
      </c>
      <c r="AG97" s="688" t="s">
        <v>111</v>
      </c>
      <c r="AH97" s="71">
        <f t="shared" si="16"/>
        <v>0</v>
      </c>
    </row>
    <row r="98" spans="1:34" ht="15">
      <c r="A98" s="132" t="s">
        <v>82</v>
      </c>
      <c r="B98" s="28">
        <f t="shared" si="15"/>
        <v>0</v>
      </c>
      <c r="C98" s="688" t="s">
        <v>111</v>
      </c>
      <c r="D98" s="688" t="s">
        <v>111</v>
      </c>
      <c r="E98" s="688" t="s">
        <v>111</v>
      </c>
      <c r="F98" s="688" t="s">
        <v>111</v>
      </c>
      <c r="G98" s="688" t="s">
        <v>111</v>
      </c>
      <c r="H98" s="688" t="s">
        <v>111</v>
      </c>
      <c r="I98" s="688" t="s">
        <v>111</v>
      </c>
      <c r="J98" s="688" t="s">
        <v>111</v>
      </c>
      <c r="K98" s="688" t="s">
        <v>111</v>
      </c>
      <c r="L98" s="688" t="s">
        <v>111</v>
      </c>
      <c r="M98" s="688" t="s">
        <v>111</v>
      </c>
      <c r="N98" s="688" t="s">
        <v>111</v>
      </c>
      <c r="O98" s="688" t="s">
        <v>111</v>
      </c>
      <c r="P98" s="688" t="s">
        <v>111</v>
      </c>
      <c r="Q98" s="688" t="s">
        <v>111</v>
      </c>
      <c r="R98" s="688" t="s">
        <v>111</v>
      </c>
      <c r="S98" s="688" t="s">
        <v>111</v>
      </c>
      <c r="T98" s="688" t="s">
        <v>111</v>
      </c>
      <c r="U98" s="688" t="s">
        <v>111</v>
      </c>
      <c r="V98" s="688" t="s">
        <v>111</v>
      </c>
      <c r="W98" s="688" t="s">
        <v>111</v>
      </c>
      <c r="X98" s="688" t="s">
        <v>111</v>
      </c>
      <c r="Y98" s="688" t="s">
        <v>111</v>
      </c>
      <c r="Z98" s="688" t="s">
        <v>111</v>
      </c>
      <c r="AA98" s="688" t="s">
        <v>111</v>
      </c>
      <c r="AB98" s="688" t="s">
        <v>111</v>
      </c>
      <c r="AC98" s="688" t="s">
        <v>111</v>
      </c>
      <c r="AD98" s="688" t="s">
        <v>111</v>
      </c>
      <c r="AE98" s="688" t="s">
        <v>111</v>
      </c>
      <c r="AF98" s="688" t="s">
        <v>111</v>
      </c>
      <c r="AG98" s="688" t="s">
        <v>111</v>
      </c>
      <c r="AH98" s="71">
        <f t="shared" si="16"/>
        <v>0</v>
      </c>
    </row>
    <row r="99" spans="1:34" ht="15">
      <c r="A99" s="30" t="s">
        <v>83</v>
      </c>
      <c r="B99" s="28">
        <f t="shared" si="15"/>
        <v>0</v>
      </c>
      <c r="C99" s="688" t="s">
        <v>111</v>
      </c>
      <c r="D99" s="688" t="s">
        <v>111</v>
      </c>
      <c r="E99" s="688" t="s">
        <v>111</v>
      </c>
      <c r="F99" s="688" t="s">
        <v>111</v>
      </c>
      <c r="G99" s="688" t="s">
        <v>111</v>
      </c>
      <c r="H99" s="688" t="s">
        <v>111</v>
      </c>
      <c r="I99" s="688" t="s">
        <v>111</v>
      </c>
      <c r="J99" s="688" t="s">
        <v>111</v>
      </c>
      <c r="K99" s="688" t="s">
        <v>111</v>
      </c>
      <c r="L99" s="688" t="s">
        <v>111</v>
      </c>
      <c r="M99" s="688" t="s">
        <v>111</v>
      </c>
      <c r="N99" s="688" t="s">
        <v>111</v>
      </c>
      <c r="O99" s="688" t="s">
        <v>111</v>
      </c>
      <c r="P99" s="688" t="s">
        <v>111</v>
      </c>
      <c r="Q99" s="688" t="s">
        <v>111</v>
      </c>
      <c r="R99" s="688" t="s">
        <v>111</v>
      </c>
      <c r="S99" s="688" t="s">
        <v>111</v>
      </c>
      <c r="T99" s="688" t="s">
        <v>111</v>
      </c>
      <c r="U99" s="688" t="s">
        <v>111</v>
      </c>
      <c r="V99" s="688" t="s">
        <v>111</v>
      </c>
      <c r="W99" s="688" t="s">
        <v>111</v>
      </c>
      <c r="X99" s="688" t="s">
        <v>111</v>
      </c>
      <c r="Y99" s="688" t="s">
        <v>111</v>
      </c>
      <c r="Z99" s="688" t="s">
        <v>111</v>
      </c>
      <c r="AA99" s="688" t="s">
        <v>111</v>
      </c>
      <c r="AB99" s="688" t="s">
        <v>111</v>
      </c>
      <c r="AC99" s="688" t="s">
        <v>111</v>
      </c>
      <c r="AD99" s="688" t="s">
        <v>111</v>
      </c>
      <c r="AE99" s="688" t="s">
        <v>111</v>
      </c>
      <c r="AF99" s="688" t="s">
        <v>111</v>
      </c>
      <c r="AG99" s="688" t="s">
        <v>111</v>
      </c>
      <c r="AH99" s="71">
        <f t="shared" si="16"/>
        <v>0</v>
      </c>
    </row>
    <row r="100" spans="1:34" ht="15">
      <c r="A100" s="30" t="s">
        <v>84</v>
      </c>
      <c r="B100" s="28">
        <f t="shared" si="15"/>
        <v>0</v>
      </c>
      <c r="C100" s="688" t="s">
        <v>111</v>
      </c>
      <c r="D100" s="688" t="s">
        <v>111</v>
      </c>
      <c r="E100" s="688" t="s">
        <v>111</v>
      </c>
      <c r="F100" s="688" t="s">
        <v>111</v>
      </c>
      <c r="G100" s="688" t="s">
        <v>111</v>
      </c>
      <c r="H100" s="688" t="s">
        <v>111</v>
      </c>
      <c r="I100" s="688" t="s">
        <v>111</v>
      </c>
      <c r="J100" s="688" t="s">
        <v>111</v>
      </c>
      <c r="K100" s="688" t="s">
        <v>111</v>
      </c>
      <c r="L100" s="688" t="s">
        <v>111</v>
      </c>
      <c r="M100" s="688" t="s">
        <v>111</v>
      </c>
      <c r="N100" s="688" t="s">
        <v>111</v>
      </c>
      <c r="O100" s="688" t="s">
        <v>111</v>
      </c>
      <c r="P100" s="688" t="s">
        <v>111</v>
      </c>
      <c r="Q100" s="688" t="s">
        <v>111</v>
      </c>
      <c r="R100" s="688" t="s">
        <v>111</v>
      </c>
      <c r="S100" s="688" t="s">
        <v>111</v>
      </c>
      <c r="T100" s="688" t="s">
        <v>111</v>
      </c>
      <c r="U100" s="688" t="s">
        <v>111</v>
      </c>
      <c r="V100" s="688" t="s">
        <v>111</v>
      </c>
      <c r="W100" s="688" t="s">
        <v>111</v>
      </c>
      <c r="X100" s="1287"/>
      <c r="Y100" s="1287"/>
      <c r="Z100" s="1287"/>
      <c r="AA100" s="1287"/>
      <c r="AB100" s="1287"/>
      <c r="AC100" s="1287"/>
      <c r="AD100" s="1287"/>
      <c r="AE100" s="1488"/>
      <c r="AF100" s="1287"/>
      <c r="AG100" s="1488"/>
      <c r="AH100" s="71">
        <f t="shared" si="16"/>
        <v>0</v>
      </c>
    </row>
    <row r="101" spans="1:34" ht="15">
      <c r="A101" s="30" t="s">
        <v>85</v>
      </c>
      <c r="B101" s="28">
        <f t="shared" si="15"/>
        <v>0</v>
      </c>
      <c r="C101" s="49"/>
      <c r="D101" s="18"/>
      <c r="E101" s="18"/>
      <c r="F101" s="18"/>
      <c r="G101" s="11"/>
      <c r="H101" s="18"/>
      <c r="I101" s="18"/>
      <c r="J101" s="18"/>
      <c r="K101" s="18"/>
      <c r="L101" s="18"/>
      <c r="M101" s="18"/>
      <c r="N101" s="18"/>
      <c r="O101" s="18"/>
      <c r="P101" s="18"/>
      <c r="Q101" s="18"/>
      <c r="R101" s="18"/>
      <c r="S101" s="18"/>
      <c r="T101" s="18"/>
      <c r="U101" s="18"/>
      <c r="V101" s="18"/>
      <c r="W101" s="18"/>
      <c r="X101" s="18"/>
      <c r="Y101" s="11"/>
      <c r="Z101" s="18"/>
      <c r="AA101" s="18"/>
      <c r="AB101" s="18"/>
      <c r="AC101" s="18"/>
      <c r="AD101" s="18"/>
      <c r="AE101" s="53"/>
      <c r="AF101" s="18"/>
      <c r="AG101" s="53"/>
      <c r="AH101" s="71">
        <f t="shared" si="16"/>
        <v>0</v>
      </c>
    </row>
    <row r="102" spans="1:34" ht="15">
      <c r="A102" s="30" t="s">
        <v>86</v>
      </c>
      <c r="B102" s="28">
        <f t="shared" si="15"/>
        <v>0</v>
      </c>
      <c r="C102" s="49"/>
      <c r="D102" s="18"/>
      <c r="E102" s="18"/>
      <c r="F102" s="18"/>
      <c r="G102" s="18"/>
      <c r="H102" s="18"/>
      <c r="I102" s="18"/>
      <c r="J102" s="18"/>
      <c r="K102" s="18"/>
      <c r="L102" s="1280" t="s">
        <v>111</v>
      </c>
      <c r="M102" s="1280" t="s">
        <v>111</v>
      </c>
      <c r="N102" s="1280" t="s">
        <v>111</v>
      </c>
      <c r="O102" s="1280" t="s">
        <v>111</v>
      </c>
      <c r="P102" s="1280" t="s">
        <v>111</v>
      </c>
      <c r="Q102" s="1280" t="s">
        <v>111</v>
      </c>
      <c r="R102" s="1280" t="s">
        <v>111</v>
      </c>
      <c r="S102" s="1280" t="s">
        <v>111</v>
      </c>
      <c r="T102" s="1280" t="s">
        <v>111</v>
      </c>
      <c r="U102" s="1280" t="s">
        <v>111</v>
      </c>
      <c r="V102" s="1280" t="s">
        <v>111</v>
      </c>
      <c r="W102" s="1280" t="s">
        <v>111</v>
      </c>
      <c r="X102" s="1280" t="s">
        <v>111</v>
      </c>
      <c r="Y102" s="1280" t="s">
        <v>111</v>
      </c>
      <c r="Z102" s="1280" t="s">
        <v>111</v>
      </c>
      <c r="AA102" s="1280" t="s">
        <v>111</v>
      </c>
      <c r="AB102" s="1280" t="s">
        <v>111</v>
      </c>
      <c r="AC102" s="1280" t="s">
        <v>111</v>
      </c>
      <c r="AD102" s="1280" t="s">
        <v>111</v>
      </c>
      <c r="AE102" s="1280" t="s">
        <v>111</v>
      </c>
      <c r="AF102" s="1280" t="s">
        <v>111</v>
      </c>
      <c r="AG102" s="1280" t="s">
        <v>111</v>
      </c>
      <c r="AH102" s="71">
        <f t="shared" si="16"/>
        <v>0</v>
      </c>
    </row>
    <row r="103" spans="1:34" ht="15">
      <c r="A103" s="88" t="s">
        <v>74</v>
      </c>
      <c r="B103" s="90">
        <f t="shared" ref="B103:AH103" si="17">SUM(B91:B102)</f>
        <v>673.22900000000004</v>
      </c>
      <c r="C103" s="71">
        <f t="shared" si="17"/>
        <v>55.814999999999998</v>
      </c>
      <c r="D103" s="71">
        <f t="shared" si="17"/>
        <v>91.114000000000004</v>
      </c>
      <c r="E103" s="71">
        <f t="shared" si="17"/>
        <v>0</v>
      </c>
      <c r="F103" s="71">
        <f t="shared" si="17"/>
        <v>0</v>
      </c>
      <c r="G103" s="71">
        <f t="shared" si="17"/>
        <v>16.238</v>
      </c>
      <c r="H103" s="71">
        <f t="shared" si="17"/>
        <v>0</v>
      </c>
      <c r="I103" s="71">
        <f t="shared" si="17"/>
        <v>0</v>
      </c>
      <c r="J103" s="71">
        <f t="shared" si="17"/>
        <v>0</v>
      </c>
      <c r="K103" s="71">
        <f t="shared" si="17"/>
        <v>14.093</v>
      </c>
      <c r="L103" s="71">
        <f t="shared" si="17"/>
        <v>45.436999999999998</v>
      </c>
      <c r="M103" s="71">
        <f t="shared" si="17"/>
        <v>0</v>
      </c>
      <c r="N103" s="71">
        <f t="shared" si="17"/>
        <v>0</v>
      </c>
      <c r="O103" s="71">
        <f t="shared" si="17"/>
        <v>0</v>
      </c>
      <c r="P103" s="71">
        <f t="shared" si="17"/>
        <v>48.503999999999998</v>
      </c>
      <c r="Q103" s="71">
        <f t="shared" si="17"/>
        <v>72.033000000000001</v>
      </c>
      <c r="R103" s="71">
        <f t="shared" si="17"/>
        <v>25.544</v>
      </c>
      <c r="S103" s="71">
        <f t="shared" si="17"/>
        <v>8.0500000000000007</v>
      </c>
      <c r="T103" s="71">
        <f t="shared" si="17"/>
        <v>34.24</v>
      </c>
      <c r="U103" s="71">
        <f t="shared" si="17"/>
        <v>0</v>
      </c>
      <c r="V103" s="71">
        <f t="shared" si="17"/>
        <v>0</v>
      </c>
      <c r="W103" s="71">
        <f t="shared" si="17"/>
        <v>47.555999999999997</v>
      </c>
      <c r="X103" s="71">
        <f t="shared" si="17"/>
        <v>0</v>
      </c>
      <c r="Y103" s="71">
        <f t="shared" si="17"/>
        <v>0</v>
      </c>
      <c r="Z103" s="71">
        <f t="shared" si="17"/>
        <v>0</v>
      </c>
      <c r="AA103" s="71">
        <f t="shared" si="17"/>
        <v>8.548</v>
      </c>
      <c r="AB103" s="71">
        <f t="shared" si="17"/>
        <v>65.504000000000005</v>
      </c>
      <c r="AC103" s="71">
        <f t="shared" si="17"/>
        <v>46.002000000000002</v>
      </c>
      <c r="AD103" s="71">
        <f t="shared" si="17"/>
        <v>47.484000000000002</v>
      </c>
      <c r="AE103" s="71">
        <f t="shared" si="17"/>
        <v>38.076000000000001</v>
      </c>
      <c r="AF103" s="71">
        <f t="shared" si="17"/>
        <v>0</v>
      </c>
      <c r="AG103" s="71">
        <f t="shared" si="17"/>
        <v>8.9909999999999997</v>
      </c>
      <c r="AH103" s="71">
        <f t="shared" si="17"/>
        <v>673.22900000000004</v>
      </c>
    </row>
    <row r="104" spans="1:34" ht="15">
      <c r="A104" s="135"/>
      <c r="B104" s="233"/>
      <c r="C104" s="74"/>
      <c r="D104" s="74"/>
      <c r="E104" s="74"/>
      <c r="F104" s="74"/>
      <c r="G104" s="74"/>
      <c r="H104" s="74"/>
      <c r="I104" s="74"/>
      <c r="J104" s="74"/>
      <c r="K104" s="74"/>
      <c r="L104" s="74"/>
      <c r="M104" s="74"/>
      <c r="N104" s="74"/>
      <c r="O104" s="74"/>
      <c r="P104" s="74"/>
      <c r="Q104" s="74"/>
      <c r="R104" s="74"/>
      <c r="S104" s="74"/>
      <c r="T104" s="74"/>
      <c r="U104" s="74"/>
      <c r="V104" s="74"/>
      <c r="W104" s="74"/>
      <c r="X104" s="74"/>
      <c r="Y104" s="74"/>
      <c r="Z104" s="74"/>
      <c r="AA104" s="74"/>
      <c r="AB104" s="74"/>
      <c r="AC104" s="74"/>
      <c r="AD104" s="74"/>
      <c r="AE104" s="74"/>
      <c r="AF104" s="74"/>
      <c r="AG104" s="74"/>
      <c r="AH104" s="74"/>
    </row>
    <row r="105" spans="1:34" ht="15">
      <c r="A105" s="3600" t="s">
        <v>610</v>
      </c>
      <c r="B105" s="3601"/>
      <c r="C105" s="3601"/>
      <c r="D105" s="3601"/>
      <c r="E105" s="3601"/>
      <c r="F105" s="3601"/>
      <c r="G105" s="3601"/>
      <c r="H105" s="3601"/>
      <c r="I105" s="3601"/>
      <c r="J105" s="34"/>
      <c r="K105" s="34"/>
      <c r="L105" s="34"/>
      <c r="M105" s="34"/>
      <c r="N105" s="34"/>
      <c r="O105" s="34"/>
      <c r="P105" s="34"/>
      <c r="Q105" s="34"/>
      <c r="R105" s="34"/>
      <c r="S105" s="34"/>
      <c r="T105" s="34"/>
      <c r="U105" s="34"/>
      <c r="V105" s="34"/>
      <c r="W105" s="34"/>
      <c r="X105" s="34"/>
      <c r="Y105" s="34"/>
      <c r="Z105" s="34"/>
      <c r="AA105" s="34"/>
      <c r="AB105" s="34"/>
      <c r="AC105" s="34"/>
      <c r="AD105" s="34"/>
      <c r="AE105" s="34"/>
      <c r="AF105" s="34"/>
      <c r="AG105" s="34"/>
      <c r="AH105" s="70"/>
    </row>
    <row r="106" spans="1:34" ht="15">
      <c r="A106" s="5" t="s">
        <v>72</v>
      </c>
      <c r="B106" s="28" t="s">
        <v>73</v>
      </c>
      <c r="C106" s="72">
        <v>1</v>
      </c>
      <c r="D106" s="35">
        <v>2</v>
      </c>
      <c r="E106" s="35">
        <v>3</v>
      </c>
      <c r="F106" s="35">
        <v>4</v>
      </c>
      <c r="G106" s="35">
        <v>5</v>
      </c>
      <c r="H106" s="35">
        <v>6</v>
      </c>
      <c r="I106" s="35">
        <v>7</v>
      </c>
      <c r="J106" s="35">
        <v>8</v>
      </c>
      <c r="K106" s="35">
        <v>9</v>
      </c>
      <c r="L106" s="35">
        <v>10</v>
      </c>
      <c r="M106" s="35">
        <v>11</v>
      </c>
      <c r="N106" s="35">
        <v>12</v>
      </c>
      <c r="O106" s="35">
        <v>13</v>
      </c>
      <c r="P106" s="35">
        <v>14</v>
      </c>
      <c r="Q106" s="35">
        <v>15</v>
      </c>
      <c r="R106" s="35">
        <v>16</v>
      </c>
      <c r="S106" s="35">
        <v>17</v>
      </c>
      <c r="T106" s="35">
        <v>18</v>
      </c>
      <c r="U106" s="35">
        <v>19</v>
      </c>
      <c r="V106" s="35">
        <v>20</v>
      </c>
      <c r="W106" s="35">
        <v>21</v>
      </c>
      <c r="X106" s="35">
        <v>22</v>
      </c>
      <c r="Y106" s="35">
        <v>23</v>
      </c>
      <c r="Z106" s="35">
        <v>24</v>
      </c>
      <c r="AA106" s="35">
        <v>25</v>
      </c>
      <c r="AB106" s="35">
        <v>26</v>
      </c>
      <c r="AC106" s="35">
        <v>27</v>
      </c>
      <c r="AD106" s="35">
        <v>28</v>
      </c>
      <c r="AE106" s="35">
        <v>29</v>
      </c>
      <c r="AF106" s="35">
        <v>30</v>
      </c>
      <c r="AG106" s="35">
        <v>31</v>
      </c>
      <c r="AH106" s="71" t="s">
        <v>74</v>
      </c>
    </row>
    <row r="107" spans="1:34" ht="15">
      <c r="A107" s="128" t="s">
        <v>75</v>
      </c>
      <c r="B107" s="28">
        <f t="shared" ref="B107:B118" si="18">+AH107</f>
        <v>0</v>
      </c>
      <c r="C107" s="688" t="s">
        <v>111</v>
      </c>
      <c r="D107" s="688" t="s">
        <v>111</v>
      </c>
      <c r="E107" s="688" t="s">
        <v>111</v>
      </c>
      <c r="F107" s="688" t="s">
        <v>111</v>
      </c>
      <c r="G107" s="688" t="s">
        <v>111</v>
      </c>
      <c r="H107" s="688" t="s">
        <v>111</v>
      </c>
      <c r="I107" s="688" t="s">
        <v>111</v>
      </c>
      <c r="J107" s="688" t="s">
        <v>111</v>
      </c>
      <c r="K107" s="688" t="s">
        <v>111</v>
      </c>
      <c r="L107" s="688" t="s">
        <v>111</v>
      </c>
      <c r="M107" s="688" t="s">
        <v>111</v>
      </c>
      <c r="N107" s="688" t="s">
        <v>111</v>
      </c>
      <c r="O107" s="688" t="s">
        <v>111</v>
      </c>
      <c r="P107" s="688" t="s">
        <v>111</v>
      </c>
      <c r="Q107" s="688" t="s">
        <v>111</v>
      </c>
      <c r="R107" s="688" t="s">
        <v>111</v>
      </c>
      <c r="S107" s="688" t="s">
        <v>111</v>
      </c>
      <c r="T107" s="688" t="s">
        <v>111</v>
      </c>
      <c r="U107" s="688" t="s">
        <v>111</v>
      </c>
      <c r="V107" s="688" t="s">
        <v>111</v>
      </c>
      <c r="W107" s="688" t="s">
        <v>111</v>
      </c>
      <c r="X107" s="688" t="s">
        <v>111</v>
      </c>
      <c r="Y107" s="688" t="s">
        <v>111</v>
      </c>
      <c r="Z107" s="688" t="s">
        <v>111</v>
      </c>
      <c r="AA107" s="688" t="s">
        <v>111</v>
      </c>
      <c r="AB107" s="688" t="s">
        <v>111</v>
      </c>
      <c r="AC107" s="688" t="s">
        <v>111</v>
      </c>
      <c r="AD107" s="688" t="s">
        <v>111</v>
      </c>
      <c r="AE107" s="688" t="s">
        <v>111</v>
      </c>
      <c r="AF107" s="688" t="s">
        <v>111</v>
      </c>
      <c r="AG107" s="688" t="s">
        <v>111</v>
      </c>
      <c r="AH107" s="71">
        <f>SUM(C107:AG107)</f>
        <v>0</v>
      </c>
    </row>
    <row r="108" spans="1:34" ht="15">
      <c r="A108" s="128" t="s">
        <v>76</v>
      </c>
      <c r="B108" s="28">
        <f t="shared" si="18"/>
        <v>0</v>
      </c>
      <c r="C108" s="688" t="s">
        <v>111</v>
      </c>
      <c r="D108" s="688" t="s">
        <v>111</v>
      </c>
      <c r="E108" s="688" t="s">
        <v>111</v>
      </c>
      <c r="F108" s="688" t="s">
        <v>111</v>
      </c>
      <c r="G108" s="688" t="s">
        <v>111</v>
      </c>
      <c r="H108" s="688" t="s">
        <v>111</v>
      </c>
      <c r="I108" s="688" t="s">
        <v>111</v>
      </c>
      <c r="J108" s="688" t="s">
        <v>111</v>
      </c>
      <c r="K108" s="688" t="s">
        <v>111</v>
      </c>
      <c r="L108" s="688" t="s">
        <v>111</v>
      </c>
      <c r="M108" s="688" t="s">
        <v>111</v>
      </c>
      <c r="N108" s="688" t="s">
        <v>111</v>
      </c>
      <c r="O108" s="688" t="s">
        <v>111</v>
      </c>
      <c r="P108" s="688" t="s">
        <v>111</v>
      </c>
      <c r="Q108" s="688" t="s">
        <v>111</v>
      </c>
      <c r="R108" s="688" t="s">
        <v>111</v>
      </c>
      <c r="S108" s="688" t="s">
        <v>111</v>
      </c>
      <c r="T108" s="688" t="s">
        <v>111</v>
      </c>
      <c r="U108" s="688" t="s">
        <v>111</v>
      </c>
      <c r="V108" s="688" t="s">
        <v>111</v>
      </c>
      <c r="W108" s="688" t="s">
        <v>111</v>
      </c>
      <c r="X108" s="688" t="s">
        <v>111</v>
      </c>
      <c r="Y108" s="688" t="s">
        <v>111</v>
      </c>
      <c r="Z108" s="688" t="s">
        <v>111</v>
      </c>
      <c r="AA108" s="688" t="s">
        <v>111</v>
      </c>
      <c r="AB108" s="688" t="s">
        <v>111</v>
      </c>
      <c r="AC108" s="688" t="s">
        <v>111</v>
      </c>
      <c r="AD108" s="688" t="s">
        <v>111</v>
      </c>
      <c r="AE108" s="688" t="s">
        <v>111</v>
      </c>
      <c r="AF108" s="688" t="s">
        <v>111</v>
      </c>
      <c r="AG108" s="688" t="s">
        <v>111</v>
      </c>
      <c r="AH108" s="71">
        <f>SUM(C108:AG108)</f>
        <v>0</v>
      </c>
    </row>
    <row r="109" spans="1:34" ht="15">
      <c r="A109" s="128" t="s">
        <v>77</v>
      </c>
      <c r="B109" s="28">
        <f t="shared" si="18"/>
        <v>0</v>
      </c>
      <c r="C109" s="688" t="s">
        <v>111</v>
      </c>
      <c r="D109" s="688" t="s">
        <v>111</v>
      </c>
      <c r="E109" s="688" t="s">
        <v>111</v>
      </c>
      <c r="F109" s="688" t="s">
        <v>111</v>
      </c>
      <c r="G109" s="688" t="s">
        <v>111</v>
      </c>
      <c r="H109" s="1287"/>
      <c r="I109" s="1287"/>
      <c r="J109" s="1287"/>
      <c r="K109" s="1287"/>
      <c r="L109" s="1287"/>
      <c r="M109" s="1287"/>
      <c r="N109" s="1287"/>
      <c r="O109" s="1287"/>
      <c r="P109" s="1287"/>
      <c r="Q109" s="1287"/>
      <c r="R109" s="1287"/>
      <c r="S109" s="1287"/>
      <c r="T109" s="1287"/>
      <c r="U109" s="1815"/>
      <c r="V109" s="1287"/>
      <c r="W109" s="1287"/>
      <c r="X109" s="1287"/>
      <c r="Y109" s="1287"/>
      <c r="Z109" s="1287"/>
      <c r="AA109" s="1287"/>
      <c r="AB109" s="1287"/>
      <c r="AC109" s="1930"/>
      <c r="AD109" s="1930"/>
      <c r="AE109" s="1930"/>
      <c r="AF109" s="1930"/>
      <c r="AG109" s="1930"/>
      <c r="AH109" s="71">
        <f>SUM(C109:AG109)</f>
        <v>0</v>
      </c>
    </row>
    <row r="110" spans="1:34" ht="15">
      <c r="A110" s="128" t="s">
        <v>78</v>
      </c>
      <c r="B110" s="28">
        <f t="shared" si="18"/>
        <v>0</v>
      </c>
      <c r="C110" s="3168"/>
      <c r="D110" s="3168"/>
      <c r="E110" s="3168"/>
      <c r="F110" s="3168"/>
      <c r="G110" s="3168"/>
      <c r="H110" s="3168"/>
      <c r="I110" s="3168"/>
      <c r="J110" s="3168"/>
      <c r="K110" s="3168"/>
      <c r="L110" s="18"/>
      <c r="M110" s="18"/>
      <c r="N110" s="18"/>
      <c r="O110" s="18"/>
      <c r="P110" s="18"/>
      <c r="Q110" s="287"/>
      <c r="R110" s="287"/>
      <c r="S110" s="153"/>
      <c r="T110" s="153"/>
      <c r="U110" s="153"/>
      <c r="V110" s="153"/>
      <c r="W110" s="153"/>
      <c r="X110" s="153"/>
      <c r="Y110" s="153"/>
      <c r="Z110" s="153"/>
      <c r="AA110" s="153"/>
      <c r="AB110" s="153"/>
      <c r="AC110" s="153"/>
      <c r="AD110" s="153"/>
      <c r="AE110" s="153"/>
      <c r="AF110" s="153"/>
      <c r="AG110" s="153"/>
      <c r="AH110" s="71">
        <f>SUM(C110:AG110)</f>
        <v>0</v>
      </c>
    </row>
    <row r="111" spans="1:34" ht="15">
      <c r="A111" s="132" t="s">
        <v>79</v>
      </c>
      <c r="B111" s="28">
        <f t="shared" si="18"/>
        <v>0</v>
      </c>
      <c r="C111" s="2465"/>
      <c r="D111" s="2465"/>
      <c r="E111" s="2465"/>
      <c r="F111" s="2465"/>
      <c r="G111" s="2465"/>
      <c r="H111" s="1287"/>
      <c r="I111" s="1287"/>
      <c r="J111" s="1287"/>
      <c r="K111" s="1287"/>
      <c r="L111" s="1287"/>
      <c r="M111" s="1287"/>
      <c r="N111" s="1287"/>
      <c r="O111" s="1287"/>
      <c r="P111" s="1287"/>
      <c r="Q111" s="1287"/>
      <c r="R111" s="1287"/>
      <c r="S111" s="1287"/>
      <c r="T111" s="1287"/>
      <c r="U111" s="1287"/>
      <c r="V111" s="1287"/>
      <c r="W111" s="1287"/>
      <c r="X111" s="1287"/>
      <c r="Y111" s="1287"/>
      <c r="Z111" s="1287"/>
      <c r="AA111" s="1287"/>
      <c r="AB111" s="1287"/>
      <c r="AC111" s="1287"/>
      <c r="AD111" s="1287"/>
      <c r="AE111" s="1287"/>
      <c r="AF111" s="1287"/>
      <c r="AG111" s="1287"/>
      <c r="AH111" s="71">
        <f>SUM(C111:AG111)</f>
        <v>0</v>
      </c>
    </row>
    <row r="112" spans="1:34" ht="15">
      <c r="A112" s="132" t="s">
        <v>80</v>
      </c>
      <c r="B112" s="28">
        <f t="shared" si="18"/>
        <v>0</v>
      </c>
      <c r="C112" s="1287"/>
      <c r="D112" s="1287"/>
      <c r="E112" s="1287"/>
      <c r="F112" s="1287"/>
      <c r="G112" s="1287"/>
      <c r="H112" s="1287"/>
      <c r="I112" s="1287"/>
      <c r="J112" s="1287"/>
      <c r="K112" s="1287"/>
      <c r="L112" s="1287"/>
      <c r="M112" s="1287"/>
      <c r="N112" s="1287"/>
      <c r="O112" s="1287"/>
      <c r="P112" s="1287"/>
      <c r="Q112" s="1287"/>
      <c r="R112" s="1287"/>
      <c r="S112" s="1287"/>
      <c r="T112" s="1287"/>
      <c r="U112" s="1287"/>
      <c r="V112" s="1287"/>
      <c r="W112" s="1287"/>
      <c r="X112" s="1287"/>
      <c r="Y112" s="1287"/>
      <c r="Z112" s="1287"/>
      <c r="AA112" s="1287"/>
      <c r="AB112" s="1287"/>
      <c r="AC112" s="1287"/>
      <c r="AD112" s="1287"/>
      <c r="AE112" s="1287"/>
      <c r="AF112" s="1287"/>
      <c r="AG112" s="1287"/>
      <c r="AH112" s="71">
        <f t="shared" ref="AH112:AH118" si="19">SUM(C112:AG112)</f>
        <v>0</v>
      </c>
    </row>
    <row r="113" spans="1:34" ht="15">
      <c r="A113" s="132" t="s">
        <v>81</v>
      </c>
      <c r="B113" s="28">
        <f t="shared" si="18"/>
        <v>0</v>
      </c>
      <c r="C113" s="1287"/>
      <c r="D113" s="1488"/>
      <c r="E113" s="1488"/>
      <c r="F113" s="1488"/>
      <c r="G113" s="1287"/>
      <c r="H113" s="1287"/>
      <c r="I113" s="1287"/>
      <c r="J113" s="2466"/>
      <c r="K113" s="2466"/>
      <c r="L113" s="1488"/>
      <c r="M113" s="1488"/>
      <c r="N113" s="1488"/>
      <c r="O113" s="1488"/>
      <c r="P113" s="1488"/>
      <c r="Q113" s="1488"/>
      <c r="R113" s="1488"/>
      <c r="S113" s="1488"/>
      <c r="T113" s="1488"/>
      <c r="U113" s="1488"/>
      <c r="V113" s="1488"/>
      <c r="W113" s="688"/>
      <c r="X113" s="688"/>
      <c r="Y113" s="688"/>
      <c r="Z113" s="688"/>
      <c r="AA113" s="688"/>
      <c r="AB113" s="688"/>
      <c r="AC113" s="688"/>
      <c r="AD113" s="688"/>
      <c r="AE113" s="688"/>
      <c r="AF113" s="688" t="s">
        <v>111</v>
      </c>
      <c r="AG113" s="688" t="s">
        <v>111</v>
      </c>
      <c r="AH113" s="71">
        <f t="shared" si="19"/>
        <v>0</v>
      </c>
    </row>
    <row r="114" spans="1:34" ht="15">
      <c r="A114" s="132" t="s">
        <v>82</v>
      </c>
      <c r="B114" s="28">
        <f t="shared" si="18"/>
        <v>0</v>
      </c>
      <c r="C114" s="688" t="s">
        <v>111</v>
      </c>
      <c r="D114" s="688" t="s">
        <v>111</v>
      </c>
      <c r="E114" s="688" t="s">
        <v>111</v>
      </c>
      <c r="F114" s="688" t="s">
        <v>111</v>
      </c>
      <c r="G114" s="688" t="s">
        <v>111</v>
      </c>
      <c r="H114" s="688" t="s">
        <v>111</v>
      </c>
      <c r="I114" s="688" t="s">
        <v>111</v>
      </c>
      <c r="J114" s="688" t="s">
        <v>111</v>
      </c>
      <c r="K114" s="688" t="s">
        <v>111</v>
      </c>
      <c r="L114" s="688" t="s">
        <v>111</v>
      </c>
      <c r="M114" s="688" t="s">
        <v>111</v>
      </c>
      <c r="N114" s="688" t="s">
        <v>111</v>
      </c>
      <c r="O114" s="688" t="s">
        <v>111</v>
      </c>
      <c r="P114" s="688" t="s">
        <v>111</v>
      </c>
      <c r="Q114" s="688" t="s">
        <v>111</v>
      </c>
      <c r="R114" s="688" t="s">
        <v>111</v>
      </c>
      <c r="S114" s="688" t="s">
        <v>111</v>
      </c>
      <c r="T114" s="688" t="s">
        <v>111</v>
      </c>
      <c r="U114" s="688" t="s">
        <v>111</v>
      </c>
      <c r="V114" s="688" t="s">
        <v>111</v>
      </c>
      <c r="W114" s="688" t="s">
        <v>111</v>
      </c>
      <c r="X114" s="688" t="s">
        <v>111</v>
      </c>
      <c r="Y114" s="688" t="s">
        <v>111</v>
      </c>
      <c r="Z114" s="688" t="s">
        <v>111</v>
      </c>
      <c r="AA114" s="688" t="s">
        <v>111</v>
      </c>
      <c r="AB114" s="688" t="s">
        <v>111</v>
      </c>
      <c r="AC114" s="688" t="s">
        <v>111</v>
      </c>
      <c r="AD114" s="688" t="s">
        <v>111</v>
      </c>
      <c r="AE114" s="688" t="s">
        <v>111</v>
      </c>
      <c r="AF114" s="688" t="s">
        <v>111</v>
      </c>
      <c r="AG114" s="688" t="s">
        <v>111</v>
      </c>
      <c r="AH114" s="71">
        <f t="shared" si="19"/>
        <v>0</v>
      </c>
    </row>
    <row r="115" spans="1:34" ht="15">
      <c r="A115" s="30" t="s">
        <v>83</v>
      </c>
      <c r="B115" s="28">
        <f t="shared" si="18"/>
        <v>0</v>
      </c>
      <c r="C115" s="688" t="s">
        <v>111</v>
      </c>
      <c r="D115" s="688" t="s">
        <v>111</v>
      </c>
      <c r="E115" s="688" t="s">
        <v>111</v>
      </c>
      <c r="F115" s="688" t="s">
        <v>111</v>
      </c>
      <c r="G115" s="688" t="s">
        <v>111</v>
      </c>
      <c r="H115" s="688" t="s">
        <v>111</v>
      </c>
      <c r="I115" s="688" t="s">
        <v>111</v>
      </c>
      <c r="J115" s="688" t="s">
        <v>111</v>
      </c>
      <c r="K115" s="688" t="s">
        <v>111</v>
      </c>
      <c r="L115" s="688" t="s">
        <v>111</v>
      </c>
      <c r="M115" s="688" t="s">
        <v>111</v>
      </c>
      <c r="N115" s="688" t="s">
        <v>111</v>
      </c>
      <c r="O115" s="688" t="s">
        <v>111</v>
      </c>
      <c r="P115" s="688" t="s">
        <v>111</v>
      </c>
      <c r="Q115" s="688" t="s">
        <v>111</v>
      </c>
      <c r="R115" s="688" t="s">
        <v>111</v>
      </c>
      <c r="S115" s="688" t="s">
        <v>111</v>
      </c>
      <c r="T115" s="688" t="s">
        <v>111</v>
      </c>
      <c r="U115" s="688" t="s">
        <v>111</v>
      </c>
      <c r="V115" s="688" t="s">
        <v>111</v>
      </c>
      <c r="W115" s="688" t="s">
        <v>111</v>
      </c>
      <c r="X115" s="688" t="s">
        <v>111</v>
      </c>
      <c r="Y115" s="688" t="s">
        <v>111</v>
      </c>
      <c r="Z115" s="688" t="s">
        <v>111</v>
      </c>
      <c r="AA115" s="688" t="s">
        <v>111</v>
      </c>
      <c r="AB115" s="688" t="s">
        <v>111</v>
      </c>
      <c r="AC115" s="688" t="s">
        <v>111</v>
      </c>
      <c r="AD115" s="688" t="s">
        <v>111</v>
      </c>
      <c r="AE115" s="688" t="s">
        <v>111</v>
      </c>
      <c r="AF115" s="688" t="s">
        <v>111</v>
      </c>
      <c r="AG115" s="688" t="s">
        <v>111</v>
      </c>
      <c r="AH115" s="71">
        <f t="shared" si="19"/>
        <v>0</v>
      </c>
    </row>
    <row r="116" spans="1:34" ht="15">
      <c r="A116" s="30" t="s">
        <v>84</v>
      </c>
      <c r="B116" s="28">
        <v>0</v>
      </c>
      <c r="C116" s="688" t="s">
        <v>111</v>
      </c>
      <c r="D116" s="688" t="s">
        <v>111</v>
      </c>
      <c r="E116" s="688" t="s">
        <v>111</v>
      </c>
      <c r="F116" s="688" t="s">
        <v>111</v>
      </c>
      <c r="G116" s="688" t="s">
        <v>111</v>
      </c>
      <c r="H116" s="688" t="s">
        <v>111</v>
      </c>
      <c r="I116" s="688" t="s">
        <v>111</v>
      </c>
      <c r="J116" s="688" t="s">
        <v>111</v>
      </c>
      <c r="K116" s="688" t="s">
        <v>111</v>
      </c>
      <c r="L116" s="688" t="s">
        <v>111</v>
      </c>
      <c r="M116" s="688" t="s">
        <v>111</v>
      </c>
      <c r="N116" s="688" t="s">
        <v>111</v>
      </c>
      <c r="O116" s="688" t="s">
        <v>111</v>
      </c>
      <c r="P116" s="688" t="s">
        <v>111</v>
      </c>
      <c r="Q116" s="688" t="s">
        <v>111</v>
      </c>
      <c r="R116" s="688" t="s">
        <v>111</v>
      </c>
      <c r="S116" s="688" t="s">
        <v>111</v>
      </c>
      <c r="T116" s="688" t="s">
        <v>111</v>
      </c>
      <c r="U116" s="688" t="s">
        <v>111</v>
      </c>
      <c r="V116" s="688" t="s">
        <v>111</v>
      </c>
      <c r="W116" s="688" t="s">
        <v>111</v>
      </c>
      <c r="X116" s="1287"/>
      <c r="Y116" s="1287"/>
      <c r="Z116" s="1287"/>
      <c r="AA116" s="1287"/>
      <c r="AB116" s="1287"/>
      <c r="AC116" s="1287"/>
      <c r="AD116" s="1287"/>
      <c r="AE116" s="1488"/>
      <c r="AF116" s="1287"/>
      <c r="AG116" s="1488"/>
      <c r="AH116" s="71">
        <f t="shared" si="19"/>
        <v>0</v>
      </c>
    </row>
    <row r="117" spans="1:34" ht="15">
      <c r="A117" s="30" t="s">
        <v>85</v>
      </c>
      <c r="B117" s="28">
        <f t="shared" si="18"/>
        <v>0</v>
      </c>
      <c r="C117" s="49"/>
      <c r="D117" s="18"/>
      <c r="E117" s="18"/>
      <c r="F117" s="18"/>
      <c r="G117" s="11"/>
      <c r="H117" s="18"/>
      <c r="I117" s="18"/>
      <c r="J117" s="18"/>
      <c r="K117" s="18"/>
      <c r="L117" s="18"/>
      <c r="M117" s="18"/>
      <c r="N117" s="18"/>
      <c r="O117" s="18"/>
      <c r="P117" s="18"/>
      <c r="Q117" s="18"/>
      <c r="R117" s="18"/>
      <c r="S117" s="18"/>
      <c r="T117" s="18"/>
      <c r="U117" s="18"/>
      <c r="V117" s="18"/>
      <c r="W117" s="18"/>
      <c r="X117" s="18"/>
      <c r="Y117" s="11"/>
      <c r="Z117" s="18"/>
      <c r="AA117" s="18"/>
      <c r="AB117" s="18"/>
      <c r="AC117" s="18"/>
      <c r="AD117" s="18"/>
      <c r="AE117" s="53"/>
      <c r="AF117" s="18"/>
      <c r="AG117" s="53"/>
      <c r="AH117" s="71">
        <f t="shared" si="19"/>
        <v>0</v>
      </c>
    </row>
    <row r="118" spans="1:34" ht="15">
      <c r="A118" s="30" t="s">
        <v>86</v>
      </c>
      <c r="B118" s="28">
        <f t="shared" si="18"/>
        <v>0</v>
      </c>
      <c r="C118" s="49"/>
      <c r="D118" s="18"/>
      <c r="E118" s="18"/>
      <c r="F118" s="18"/>
      <c r="G118" s="18"/>
      <c r="H118" s="18"/>
      <c r="I118" s="18"/>
      <c r="J118" s="18"/>
      <c r="K118" s="18"/>
      <c r="L118" s="1280" t="s">
        <v>111</v>
      </c>
      <c r="M118" s="1280" t="s">
        <v>111</v>
      </c>
      <c r="N118" s="1280" t="s">
        <v>111</v>
      </c>
      <c r="O118" s="1280" t="s">
        <v>111</v>
      </c>
      <c r="P118" s="1280" t="s">
        <v>111</v>
      </c>
      <c r="Q118" s="1280" t="s">
        <v>111</v>
      </c>
      <c r="R118" s="1280" t="s">
        <v>111</v>
      </c>
      <c r="S118" s="1280" t="s">
        <v>111</v>
      </c>
      <c r="T118" s="1280" t="s">
        <v>111</v>
      </c>
      <c r="U118" s="1280" t="s">
        <v>111</v>
      </c>
      <c r="V118" s="1280" t="s">
        <v>111</v>
      </c>
      <c r="W118" s="1280" t="s">
        <v>111</v>
      </c>
      <c r="X118" s="1280" t="s">
        <v>111</v>
      </c>
      <c r="Y118" s="1280" t="s">
        <v>111</v>
      </c>
      <c r="Z118" s="1280" t="s">
        <v>111</v>
      </c>
      <c r="AA118" s="1280" t="s">
        <v>111</v>
      </c>
      <c r="AB118" s="1280" t="s">
        <v>111</v>
      </c>
      <c r="AC118" s="1280" t="s">
        <v>111</v>
      </c>
      <c r="AD118" s="1280" t="s">
        <v>111</v>
      </c>
      <c r="AE118" s="1280" t="s">
        <v>111</v>
      </c>
      <c r="AF118" s="1280" t="s">
        <v>111</v>
      </c>
      <c r="AG118" s="1280" t="s">
        <v>111</v>
      </c>
      <c r="AH118" s="71">
        <f t="shared" si="19"/>
        <v>0</v>
      </c>
    </row>
    <row r="119" spans="1:34" ht="15">
      <c r="A119" s="88" t="s">
        <v>74</v>
      </c>
      <c r="B119" s="91">
        <f>SUM(B107:B118)</f>
        <v>0</v>
      </c>
      <c r="C119" s="71">
        <f t="shared" ref="C119:AH119" si="20">SUM(C107:C118)</f>
        <v>0</v>
      </c>
      <c r="D119" s="71">
        <f t="shared" si="20"/>
        <v>0</v>
      </c>
      <c r="E119" s="71">
        <f t="shared" si="20"/>
        <v>0</v>
      </c>
      <c r="F119" s="71">
        <f t="shared" si="20"/>
        <v>0</v>
      </c>
      <c r="G119" s="71">
        <f t="shared" si="20"/>
        <v>0</v>
      </c>
      <c r="H119" s="71">
        <f t="shared" si="20"/>
        <v>0</v>
      </c>
      <c r="I119" s="71">
        <f t="shared" si="20"/>
        <v>0</v>
      </c>
      <c r="J119" s="71">
        <f t="shared" si="20"/>
        <v>0</v>
      </c>
      <c r="K119" s="71">
        <f t="shared" si="20"/>
        <v>0</v>
      </c>
      <c r="L119" s="71">
        <f t="shared" si="20"/>
        <v>0</v>
      </c>
      <c r="M119" s="71">
        <f t="shared" si="20"/>
        <v>0</v>
      </c>
      <c r="N119" s="71">
        <f t="shared" si="20"/>
        <v>0</v>
      </c>
      <c r="O119" s="71">
        <f t="shared" si="20"/>
        <v>0</v>
      </c>
      <c r="P119" s="71">
        <f t="shared" si="20"/>
        <v>0</v>
      </c>
      <c r="Q119" s="71">
        <f t="shared" si="20"/>
        <v>0</v>
      </c>
      <c r="R119" s="71">
        <f t="shared" si="20"/>
        <v>0</v>
      </c>
      <c r="S119" s="71">
        <f t="shared" si="20"/>
        <v>0</v>
      </c>
      <c r="T119" s="71">
        <f t="shared" si="20"/>
        <v>0</v>
      </c>
      <c r="U119" s="71">
        <f t="shared" si="20"/>
        <v>0</v>
      </c>
      <c r="V119" s="71">
        <f t="shared" si="20"/>
        <v>0</v>
      </c>
      <c r="W119" s="71">
        <f t="shared" si="20"/>
        <v>0</v>
      </c>
      <c r="X119" s="71">
        <f t="shared" si="20"/>
        <v>0</v>
      </c>
      <c r="Y119" s="71">
        <f t="shared" si="20"/>
        <v>0</v>
      </c>
      <c r="Z119" s="71">
        <f t="shared" si="20"/>
        <v>0</v>
      </c>
      <c r="AA119" s="71">
        <f t="shared" si="20"/>
        <v>0</v>
      </c>
      <c r="AB119" s="71">
        <f t="shared" si="20"/>
        <v>0</v>
      </c>
      <c r="AC119" s="71">
        <f t="shared" si="20"/>
        <v>0</v>
      </c>
      <c r="AD119" s="71">
        <f t="shared" si="20"/>
        <v>0</v>
      </c>
      <c r="AE119" s="71">
        <f t="shared" si="20"/>
        <v>0</v>
      </c>
      <c r="AF119" s="71">
        <f t="shared" si="20"/>
        <v>0</v>
      </c>
      <c r="AG119" s="71">
        <f t="shared" si="20"/>
        <v>0</v>
      </c>
      <c r="AH119" s="71">
        <f t="shared" si="20"/>
        <v>0</v>
      </c>
    </row>
    <row r="120" spans="1:34" ht="15">
      <c r="A120" s="2079"/>
      <c r="B120" s="2083"/>
      <c r="C120" s="2084"/>
      <c r="D120" s="2084"/>
      <c r="E120" s="2084"/>
      <c r="F120" s="2084"/>
      <c r="G120" s="2084"/>
      <c r="H120" s="2084"/>
      <c r="I120" s="2084"/>
      <c r="J120" s="2084"/>
      <c r="K120" s="2084"/>
      <c r="L120" s="2084"/>
      <c r="M120" s="2084"/>
      <c r="N120" s="2084"/>
      <c r="O120" s="2084"/>
      <c r="P120" s="2084"/>
      <c r="Q120" s="2084"/>
      <c r="R120" s="2085"/>
      <c r="S120" s="74"/>
      <c r="T120" s="74"/>
      <c r="U120" s="74"/>
      <c r="V120" s="74"/>
      <c r="W120" s="74"/>
      <c r="X120" s="74"/>
      <c r="Y120" s="74"/>
      <c r="Z120" s="74"/>
      <c r="AA120" s="74"/>
      <c r="AB120" s="74"/>
      <c r="AC120" s="74"/>
      <c r="AD120" s="74"/>
      <c r="AE120" s="74"/>
      <c r="AF120" s="74"/>
      <c r="AG120" s="74"/>
      <c r="AH120" s="74"/>
    </row>
    <row r="121" spans="1:34" ht="15">
      <c r="A121" s="3569" t="s">
        <v>93</v>
      </c>
      <c r="B121" s="3570"/>
      <c r="C121" s="3571"/>
      <c r="D121" s="34"/>
      <c r="E121" s="34"/>
      <c r="F121" s="34"/>
      <c r="G121" s="34"/>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70"/>
    </row>
    <row r="122" spans="1:34" ht="15">
      <c r="A122" s="5" t="s">
        <v>72</v>
      </c>
      <c r="B122" s="28" t="s">
        <v>73</v>
      </c>
      <c r="C122" s="72">
        <v>1</v>
      </c>
      <c r="D122" s="35">
        <v>2</v>
      </c>
      <c r="E122" s="35">
        <v>3</v>
      </c>
      <c r="F122" s="35">
        <v>4</v>
      </c>
      <c r="G122" s="35">
        <v>5</v>
      </c>
      <c r="H122" s="35">
        <v>6</v>
      </c>
      <c r="I122" s="35">
        <v>7</v>
      </c>
      <c r="J122" s="35">
        <v>8</v>
      </c>
      <c r="K122" s="35">
        <v>9</v>
      </c>
      <c r="L122" s="35">
        <v>10</v>
      </c>
      <c r="M122" s="35">
        <v>11</v>
      </c>
      <c r="N122" s="35">
        <v>12</v>
      </c>
      <c r="O122" s="35">
        <v>13</v>
      </c>
      <c r="P122" s="35">
        <v>14</v>
      </c>
      <c r="Q122" s="35">
        <v>15</v>
      </c>
      <c r="R122" s="35">
        <v>16</v>
      </c>
      <c r="S122" s="35">
        <v>17</v>
      </c>
      <c r="T122" s="35">
        <v>18</v>
      </c>
      <c r="U122" s="35">
        <v>19</v>
      </c>
      <c r="V122" s="35">
        <v>20</v>
      </c>
      <c r="W122" s="35">
        <v>21</v>
      </c>
      <c r="X122" s="35">
        <v>22</v>
      </c>
      <c r="Y122" s="35">
        <v>23</v>
      </c>
      <c r="Z122" s="35">
        <v>24</v>
      </c>
      <c r="AA122" s="35">
        <v>25</v>
      </c>
      <c r="AB122" s="35">
        <v>26</v>
      </c>
      <c r="AC122" s="35">
        <v>27</v>
      </c>
      <c r="AD122" s="35">
        <v>28</v>
      </c>
      <c r="AE122" s="35">
        <v>29</v>
      </c>
      <c r="AF122" s="35">
        <v>30</v>
      </c>
      <c r="AG122" s="35">
        <v>31</v>
      </c>
      <c r="AH122" s="71" t="s">
        <v>74</v>
      </c>
    </row>
    <row r="123" spans="1:34" ht="15">
      <c r="A123" s="128" t="s">
        <v>75</v>
      </c>
      <c r="B123" s="28">
        <f t="shared" ref="B123:B131" si="21">+AH123</f>
        <v>0</v>
      </c>
      <c r="C123" s="688" t="s">
        <v>111</v>
      </c>
      <c r="D123" s="688" t="s">
        <v>111</v>
      </c>
      <c r="E123" s="688" t="s">
        <v>111</v>
      </c>
      <c r="F123" s="688" t="s">
        <v>111</v>
      </c>
      <c r="G123" s="688" t="s">
        <v>111</v>
      </c>
      <c r="H123" s="688" t="s">
        <v>111</v>
      </c>
      <c r="I123" s="688" t="s">
        <v>111</v>
      </c>
      <c r="J123" s="688" t="s">
        <v>111</v>
      </c>
      <c r="K123" s="688" t="s">
        <v>111</v>
      </c>
      <c r="L123" s="688" t="s">
        <v>111</v>
      </c>
      <c r="M123" s="688" t="s">
        <v>111</v>
      </c>
      <c r="N123" s="688" t="s">
        <v>111</v>
      </c>
      <c r="O123" s="688" t="s">
        <v>111</v>
      </c>
      <c r="P123" s="688" t="s">
        <v>111</v>
      </c>
      <c r="Q123" s="688" t="s">
        <v>111</v>
      </c>
      <c r="R123" s="688" t="s">
        <v>111</v>
      </c>
      <c r="S123" s="688" t="s">
        <v>111</v>
      </c>
      <c r="T123" s="688" t="s">
        <v>111</v>
      </c>
      <c r="U123" s="688" t="s">
        <v>111</v>
      </c>
      <c r="V123" s="688" t="s">
        <v>111</v>
      </c>
      <c r="W123" s="688" t="s">
        <v>111</v>
      </c>
      <c r="X123" s="688" t="s">
        <v>111</v>
      </c>
      <c r="Y123" s="688" t="s">
        <v>111</v>
      </c>
      <c r="Z123" s="688" t="s">
        <v>111</v>
      </c>
      <c r="AA123" s="688" t="s">
        <v>111</v>
      </c>
      <c r="AB123" s="688" t="s">
        <v>111</v>
      </c>
      <c r="AC123" s="688" t="s">
        <v>111</v>
      </c>
      <c r="AD123" s="688" t="s">
        <v>111</v>
      </c>
      <c r="AE123" s="688" t="s">
        <v>111</v>
      </c>
      <c r="AF123" s="688" t="s">
        <v>111</v>
      </c>
      <c r="AG123" s="688" t="s">
        <v>111</v>
      </c>
      <c r="AH123" s="71">
        <f>SUM(C123:AG123)</f>
        <v>0</v>
      </c>
    </row>
    <row r="124" spans="1:34" ht="15">
      <c r="A124" s="128" t="s">
        <v>76</v>
      </c>
      <c r="B124" s="28">
        <f t="shared" si="21"/>
        <v>0</v>
      </c>
      <c r="C124" s="688" t="s">
        <v>111</v>
      </c>
      <c r="D124" s="688" t="s">
        <v>111</v>
      </c>
      <c r="E124" s="688" t="s">
        <v>111</v>
      </c>
      <c r="F124" s="688" t="s">
        <v>111</v>
      </c>
      <c r="G124" s="688" t="s">
        <v>111</v>
      </c>
      <c r="H124" s="688" t="s">
        <v>111</v>
      </c>
      <c r="I124" s="688" t="s">
        <v>111</v>
      </c>
      <c r="J124" s="688" t="s">
        <v>111</v>
      </c>
      <c r="K124" s="688" t="s">
        <v>111</v>
      </c>
      <c r="L124" s="688" t="s">
        <v>111</v>
      </c>
      <c r="M124" s="688" t="s">
        <v>111</v>
      </c>
      <c r="N124" s="688" t="s">
        <v>111</v>
      </c>
      <c r="O124" s="688" t="s">
        <v>111</v>
      </c>
      <c r="P124" s="688" t="s">
        <v>111</v>
      </c>
      <c r="Q124" s="688" t="s">
        <v>111</v>
      </c>
      <c r="R124" s="688" t="s">
        <v>111</v>
      </c>
      <c r="S124" s="688" t="s">
        <v>111</v>
      </c>
      <c r="T124" s="688" t="s">
        <v>111</v>
      </c>
      <c r="U124" s="688" t="s">
        <v>111</v>
      </c>
      <c r="V124" s="688" t="s">
        <v>111</v>
      </c>
      <c r="W124" s="688" t="s">
        <v>111</v>
      </c>
      <c r="X124" s="688" t="s">
        <v>111</v>
      </c>
      <c r="Y124" s="688" t="s">
        <v>111</v>
      </c>
      <c r="Z124" s="688" t="s">
        <v>111</v>
      </c>
      <c r="AA124" s="688" t="s">
        <v>111</v>
      </c>
      <c r="AB124" s="688" t="s">
        <v>111</v>
      </c>
      <c r="AC124" s="688" t="s">
        <v>111</v>
      </c>
      <c r="AD124" s="688" t="s">
        <v>111</v>
      </c>
      <c r="AE124" s="688" t="s">
        <v>111</v>
      </c>
      <c r="AF124" s="688" t="s">
        <v>111</v>
      </c>
      <c r="AG124" s="688" t="s">
        <v>111</v>
      </c>
      <c r="AH124" s="71">
        <f>SUM(C124:AG124)</f>
        <v>0</v>
      </c>
    </row>
    <row r="125" spans="1:34" ht="15">
      <c r="A125" s="128" t="s">
        <v>77</v>
      </c>
      <c r="B125" s="28">
        <f t="shared" si="21"/>
        <v>138.92400000000001</v>
      </c>
      <c r="C125" s="688" t="s">
        <v>111</v>
      </c>
      <c r="D125" s="688" t="s">
        <v>111</v>
      </c>
      <c r="E125" s="688" t="s">
        <v>111</v>
      </c>
      <c r="F125" s="688" t="s">
        <v>111</v>
      </c>
      <c r="G125" s="688" t="s">
        <v>111</v>
      </c>
      <c r="H125" s="1287"/>
      <c r="I125" s="1287">
        <v>5.3179999999999996</v>
      </c>
      <c r="J125" s="1287">
        <v>6.5149999999999997</v>
      </c>
      <c r="K125" s="1287">
        <v>8.2379999999999995</v>
      </c>
      <c r="L125" s="1287"/>
      <c r="M125" s="1287">
        <v>48.445</v>
      </c>
      <c r="N125" s="1287"/>
      <c r="O125" s="1287">
        <v>4.4169999999999998</v>
      </c>
      <c r="P125" s="1287">
        <v>1.1859999999999999</v>
      </c>
      <c r="Q125" s="1287"/>
      <c r="R125" s="1287"/>
      <c r="S125" s="1287"/>
      <c r="T125" s="1287"/>
      <c r="U125" s="1815"/>
      <c r="V125" s="1287"/>
      <c r="W125" s="1287"/>
      <c r="X125" s="1287"/>
      <c r="Y125" s="1287"/>
      <c r="Z125" s="1287"/>
      <c r="AA125" s="1287">
        <v>64.805000000000007</v>
      </c>
      <c r="AB125" s="1287"/>
      <c r="AC125" s="1930"/>
      <c r="AD125" s="1930"/>
      <c r="AE125" s="1930"/>
      <c r="AF125" s="1930"/>
      <c r="AG125" s="1930"/>
      <c r="AH125" s="71">
        <f>SUM(C125:AG125)</f>
        <v>138.92400000000001</v>
      </c>
    </row>
    <row r="126" spans="1:34" ht="15">
      <c r="A126" s="128" t="s">
        <v>78</v>
      </c>
      <c r="B126" s="28">
        <f t="shared" si="21"/>
        <v>0</v>
      </c>
      <c r="C126" s="1930"/>
      <c r="D126" s="1930"/>
      <c r="E126" s="1930"/>
      <c r="F126" s="1930"/>
      <c r="G126" s="1930"/>
      <c r="H126" s="1930"/>
      <c r="I126" s="1930"/>
      <c r="J126" s="1930"/>
      <c r="K126" s="2465"/>
      <c r="L126" s="2465"/>
      <c r="M126" s="2465"/>
      <c r="N126" s="2465"/>
      <c r="O126" s="2465"/>
      <c r="P126" s="2465"/>
      <c r="Q126" s="2465"/>
      <c r="R126" s="2465"/>
      <c r="S126" s="2465"/>
      <c r="T126" s="2465"/>
      <c r="U126" s="153"/>
      <c r="V126" s="153"/>
      <c r="W126" s="153"/>
      <c r="X126" s="153"/>
      <c r="Y126" s="153"/>
      <c r="Z126" s="153"/>
      <c r="AA126" s="153"/>
      <c r="AB126" s="153"/>
      <c r="AC126" s="153"/>
      <c r="AD126" s="153"/>
      <c r="AE126" s="153"/>
      <c r="AF126" s="153"/>
      <c r="AG126" s="153"/>
      <c r="AH126" s="71">
        <f>SUM(C126:AG126)</f>
        <v>0</v>
      </c>
    </row>
    <row r="127" spans="1:34" ht="15">
      <c r="A127" s="132" t="s">
        <v>79</v>
      </c>
      <c r="B127" s="28">
        <f t="shared" si="21"/>
        <v>3.5000000000000003E-2</v>
      </c>
      <c r="C127" s="1287"/>
      <c r="D127" s="1287"/>
      <c r="E127" s="1287"/>
      <c r="F127" s="1287"/>
      <c r="G127" s="1287"/>
      <c r="H127" s="1287">
        <v>3.5000000000000003E-2</v>
      </c>
      <c r="I127" s="1287"/>
      <c r="J127" s="1287"/>
      <c r="K127" s="1287"/>
      <c r="L127" s="1287"/>
      <c r="M127" s="1287"/>
      <c r="N127" s="1287"/>
      <c r="O127" s="1287"/>
      <c r="P127" s="1287"/>
      <c r="Q127" s="1287"/>
      <c r="R127" s="1287"/>
      <c r="S127" s="1287"/>
      <c r="T127" s="1287"/>
      <c r="U127" s="18"/>
      <c r="V127" s="18"/>
      <c r="W127" s="18"/>
      <c r="X127" s="18"/>
      <c r="Y127" s="18"/>
      <c r="Z127" s="18"/>
      <c r="AA127" s="18"/>
      <c r="AB127" s="18"/>
      <c r="AC127" s="18"/>
      <c r="AD127" s="18"/>
      <c r="AE127" s="18"/>
      <c r="AF127" s="18"/>
      <c r="AG127" s="18"/>
      <c r="AH127" s="71">
        <f>SUM(C127:AG127)</f>
        <v>3.5000000000000003E-2</v>
      </c>
    </row>
    <row r="128" spans="1:34" ht="15">
      <c r="A128" s="132" t="s">
        <v>80</v>
      </c>
      <c r="B128" s="28">
        <f t="shared" si="21"/>
        <v>0</v>
      </c>
      <c r="C128" s="1287"/>
      <c r="D128" s="1287"/>
      <c r="E128" s="1287"/>
      <c r="F128" s="1287"/>
      <c r="G128" s="1287"/>
      <c r="H128" s="1287"/>
      <c r="I128" s="1287"/>
      <c r="J128" s="1287"/>
      <c r="K128" s="1287"/>
      <c r="L128" s="1287"/>
      <c r="M128" s="1287"/>
      <c r="N128" s="1287"/>
      <c r="O128" s="1287"/>
      <c r="P128" s="1287"/>
      <c r="Q128" s="1287"/>
      <c r="R128" s="1287"/>
      <c r="S128" s="1287"/>
      <c r="T128" s="1287"/>
      <c r="U128" s="1287"/>
      <c r="V128" s="1287"/>
      <c r="W128" s="1287"/>
      <c r="X128" s="1287"/>
      <c r="Y128" s="1287"/>
      <c r="Z128" s="1287"/>
      <c r="AA128" s="1287"/>
      <c r="AB128" s="1287"/>
      <c r="AC128" s="1287"/>
      <c r="AD128" s="1287"/>
      <c r="AE128" s="1287"/>
      <c r="AF128" s="1287"/>
      <c r="AG128" s="1287"/>
      <c r="AH128" s="71">
        <f t="shared" ref="AH128:AH134" si="22">SUM(C128:AG128)</f>
        <v>0</v>
      </c>
    </row>
    <row r="129" spans="1:34" ht="15">
      <c r="A129" s="132" t="s">
        <v>81</v>
      </c>
      <c r="B129" s="28">
        <f t="shared" si="21"/>
        <v>0</v>
      </c>
      <c r="C129" s="1287"/>
      <c r="D129" s="1488"/>
      <c r="E129" s="1488"/>
      <c r="F129" s="1488"/>
      <c r="G129" s="1287"/>
      <c r="H129" s="1287"/>
      <c r="I129" s="1287"/>
      <c r="J129" s="2466"/>
      <c r="K129" s="2466"/>
      <c r="L129" s="1488"/>
      <c r="M129" s="1488"/>
      <c r="N129" s="1488"/>
      <c r="O129" s="1488"/>
      <c r="P129" s="1488"/>
      <c r="Q129" s="1488"/>
      <c r="R129" s="1488"/>
      <c r="S129" s="1488"/>
      <c r="T129" s="1488"/>
      <c r="U129" s="1488"/>
      <c r="V129" s="1488"/>
      <c r="W129" s="688"/>
      <c r="X129" s="688"/>
      <c r="Y129" s="688"/>
      <c r="Z129" s="688"/>
      <c r="AA129" s="688"/>
      <c r="AB129" s="688"/>
      <c r="AC129" s="688"/>
      <c r="AD129" s="688"/>
      <c r="AE129" s="688"/>
      <c r="AF129" s="688" t="s">
        <v>111</v>
      </c>
      <c r="AG129" s="688" t="s">
        <v>111</v>
      </c>
      <c r="AH129" s="71">
        <f t="shared" si="22"/>
        <v>0</v>
      </c>
    </row>
    <row r="130" spans="1:34" ht="15">
      <c r="A130" s="132" t="s">
        <v>82</v>
      </c>
      <c r="B130" s="28">
        <f t="shared" si="21"/>
        <v>0</v>
      </c>
      <c r="C130" s="688" t="s">
        <v>111</v>
      </c>
      <c r="D130" s="688" t="s">
        <v>111</v>
      </c>
      <c r="E130" s="688" t="s">
        <v>111</v>
      </c>
      <c r="F130" s="688" t="s">
        <v>111</v>
      </c>
      <c r="G130" s="688" t="s">
        <v>111</v>
      </c>
      <c r="H130" s="688" t="s">
        <v>111</v>
      </c>
      <c r="I130" s="688" t="s">
        <v>111</v>
      </c>
      <c r="J130" s="688" t="s">
        <v>111</v>
      </c>
      <c r="K130" s="688" t="s">
        <v>111</v>
      </c>
      <c r="L130" s="688" t="s">
        <v>111</v>
      </c>
      <c r="M130" s="688" t="s">
        <v>111</v>
      </c>
      <c r="N130" s="688" t="s">
        <v>111</v>
      </c>
      <c r="O130" s="688" t="s">
        <v>111</v>
      </c>
      <c r="P130" s="688" t="s">
        <v>111</v>
      </c>
      <c r="Q130" s="688" t="s">
        <v>111</v>
      </c>
      <c r="R130" s="688" t="s">
        <v>111</v>
      </c>
      <c r="S130" s="688" t="s">
        <v>111</v>
      </c>
      <c r="T130" s="688" t="s">
        <v>111</v>
      </c>
      <c r="U130" s="688" t="s">
        <v>111</v>
      </c>
      <c r="V130" s="688" t="s">
        <v>111</v>
      </c>
      <c r="W130" s="688" t="s">
        <v>111</v>
      </c>
      <c r="X130" s="688" t="s">
        <v>111</v>
      </c>
      <c r="Y130" s="688" t="s">
        <v>111</v>
      </c>
      <c r="Z130" s="688" t="s">
        <v>111</v>
      </c>
      <c r="AA130" s="688" t="s">
        <v>111</v>
      </c>
      <c r="AB130" s="688" t="s">
        <v>111</v>
      </c>
      <c r="AC130" s="688" t="s">
        <v>111</v>
      </c>
      <c r="AD130" s="688" t="s">
        <v>111</v>
      </c>
      <c r="AE130" s="688" t="s">
        <v>111</v>
      </c>
      <c r="AF130" s="688" t="s">
        <v>111</v>
      </c>
      <c r="AG130" s="688" t="s">
        <v>111</v>
      </c>
      <c r="AH130" s="71">
        <f t="shared" si="22"/>
        <v>0</v>
      </c>
    </row>
    <row r="131" spans="1:34" ht="15">
      <c r="A131" s="30" t="s">
        <v>83</v>
      </c>
      <c r="B131" s="28">
        <f t="shared" si="21"/>
        <v>0</v>
      </c>
      <c r="C131" s="688" t="s">
        <v>111</v>
      </c>
      <c r="D131" s="688" t="s">
        <v>111</v>
      </c>
      <c r="E131" s="688" t="s">
        <v>111</v>
      </c>
      <c r="F131" s="688" t="s">
        <v>111</v>
      </c>
      <c r="G131" s="688" t="s">
        <v>111</v>
      </c>
      <c r="H131" s="688" t="s">
        <v>111</v>
      </c>
      <c r="I131" s="688" t="s">
        <v>111</v>
      </c>
      <c r="J131" s="688" t="s">
        <v>111</v>
      </c>
      <c r="K131" s="688" t="s">
        <v>111</v>
      </c>
      <c r="L131" s="688" t="s">
        <v>111</v>
      </c>
      <c r="M131" s="688" t="s">
        <v>111</v>
      </c>
      <c r="N131" s="688" t="s">
        <v>111</v>
      </c>
      <c r="O131" s="688" t="s">
        <v>111</v>
      </c>
      <c r="P131" s="688" t="s">
        <v>111</v>
      </c>
      <c r="Q131" s="688" t="s">
        <v>111</v>
      </c>
      <c r="R131" s="688" t="s">
        <v>111</v>
      </c>
      <c r="S131" s="688" t="s">
        <v>111</v>
      </c>
      <c r="T131" s="688" t="s">
        <v>111</v>
      </c>
      <c r="U131" s="688" t="s">
        <v>111</v>
      </c>
      <c r="V131" s="688" t="s">
        <v>111</v>
      </c>
      <c r="W131" s="688" t="s">
        <v>111</v>
      </c>
      <c r="X131" s="688" t="s">
        <v>111</v>
      </c>
      <c r="Y131" s="688" t="s">
        <v>111</v>
      </c>
      <c r="Z131" s="688" t="s">
        <v>111</v>
      </c>
      <c r="AA131" s="688" t="s">
        <v>111</v>
      </c>
      <c r="AB131" s="688" t="s">
        <v>111</v>
      </c>
      <c r="AC131" s="688" t="s">
        <v>111</v>
      </c>
      <c r="AD131" s="688" t="s">
        <v>111</v>
      </c>
      <c r="AE131" s="688" t="s">
        <v>111</v>
      </c>
      <c r="AF131" s="688" t="s">
        <v>111</v>
      </c>
      <c r="AG131" s="688" t="s">
        <v>111</v>
      </c>
      <c r="AH131" s="71">
        <f t="shared" si="22"/>
        <v>0</v>
      </c>
    </row>
    <row r="132" spans="1:34" ht="15">
      <c r="A132" s="30" t="s">
        <v>84</v>
      </c>
      <c r="B132" s="28">
        <v>0</v>
      </c>
      <c r="C132" s="688" t="s">
        <v>111</v>
      </c>
      <c r="D132" s="688" t="s">
        <v>111</v>
      </c>
      <c r="E132" s="688" t="s">
        <v>111</v>
      </c>
      <c r="F132" s="688" t="s">
        <v>111</v>
      </c>
      <c r="G132" s="688" t="s">
        <v>111</v>
      </c>
      <c r="H132" s="688" t="s">
        <v>111</v>
      </c>
      <c r="I132" s="688" t="s">
        <v>111</v>
      </c>
      <c r="J132" s="688" t="s">
        <v>111</v>
      </c>
      <c r="K132" s="688" t="s">
        <v>111</v>
      </c>
      <c r="L132" s="688" t="s">
        <v>111</v>
      </c>
      <c r="M132" s="688" t="s">
        <v>111</v>
      </c>
      <c r="N132" s="688" t="s">
        <v>111</v>
      </c>
      <c r="O132" s="688" t="s">
        <v>111</v>
      </c>
      <c r="P132" s="688" t="s">
        <v>111</v>
      </c>
      <c r="Q132" s="688" t="s">
        <v>111</v>
      </c>
      <c r="R132" s="688" t="s">
        <v>111</v>
      </c>
      <c r="S132" s="688" t="s">
        <v>111</v>
      </c>
      <c r="T132" s="688" t="s">
        <v>111</v>
      </c>
      <c r="U132" s="688" t="s">
        <v>111</v>
      </c>
      <c r="V132" s="688" t="s">
        <v>111</v>
      </c>
      <c r="W132" s="688" t="s">
        <v>111</v>
      </c>
      <c r="X132" s="1287"/>
      <c r="Y132" s="1287"/>
      <c r="Z132" s="1287"/>
      <c r="AA132" s="1287"/>
      <c r="AB132" s="1287"/>
      <c r="AC132" s="1287"/>
      <c r="AD132" s="1287"/>
      <c r="AE132" s="1488"/>
      <c r="AF132" s="1287"/>
      <c r="AG132" s="1488"/>
      <c r="AH132" s="71">
        <f t="shared" si="22"/>
        <v>0</v>
      </c>
    </row>
    <row r="133" spans="1:34" ht="15">
      <c r="A133" s="30" t="s">
        <v>85</v>
      </c>
      <c r="B133" s="28">
        <f t="shared" ref="B133:B134" si="23">+AH133</f>
        <v>0</v>
      </c>
      <c r="C133" s="49"/>
      <c r="D133" s="18"/>
      <c r="E133" s="18"/>
      <c r="F133" s="18"/>
      <c r="G133" s="11"/>
      <c r="H133" s="18"/>
      <c r="I133" s="18"/>
      <c r="J133" s="18"/>
      <c r="K133" s="18"/>
      <c r="L133" s="18"/>
      <c r="M133" s="18"/>
      <c r="N133" s="18"/>
      <c r="O133" s="18"/>
      <c r="P133" s="18"/>
      <c r="Q133" s="18"/>
      <c r="R133" s="18"/>
      <c r="S133" s="18"/>
      <c r="T133" s="18"/>
      <c r="U133" s="18"/>
      <c r="V133" s="18"/>
      <c r="W133" s="18"/>
      <c r="X133" s="18"/>
      <c r="Y133" s="11"/>
      <c r="Z133" s="18"/>
      <c r="AA133" s="18"/>
      <c r="AB133" s="18"/>
      <c r="AC133" s="18"/>
      <c r="AD133" s="18"/>
      <c r="AE133" s="53"/>
      <c r="AF133" s="18"/>
      <c r="AG133" s="53"/>
      <c r="AH133" s="71">
        <f t="shared" si="22"/>
        <v>0</v>
      </c>
    </row>
    <row r="134" spans="1:34" ht="15">
      <c r="A134" s="30" t="s">
        <v>86</v>
      </c>
      <c r="B134" s="28">
        <f t="shared" si="23"/>
        <v>0</v>
      </c>
      <c r="C134" s="49"/>
      <c r="D134" s="18"/>
      <c r="E134" s="18"/>
      <c r="F134" s="18"/>
      <c r="G134" s="18"/>
      <c r="H134" s="18"/>
      <c r="I134" s="18"/>
      <c r="J134" s="18"/>
      <c r="K134" s="18"/>
      <c r="L134" s="1280" t="s">
        <v>111</v>
      </c>
      <c r="M134" s="1280" t="s">
        <v>111</v>
      </c>
      <c r="N134" s="1280" t="s">
        <v>111</v>
      </c>
      <c r="O134" s="1280" t="s">
        <v>111</v>
      </c>
      <c r="P134" s="1280" t="s">
        <v>111</v>
      </c>
      <c r="Q134" s="1280" t="s">
        <v>111</v>
      </c>
      <c r="R134" s="1280" t="s">
        <v>111</v>
      </c>
      <c r="S134" s="1280" t="s">
        <v>111</v>
      </c>
      <c r="T134" s="1280" t="s">
        <v>111</v>
      </c>
      <c r="U134" s="1280" t="s">
        <v>111</v>
      </c>
      <c r="V134" s="1280" t="s">
        <v>111</v>
      </c>
      <c r="W134" s="1280" t="s">
        <v>111</v>
      </c>
      <c r="X134" s="1280" t="s">
        <v>111</v>
      </c>
      <c r="Y134" s="1280" t="s">
        <v>111</v>
      </c>
      <c r="Z134" s="1280" t="s">
        <v>111</v>
      </c>
      <c r="AA134" s="1280" t="s">
        <v>111</v>
      </c>
      <c r="AB134" s="1280" t="s">
        <v>111</v>
      </c>
      <c r="AC134" s="1280" t="s">
        <v>111</v>
      </c>
      <c r="AD134" s="1280" t="s">
        <v>111</v>
      </c>
      <c r="AE134" s="1280" t="s">
        <v>111</v>
      </c>
      <c r="AF134" s="1280" t="s">
        <v>111</v>
      </c>
      <c r="AG134" s="1280" t="s">
        <v>111</v>
      </c>
      <c r="AH134" s="71">
        <f t="shared" si="22"/>
        <v>0</v>
      </c>
    </row>
    <row r="135" spans="1:34" ht="15">
      <c r="A135" s="88" t="s">
        <v>74</v>
      </c>
      <c r="B135" s="91">
        <f>SUM(B123:B134)</f>
        <v>138.959</v>
      </c>
      <c r="C135" s="71">
        <f t="shared" ref="C135:AH135" si="24">SUM(C123:C134)</f>
        <v>0</v>
      </c>
      <c r="D135" s="71">
        <f t="shared" si="24"/>
        <v>0</v>
      </c>
      <c r="E135" s="71">
        <f t="shared" si="24"/>
        <v>0</v>
      </c>
      <c r="F135" s="71">
        <f t="shared" si="24"/>
        <v>0</v>
      </c>
      <c r="G135" s="71">
        <f t="shared" si="24"/>
        <v>0</v>
      </c>
      <c r="H135" s="71">
        <f t="shared" si="24"/>
        <v>3.5000000000000003E-2</v>
      </c>
      <c r="I135" s="71">
        <f t="shared" si="24"/>
        <v>5.3179999999999996</v>
      </c>
      <c r="J135" s="71">
        <f t="shared" si="24"/>
        <v>6.5149999999999997</v>
      </c>
      <c r="K135" s="71">
        <f t="shared" si="24"/>
        <v>8.2379999999999995</v>
      </c>
      <c r="L135" s="71">
        <f t="shared" si="24"/>
        <v>0</v>
      </c>
      <c r="M135" s="71">
        <f t="shared" si="24"/>
        <v>48.445</v>
      </c>
      <c r="N135" s="71">
        <f t="shared" si="24"/>
        <v>0</v>
      </c>
      <c r="O135" s="71">
        <f t="shared" si="24"/>
        <v>4.4169999999999998</v>
      </c>
      <c r="P135" s="71">
        <f t="shared" si="24"/>
        <v>1.1859999999999999</v>
      </c>
      <c r="Q135" s="71">
        <f t="shared" si="24"/>
        <v>0</v>
      </c>
      <c r="R135" s="71">
        <f t="shared" si="24"/>
        <v>0</v>
      </c>
      <c r="S135" s="71">
        <f t="shared" si="24"/>
        <v>0</v>
      </c>
      <c r="T135" s="71">
        <f t="shared" si="24"/>
        <v>0</v>
      </c>
      <c r="U135" s="71">
        <f t="shared" si="24"/>
        <v>0</v>
      </c>
      <c r="V135" s="71">
        <f t="shared" si="24"/>
        <v>0</v>
      </c>
      <c r="W135" s="71">
        <f t="shared" si="24"/>
        <v>0</v>
      </c>
      <c r="X135" s="71">
        <f t="shared" si="24"/>
        <v>0</v>
      </c>
      <c r="Y135" s="71">
        <f t="shared" si="24"/>
        <v>0</v>
      </c>
      <c r="Z135" s="71">
        <f t="shared" si="24"/>
        <v>0</v>
      </c>
      <c r="AA135" s="71">
        <f t="shared" si="24"/>
        <v>64.805000000000007</v>
      </c>
      <c r="AB135" s="71">
        <f t="shared" si="24"/>
        <v>0</v>
      </c>
      <c r="AC135" s="71">
        <f t="shared" si="24"/>
        <v>0</v>
      </c>
      <c r="AD135" s="71">
        <f t="shared" si="24"/>
        <v>0</v>
      </c>
      <c r="AE135" s="71">
        <f t="shared" si="24"/>
        <v>0</v>
      </c>
      <c r="AF135" s="71">
        <f t="shared" si="24"/>
        <v>0</v>
      </c>
      <c r="AG135" s="71">
        <f t="shared" si="24"/>
        <v>0</v>
      </c>
      <c r="AH135" s="71">
        <f t="shared" si="24"/>
        <v>138.959</v>
      </c>
    </row>
    <row r="136" spans="1:34" ht="15">
      <c r="A136" s="136"/>
      <c r="B136" s="238"/>
      <c r="C136" s="54"/>
      <c r="D136" s="55"/>
      <c r="E136" s="55"/>
      <c r="F136" s="55"/>
      <c r="G136" s="55"/>
      <c r="H136" s="55"/>
      <c r="I136" s="55"/>
      <c r="J136" s="55"/>
      <c r="K136" s="55"/>
      <c r="L136" s="55"/>
      <c r="M136" s="55"/>
      <c r="N136" s="55"/>
      <c r="O136" s="55"/>
      <c r="P136" s="55"/>
      <c r="Q136" s="55"/>
      <c r="R136" s="56"/>
      <c r="S136" s="52"/>
      <c r="T136" s="52"/>
      <c r="U136" s="52"/>
      <c r="V136" s="52"/>
      <c r="W136" s="52"/>
      <c r="X136" s="52"/>
      <c r="Y136" s="52"/>
      <c r="Z136" s="52"/>
      <c r="AA136" s="52"/>
      <c r="AB136" s="52"/>
      <c r="AC136" s="52"/>
      <c r="AD136" s="52"/>
      <c r="AE136" s="52"/>
      <c r="AF136" s="52"/>
      <c r="AG136" s="52"/>
      <c r="AH136" s="13"/>
    </row>
    <row r="137" spans="1:34" ht="15">
      <c r="A137" s="3591" t="s">
        <v>55</v>
      </c>
      <c r="B137" s="3592"/>
      <c r="C137" s="3592"/>
      <c r="D137" s="3592"/>
      <c r="E137" s="3592"/>
      <c r="F137" s="3592"/>
      <c r="G137" s="3592"/>
      <c r="H137" s="3592"/>
      <c r="I137" s="3592"/>
      <c r="J137" s="3592"/>
      <c r="K137" s="3592"/>
      <c r="L137" s="3592"/>
      <c r="M137" s="3592"/>
      <c r="N137" s="3592"/>
      <c r="O137" s="3592"/>
      <c r="P137" s="3592"/>
      <c r="Q137" s="3592"/>
      <c r="R137" s="3593"/>
      <c r="S137" s="11"/>
      <c r="T137" s="11"/>
      <c r="U137" s="11"/>
      <c r="V137" s="11"/>
      <c r="W137" s="11"/>
      <c r="X137" s="11"/>
      <c r="Y137" s="11"/>
      <c r="Z137" s="11"/>
      <c r="AA137" s="11"/>
      <c r="AB137" s="11"/>
      <c r="AC137" s="11"/>
      <c r="AD137" s="11"/>
      <c r="AE137" s="11"/>
      <c r="AF137" s="11"/>
      <c r="AG137" s="11"/>
      <c r="AH137" s="1"/>
    </row>
    <row r="138" spans="1:34" ht="5.0999999999999996" customHeight="1">
      <c r="A138" s="50"/>
      <c r="B138" s="51"/>
      <c r="C138" s="13"/>
      <c r="D138" s="52"/>
      <c r="E138" s="52"/>
      <c r="F138" s="52"/>
      <c r="G138" s="52"/>
      <c r="H138" s="52"/>
      <c r="I138" s="52"/>
      <c r="J138" s="52"/>
      <c r="K138" s="52"/>
      <c r="L138" s="52"/>
      <c r="M138" s="52"/>
      <c r="N138" s="52"/>
      <c r="O138" s="52"/>
      <c r="P138" s="52"/>
      <c r="Q138" s="52"/>
      <c r="R138" s="52"/>
      <c r="S138" s="52"/>
      <c r="T138" s="52"/>
      <c r="U138" s="52"/>
      <c r="V138" s="52"/>
      <c r="W138" s="52"/>
      <c r="X138" s="52"/>
      <c r="Y138" s="52"/>
      <c r="Z138" s="52"/>
      <c r="AA138" s="52"/>
      <c r="AB138" s="52"/>
      <c r="AC138" s="52"/>
      <c r="AD138" s="52"/>
      <c r="AE138" s="52"/>
      <c r="AF138" s="52"/>
      <c r="AG138" s="52"/>
      <c r="AH138" s="13"/>
    </row>
    <row r="139" spans="1:34" ht="15">
      <c r="A139" s="3569" t="s">
        <v>56</v>
      </c>
      <c r="B139" s="3570"/>
      <c r="C139" s="3570"/>
      <c r="D139" s="3570"/>
      <c r="E139" s="3570"/>
      <c r="F139" s="3570"/>
      <c r="G139" s="3570"/>
      <c r="H139" s="3571"/>
      <c r="I139" s="1477"/>
      <c r="J139" s="43"/>
      <c r="K139" s="43"/>
      <c r="L139" s="43"/>
      <c r="M139" s="43"/>
      <c r="N139" s="43"/>
      <c r="O139" s="43"/>
      <c r="P139" s="43"/>
      <c r="Q139" s="43"/>
      <c r="R139" s="43"/>
      <c r="S139" s="11"/>
      <c r="T139" s="11"/>
      <c r="U139" s="11"/>
      <c r="V139" s="11"/>
      <c r="W139" s="11"/>
      <c r="X139" s="11"/>
      <c r="Y139" s="11"/>
      <c r="Z139" s="11"/>
      <c r="AA139" s="11"/>
      <c r="AB139" s="11"/>
      <c r="AC139" s="11"/>
      <c r="AD139" s="11"/>
      <c r="AE139" s="11"/>
      <c r="AF139" s="11"/>
      <c r="AG139" s="11"/>
      <c r="AH139" s="11"/>
    </row>
    <row r="140" spans="1:34" ht="15">
      <c r="A140" s="5" t="s">
        <v>72</v>
      </c>
      <c r="B140" s="5" t="s">
        <v>73</v>
      </c>
      <c r="C140" s="1249">
        <v>1</v>
      </c>
      <c r="D140" s="30">
        <v>2</v>
      </c>
      <c r="E140" s="30">
        <v>3</v>
      </c>
      <c r="F140" s="30">
        <v>4</v>
      </c>
      <c r="G140" s="30">
        <v>5</v>
      </c>
      <c r="H140" s="30">
        <v>6</v>
      </c>
      <c r="I140" s="30">
        <v>7</v>
      </c>
      <c r="J140" s="30">
        <v>8</v>
      </c>
      <c r="K140" s="30">
        <v>9</v>
      </c>
      <c r="L140" s="30">
        <v>10</v>
      </c>
      <c r="M140" s="30">
        <v>11</v>
      </c>
      <c r="N140" s="30">
        <v>12</v>
      </c>
      <c r="O140" s="30">
        <v>13</v>
      </c>
      <c r="P140" s="30">
        <v>14</v>
      </c>
      <c r="Q140" s="30">
        <v>15</v>
      </c>
      <c r="R140" s="30">
        <v>16</v>
      </c>
      <c r="S140" s="30">
        <v>17</v>
      </c>
      <c r="T140" s="30">
        <v>18</v>
      </c>
      <c r="U140" s="30">
        <v>19</v>
      </c>
      <c r="V140" s="30">
        <v>20</v>
      </c>
      <c r="W140" s="30">
        <v>21</v>
      </c>
      <c r="X140" s="30">
        <v>22</v>
      </c>
      <c r="Y140" s="30">
        <v>23</v>
      </c>
      <c r="Z140" s="30">
        <v>24</v>
      </c>
      <c r="AA140" s="30">
        <v>25</v>
      </c>
      <c r="AB140" s="30">
        <v>26</v>
      </c>
      <c r="AC140" s="30">
        <v>27</v>
      </c>
      <c r="AD140" s="30">
        <v>28</v>
      </c>
      <c r="AE140" s="30">
        <v>29</v>
      </c>
      <c r="AF140" s="30">
        <v>30</v>
      </c>
      <c r="AG140" s="30">
        <v>31</v>
      </c>
      <c r="AH140" s="39" t="s">
        <v>74</v>
      </c>
    </row>
    <row r="141" spans="1:34" ht="15">
      <c r="A141" s="148" t="s">
        <v>75</v>
      </c>
      <c r="B141" s="18">
        <f t="shared" ref="B141:B152" si="25">+AH141</f>
        <v>0</v>
      </c>
      <c r="C141" s="126" t="s">
        <v>111</v>
      </c>
      <c r="D141" s="126" t="s">
        <v>111</v>
      </c>
      <c r="E141" s="126" t="s">
        <v>111</v>
      </c>
      <c r="F141" s="126" t="s">
        <v>111</v>
      </c>
      <c r="G141" s="126" t="s">
        <v>111</v>
      </c>
      <c r="H141" s="126" t="s">
        <v>111</v>
      </c>
      <c r="I141" s="126" t="s">
        <v>111</v>
      </c>
      <c r="J141" s="126" t="s">
        <v>111</v>
      </c>
      <c r="K141" s="126" t="s">
        <v>111</v>
      </c>
      <c r="L141" s="126" t="s">
        <v>111</v>
      </c>
      <c r="M141" s="126" t="s">
        <v>111</v>
      </c>
      <c r="N141" s="126" t="s">
        <v>111</v>
      </c>
      <c r="O141" s="126" t="s">
        <v>111</v>
      </c>
      <c r="P141" s="126" t="s">
        <v>111</v>
      </c>
      <c r="Q141" s="126" t="s">
        <v>111</v>
      </c>
      <c r="R141" s="126" t="s">
        <v>111</v>
      </c>
      <c r="S141" s="126" t="s">
        <v>111</v>
      </c>
      <c r="T141" s="126" t="s">
        <v>111</v>
      </c>
      <c r="U141" s="126" t="s">
        <v>111</v>
      </c>
      <c r="V141" s="126" t="s">
        <v>111</v>
      </c>
      <c r="W141" s="126" t="s">
        <v>111</v>
      </c>
      <c r="X141" s="126" t="s">
        <v>111</v>
      </c>
      <c r="Y141" s="126" t="s">
        <v>111</v>
      </c>
      <c r="Z141" s="126" t="s">
        <v>111</v>
      </c>
      <c r="AA141" s="126" t="s">
        <v>111</v>
      </c>
      <c r="AB141" s="126" t="s">
        <v>111</v>
      </c>
      <c r="AC141" s="126" t="s">
        <v>111</v>
      </c>
      <c r="AD141" s="126" t="s">
        <v>111</v>
      </c>
      <c r="AE141" s="126" t="s">
        <v>111</v>
      </c>
      <c r="AF141" s="126" t="s">
        <v>111</v>
      </c>
      <c r="AG141" s="126" t="s">
        <v>111</v>
      </c>
      <c r="AH141" s="53">
        <f>SUM(C141:AG141)</f>
        <v>0</v>
      </c>
    </row>
    <row r="142" spans="1:34" ht="15">
      <c r="A142" s="148" t="s">
        <v>76</v>
      </c>
      <c r="B142" s="18">
        <f t="shared" si="25"/>
        <v>50.194000000000003</v>
      </c>
      <c r="C142" s="126" t="s">
        <v>111</v>
      </c>
      <c r="D142" s="126" t="s">
        <v>111</v>
      </c>
      <c r="E142" s="126" t="s">
        <v>111</v>
      </c>
      <c r="F142" s="126" t="s">
        <v>111</v>
      </c>
      <c r="G142" s="126" t="s">
        <v>111</v>
      </c>
      <c r="H142" s="126" t="s">
        <v>111</v>
      </c>
      <c r="I142" s="126" t="s">
        <v>111</v>
      </c>
      <c r="J142" s="127"/>
      <c r="K142" s="127">
        <v>0.70499999999999996</v>
      </c>
      <c r="L142" s="127"/>
      <c r="M142" s="127"/>
      <c r="N142" s="127"/>
      <c r="O142" s="127">
        <v>6.2939999999999996</v>
      </c>
      <c r="P142" s="127">
        <v>4.5629999999999997</v>
      </c>
      <c r="Q142" s="127">
        <v>1.919</v>
      </c>
      <c r="R142" s="127">
        <v>0</v>
      </c>
      <c r="S142" s="127">
        <v>0.72799999999999998</v>
      </c>
      <c r="T142" s="127">
        <v>2.609</v>
      </c>
      <c r="U142" s="127">
        <v>20.486000000000001</v>
      </c>
      <c r="V142" s="127">
        <v>0</v>
      </c>
      <c r="W142" s="127">
        <v>0</v>
      </c>
      <c r="X142" s="127">
        <v>0</v>
      </c>
      <c r="Y142" s="127">
        <v>0</v>
      </c>
      <c r="Z142" s="127">
        <v>0</v>
      </c>
      <c r="AA142" s="127">
        <v>1.4319999999999999</v>
      </c>
      <c r="AB142" s="127">
        <v>0.73299999999999998</v>
      </c>
      <c r="AC142" s="127">
        <v>4.7990000000000004</v>
      </c>
      <c r="AD142" s="127">
        <v>5.9260000000000002</v>
      </c>
      <c r="AE142" s="127"/>
      <c r="AF142" s="127"/>
      <c r="AG142" s="127"/>
      <c r="AH142" s="53">
        <f t="shared" ref="AH142:AH152" si="26">SUM(C142:AG142)</f>
        <v>50.194000000000003</v>
      </c>
    </row>
    <row r="143" spans="1:34" ht="15">
      <c r="A143" s="148" t="s">
        <v>77</v>
      </c>
      <c r="B143" s="18">
        <f t="shared" si="25"/>
        <v>77.445999999999998</v>
      </c>
      <c r="C143" s="127">
        <v>1.484</v>
      </c>
      <c r="D143" s="127">
        <v>0</v>
      </c>
      <c r="E143" s="127">
        <v>12.028</v>
      </c>
      <c r="F143" s="127">
        <v>5.0780000000000003</v>
      </c>
      <c r="G143" s="127">
        <v>3.0339999999999998</v>
      </c>
      <c r="H143" s="112">
        <v>16.431000000000001</v>
      </c>
      <c r="I143" s="112">
        <v>0</v>
      </c>
      <c r="J143" s="112">
        <v>0</v>
      </c>
      <c r="K143" s="112">
        <v>0</v>
      </c>
      <c r="L143" s="112">
        <v>9.9410000000000007</v>
      </c>
      <c r="M143" s="112">
        <v>2.7549999999999999</v>
      </c>
      <c r="N143" s="112">
        <v>7.891</v>
      </c>
      <c r="O143" s="112">
        <v>0</v>
      </c>
      <c r="P143" s="112">
        <v>0</v>
      </c>
      <c r="Q143" s="112">
        <v>0</v>
      </c>
      <c r="R143" s="112">
        <v>0</v>
      </c>
      <c r="S143" s="112">
        <v>0</v>
      </c>
      <c r="T143" s="112">
        <v>0</v>
      </c>
      <c r="U143" s="112">
        <v>0</v>
      </c>
      <c r="V143" s="112">
        <v>0</v>
      </c>
      <c r="W143" s="112">
        <v>0.193</v>
      </c>
      <c r="X143" s="112">
        <v>0</v>
      </c>
      <c r="Y143" s="112">
        <v>0</v>
      </c>
      <c r="Z143" s="112">
        <v>0</v>
      </c>
      <c r="AA143" s="112">
        <v>0</v>
      </c>
      <c r="AB143" s="112">
        <v>0</v>
      </c>
      <c r="AC143" s="1930">
        <v>18.611000000000001</v>
      </c>
      <c r="AD143" s="1930">
        <v>0</v>
      </c>
      <c r="AE143" s="1930"/>
      <c r="AF143" s="1930"/>
      <c r="AG143" s="1930"/>
      <c r="AH143" s="53">
        <f>SUM(C143:AG143)</f>
        <v>77.445999999999998</v>
      </c>
    </row>
    <row r="144" spans="1:34" ht="15">
      <c r="A144" s="148" t="s">
        <v>78</v>
      </c>
      <c r="B144" s="18">
        <f t="shared" si="25"/>
        <v>241.60300000000001</v>
      </c>
      <c r="C144" s="18">
        <v>0</v>
      </c>
      <c r="D144" s="18">
        <v>4.2210000000000001</v>
      </c>
      <c r="E144" s="18">
        <v>6.649</v>
      </c>
      <c r="F144" s="18">
        <v>0</v>
      </c>
      <c r="G144" s="18">
        <v>0</v>
      </c>
      <c r="H144" s="18">
        <v>0</v>
      </c>
      <c r="I144" s="18">
        <v>0</v>
      </c>
      <c r="J144" s="18">
        <v>42.984999999999999</v>
      </c>
      <c r="K144" s="18">
        <v>9.7330000000000005</v>
      </c>
      <c r="L144" s="18">
        <v>0</v>
      </c>
      <c r="M144" s="18">
        <v>19.158999999999999</v>
      </c>
      <c r="N144" s="18">
        <v>5.5590000000000002</v>
      </c>
      <c r="O144" s="18">
        <v>0</v>
      </c>
      <c r="P144" s="18">
        <v>0</v>
      </c>
      <c r="Q144" s="18">
        <v>0</v>
      </c>
      <c r="R144" s="18">
        <v>0</v>
      </c>
      <c r="S144" s="18">
        <v>1.33</v>
      </c>
      <c r="T144" s="18">
        <v>10.154999999999999</v>
      </c>
      <c r="U144" s="18">
        <v>20.169</v>
      </c>
      <c r="V144" s="18">
        <v>0</v>
      </c>
      <c r="W144" s="18">
        <v>0</v>
      </c>
      <c r="X144" s="18">
        <v>1.099</v>
      </c>
      <c r="Y144" s="18">
        <v>40.481000000000002</v>
      </c>
      <c r="Z144" s="18">
        <v>11.355</v>
      </c>
      <c r="AA144" s="18">
        <v>0</v>
      </c>
      <c r="AB144" s="18">
        <v>0</v>
      </c>
      <c r="AC144" s="18">
        <v>0</v>
      </c>
      <c r="AD144" s="18">
        <v>68.707999999999998</v>
      </c>
      <c r="AE144" s="18"/>
      <c r="AF144" s="18"/>
      <c r="AG144" s="18"/>
      <c r="AH144" s="53">
        <f t="shared" si="26"/>
        <v>241.60300000000001</v>
      </c>
    </row>
    <row r="145" spans="1:34" ht="15">
      <c r="A145" s="143" t="s">
        <v>79</v>
      </c>
      <c r="B145" s="18">
        <f t="shared" si="25"/>
        <v>219.572</v>
      </c>
      <c r="C145" s="49">
        <v>0</v>
      </c>
      <c r="D145" s="18">
        <v>0</v>
      </c>
      <c r="E145" s="18">
        <v>0</v>
      </c>
      <c r="F145" s="18">
        <v>0</v>
      </c>
      <c r="G145" s="18">
        <v>2.165</v>
      </c>
      <c r="H145" s="18">
        <v>16.372</v>
      </c>
      <c r="I145" s="18">
        <v>67.748000000000005</v>
      </c>
      <c r="J145" s="18">
        <v>7.0679999999999996</v>
      </c>
      <c r="K145" s="18">
        <v>0</v>
      </c>
      <c r="L145" s="18">
        <v>0</v>
      </c>
      <c r="M145" s="18">
        <v>2.6120000000000001</v>
      </c>
      <c r="N145" s="18">
        <v>38.066000000000003</v>
      </c>
      <c r="O145" s="18">
        <v>0</v>
      </c>
      <c r="P145" s="18">
        <v>0</v>
      </c>
      <c r="Q145" s="18">
        <v>0</v>
      </c>
      <c r="R145" s="18">
        <v>0</v>
      </c>
      <c r="S145" s="18">
        <v>11.74</v>
      </c>
      <c r="T145" s="18">
        <v>0</v>
      </c>
      <c r="U145" s="18">
        <v>0</v>
      </c>
      <c r="V145" s="18">
        <v>0</v>
      </c>
      <c r="W145" s="18">
        <v>0</v>
      </c>
      <c r="X145" s="18">
        <v>0</v>
      </c>
      <c r="Y145" s="18">
        <v>0</v>
      </c>
      <c r="Z145" s="18">
        <v>0</v>
      </c>
      <c r="AA145" s="18">
        <v>73.801000000000002</v>
      </c>
      <c r="AB145" s="18">
        <v>0</v>
      </c>
      <c r="AC145" s="18">
        <v>0</v>
      </c>
      <c r="AD145" s="18">
        <v>0</v>
      </c>
      <c r="AE145" s="18"/>
      <c r="AF145" s="18"/>
      <c r="AG145" s="18"/>
      <c r="AH145" s="53">
        <f t="shared" si="26"/>
        <v>219.572</v>
      </c>
    </row>
    <row r="146" spans="1:34" ht="15">
      <c r="A146" s="143" t="s">
        <v>80</v>
      </c>
      <c r="B146" s="18">
        <f t="shared" si="25"/>
        <v>441.86600000000004</v>
      </c>
      <c r="C146" s="53">
        <v>0</v>
      </c>
      <c r="D146" s="53">
        <v>0</v>
      </c>
      <c r="E146" s="53">
        <v>0</v>
      </c>
      <c r="F146" s="53">
        <v>0</v>
      </c>
      <c r="G146" s="53">
        <v>0</v>
      </c>
      <c r="H146" s="18">
        <v>3.2080000000000002</v>
      </c>
      <c r="I146" s="18">
        <v>0</v>
      </c>
      <c r="J146" s="18">
        <v>0</v>
      </c>
      <c r="K146" s="18">
        <v>0</v>
      </c>
      <c r="L146" s="18">
        <v>0</v>
      </c>
      <c r="M146" s="1287">
        <v>0</v>
      </c>
      <c r="N146" s="1287">
        <v>0</v>
      </c>
      <c r="O146" s="1287">
        <v>0</v>
      </c>
      <c r="P146" s="1287">
        <v>0</v>
      </c>
      <c r="Q146" s="1287">
        <v>0</v>
      </c>
      <c r="R146" s="1287">
        <v>3.4079999999999999</v>
      </c>
      <c r="S146" s="1287">
        <v>0</v>
      </c>
      <c r="T146" s="1287">
        <v>0</v>
      </c>
      <c r="U146" s="1287">
        <v>9.1539999999999999</v>
      </c>
      <c r="V146" s="1287">
        <v>200.85300000000001</v>
      </c>
      <c r="W146" s="1287">
        <v>17.225000000000001</v>
      </c>
      <c r="X146" s="1287">
        <v>0</v>
      </c>
      <c r="Y146" s="18">
        <v>37.130000000000003</v>
      </c>
      <c r="Z146" s="18">
        <v>49.548000000000002</v>
      </c>
      <c r="AA146" s="18">
        <v>27.802</v>
      </c>
      <c r="AB146" s="18">
        <v>93.537999999999997</v>
      </c>
      <c r="AC146" s="18"/>
      <c r="AD146" s="18"/>
      <c r="AE146" s="18"/>
      <c r="AF146" s="18"/>
      <c r="AG146" s="18"/>
      <c r="AH146" s="53">
        <f t="shared" si="26"/>
        <v>441.86600000000004</v>
      </c>
    </row>
    <row r="147" spans="1:34" ht="15">
      <c r="A147" s="143" t="s">
        <v>81</v>
      </c>
      <c r="B147" s="18">
        <f t="shared" si="25"/>
        <v>61.847999999999999</v>
      </c>
      <c r="C147" s="49">
        <v>0</v>
      </c>
      <c r="D147" s="53">
        <v>0</v>
      </c>
      <c r="E147" s="53">
        <v>0</v>
      </c>
      <c r="F147" s="53">
        <v>0.35699999999999998</v>
      </c>
      <c r="G147" s="18">
        <v>5.7460000000000004</v>
      </c>
      <c r="H147" s="18">
        <v>10.273999999999999</v>
      </c>
      <c r="I147" s="18">
        <v>10.57</v>
      </c>
      <c r="J147" s="57">
        <v>12.68</v>
      </c>
      <c r="K147" s="57">
        <v>0</v>
      </c>
      <c r="L147" s="53">
        <v>0</v>
      </c>
      <c r="M147" s="53">
        <v>0</v>
      </c>
      <c r="N147" s="53">
        <v>0</v>
      </c>
      <c r="O147" s="53">
        <v>0</v>
      </c>
      <c r="P147" s="53">
        <v>0</v>
      </c>
      <c r="Q147" s="53">
        <v>6.9649999999999999</v>
      </c>
      <c r="R147" s="53">
        <v>0</v>
      </c>
      <c r="S147" s="53">
        <v>0</v>
      </c>
      <c r="T147" s="53">
        <v>0</v>
      </c>
      <c r="U147" s="53">
        <v>0</v>
      </c>
      <c r="V147" s="53">
        <v>0</v>
      </c>
      <c r="W147" s="2327">
        <v>2.4689999999999999</v>
      </c>
      <c r="X147" s="2327">
        <v>3.202</v>
      </c>
      <c r="Y147" s="2327">
        <v>0.28100000000000003</v>
      </c>
      <c r="Z147" s="2327">
        <v>0</v>
      </c>
      <c r="AA147" s="2327">
        <v>1.401</v>
      </c>
      <c r="AB147" s="2327">
        <v>0</v>
      </c>
      <c r="AC147" s="2327">
        <v>1.1619999999999999</v>
      </c>
      <c r="AD147" s="2327">
        <v>2.1389999999999998</v>
      </c>
      <c r="AE147" s="2327">
        <v>4.6020000000000003</v>
      </c>
      <c r="AF147" s="688" t="s">
        <v>111</v>
      </c>
      <c r="AG147" s="688" t="s">
        <v>111</v>
      </c>
      <c r="AH147" s="53">
        <f t="shared" si="26"/>
        <v>61.847999999999999</v>
      </c>
    </row>
    <row r="148" spans="1:34" ht="15">
      <c r="A148" s="143" t="s">
        <v>82</v>
      </c>
      <c r="B148" s="18">
        <f t="shared" si="25"/>
        <v>0</v>
      </c>
      <c r="C148" s="688" t="s">
        <v>111</v>
      </c>
      <c r="D148" s="688" t="s">
        <v>111</v>
      </c>
      <c r="E148" s="688" t="s">
        <v>111</v>
      </c>
      <c r="F148" s="688" t="s">
        <v>111</v>
      </c>
      <c r="G148" s="688" t="s">
        <v>111</v>
      </c>
      <c r="H148" s="688" t="s">
        <v>111</v>
      </c>
      <c r="I148" s="688" t="s">
        <v>111</v>
      </c>
      <c r="J148" s="688" t="s">
        <v>111</v>
      </c>
      <c r="K148" s="688" t="s">
        <v>111</v>
      </c>
      <c r="L148" s="688" t="s">
        <v>111</v>
      </c>
      <c r="M148" s="688" t="s">
        <v>111</v>
      </c>
      <c r="N148" s="688" t="s">
        <v>111</v>
      </c>
      <c r="O148" s="688" t="s">
        <v>111</v>
      </c>
      <c r="P148" s="688" t="s">
        <v>111</v>
      </c>
      <c r="Q148" s="688" t="s">
        <v>111</v>
      </c>
      <c r="R148" s="688" t="s">
        <v>111</v>
      </c>
      <c r="S148" s="688" t="s">
        <v>111</v>
      </c>
      <c r="T148" s="688" t="s">
        <v>111</v>
      </c>
      <c r="U148" s="688" t="s">
        <v>111</v>
      </c>
      <c r="V148" s="688" t="s">
        <v>111</v>
      </c>
      <c r="W148" s="688" t="s">
        <v>111</v>
      </c>
      <c r="X148" s="688" t="s">
        <v>111</v>
      </c>
      <c r="Y148" s="688" t="s">
        <v>111</v>
      </c>
      <c r="Z148" s="688" t="s">
        <v>111</v>
      </c>
      <c r="AA148" s="688" t="s">
        <v>111</v>
      </c>
      <c r="AB148" s="688" t="s">
        <v>111</v>
      </c>
      <c r="AC148" s="688" t="s">
        <v>111</v>
      </c>
      <c r="AD148" s="688" t="s">
        <v>111</v>
      </c>
      <c r="AE148" s="688" t="s">
        <v>111</v>
      </c>
      <c r="AF148" s="688" t="s">
        <v>111</v>
      </c>
      <c r="AG148" s="688" t="s">
        <v>111</v>
      </c>
      <c r="AH148" s="53">
        <f t="shared" si="26"/>
        <v>0</v>
      </c>
    </row>
    <row r="149" spans="1:34" ht="15">
      <c r="A149" s="149" t="s">
        <v>83</v>
      </c>
      <c r="B149" s="18">
        <f t="shared" si="25"/>
        <v>0</v>
      </c>
      <c r="C149" s="688" t="s">
        <v>111</v>
      </c>
      <c r="D149" s="688" t="s">
        <v>111</v>
      </c>
      <c r="E149" s="688" t="s">
        <v>111</v>
      </c>
      <c r="F149" s="688" t="s">
        <v>111</v>
      </c>
      <c r="G149" s="688" t="s">
        <v>111</v>
      </c>
      <c r="H149" s="688" t="s">
        <v>111</v>
      </c>
      <c r="I149" s="688" t="s">
        <v>111</v>
      </c>
      <c r="J149" s="688" t="s">
        <v>111</v>
      </c>
      <c r="K149" s="688" t="s">
        <v>111</v>
      </c>
      <c r="L149" s="688" t="s">
        <v>111</v>
      </c>
      <c r="M149" s="688" t="s">
        <v>111</v>
      </c>
      <c r="N149" s="688" t="s">
        <v>111</v>
      </c>
      <c r="O149" s="688" t="s">
        <v>111</v>
      </c>
      <c r="P149" s="688" t="s">
        <v>111</v>
      </c>
      <c r="Q149" s="688" t="s">
        <v>111</v>
      </c>
      <c r="R149" s="688" t="s">
        <v>111</v>
      </c>
      <c r="S149" s="688" t="s">
        <v>111</v>
      </c>
      <c r="T149" s="688" t="s">
        <v>111</v>
      </c>
      <c r="U149" s="688" t="s">
        <v>111</v>
      </c>
      <c r="V149" s="688" t="s">
        <v>111</v>
      </c>
      <c r="W149" s="688" t="s">
        <v>111</v>
      </c>
      <c r="X149" s="688" t="s">
        <v>111</v>
      </c>
      <c r="Y149" s="688" t="s">
        <v>111</v>
      </c>
      <c r="Z149" s="688" t="s">
        <v>111</v>
      </c>
      <c r="AA149" s="688" t="s">
        <v>111</v>
      </c>
      <c r="AB149" s="688" t="s">
        <v>111</v>
      </c>
      <c r="AC149" s="688" t="s">
        <v>111</v>
      </c>
      <c r="AD149" s="688" t="s">
        <v>111</v>
      </c>
      <c r="AE149" s="688" t="s">
        <v>111</v>
      </c>
      <c r="AF149" s="688" t="s">
        <v>111</v>
      </c>
      <c r="AG149" s="688" t="s">
        <v>111</v>
      </c>
      <c r="AH149" s="53">
        <f t="shared" si="26"/>
        <v>0</v>
      </c>
    </row>
    <row r="150" spans="1:34" ht="15">
      <c r="A150" s="149" t="s">
        <v>84</v>
      </c>
      <c r="B150" s="18">
        <f t="shared" si="25"/>
        <v>0.54600000000000004</v>
      </c>
      <c r="C150" s="688" t="s">
        <v>111</v>
      </c>
      <c r="D150" s="688" t="s">
        <v>111</v>
      </c>
      <c r="E150" s="688" t="s">
        <v>111</v>
      </c>
      <c r="F150" s="688" t="s">
        <v>111</v>
      </c>
      <c r="G150" s="688" t="s">
        <v>111</v>
      </c>
      <c r="H150" s="688" t="s">
        <v>111</v>
      </c>
      <c r="I150" s="688" t="s">
        <v>111</v>
      </c>
      <c r="J150" s="688" t="s">
        <v>111</v>
      </c>
      <c r="K150" s="688" t="s">
        <v>111</v>
      </c>
      <c r="L150" s="688" t="s">
        <v>111</v>
      </c>
      <c r="M150" s="688" t="s">
        <v>111</v>
      </c>
      <c r="N150" s="688" t="s">
        <v>111</v>
      </c>
      <c r="O150" s="688" t="s">
        <v>111</v>
      </c>
      <c r="P150" s="688" t="s">
        <v>111</v>
      </c>
      <c r="Q150" s="688" t="s">
        <v>111</v>
      </c>
      <c r="R150" s="688" t="s">
        <v>111</v>
      </c>
      <c r="S150" s="688" t="s">
        <v>111</v>
      </c>
      <c r="T150" s="688" t="s">
        <v>111</v>
      </c>
      <c r="U150" s="688" t="s">
        <v>111</v>
      </c>
      <c r="V150" s="688" t="s">
        <v>111</v>
      </c>
      <c r="W150" s="688" t="s">
        <v>111</v>
      </c>
      <c r="X150" s="1287"/>
      <c r="Y150" s="1287">
        <v>0.54600000000000004</v>
      </c>
      <c r="Z150" s="1287"/>
      <c r="AA150" s="1287"/>
      <c r="AB150" s="1287"/>
      <c r="AC150" s="1287"/>
      <c r="AD150" s="1287"/>
      <c r="AE150" s="1488"/>
      <c r="AF150" s="1287"/>
      <c r="AG150" s="1488"/>
      <c r="AH150" s="53">
        <f>SUM(C150:AG150)</f>
        <v>0.54600000000000004</v>
      </c>
    </row>
    <row r="151" spans="1:34" ht="15">
      <c r="A151" s="149" t="s">
        <v>85</v>
      </c>
      <c r="B151" s="18">
        <f t="shared" si="25"/>
        <v>132.24199999999999</v>
      </c>
      <c r="C151" s="209"/>
      <c r="D151" s="67"/>
      <c r="E151" s="67"/>
      <c r="F151" s="67"/>
      <c r="G151" s="1144"/>
      <c r="H151" s="67"/>
      <c r="I151" s="67"/>
      <c r="J151" s="67"/>
      <c r="K151" s="67"/>
      <c r="L151" s="67"/>
      <c r="M151" s="67"/>
      <c r="N151" s="67"/>
      <c r="O151" s="18"/>
      <c r="P151" s="1287"/>
      <c r="Q151" s="1287"/>
      <c r="R151" s="1287"/>
      <c r="S151" s="1287"/>
      <c r="T151" s="1287"/>
      <c r="U151" s="1287"/>
      <c r="V151" s="1287"/>
      <c r="W151" s="1287"/>
      <c r="X151" s="1287"/>
      <c r="Y151" s="1433"/>
      <c r="Z151" s="1287"/>
      <c r="AA151" s="1287"/>
      <c r="AB151" s="1287"/>
      <c r="AC151" s="1287"/>
      <c r="AD151" s="1287"/>
      <c r="AE151" s="1488"/>
      <c r="AF151" s="1287">
        <v>132.24199999999999</v>
      </c>
      <c r="AG151" s="1488"/>
      <c r="AH151" s="53">
        <f t="shared" si="26"/>
        <v>132.24199999999999</v>
      </c>
    </row>
    <row r="152" spans="1:34" ht="15">
      <c r="A152" s="149" t="s">
        <v>86</v>
      </c>
      <c r="B152" s="18">
        <f t="shared" si="25"/>
        <v>165.81900000000002</v>
      </c>
      <c r="C152" s="49">
        <v>29.001999999999999</v>
      </c>
      <c r="D152" s="18">
        <v>50.768000000000001</v>
      </c>
      <c r="E152" s="18"/>
      <c r="F152" s="18"/>
      <c r="G152" s="18"/>
      <c r="H152" s="18"/>
      <c r="I152" s="18"/>
      <c r="J152" s="18">
        <v>0.36299999999999999</v>
      </c>
      <c r="K152" s="18"/>
      <c r="L152" s="1287"/>
      <c r="M152" s="1287"/>
      <c r="N152" s="1287"/>
      <c r="O152" s="1287"/>
      <c r="P152" s="1287"/>
      <c r="Q152" s="1287"/>
      <c r="R152" s="1287"/>
      <c r="S152" s="1287"/>
      <c r="T152" s="1287"/>
      <c r="U152" s="1287"/>
      <c r="V152" s="1287"/>
      <c r="W152" s="1287"/>
      <c r="X152" s="1287">
        <v>7.3140000000000001</v>
      </c>
      <c r="Y152" s="1287"/>
      <c r="Z152" s="1287"/>
      <c r="AA152" s="1287"/>
      <c r="AB152" s="1287">
        <v>22.806999999999999</v>
      </c>
      <c r="AC152" s="1287">
        <v>32.482999999999997</v>
      </c>
      <c r="AD152" s="1287">
        <v>12.538</v>
      </c>
      <c r="AE152" s="1287">
        <v>10.544</v>
      </c>
      <c r="AF152" s="1287">
        <v>0</v>
      </c>
      <c r="AG152" s="1287">
        <v>0</v>
      </c>
      <c r="AH152" s="53">
        <f t="shared" si="26"/>
        <v>165.81900000000002</v>
      </c>
    </row>
    <row r="153" spans="1:34" ht="15">
      <c r="A153" s="88" t="s">
        <v>74</v>
      </c>
      <c r="B153" s="89">
        <f>SUM(B141:B152)</f>
        <v>1391.136</v>
      </c>
      <c r="C153" s="46">
        <f>SUM(C141:C151)</f>
        <v>1.484</v>
      </c>
      <c r="D153" s="53">
        <f>SUM(D141:D151)</f>
        <v>4.2210000000000001</v>
      </c>
      <c r="E153" s="53">
        <v>0</v>
      </c>
      <c r="F153" s="53">
        <f t="shared" ref="F153:AC153" si="27">SUM(F141:F151)</f>
        <v>5.4350000000000005</v>
      </c>
      <c r="G153" s="53">
        <f t="shared" si="27"/>
        <v>10.945</v>
      </c>
      <c r="H153" s="53">
        <f t="shared" si="27"/>
        <v>46.284999999999997</v>
      </c>
      <c r="I153" s="53">
        <f t="shared" si="27"/>
        <v>78.318000000000012</v>
      </c>
      <c r="J153" s="53">
        <f t="shared" si="27"/>
        <v>62.732999999999997</v>
      </c>
      <c r="K153" s="53">
        <f t="shared" si="27"/>
        <v>10.438000000000001</v>
      </c>
      <c r="L153" s="53">
        <f t="shared" si="27"/>
        <v>9.9410000000000007</v>
      </c>
      <c r="M153" s="53">
        <f t="shared" si="27"/>
        <v>24.525999999999996</v>
      </c>
      <c r="N153" s="53">
        <f t="shared" si="27"/>
        <v>51.516000000000005</v>
      </c>
      <c r="O153" s="53">
        <f t="shared" si="27"/>
        <v>6.2939999999999996</v>
      </c>
      <c r="P153" s="53">
        <f t="shared" si="27"/>
        <v>4.5629999999999997</v>
      </c>
      <c r="Q153" s="53">
        <f t="shared" si="27"/>
        <v>8.8840000000000003</v>
      </c>
      <c r="R153" s="53">
        <f t="shared" si="27"/>
        <v>3.4079999999999999</v>
      </c>
      <c r="S153" s="53">
        <f t="shared" si="27"/>
        <v>13.798</v>
      </c>
      <c r="T153" s="53">
        <f t="shared" si="27"/>
        <v>12.763999999999999</v>
      </c>
      <c r="U153" s="53">
        <f t="shared" si="27"/>
        <v>49.808999999999997</v>
      </c>
      <c r="V153" s="53">
        <f t="shared" si="27"/>
        <v>200.85300000000001</v>
      </c>
      <c r="W153" s="53">
        <f t="shared" si="27"/>
        <v>19.887000000000004</v>
      </c>
      <c r="X153" s="53">
        <f t="shared" si="27"/>
        <v>4.3010000000000002</v>
      </c>
      <c r="Y153" s="53">
        <f t="shared" si="27"/>
        <v>78.438000000000017</v>
      </c>
      <c r="Z153" s="53">
        <f t="shared" si="27"/>
        <v>60.903000000000006</v>
      </c>
      <c r="AA153" s="53">
        <f t="shared" si="27"/>
        <v>104.43599999999999</v>
      </c>
      <c r="AB153" s="53">
        <f t="shared" si="27"/>
        <v>94.271000000000001</v>
      </c>
      <c r="AC153" s="53">
        <f t="shared" si="27"/>
        <v>24.571999999999999</v>
      </c>
      <c r="AD153" s="53">
        <v>0</v>
      </c>
      <c r="AE153" s="53">
        <f>SUM(AE141:AE151)</f>
        <v>4.6020000000000003</v>
      </c>
      <c r="AF153" s="53">
        <f>SUM(AF141:AF151)</f>
        <v>132.24199999999999</v>
      </c>
      <c r="AG153" s="53">
        <f>SUM(AG141:AG151)</f>
        <v>0</v>
      </c>
      <c r="AH153" s="46">
        <f>SUM(AH141:AH151)</f>
        <v>1225.317</v>
      </c>
    </row>
    <row r="154" spans="1:34" ht="5.0999999999999996" customHeight="1">
      <c r="A154" s="50"/>
      <c r="B154" s="51"/>
      <c r="C154" s="13"/>
      <c r="D154" s="52"/>
      <c r="E154" s="52"/>
      <c r="F154" s="52"/>
      <c r="G154" s="52"/>
      <c r="H154" s="52"/>
      <c r="I154" s="52"/>
      <c r="J154" s="52"/>
      <c r="K154" s="52"/>
      <c r="L154" s="52"/>
      <c r="M154" s="52"/>
      <c r="N154" s="52"/>
      <c r="O154" s="52"/>
      <c r="P154" s="52"/>
      <c r="Q154" s="52"/>
      <c r="R154" s="52"/>
      <c r="S154" s="52"/>
      <c r="T154" s="52"/>
      <c r="U154" s="52"/>
      <c r="V154" s="52"/>
      <c r="W154" s="52"/>
      <c r="X154" s="52"/>
      <c r="Y154" s="52"/>
      <c r="Z154" s="52"/>
      <c r="AA154" s="52"/>
      <c r="AB154" s="52"/>
      <c r="AC154" s="52"/>
      <c r="AD154" s="52"/>
      <c r="AE154" s="52"/>
      <c r="AF154" s="52"/>
      <c r="AG154" s="52"/>
      <c r="AH154" s="13"/>
    </row>
    <row r="155" spans="1:34" ht="15">
      <c r="A155" s="3569" t="s">
        <v>57</v>
      </c>
      <c r="B155" s="3570"/>
      <c r="C155" s="3570"/>
      <c r="D155" s="3570"/>
      <c r="E155" s="3570"/>
      <c r="F155" s="3570"/>
      <c r="G155" s="3570"/>
      <c r="H155" s="3571"/>
      <c r="I155" s="43"/>
      <c r="J155" s="43"/>
      <c r="K155" s="43"/>
      <c r="L155" s="43"/>
      <c r="M155" s="43"/>
      <c r="N155" s="43"/>
      <c r="O155" s="43"/>
      <c r="P155" s="43"/>
      <c r="R155" s="43"/>
      <c r="S155" s="11"/>
      <c r="T155" s="11"/>
      <c r="U155" s="11"/>
      <c r="V155" s="11"/>
      <c r="W155" s="11"/>
      <c r="X155" s="11"/>
      <c r="Y155" s="11"/>
      <c r="Z155" s="11"/>
      <c r="AA155" s="11"/>
      <c r="AB155" s="11"/>
      <c r="AC155" s="11"/>
      <c r="AD155" s="11"/>
      <c r="AE155" s="11"/>
      <c r="AF155" s="11"/>
      <c r="AG155" s="11"/>
      <c r="AH155" s="11"/>
    </row>
    <row r="156" spans="1:34" ht="15">
      <c r="A156" s="5" t="s">
        <v>72</v>
      </c>
      <c r="B156" s="5" t="s">
        <v>73</v>
      </c>
      <c r="C156" s="1249">
        <v>1</v>
      </c>
      <c r="D156" s="30">
        <v>2</v>
      </c>
      <c r="E156" s="30">
        <v>3</v>
      </c>
      <c r="F156" s="30">
        <v>4</v>
      </c>
      <c r="G156" s="30">
        <v>5</v>
      </c>
      <c r="H156" s="30">
        <v>6</v>
      </c>
      <c r="I156" s="30">
        <v>7</v>
      </c>
      <c r="J156" s="30">
        <v>8</v>
      </c>
      <c r="K156" s="30">
        <v>9</v>
      </c>
      <c r="L156" s="30">
        <v>10</v>
      </c>
      <c r="M156" s="30">
        <v>11</v>
      </c>
      <c r="N156" s="30">
        <v>12</v>
      </c>
      <c r="O156" s="30">
        <v>13</v>
      </c>
      <c r="P156" s="30">
        <v>14</v>
      </c>
      <c r="Q156" s="30">
        <v>15</v>
      </c>
      <c r="R156" s="30">
        <v>16</v>
      </c>
      <c r="S156" s="30">
        <v>17</v>
      </c>
      <c r="T156" s="30">
        <v>18</v>
      </c>
      <c r="U156" s="30">
        <v>19</v>
      </c>
      <c r="V156" s="30">
        <v>20</v>
      </c>
      <c r="W156" s="30">
        <v>21</v>
      </c>
      <c r="X156" s="30">
        <v>22</v>
      </c>
      <c r="Y156" s="30">
        <v>23</v>
      </c>
      <c r="Z156" s="30">
        <v>24</v>
      </c>
      <c r="AA156" s="30">
        <v>25</v>
      </c>
      <c r="AB156" s="30">
        <v>26</v>
      </c>
      <c r="AC156" s="30">
        <v>27</v>
      </c>
      <c r="AD156" s="30">
        <v>28</v>
      </c>
      <c r="AE156" s="30">
        <v>29</v>
      </c>
      <c r="AF156" s="30">
        <v>30</v>
      </c>
      <c r="AG156" s="30">
        <v>31</v>
      </c>
      <c r="AH156" s="39" t="s">
        <v>74</v>
      </c>
    </row>
    <row r="157" spans="1:34" ht="15">
      <c r="A157" s="148" t="s">
        <v>75</v>
      </c>
      <c r="B157" s="18">
        <f t="shared" ref="B157:B168" si="28">+AH157</f>
        <v>0</v>
      </c>
      <c r="C157" s="126" t="s">
        <v>111</v>
      </c>
      <c r="D157" s="126" t="s">
        <v>111</v>
      </c>
      <c r="E157" s="126" t="s">
        <v>111</v>
      </c>
      <c r="F157" s="126" t="s">
        <v>111</v>
      </c>
      <c r="G157" s="126" t="s">
        <v>111</v>
      </c>
      <c r="H157" s="126" t="s">
        <v>111</v>
      </c>
      <c r="I157" s="126" t="s">
        <v>111</v>
      </c>
      <c r="J157" s="126" t="s">
        <v>111</v>
      </c>
      <c r="K157" s="126" t="s">
        <v>111</v>
      </c>
      <c r="L157" s="126" t="s">
        <v>111</v>
      </c>
      <c r="M157" s="126" t="s">
        <v>111</v>
      </c>
      <c r="N157" s="126" t="s">
        <v>111</v>
      </c>
      <c r="O157" s="126" t="s">
        <v>111</v>
      </c>
      <c r="P157" s="126" t="s">
        <v>111</v>
      </c>
      <c r="Q157" s="126" t="s">
        <v>111</v>
      </c>
      <c r="R157" s="126" t="s">
        <v>111</v>
      </c>
      <c r="S157" s="126" t="s">
        <v>111</v>
      </c>
      <c r="T157" s="126" t="s">
        <v>111</v>
      </c>
      <c r="U157" s="126" t="s">
        <v>111</v>
      </c>
      <c r="V157" s="126" t="s">
        <v>111</v>
      </c>
      <c r="W157" s="126" t="s">
        <v>111</v>
      </c>
      <c r="X157" s="126" t="s">
        <v>111</v>
      </c>
      <c r="Y157" s="126" t="s">
        <v>111</v>
      </c>
      <c r="Z157" s="126" t="s">
        <v>111</v>
      </c>
      <c r="AA157" s="126" t="s">
        <v>111</v>
      </c>
      <c r="AB157" s="126" t="s">
        <v>111</v>
      </c>
      <c r="AC157" s="126" t="s">
        <v>111</v>
      </c>
      <c r="AD157" s="126" t="s">
        <v>111</v>
      </c>
      <c r="AE157" s="126" t="s">
        <v>111</v>
      </c>
      <c r="AF157" s="126" t="s">
        <v>111</v>
      </c>
      <c r="AG157" s="126" t="s">
        <v>111</v>
      </c>
      <c r="AH157" s="53">
        <f>SUM(C157:AG157)</f>
        <v>0</v>
      </c>
    </row>
    <row r="158" spans="1:34" ht="15">
      <c r="A158" s="148" t="s">
        <v>76</v>
      </c>
      <c r="B158" s="18">
        <f t="shared" si="28"/>
        <v>1.284</v>
      </c>
      <c r="C158" s="126" t="s">
        <v>111</v>
      </c>
      <c r="D158" s="126" t="s">
        <v>111</v>
      </c>
      <c r="E158" s="126" t="s">
        <v>111</v>
      </c>
      <c r="F158" s="126" t="s">
        <v>111</v>
      </c>
      <c r="G158" s="126" t="s">
        <v>111</v>
      </c>
      <c r="H158" s="126" t="s">
        <v>111</v>
      </c>
      <c r="I158" s="126" t="s">
        <v>111</v>
      </c>
      <c r="J158" s="127">
        <v>1.284</v>
      </c>
      <c r="K158" s="127"/>
      <c r="L158" s="127"/>
      <c r="M158" s="127"/>
      <c r="N158" s="127"/>
      <c r="O158" s="127"/>
      <c r="P158" s="127"/>
      <c r="Q158" s="127"/>
      <c r="R158" s="127"/>
      <c r="S158" s="127"/>
      <c r="T158" s="127"/>
      <c r="U158" s="127"/>
      <c r="V158" s="127"/>
      <c r="W158" s="127"/>
      <c r="X158" s="127"/>
      <c r="Y158" s="127"/>
      <c r="Z158" s="127"/>
      <c r="AA158" s="127"/>
      <c r="AB158" s="127"/>
      <c r="AC158" s="127"/>
      <c r="AD158" s="127"/>
      <c r="AE158" s="127"/>
      <c r="AF158" s="127"/>
      <c r="AG158" s="127"/>
      <c r="AH158" s="53">
        <f>SUM(C158:AG158)</f>
        <v>1.284</v>
      </c>
    </row>
    <row r="159" spans="1:34" ht="15">
      <c r="A159" s="148" t="s">
        <v>77</v>
      </c>
      <c r="B159" s="18">
        <f t="shared" si="28"/>
        <v>12.728</v>
      </c>
      <c r="C159" s="127"/>
      <c r="D159" s="127"/>
      <c r="E159" s="127">
        <v>12.728</v>
      </c>
      <c r="F159" s="127"/>
      <c r="G159" s="127"/>
      <c r="H159" s="112"/>
      <c r="I159" s="112"/>
      <c r="J159" s="112"/>
      <c r="K159" s="18"/>
      <c r="L159" s="18"/>
      <c r="M159" s="18"/>
      <c r="N159" s="18"/>
      <c r="O159" s="18"/>
      <c r="P159" s="18"/>
      <c r="Q159" s="18"/>
      <c r="R159" s="18"/>
      <c r="S159" s="18"/>
      <c r="T159" s="18"/>
      <c r="U159" s="18"/>
      <c r="V159" s="18"/>
      <c r="W159" s="18"/>
      <c r="X159" s="18"/>
      <c r="Y159" s="18"/>
      <c r="Z159" s="18"/>
      <c r="AA159" s="18"/>
      <c r="AB159" s="18"/>
      <c r="AC159" s="1930"/>
      <c r="AD159" s="1930"/>
      <c r="AE159" s="1930"/>
      <c r="AF159" s="1930"/>
      <c r="AG159" s="1930"/>
      <c r="AH159" s="53">
        <f>SUM(C159:AG159)</f>
        <v>12.728</v>
      </c>
    </row>
    <row r="160" spans="1:34" ht="15">
      <c r="A160" s="148" t="s">
        <v>78</v>
      </c>
      <c r="B160" s="18">
        <f t="shared" si="28"/>
        <v>9.2520000000000007</v>
      </c>
      <c r="C160" s="18">
        <v>0</v>
      </c>
      <c r="D160" s="18">
        <v>0</v>
      </c>
      <c r="E160" s="18">
        <v>0</v>
      </c>
      <c r="F160" s="18">
        <v>0</v>
      </c>
      <c r="G160" s="18">
        <v>0</v>
      </c>
      <c r="H160" s="18">
        <v>0</v>
      </c>
      <c r="I160" s="18">
        <v>0</v>
      </c>
      <c r="J160" s="18">
        <v>0</v>
      </c>
      <c r="K160" s="18">
        <v>0</v>
      </c>
      <c r="L160" s="53">
        <v>0</v>
      </c>
      <c r="M160" s="53">
        <v>0</v>
      </c>
      <c r="N160" s="53">
        <v>2.93</v>
      </c>
      <c r="O160" s="53">
        <v>0</v>
      </c>
      <c r="P160" s="53">
        <v>0</v>
      </c>
      <c r="Q160" s="18">
        <v>0</v>
      </c>
      <c r="R160" s="18">
        <v>0</v>
      </c>
      <c r="S160" s="18">
        <v>0</v>
      </c>
      <c r="T160" s="18">
        <v>0.75</v>
      </c>
      <c r="U160" s="18">
        <v>0</v>
      </c>
      <c r="V160" s="18">
        <v>0</v>
      </c>
      <c r="W160" s="18">
        <v>0</v>
      </c>
      <c r="X160" s="18">
        <v>0</v>
      </c>
      <c r="Y160" s="18">
        <v>5.5720000000000001</v>
      </c>
      <c r="Z160" s="18"/>
      <c r="AA160" s="18"/>
      <c r="AB160" s="18"/>
      <c r="AC160" s="1287"/>
      <c r="AD160" s="1287"/>
      <c r="AE160" s="1287"/>
      <c r="AF160" s="1287"/>
      <c r="AG160" s="1287"/>
      <c r="AH160" s="53">
        <f t="shared" ref="AH160:AH168" si="29">SUM(C160:AG160)</f>
        <v>9.2520000000000007</v>
      </c>
    </row>
    <row r="161" spans="1:34" ht="15">
      <c r="A161" s="143" t="s">
        <v>79</v>
      </c>
      <c r="B161" s="18">
        <f t="shared" si="28"/>
        <v>24.451999999999998</v>
      </c>
      <c r="C161" s="49">
        <v>0</v>
      </c>
      <c r="D161" s="18">
        <v>0</v>
      </c>
      <c r="E161" s="18">
        <v>0</v>
      </c>
      <c r="F161" s="18">
        <v>0</v>
      </c>
      <c r="G161" s="18">
        <v>5.5519999999999996</v>
      </c>
      <c r="H161" s="18">
        <v>0</v>
      </c>
      <c r="I161" s="18">
        <v>5.44</v>
      </c>
      <c r="J161" s="18">
        <v>7.3680000000000003</v>
      </c>
      <c r="K161" s="18">
        <v>0</v>
      </c>
      <c r="L161" s="18">
        <v>0</v>
      </c>
      <c r="M161" s="18">
        <v>0</v>
      </c>
      <c r="N161" s="18">
        <v>6.0919999999999996</v>
      </c>
      <c r="O161" s="18">
        <v>0</v>
      </c>
      <c r="P161" s="18">
        <v>0</v>
      </c>
      <c r="Q161" s="18">
        <v>0</v>
      </c>
      <c r="R161" s="18">
        <v>0</v>
      </c>
      <c r="S161" s="18"/>
      <c r="T161" s="18"/>
      <c r="U161" s="18"/>
      <c r="V161" s="18"/>
      <c r="W161" s="18"/>
      <c r="X161" s="18"/>
      <c r="Y161" s="18"/>
      <c r="Z161" s="18"/>
      <c r="AA161" s="18"/>
      <c r="AB161" s="18"/>
      <c r="AC161" s="18"/>
      <c r="AD161" s="18"/>
      <c r="AE161" s="18"/>
      <c r="AF161" s="18"/>
      <c r="AG161" s="18"/>
      <c r="AH161" s="53">
        <f t="shared" si="29"/>
        <v>24.451999999999998</v>
      </c>
    </row>
    <row r="162" spans="1:34" ht="15">
      <c r="A162" s="143" t="s">
        <v>80</v>
      </c>
      <c r="B162" s="18">
        <f>+AH162</f>
        <v>14.042</v>
      </c>
      <c r="C162" s="49">
        <v>0</v>
      </c>
      <c r="D162" s="18">
        <v>0</v>
      </c>
      <c r="E162" s="18">
        <v>0</v>
      </c>
      <c r="F162" s="18">
        <v>0</v>
      </c>
      <c r="G162" s="18">
        <v>0</v>
      </c>
      <c r="H162" s="1287">
        <v>0</v>
      </c>
      <c r="I162" s="1287">
        <v>0</v>
      </c>
      <c r="J162" s="1287">
        <v>0</v>
      </c>
      <c r="K162" s="1287">
        <v>0</v>
      </c>
      <c r="L162" s="1287">
        <v>0</v>
      </c>
      <c r="M162" s="1287">
        <v>0</v>
      </c>
      <c r="N162" s="1287">
        <v>0</v>
      </c>
      <c r="O162" s="1287">
        <v>0</v>
      </c>
      <c r="P162" s="1287">
        <v>0</v>
      </c>
      <c r="Q162" s="1287">
        <v>0</v>
      </c>
      <c r="R162" s="1287">
        <v>0</v>
      </c>
      <c r="S162" s="1287">
        <v>0</v>
      </c>
      <c r="T162" s="1287">
        <v>0</v>
      </c>
      <c r="U162" s="1287">
        <v>0</v>
      </c>
      <c r="V162" s="1287">
        <v>6.74</v>
      </c>
      <c r="W162" s="1287">
        <v>0</v>
      </c>
      <c r="X162" s="1287">
        <v>0</v>
      </c>
      <c r="Y162" s="18">
        <v>0</v>
      </c>
      <c r="Z162" s="18">
        <v>0</v>
      </c>
      <c r="AA162" s="18">
        <v>7.3019999999999996</v>
      </c>
      <c r="AB162" s="18">
        <v>0</v>
      </c>
      <c r="AC162" s="18"/>
      <c r="AD162" s="18"/>
      <c r="AE162" s="18"/>
      <c r="AF162" s="18"/>
      <c r="AG162" s="18"/>
      <c r="AH162" s="53">
        <f t="shared" si="29"/>
        <v>14.042</v>
      </c>
    </row>
    <row r="163" spans="1:34" ht="15">
      <c r="A163" s="143" t="s">
        <v>81</v>
      </c>
      <c r="B163" s="18">
        <f t="shared" si="28"/>
        <v>0</v>
      </c>
      <c r="C163" s="1287"/>
      <c r="D163" s="1488"/>
      <c r="E163" s="1488"/>
      <c r="F163" s="1488"/>
      <c r="G163" s="1287"/>
      <c r="H163" s="1287"/>
      <c r="I163" s="1287"/>
      <c r="J163" s="2466"/>
      <c r="K163" s="2466"/>
      <c r="L163" s="1488"/>
      <c r="M163" s="1488"/>
      <c r="N163" s="1488"/>
      <c r="O163" s="1488"/>
      <c r="P163" s="1488"/>
      <c r="Q163" s="1488"/>
      <c r="R163" s="1488"/>
      <c r="S163" s="1488"/>
      <c r="T163" s="1488"/>
      <c r="U163" s="1488"/>
      <c r="V163" s="1488"/>
      <c r="W163" s="688"/>
      <c r="X163" s="688"/>
      <c r="Y163" s="688"/>
      <c r="Z163" s="688"/>
      <c r="AA163" s="688"/>
      <c r="AB163" s="688"/>
      <c r="AC163" s="688"/>
      <c r="AD163" s="688"/>
      <c r="AE163" s="688"/>
      <c r="AF163" s="688" t="s">
        <v>111</v>
      </c>
      <c r="AG163" s="688" t="s">
        <v>111</v>
      </c>
      <c r="AH163" s="53">
        <f t="shared" si="29"/>
        <v>0</v>
      </c>
    </row>
    <row r="164" spans="1:34" ht="15">
      <c r="A164" s="143" t="s">
        <v>82</v>
      </c>
      <c r="B164" s="18">
        <f t="shared" si="28"/>
        <v>0</v>
      </c>
      <c r="C164" s="688" t="s">
        <v>111</v>
      </c>
      <c r="D164" s="688" t="s">
        <v>111</v>
      </c>
      <c r="E164" s="688" t="s">
        <v>111</v>
      </c>
      <c r="F164" s="688" t="s">
        <v>111</v>
      </c>
      <c r="G164" s="688" t="s">
        <v>111</v>
      </c>
      <c r="H164" s="688" t="s">
        <v>111</v>
      </c>
      <c r="I164" s="688" t="s">
        <v>111</v>
      </c>
      <c r="J164" s="688" t="s">
        <v>111</v>
      </c>
      <c r="K164" s="688" t="s">
        <v>111</v>
      </c>
      <c r="L164" s="688" t="s">
        <v>111</v>
      </c>
      <c r="M164" s="688" t="s">
        <v>111</v>
      </c>
      <c r="N164" s="688" t="s">
        <v>111</v>
      </c>
      <c r="O164" s="688" t="s">
        <v>111</v>
      </c>
      <c r="P164" s="688" t="s">
        <v>111</v>
      </c>
      <c r="Q164" s="688" t="s">
        <v>111</v>
      </c>
      <c r="R164" s="688" t="s">
        <v>111</v>
      </c>
      <c r="S164" s="688" t="s">
        <v>111</v>
      </c>
      <c r="T164" s="688" t="s">
        <v>111</v>
      </c>
      <c r="U164" s="688" t="s">
        <v>111</v>
      </c>
      <c r="V164" s="688" t="s">
        <v>111</v>
      </c>
      <c r="W164" s="688" t="s">
        <v>111</v>
      </c>
      <c r="X164" s="688" t="s">
        <v>111</v>
      </c>
      <c r="Y164" s="688" t="s">
        <v>111</v>
      </c>
      <c r="Z164" s="688" t="s">
        <v>111</v>
      </c>
      <c r="AA164" s="688" t="s">
        <v>111</v>
      </c>
      <c r="AB164" s="688" t="s">
        <v>111</v>
      </c>
      <c r="AC164" s="688" t="s">
        <v>111</v>
      </c>
      <c r="AD164" s="688" t="s">
        <v>111</v>
      </c>
      <c r="AE164" s="688" t="s">
        <v>111</v>
      </c>
      <c r="AF164" s="688" t="s">
        <v>111</v>
      </c>
      <c r="AG164" s="688" t="s">
        <v>111</v>
      </c>
      <c r="AH164" s="53">
        <f t="shared" si="29"/>
        <v>0</v>
      </c>
    </row>
    <row r="165" spans="1:34" ht="15">
      <c r="A165" s="149" t="s">
        <v>83</v>
      </c>
      <c r="B165" s="18">
        <f t="shared" si="28"/>
        <v>0</v>
      </c>
      <c r="C165" s="688" t="s">
        <v>111</v>
      </c>
      <c r="D165" s="688" t="s">
        <v>111</v>
      </c>
      <c r="E165" s="688" t="s">
        <v>111</v>
      </c>
      <c r="F165" s="688" t="s">
        <v>111</v>
      </c>
      <c r="G165" s="688" t="s">
        <v>111</v>
      </c>
      <c r="H165" s="688" t="s">
        <v>111</v>
      </c>
      <c r="I165" s="688" t="s">
        <v>111</v>
      </c>
      <c r="J165" s="688" t="s">
        <v>111</v>
      </c>
      <c r="K165" s="688" t="s">
        <v>111</v>
      </c>
      <c r="L165" s="688" t="s">
        <v>111</v>
      </c>
      <c r="M165" s="688" t="s">
        <v>111</v>
      </c>
      <c r="N165" s="688" t="s">
        <v>111</v>
      </c>
      <c r="O165" s="688" t="s">
        <v>111</v>
      </c>
      <c r="P165" s="688" t="s">
        <v>111</v>
      </c>
      <c r="Q165" s="688" t="s">
        <v>111</v>
      </c>
      <c r="R165" s="688" t="s">
        <v>111</v>
      </c>
      <c r="S165" s="688" t="s">
        <v>111</v>
      </c>
      <c r="T165" s="688" t="s">
        <v>111</v>
      </c>
      <c r="U165" s="688" t="s">
        <v>111</v>
      </c>
      <c r="V165" s="688" t="s">
        <v>111</v>
      </c>
      <c r="W165" s="688" t="s">
        <v>111</v>
      </c>
      <c r="X165" s="688" t="s">
        <v>111</v>
      </c>
      <c r="Y165" s="688" t="s">
        <v>111</v>
      </c>
      <c r="Z165" s="688" t="s">
        <v>111</v>
      </c>
      <c r="AA165" s="688" t="s">
        <v>111</v>
      </c>
      <c r="AB165" s="688" t="s">
        <v>111</v>
      </c>
      <c r="AC165" s="688" t="s">
        <v>111</v>
      </c>
      <c r="AD165" s="688" t="s">
        <v>111</v>
      </c>
      <c r="AE165" s="688" t="s">
        <v>111</v>
      </c>
      <c r="AF165" s="688" t="s">
        <v>111</v>
      </c>
      <c r="AG165" s="688" t="s">
        <v>111</v>
      </c>
      <c r="AH165" s="53">
        <f t="shared" si="29"/>
        <v>0</v>
      </c>
    </row>
    <row r="166" spans="1:34" ht="15">
      <c r="A166" s="149" t="s">
        <v>84</v>
      </c>
      <c r="B166" s="18">
        <f t="shared" si="28"/>
        <v>0</v>
      </c>
      <c r="C166" s="688" t="s">
        <v>111</v>
      </c>
      <c r="D166" s="688" t="s">
        <v>111</v>
      </c>
      <c r="E166" s="688" t="s">
        <v>111</v>
      </c>
      <c r="F166" s="688" t="s">
        <v>111</v>
      </c>
      <c r="G166" s="688" t="s">
        <v>111</v>
      </c>
      <c r="H166" s="688" t="s">
        <v>111</v>
      </c>
      <c r="I166" s="688" t="s">
        <v>111</v>
      </c>
      <c r="J166" s="688" t="s">
        <v>111</v>
      </c>
      <c r="K166" s="688" t="s">
        <v>111</v>
      </c>
      <c r="L166" s="688" t="s">
        <v>111</v>
      </c>
      <c r="M166" s="688" t="s">
        <v>111</v>
      </c>
      <c r="N166" s="688" t="s">
        <v>111</v>
      </c>
      <c r="O166" s="688" t="s">
        <v>111</v>
      </c>
      <c r="P166" s="688" t="s">
        <v>111</v>
      </c>
      <c r="Q166" s="688" t="s">
        <v>111</v>
      </c>
      <c r="R166" s="688" t="s">
        <v>111</v>
      </c>
      <c r="S166" s="688" t="s">
        <v>111</v>
      </c>
      <c r="T166" s="688" t="s">
        <v>111</v>
      </c>
      <c r="U166" s="688" t="s">
        <v>111</v>
      </c>
      <c r="V166" s="688" t="s">
        <v>111</v>
      </c>
      <c r="W166" s="688" t="s">
        <v>111</v>
      </c>
      <c r="X166" s="1287"/>
      <c r="Y166" s="1287"/>
      <c r="Z166" s="1287"/>
      <c r="AA166" s="1287"/>
      <c r="AB166" s="1287"/>
      <c r="AC166" s="1287"/>
      <c r="AD166" s="1287"/>
      <c r="AE166" s="1488"/>
      <c r="AF166" s="1287"/>
      <c r="AG166" s="1488"/>
      <c r="AH166" s="53">
        <f t="shared" si="29"/>
        <v>0</v>
      </c>
    </row>
    <row r="167" spans="1:34" ht="15">
      <c r="A167" s="149" t="s">
        <v>85</v>
      </c>
      <c r="B167" s="18">
        <f t="shared" si="28"/>
        <v>0</v>
      </c>
      <c r="C167" s="49"/>
      <c r="D167" s="18"/>
      <c r="E167" s="18"/>
      <c r="F167" s="18"/>
      <c r="G167" s="11"/>
      <c r="H167" s="18"/>
      <c r="I167" s="18"/>
      <c r="J167" s="18"/>
      <c r="K167" s="18"/>
      <c r="L167" s="18"/>
      <c r="M167" s="18"/>
      <c r="N167" s="18"/>
      <c r="O167" s="18"/>
      <c r="P167" s="18"/>
      <c r="Q167" s="18"/>
      <c r="R167" s="18"/>
      <c r="S167" s="18"/>
      <c r="T167" s="18"/>
      <c r="U167" s="18"/>
      <c r="V167" s="18"/>
      <c r="W167" s="18"/>
      <c r="X167" s="18"/>
      <c r="Y167" s="11"/>
      <c r="Z167" s="18"/>
      <c r="AA167" s="18"/>
      <c r="AB167" s="18"/>
      <c r="AC167" s="18"/>
      <c r="AD167" s="18"/>
      <c r="AE167" s="53"/>
      <c r="AF167" s="18"/>
      <c r="AG167" s="53"/>
      <c r="AH167" s="53">
        <f t="shared" si="29"/>
        <v>0</v>
      </c>
    </row>
    <row r="168" spans="1:34" ht="15">
      <c r="A168" s="149" t="s">
        <v>86</v>
      </c>
      <c r="B168" s="18">
        <f t="shared" si="28"/>
        <v>4.0220000000000002</v>
      </c>
      <c r="C168" s="49"/>
      <c r="D168" s="18"/>
      <c r="E168" s="18"/>
      <c r="F168" s="18"/>
      <c r="G168" s="18"/>
      <c r="H168" s="18"/>
      <c r="I168" s="18"/>
      <c r="J168" s="18"/>
      <c r="K168" s="18"/>
      <c r="L168" s="18"/>
      <c r="M168" s="18"/>
      <c r="N168" s="18"/>
      <c r="O168" s="18"/>
      <c r="P168" s="1287"/>
      <c r="Q168" s="1287"/>
      <c r="R168" s="1287"/>
      <c r="S168" s="1287"/>
      <c r="T168" s="1287"/>
      <c r="U168" s="1287"/>
      <c r="V168" s="1287"/>
      <c r="W168" s="1287"/>
      <c r="X168" s="1287"/>
      <c r="Y168" s="1287"/>
      <c r="Z168" s="1287"/>
      <c r="AA168" s="1287"/>
      <c r="AB168" s="1287"/>
      <c r="AC168" s="1287">
        <v>4.0220000000000002</v>
      </c>
      <c r="AD168" s="1287"/>
      <c r="AE168" s="1287"/>
      <c r="AF168" s="1287"/>
      <c r="AG168" s="1287"/>
      <c r="AH168" s="53">
        <f t="shared" si="29"/>
        <v>4.0220000000000002</v>
      </c>
    </row>
    <row r="169" spans="1:34" ht="15">
      <c r="A169" s="88" t="s">
        <v>74</v>
      </c>
      <c r="B169" s="89">
        <f>SUM(B157:B168)</f>
        <v>65.78</v>
      </c>
      <c r="C169" s="46">
        <f>SUM(C157:C167)</f>
        <v>0</v>
      </c>
      <c r="D169" s="53">
        <f>SUM(D157:D167)</f>
        <v>0</v>
      </c>
      <c r="E169" s="53">
        <v>0</v>
      </c>
      <c r="F169" s="53">
        <f t="shared" ref="F169:AC169" si="30">SUM(F157:F167)</f>
        <v>0</v>
      </c>
      <c r="G169" s="53">
        <f t="shared" si="30"/>
        <v>5.5519999999999996</v>
      </c>
      <c r="H169" s="53">
        <f t="shared" si="30"/>
        <v>0</v>
      </c>
      <c r="I169" s="53">
        <f t="shared" si="30"/>
        <v>5.44</v>
      </c>
      <c r="J169" s="53">
        <f t="shared" si="30"/>
        <v>8.652000000000001</v>
      </c>
      <c r="K169" s="53">
        <f t="shared" si="30"/>
        <v>0</v>
      </c>
      <c r="L169" s="53">
        <f t="shared" si="30"/>
        <v>0</v>
      </c>
      <c r="M169" s="53">
        <f t="shared" si="30"/>
        <v>0</v>
      </c>
      <c r="N169" s="53">
        <f t="shared" si="30"/>
        <v>9.0220000000000002</v>
      </c>
      <c r="O169" s="53">
        <f t="shared" si="30"/>
        <v>0</v>
      </c>
      <c r="P169" s="53">
        <f t="shared" si="30"/>
        <v>0</v>
      </c>
      <c r="Q169" s="53">
        <f t="shared" si="30"/>
        <v>0</v>
      </c>
      <c r="R169" s="53">
        <f t="shared" si="30"/>
        <v>0</v>
      </c>
      <c r="S169" s="53">
        <f t="shared" si="30"/>
        <v>0</v>
      </c>
      <c r="T169" s="53">
        <f t="shared" si="30"/>
        <v>0.75</v>
      </c>
      <c r="U169" s="53">
        <f t="shared" si="30"/>
        <v>0</v>
      </c>
      <c r="V169" s="53">
        <f t="shared" si="30"/>
        <v>6.74</v>
      </c>
      <c r="W169" s="53">
        <f t="shared" si="30"/>
        <v>0</v>
      </c>
      <c r="X169" s="53">
        <f t="shared" si="30"/>
        <v>0</v>
      </c>
      <c r="Y169" s="53">
        <f t="shared" si="30"/>
        <v>5.5720000000000001</v>
      </c>
      <c r="Z169" s="53">
        <f t="shared" si="30"/>
        <v>0</v>
      </c>
      <c r="AA169" s="53">
        <f t="shared" si="30"/>
        <v>7.3019999999999996</v>
      </c>
      <c r="AB169" s="53">
        <f t="shared" si="30"/>
        <v>0</v>
      </c>
      <c r="AC169" s="53">
        <f t="shared" si="30"/>
        <v>0</v>
      </c>
      <c r="AD169" s="53">
        <v>0</v>
      </c>
      <c r="AE169" s="53">
        <f>SUM(AE157:AE167)</f>
        <v>0</v>
      </c>
      <c r="AF169" s="53">
        <f>SUM(AF157:AF167)</f>
        <v>0</v>
      </c>
      <c r="AG169" s="53">
        <f>SUM(AG157:AG167)</f>
        <v>0</v>
      </c>
      <c r="AH169" s="46">
        <f>SUM(AH157:AH167)</f>
        <v>61.758000000000003</v>
      </c>
    </row>
    <row r="170" spans="1:34" ht="5.0999999999999996" customHeight="1">
      <c r="A170" s="50"/>
      <c r="B170" s="51"/>
      <c r="C170" s="13"/>
      <c r="D170" s="52"/>
      <c r="E170" s="52"/>
      <c r="F170" s="52"/>
      <c r="G170" s="52"/>
      <c r="H170" s="52"/>
      <c r="I170" s="52"/>
      <c r="J170" s="52"/>
      <c r="K170" s="52"/>
      <c r="L170" s="52"/>
      <c r="M170" s="52"/>
      <c r="N170" s="52"/>
      <c r="O170" s="52"/>
      <c r="P170" s="52"/>
      <c r="Q170" s="52"/>
      <c r="R170" s="52"/>
      <c r="S170" s="52"/>
      <c r="T170" s="52"/>
      <c r="U170" s="52"/>
      <c r="V170" s="52"/>
      <c r="W170" s="52"/>
      <c r="X170" s="52"/>
      <c r="Y170" s="52"/>
      <c r="Z170" s="52"/>
      <c r="AA170" s="52"/>
      <c r="AB170" s="52"/>
      <c r="AC170" s="52"/>
      <c r="AD170" s="52"/>
      <c r="AE170" s="52"/>
      <c r="AF170" s="52"/>
      <c r="AG170" s="52"/>
      <c r="AH170" s="13"/>
    </row>
    <row r="171" spans="1:34" ht="15">
      <c r="A171" s="3569" t="s">
        <v>58</v>
      </c>
      <c r="B171" s="3570"/>
      <c r="C171" s="3570"/>
      <c r="D171" s="3570"/>
      <c r="E171" s="3570"/>
      <c r="F171" s="3570"/>
      <c r="G171" s="3570"/>
      <c r="H171" s="3571"/>
      <c r="I171" s="1477"/>
      <c r="J171" s="43"/>
      <c r="K171" s="43"/>
      <c r="L171" s="43"/>
      <c r="M171" s="43"/>
      <c r="N171" s="43"/>
      <c r="O171" s="43"/>
      <c r="P171" s="43"/>
      <c r="Q171" s="43"/>
      <c r="R171" s="43"/>
      <c r="S171" s="11"/>
      <c r="T171" s="11"/>
      <c r="U171" s="11"/>
      <c r="V171" s="11"/>
      <c r="W171" s="11"/>
      <c r="X171" s="11"/>
      <c r="Y171" s="11"/>
      <c r="Z171" s="11"/>
      <c r="AA171" s="11"/>
      <c r="AB171" s="11"/>
      <c r="AC171" s="11"/>
      <c r="AD171" s="11"/>
      <c r="AE171" s="11"/>
      <c r="AF171" s="11"/>
      <c r="AG171" s="11"/>
      <c r="AH171" s="11"/>
    </row>
    <row r="172" spans="1:34" ht="15">
      <c r="A172" s="5" t="s">
        <v>72</v>
      </c>
      <c r="B172" s="5" t="s">
        <v>73</v>
      </c>
      <c r="C172" s="1249">
        <v>1</v>
      </c>
      <c r="D172" s="30">
        <v>2</v>
      </c>
      <c r="E172" s="30">
        <v>3</v>
      </c>
      <c r="F172" s="30">
        <v>4</v>
      </c>
      <c r="G172" s="30">
        <v>5</v>
      </c>
      <c r="H172" s="30">
        <v>6</v>
      </c>
      <c r="I172" s="30">
        <v>7</v>
      </c>
      <c r="J172" s="30">
        <v>8</v>
      </c>
      <c r="K172" s="30">
        <v>9</v>
      </c>
      <c r="L172" s="30">
        <v>10</v>
      </c>
      <c r="M172" s="30">
        <v>11</v>
      </c>
      <c r="N172" s="30">
        <v>12</v>
      </c>
      <c r="O172" s="30">
        <v>13</v>
      </c>
      <c r="P172" s="30">
        <v>14</v>
      </c>
      <c r="Q172" s="30">
        <v>15</v>
      </c>
      <c r="R172" s="30">
        <v>16</v>
      </c>
      <c r="S172" s="30">
        <v>17</v>
      </c>
      <c r="T172" s="30">
        <v>18</v>
      </c>
      <c r="U172" s="30">
        <v>19</v>
      </c>
      <c r="V172" s="30">
        <v>20</v>
      </c>
      <c r="W172" s="30">
        <v>21</v>
      </c>
      <c r="X172" s="30">
        <v>22</v>
      </c>
      <c r="Y172" s="30">
        <v>23</v>
      </c>
      <c r="Z172" s="30">
        <v>24</v>
      </c>
      <c r="AA172" s="30">
        <v>25</v>
      </c>
      <c r="AB172" s="30">
        <v>26</v>
      </c>
      <c r="AC172" s="30">
        <v>27</v>
      </c>
      <c r="AD172" s="30">
        <v>28</v>
      </c>
      <c r="AE172" s="30">
        <v>29</v>
      </c>
      <c r="AF172" s="30">
        <v>30</v>
      </c>
      <c r="AG172" s="30">
        <v>31</v>
      </c>
      <c r="AH172" s="39" t="s">
        <v>74</v>
      </c>
    </row>
    <row r="173" spans="1:34" ht="15">
      <c r="A173" s="148" t="s">
        <v>75</v>
      </c>
      <c r="B173" s="18">
        <f t="shared" ref="B173:B184" si="31">+AH173</f>
        <v>0</v>
      </c>
      <c r="C173" s="126" t="s">
        <v>111</v>
      </c>
      <c r="D173" s="126" t="s">
        <v>111</v>
      </c>
      <c r="E173" s="126" t="s">
        <v>111</v>
      </c>
      <c r="F173" s="126" t="s">
        <v>111</v>
      </c>
      <c r="G173" s="126" t="s">
        <v>111</v>
      </c>
      <c r="H173" s="126" t="s">
        <v>111</v>
      </c>
      <c r="I173" s="126" t="s">
        <v>111</v>
      </c>
      <c r="J173" s="126" t="s">
        <v>111</v>
      </c>
      <c r="K173" s="126" t="s">
        <v>111</v>
      </c>
      <c r="L173" s="126" t="s">
        <v>111</v>
      </c>
      <c r="M173" s="126" t="s">
        <v>111</v>
      </c>
      <c r="N173" s="126" t="s">
        <v>111</v>
      </c>
      <c r="O173" s="126" t="s">
        <v>111</v>
      </c>
      <c r="P173" s="126" t="s">
        <v>111</v>
      </c>
      <c r="Q173" s="126" t="s">
        <v>111</v>
      </c>
      <c r="R173" s="126" t="s">
        <v>111</v>
      </c>
      <c r="S173" s="126" t="s">
        <v>111</v>
      </c>
      <c r="T173" s="126" t="s">
        <v>111</v>
      </c>
      <c r="U173" s="126" t="s">
        <v>111</v>
      </c>
      <c r="V173" s="126" t="s">
        <v>111</v>
      </c>
      <c r="W173" s="126" t="s">
        <v>111</v>
      </c>
      <c r="X173" s="126" t="s">
        <v>111</v>
      </c>
      <c r="Y173" s="126" t="s">
        <v>111</v>
      </c>
      <c r="Z173" s="126" t="s">
        <v>111</v>
      </c>
      <c r="AA173" s="126" t="s">
        <v>111</v>
      </c>
      <c r="AB173" s="126" t="s">
        <v>111</v>
      </c>
      <c r="AC173" s="126" t="s">
        <v>111</v>
      </c>
      <c r="AD173" s="126" t="s">
        <v>111</v>
      </c>
      <c r="AE173" s="126" t="s">
        <v>111</v>
      </c>
      <c r="AF173" s="126" t="s">
        <v>111</v>
      </c>
      <c r="AG173" s="126" t="s">
        <v>111</v>
      </c>
      <c r="AH173" s="53">
        <f>SUM(C173:AG173)</f>
        <v>0</v>
      </c>
    </row>
    <row r="174" spans="1:34" ht="15">
      <c r="A174" s="148" t="s">
        <v>76</v>
      </c>
      <c r="B174" s="18">
        <f t="shared" si="31"/>
        <v>0</v>
      </c>
      <c r="C174" s="126" t="s">
        <v>111</v>
      </c>
      <c r="D174" s="126" t="s">
        <v>111</v>
      </c>
      <c r="E174" s="126" t="s">
        <v>111</v>
      </c>
      <c r="F174" s="126" t="s">
        <v>111</v>
      </c>
      <c r="G174" s="126" t="s">
        <v>111</v>
      </c>
      <c r="H174" s="126" t="s">
        <v>111</v>
      </c>
      <c r="I174" s="126" t="s">
        <v>111</v>
      </c>
      <c r="J174" s="127"/>
      <c r="K174" s="127"/>
      <c r="L174" s="127"/>
      <c r="M174" s="127"/>
      <c r="N174" s="127"/>
      <c r="O174" s="127"/>
      <c r="P174" s="127"/>
      <c r="Q174" s="127"/>
      <c r="R174" s="127"/>
      <c r="S174" s="127"/>
      <c r="T174" s="127"/>
      <c r="U174" s="127"/>
      <c r="V174" s="127"/>
      <c r="W174" s="127"/>
      <c r="X174" s="127"/>
      <c r="Y174" s="127"/>
      <c r="Z174" s="127"/>
      <c r="AA174" s="127"/>
      <c r="AB174" s="127"/>
      <c r="AC174" s="127"/>
      <c r="AD174" s="127"/>
      <c r="AE174" s="127"/>
      <c r="AF174" s="127"/>
      <c r="AG174" s="127"/>
      <c r="AH174" s="53">
        <f>SUM(C174:AG174)</f>
        <v>0</v>
      </c>
    </row>
    <row r="175" spans="1:34" ht="15">
      <c r="A175" s="148" t="s">
        <v>77</v>
      </c>
      <c r="B175" s="18">
        <f t="shared" si="31"/>
        <v>0</v>
      </c>
      <c r="C175" s="127"/>
      <c r="D175" s="127"/>
      <c r="E175" s="127"/>
      <c r="F175" s="127"/>
      <c r="G175" s="127"/>
      <c r="H175" s="112"/>
      <c r="I175" s="112"/>
      <c r="J175" s="112"/>
      <c r="K175" s="112"/>
      <c r="L175" s="112"/>
      <c r="M175" s="112"/>
      <c r="N175" s="112"/>
      <c r="O175" s="112"/>
      <c r="P175" s="112"/>
      <c r="Q175" s="112"/>
      <c r="R175" s="112"/>
      <c r="S175" s="18"/>
      <c r="T175" s="18"/>
      <c r="U175" s="18"/>
      <c r="V175" s="18"/>
      <c r="W175" s="18"/>
      <c r="X175" s="18"/>
      <c r="Y175" s="18"/>
      <c r="Z175" s="18"/>
      <c r="AA175" s="18"/>
      <c r="AB175" s="18"/>
      <c r="AC175" s="1930"/>
      <c r="AD175" s="1930"/>
      <c r="AE175" s="1930"/>
      <c r="AF175" s="1930"/>
      <c r="AG175" s="1930"/>
      <c r="AH175" s="53">
        <f>SUM(C175:AG175)</f>
        <v>0</v>
      </c>
    </row>
    <row r="176" spans="1:34" ht="15">
      <c r="A176" s="148" t="s">
        <v>78</v>
      </c>
      <c r="B176" s="18">
        <f t="shared" si="31"/>
        <v>0</v>
      </c>
      <c r="C176" s="1930"/>
      <c r="D176" s="1930"/>
      <c r="E176" s="1930"/>
      <c r="F176" s="1930"/>
      <c r="G176" s="1930"/>
      <c r="H176" s="1930"/>
      <c r="I176" s="1930"/>
      <c r="J176" s="1930"/>
      <c r="K176" s="1930"/>
      <c r="L176" s="1287"/>
      <c r="M176" s="1287"/>
      <c r="N176" s="1287"/>
      <c r="O176" s="1287"/>
      <c r="P176" s="1287"/>
      <c r="Q176" s="1287"/>
      <c r="R176" s="1287"/>
      <c r="S176" s="1287"/>
      <c r="T176" s="1287"/>
      <c r="U176" s="1287"/>
      <c r="V176" s="1287"/>
      <c r="W176" s="1287"/>
      <c r="X176" s="1287"/>
      <c r="Y176" s="1287"/>
      <c r="Z176" s="1287"/>
      <c r="AA176" s="1287"/>
      <c r="AB176" s="1287"/>
      <c r="AC176" s="1287"/>
      <c r="AD176" s="1287"/>
      <c r="AE176" s="1287"/>
      <c r="AF176" s="1287"/>
      <c r="AG176" s="1287"/>
      <c r="AH176" s="53">
        <f t="shared" ref="AH176:AH184" si="32">SUM(C176:AG176)</f>
        <v>0</v>
      </c>
    </row>
    <row r="177" spans="1:34" ht="15">
      <c r="A177" s="143" t="s">
        <v>79</v>
      </c>
      <c r="B177" s="18">
        <f t="shared" si="31"/>
        <v>0</v>
      </c>
      <c r="C177" s="1287"/>
      <c r="D177" s="1287"/>
      <c r="E177" s="1287"/>
      <c r="F177" s="1287"/>
      <c r="G177" s="1287"/>
      <c r="H177" s="1287"/>
      <c r="I177" s="1287"/>
      <c r="J177" s="1287"/>
      <c r="K177" s="1287"/>
      <c r="L177" s="1287"/>
      <c r="M177" s="1287"/>
      <c r="N177" s="1287"/>
      <c r="O177" s="1287"/>
      <c r="P177" s="1287"/>
      <c r="Q177" s="1287"/>
      <c r="R177" s="1287"/>
      <c r="S177" s="1287"/>
      <c r="T177" s="1287"/>
      <c r="U177" s="1287"/>
      <c r="V177" s="1287"/>
      <c r="W177" s="1287"/>
      <c r="X177" s="1287"/>
      <c r="Y177" s="1287"/>
      <c r="Z177" s="1287"/>
      <c r="AA177" s="1287"/>
      <c r="AB177" s="1287"/>
      <c r="AC177" s="1287"/>
      <c r="AD177" s="1287"/>
      <c r="AE177" s="1287"/>
      <c r="AF177" s="1287"/>
      <c r="AG177" s="1287"/>
      <c r="AH177" s="53">
        <f t="shared" si="32"/>
        <v>0</v>
      </c>
    </row>
    <row r="178" spans="1:34" ht="15">
      <c r="A178" s="143" t="s">
        <v>80</v>
      </c>
      <c r="B178" s="18">
        <f t="shared" si="31"/>
        <v>0</v>
      </c>
      <c r="C178" s="1287"/>
      <c r="D178" s="1287"/>
      <c r="E178" s="1287"/>
      <c r="F178" s="1287"/>
      <c r="G178" s="1287"/>
      <c r="H178" s="1287"/>
      <c r="I178" s="1287"/>
      <c r="J178" s="1287"/>
      <c r="K178" s="1287"/>
      <c r="L178" s="1287"/>
      <c r="M178" s="1287"/>
      <c r="N178" s="1287"/>
      <c r="O178" s="1287"/>
      <c r="P178" s="1287"/>
      <c r="Q178" s="1287"/>
      <c r="R178" s="1287"/>
      <c r="S178" s="1287"/>
      <c r="T178" s="1287"/>
      <c r="U178" s="1287"/>
      <c r="V178" s="1287"/>
      <c r="W178" s="1287"/>
      <c r="X178" s="1287"/>
      <c r="Y178" s="1287"/>
      <c r="Z178" s="1287"/>
      <c r="AA178" s="1287"/>
      <c r="AB178" s="1287"/>
      <c r="AC178" s="1287"/>
      <c r="AD178" s="1287"/>
      <c r="AE178" s="1287"/>
      <c r="AF178" s="1287"/>
      <c r="AG178" s="1287"/>
      <c r="AH178" s="53">
        <f t="shared" si="32"/>
        <v>0</v>
      </c>
    </row>
    <row r="179" spans="1:34" ht="15">
      <c r="A179" s="143" t="s">
        <v>81</v>
      </c>
      <c r="B179" s="18">
        <f t="shared" si="31"/>
        <v>0</v>
      </c>
      <c r="C179" s="1287"/>
      <c r="D179" s="1488"/>
      <c r="E179" s="1488"/>
      <c r="F179" s="1488"/>
      <c r="G179" s="1287"/>
      <c r="H179" s="1287"/>
      <c r="I179" s="1287"/>
      <c r="J179" s="2466"/>
      <c r="K179" s="2466"/>
      <c r="L179" s="1488"/>
      <c r="M179" s="1488"/>
      <c r="N179" s="1488"/>
      <c r="O179" s="1488"/>
      <c r="P179" s="1488"/>
      <c r="Q179" s="1488"/>
      <c r="R179" s="1488"/>
      <c r="S179" s="1488"/>
      <c r="T179" s="1488"/>
      <c r="U179" s="1488"/>
      <c r="V179" s="1488"/>
      <c r="W179" s="688"/>
      <c r="X179" s="688"/>
      <c r="Y179" s="688"/>
      <c r="Z179" s="688"/>
      <c r="AA179" s="688"/>
      <c r="AB179" s="688"/>
      <c r="AC179" s="688"/>
      <c r="AD179" s="688"/>
      <c r="AE179" s="688"/>
      <c r="AF179" s="688" t="s">
        <v>111</v>
      </c>
      <c r="AG179" s="688" t="s">
        <v>111</v>
      </c>
      <c r="AH179" s="53">
        <f t="shared" si="32"/>
        <v>0</v>
      </c>
    </row>
    <row r="180" spans="1:34" ht="15">
      <c r="A180" s="143" t="s">
        <v>82</v>
      </c>
      <c r="B180" s="18">
        <f t="shared" si="31"/>
        <v>0</v>
      </c>
      <c r="C180" s="688" t="s">
        <v>111</v>
      </c>
      <c r="D180" s="688" t="s">
        <v>111</v>
      </c>
      <c r="E180" s="688" t="s">
        <v>111</v>
      </c>
      <c r="F180" s="688" t="s">
        <v>111</v>
      </c>
      <c r="G180" s="688" t="s">
        <v>111</v>
      </c>
      <c r="H180" s="688" t="s">
        <v>111</v>
      </c>
      <c r="I180" s="688" t="s">
        <v>111</v>
      </c>
      <c r="J180" s="688" t="s">
        <v>111</v>
      </c>
      <c r="K180" s="688" t="s">
        <v>111</v>
      </c>
      <c r="L180" s="688" t="s">
        <v>111</v>
      </c>
      <c r="M180" s="688" t="s">
        <v>111</v>
      </c>
      <c r="N180" s="688" t="s">
        <v>111</v>
      </c>
      <c r="O180" s="688" t="s">
        <v>111</v>
      </c>
      <c r="P180" s="688" t="s">
        <v>111</v>
      </c>
      <c r="Q180" s="688" t="s">
        <v>111</v>
      </c>
      <c r="R180" s="688" t="s">
        <v>111</v>
      </c>
      <c r="S180" s="688" t="s">
        <v>111</v>
      </c>
      <c r="T180" s="688" t="s">
        <v>111</v>
      </c>
      <c r="U180" s="688" t="s">
        <v>111</v>
      </c>
      <c r="V180" s="688" t="s">
        <v>111</v>
      </c>
      <c r="W180" s="688" t="s">
        <v>111</v>
      </c>
      <c r="X180" s="688" t="s">
        <v>111</v>
      </c>
      <c r="Y180" s="688" t="s">
        <v>111</v>
      </c>
      <c r="Z180" s="688" t="s">
        <v>111</v>
      </c>
      <c r="AA180" s="688" t="s">
        <v>111</v>
      </c>
      <c r="AB180" s="688" t="s">
        <v>111</v>
      </c>
      <c r="AC180" s="688" t="s">
        <v>111</v>
      </c>
      <c r="AD180" s="688" t="s">
        <v>111</v>
      </c>
      <c r="AE180" s="688" t="s">
        <v>111</v>
      </c>
      <c r="AF180" s="688" t="s">
        <v>111</v>
      </c>
      <c r="AG180" s="688" t="s">
        <v>111</v>
      </c>
      <c r="AH180" s="53">
        <f t="shared" si="32"/>
        <v>0</v>
      </c>
    </row>
    <row r="181" spans="1:34" ht="15">
      <c r="A181" s="149" t="s">
        <v>83</v>
      </c>
      <c r="B181" s="18">
        <f t="shared" si="31"/>
        <v>0</v>
      </c>
      <c r="C181" s="688" t="s">
        <v>111</v>
      </c>
      <c r="D181" s="688" t="s">
        <v>111</v>
      </c>
      <c r="E181" s="688" t="s">
        <v>111</v>
      </c>
      <c r="F181" s="688" t="s">
        <v>111</v>
      </c>
      <c r="G181" s="688" t="s">
        <v>111</v>
      </c>
      <c r="H181" s="688" t="s">
        <v>111</v>
      </c>
      <c r="I181" s="688" t="s">
        <v>111</v>
      </c>
      <c r="J181" s="688" t="s">
        <v>111</v>
      </c>
      <c r="K181" s="688" t="s">
        <v>111</v>
      </c>
      <c r="L181" s="688" t="s">
        <v>111</v>
      </c>
      <c r="M181" s="688" t="s">
        <v>111</v>
      </c>
      <c r="N181" s="688" t="s">
        <v>111</v>
      </c>
      <c r="O181" s="688" t="s">
        <v>111</v>
      </c>
      <c r="P181" s="688" t="s">
        <v>111</v>
      </c>
      <c r="Q181" s="688" t="s">
        <v>111</v>
      </c>
      <c r="R181" s="688" t="s">
        <v>111</v>
      </c>
      <c r="S181" s="688" t="s">
        <v>111</v>
      </c>
      <c r="T181" s="688" t="s">
        <v>111</v>
      </c>
      <c r="U181" s="688" t="s">
        <v>111</v>
      </c>
      <c r="V181" s="688" t="s">
        <v>111</v>
      </c>
      <c r="W181" s="688" t="s">
        <v>111</v>
      </c>
      <c r="X181" s="688" t="s">
        <v>111</v>
      </c>
      <c r="Y181" s="688" t="s">
        <v>111</v>
      </c>
      <c r="Z181" s="688" t="s">
        <v>111</v>
      </c>
      <c r="AA181" s="688" t="s">
        <v>111</v>
      </c>
      <c r="AB181" s="688" t="s">
        <v>111</v>
      </c>
      <c r="AC181" s="688" t="s">
        <v>111</v>
      </c>
      <c r="AD181" s="688" t="s">
        <v>111</v>
      </c>
      <c r="AE181" s="688" t="s">
        <v>111</v>
      </c>
      <c r="AF181" s="688" t="s">
        <v>111</v>
      </c>
      <c r="AG181" s="688" t="s">
        <v>111</v>
      </c>
      <c r="AH181" s="53">
        <f t="shared" si="32"/>
        <v>0</v>
      </c>
    </row>
    <row r="182" spans="1:34" ht="15">
      <c r="A182" s="149" t="s">
        <v>84</v>
      </c>
      <c r="B182" s="18">
        <f t="shared" si="31"/>
        <v>0</v>
      </c>
      <c r="C182" s="688" t="s">
        <v>111</v>
      </c>
      <c r="D182" s="688" t="s">
        <v>111</v>
      </c>
      <c r="E182" s="688" t="s">
        <v>111</v>
      </c>
      <c r="F182" s="688" t="s">
        <v>111</v>
      </c>
      <c r="G182" s="688" t="s">
        <v>111</v>
      </c>
      <c r="H182" s="688" t="s">
        <v>111</v>
      </c>
      <c r="I182" s="688" t="s">
        <v>111</v>
      </c>
      <c r="J182" s="688" t="s">
        <v>111</v>
      </c>
      <c r="K182" s="688" t="s">
        <v>111</v>
      </c>
      <c r="L182" s="688" t="s">
        <v>111</v>
      </c>
      <c r="M182" s="688" t="s">
        <v>111</v>
      </c>
      <c r="N182" s="688" t="s">
        <v>111</v>
      </c>
      <c r="O182" s="688" t="s">
        <v>111</v>
      </c>
      <c r="P182" s="688" t="s">
        <v>111</v>
      </c>
      <c r="Q182" s="688" t="s">
        <v>111</v>
      </c>
      <c r="R182" s="688" t="s">
        <v>111</v>
      </c>
      <c r="S182" s="688" t="s">
        <v>111</v>
      </c>
      <c r="T182" s="688" t="s">
        <v>111</v>
      </c>
      <c r="U182" s="688" t="s">
        <v>111</v>
      </c>
      <c r="V182" s="688" t="s">
        <v>111</v>
      </c>
      <c r="W182" s="688" t="s">
        <v>111</v>
      </c>
      <c r="X182" s="1287"/>
      <c r="Y182" s="1287"/>
      <c r="Z182" s="1287"/>
      <c r="AA182" s="1287"/>
      <c r="AB182" s="1287"/>
      <c r="AC182" s="1287"/>
      <c r="AD182" s="1287"/>
      <c r="AE182" s="1488"/>
      <c r="AF182" s="1287"/>
      <c r="AG182" s="1488"/>
      <c r="AH182" s="53">
        <f t="shared" si="32"/>
        <v>0</v>
      </c>
    </row>
    <row r="183" spans="1:34" ht="15">
      <c r="A183" s="149" t="s">
        <v>85</v>
      </c>
      <c r="B183" s="18">
        <f t="shared" si="31"/>
        <v>0</v>
      </c>
      <c r="C183" s="1287"/>
      <c r="D183" s="1287"/>
      <c r="E183" s="1287"/>
      <c r="F183" s="1287"/>
      <c r="G183" s="1433"/>
      <c r="H183" s="1287"/>
      <c r="I183" s="1287"/>
      <c r="J183" s="1287"/>
      <c r="K183" s="1287"/>
      <c r="L183" s="1287"/>
      <c r="M183" s="1287"/>
      <c r="N183" s="1287"/>
      <c r="O183" s="1287"/>
      <c r="P183" s="1287"/>
      <c r="Q183" s="1287"/>
      <c r="R183" s="1287"/>
      <c r="S183" s="1287"/>
      <c r="T183" s="1287"/>
      <c r="U183" s="1287"/>
      <c r="V183" s="1287"/>
      <c r="W183" s="1287"/>
      <c r="X183" s="1287"/>
      <c r="Y183" s="1433"/>
      <c r="Z183" s="1287"/>
      <c r="AA183" s="1287"/>
      <c r="AB183" s="1287"/>
      <c r="AC183" s="1287"/>
      <c r="AD183" s="1287"/>
      <c r="AE183" s="1488"/>
      <c r="AF183" s="1287"/>
      <c r="AG183" s="1488"/>
      <c r="AH183" s="53">
        <f t="shared" si="32"/>
        <v>0</v>
      </c>
    </row>
    <row r="184" spans="1:34" ht="15">
      <c r="A184" s="149" t="s">
        <v>86</v>
      </c>
      <c r="B184" s="18">
        <f t="shared" si="31"/>
        <v>0</v>
      </c>
      <c r="C184" s="1287"/>
      <c r="D184" s="1287"/>
      <c r="E184" s="1287"/>
      <c r="F184" s="1287"/>
      <c r="G184" s="1287"/>
      <c r="H184" s="1287"/>
      <c r="I184" s="1287"/>
      <c r="J184" s="1287"/>
      <c r="K184" s="1287"/>
      <c r="L184" s="1287"/>
      <c r="M184" s="1287"/>
      <c r="N184" s="1287"/>
      <c r="O184" s="1287"/>
      <c r="P184" s="1287"/>
      <c r="Q184" s="1287"/>
      <c r="R184" s="1287"/>
      <c r="S184" s="1287"/>
      <c r="T184" s="1287"/>
      <c r="U184" s="1287"/>
      <c r="V184" s="1287"/>
      <c r="W184" s="1287"/>
      <c r="X184" s="1287"/>
      <c r="Y184" s="1287"/>
      <c r="Z184" s="1287"/>
      <c r="AA184" s="1287"/>
      <c r="AB184" s="1287"/>
      <c r="AC184" s="1287"/>
      <c r="AD184" s="1287"/>
      <c r="AE184" s="1287"/>
      <c r="AF184" s="1287"/>
      <c r="AG184" s="1287"/>
      <c r="AH184" s="53">
        <f t="shared" si="32"/>
        <v>0</v>
      </c>
    </row>
    <row r="185" spans="1:34" ht="15">
      <c r="A185" s="88" t="s">
        <v>74</v>
      </c>
      <c r="B185" s="89">
        <f>SUM(B173:B184)</f>
        <v>0</v>
      </c>
      <c r="C185" s="46">
        <f>SUM(C173:C183)</f>
        <v>0</v>
      </c>
      <c r="D185" s="53">
        <f>SUM(D173:D183)</f>
        <v>0</v>
      </c>
      <c r="E185" s="53">
        <v>0</v>
      </c>
      <c r="F185" s="53">
        <f t="shared" ref="F185:AC185" si="33">SUM(F173:F183)</f>
        <v>0</v>
      </c>
      <c r="G185" s="53">
        <f t="shared" si="33"/>
        <v>0</v>
      </c>
      <c r="H185" s="53">
        <f t="shared" si="33"/>
        <v>0</v>
      </c>
      <c r="I185" s="53">
        <f t="shared" si="33"/>
        <v>0</v>
      </c>
      <c r="J185" s="53">
        <f t="shared" si="33"/>
        <v>0</v>
      </c>
      <c r="K185" s="53">
        <f t="shared" si="33"/>
        <v>0</v>
      </c>
      <c r="L185" s="53">
        <f t="shared" si="33"/>
        <v>0</v>
      </c>
      <c r="M185" s="53">
        <f t="shared" si="33"/>
        <v>0</v>
      </c>
      <c r="N185" s="53">
        <f t="shared" si="33"/>
        <v>0</v>
      </c>
      <c r="O185" s="53">
        <f t="shared" si="33"/>
        <v>0</v>
      </c>
      <c r="P185" s="53">
        <f t="shared" si="33"/>
        <v>0</v>
      </c>
      <c r="Q185" s="53">
        <f t="shared" si="33"/>
        <v>0</v>
      </c>
      <c r="R185" s="53">
        <f t="shared" si="33"/>
        <v>0</v>
      </c>
      <c r="S185" s="53">
        <f t="shared" si="33"/>
        <v>0</v>
      </c>
      <c r="T185" s="53">
        <f t="shared" si="33"/>
        <v>0</v>
      </c>
      <c r="U185" s="53">
        <f t="shared" si="33"/>
        <v>0</v>
      </c>
      <c r="V185" s="53">
        <f t="shared" si="33"/>
        <v>0</v>
      </c>
      <c r="W185" s="53">
        <f t="shared" si="33"/>
        <v>0</v>
      </c>
      <c r="X185" s="53">
        <f t="shared" si="33"/>
        <v>0</v>
      </c>
      <c r="Y185" s="53">
        <f t="shared" si="33"/>
        <v>0</v>
      </c>
      <c r="Z185" s="53">
        <f t="shared" si="33"/>
        <v>0</v>
      </c>
      <c r="AA185" s="53">
        <f t="shared" si="33"/>
        <v>0</v>
      </c>
      <c r="AB185" s="53">
        <f t="shared" si="33"/>
        <v>0</v>
      </c>
      <c r="AC185" s="53">
        <f t="shared" si="33"/>
        <v>0</v>
      </c>
      <c r="AD185" s="53">
        <v>0</v>
      </c>
      <c r="AE185" s="53">
        <f>SUM(AE173:AE183)</f>
        <v>0</v>
      </c>
      <c r="AF185" s="53">
        <f>SUM(AF173:AF183)</f>
        <v>0</v>
      </c>
      <c r="AG185" s="53">
        <f>SUM(AG173:AG183)</f>
        <v>0</v>
      </c>
      <c r="AH185" s="46">
        <f>SUM(AH173:AH183)</f>
        <v>0</v>
      </c>
    </row>
    <row r="186" spans="1:34" ht="5.0999999999999996" customHeight="1">
      <c r="A186" s="50"/>
      <c r="B186" s="51"/>
      <c r="C186" s="13"/>
      <c r="D186" s="52"/>
      <c r="E186" s="52"/>
      <c r="F186" s="52"/>
      <c r="G186" s="52"/>
      <c r="H186" s="52"/>
      <c r="I186" s="52"/>
      <c r="J186" s="52"/>
      <c r="K186" s="52"/>
      <c r="L186" s="52"/>
      <c r="M186" s="52"/>
      <c r="N186" s="52"/>
      <c r="O186" s="52"/>
      <c r="P186" s="52"/>
      <c r="Q186" s="52"/>
      <c r="R186" s="52"/>
      <c r="S186" s="52"/>
      <c r="T186" s="52"/>
      <c r="U186" s="52"/>
      <c r="V186" s="52"/>
      <c r="W186" s="52"/>
      <c r="X186" s="52"/>
      <c r="Y186" s="52"/>
      <c r="Z186" s="52"/>
      <c r="AA186" s="52"/>
      <c r="AB186" s="52"/>
      <c r="AC186" s="52"/>
      <c r="AD186" s="52"/>
      <c r="AE186" s="52"/>
      <c r="AF186" s="52"/>
      <c r="AG186" s="52"/>
      <c r="AH186" s="13"/>
    </row>
    <row r="187" spans="1:34" ht="15">
      <c r="A187" s="3569" t="s">
        <v>102</v>
      </c>
      <c r="B187" s="3570"/>
      <c r="C187" s="3570"/>
      <c r="D187" s="3570"/>
      <c r="E187" s="3570"/>
      <c r="F187" s="3570"/>
      <c r="G187" s="3570"/>
      <c r="H187" s="3571"/>
      <c r="I187" s="1477"/>
      <c r="J187" s="43"/>
      <c r="K187" s="43"/>
      <c r="L187" s="43"/>
      <c r="M187" s="43"/>
      <c r="N187" s="43"/>
      <c r="O187" s="43"/>
      <c r="P187" s="43"/>
      <c r="Q187" s="43"/>
      <c r="R187" s="43"/>
      <c r="S187" s="11"/>
      <c r="T187" s="11"/>
      <c r="U187" s="11"/>
      <c r="V187" s="11"/>
      <c r="W187" s="11"/>
      <c r="X187" s="11"/>
      <c r="Y187" s="11"/>
      <c r="Z187" s="11"/>
      <c r="AA187" s="11"/>
      <c r="AB187" s="11"/>
      <c r="AC187" s="11"/>
      <c r="AD187" s="11"/>
      <c r="AE187" s="11"/>
      <c r="AF187" s="11"/>
      <c r="AG187" s="11"/>
      <c r="AH187" s="11"/>
    </row>
    <row r="188" spans="1:34" ht="15">
      <c r="A188" s="5" t="s">
        <v>72</v>
      </c>
      <c r="B188" s="5" t="s">
        <v>73</v>
      </c>
      <c r="C188" s="1249">
        <v>1</v>
      </c>
      <c r="D188" s="30">
        <v>2</v>
      </c>
      <c r="E188" s="30">
        <v>3</v>
      </c>
      <c r="F188" s="30">
        <v>4</v>
      </c>
      <c r="G188" s="30">
        <v>5</v>
      </c>
      <c r="H188" s="30">
        <v>6</v>
      </c>
      <c r="I188" s="30">
        <v>7</v>
      </c>
      <c r="J188" s="30">
        <v>8</v>
      </c>
      <c r="K188" s="30">
        <v>9</v>
      </c>
      <c r="L188" s="30">
        <v>10</v>
      </c>
      <c r="M188" s="30">
        <v>11</v>
      </c>
      <c r="N188" s="30">
        <v>12</v>
      </c>
      <c r="O188" s="30">
        <v>13</v>
      </c>
      <c r="P188" s="30">
        <v>14</v>
      </c>
      <c r="Q188" s="30">
        <v>15</v>
      </c>
      <c r="R188" s="30">
        <v>16</v>
      </c>
      <c r="S188" s="30">
        <v>17</v>
      </c>
      <c r="T188" s="30">
        <v>18</v>
      </c>
      <c r="U188" s="30">
        <v>19</v>
      </c>
      <c r="V188" s="30">
        <v>20</v>
      </c>
      <c r="W188" s="30">
        <v>21</v>
      </c>
      <c r="X188" s="30">
        <v>22</v>
      </c>
      <c r="Y188" s="30">
        <v>23</v>
      </c>
      <c r="Z188" s="30">
        <v>24</v>
      </c>
      <c r="AA188" s="30">
        <v>25</v>
      </c>
      <c r="AB188" s="30">
        <v>26</v>
      </c>
      <c r="AC188" s="30">
        <v>27</v>
      </c>
      <c r="AD188" s="30">
        <v>28</v>
      </c>
      <c r="AE188" s="30">
        <v>29</v>
      </c>
      <c r="AF188" s="30">
        <v>30</v>
      </c>
      <c r="AG188" s="30">
        <v>31</v>
      </c>
      <c r="AH188" s="39" t="s">
        <v>74</v>
      </c>
    </row>
    <row r="189" spans="1:34" ht="15">
      <c r="A189" s="148" t="s">
        <v>75</v>
      </c>
      <c r="B189" s="67">
        <f t="shared" ref="B189:B200" si="34">+AH189</f>
        <v>0</v>
      </c>
      <c r="C189" s="126" t="s">
        <v>111</v>
      </c>
      <c r="D189" s="126" t="s">
        <v>111</v>
      </c>
      <c r="E189" s="126" t="s">
        <v>111</v>
      </c>
      <c r="F189" s="126" t="s">
        <v>111</v>
      </c>
      <c r="G189" s="126" t="s">
        <v>111</v>
      </c>
      <c r="H189" s="126" t="s">
        <v>111</v>
      </c>
      <c r="I189" s="126" t="s">
        <v>111</v>
      </c>
      <c r="J189" s="126" t="s">
        <v>111</v>
      </c>
      <c r="K189" s="126" t="s">
        <v>111</v>
      </c>
      <c r="L189" s="126" t="s">
        <v>111</v>
      </c>
      <c r="M189" s="126" t="s">
        <v>111</v>
      </c>
      <c r="N189" s="126" t="s">
        <v>111</v>
      </c>
      <c r="O189" s="126" t="s">
        <v>111</v>
      </c>
      <c r="P189" s="126" t="s">
        <v>111</v>
      </c>
      <c r="Q189" s="126" t="s">
        <v>111</v>
      </c>
      <c r="R189" s="126" t="s">
        <v>111</v>
      </c>
      <c r="S189" s="126" t="s">
        <v>111</v>
      </c>
      <c r="T189" s="126" t="s">
        <v>111</v>
      </c>
      <c r="U189" s="126" t="s">
        <v>111</v>
      </c>
      <c r="V189" s="126" t="s">
        <v>111</v>
      </c>
      <c r="W189" s="126" t="s">
        <v>111</v>
      </c>
      <c r="X189" s="126" t="s">
        <v>111</v>
      </c>
      <c r="Y189" s="126" t="s">
        <v>111</v>
      </c>
      <c r="Z189" s="126" t="s">
        <v>111</v>
      </c>
      <c r="AA189" s="126" t="s">
        <v>111</v>
      </c>
      <c r="AB189" s="126" t="s">
        <v>111</v>
      </c>
      <c r="AC189" s="126" t="s">
        <v>111</v>
      </c>
      <c r="AD189" s="126" t="s">
        <v>111</v>
      </c>
      <c r="AE189" s="126" t="s">
        <v>111</v>
      </c>
      <c r="AF189" s="126" t="s">
        <v>111</v>
      </c>
      <c r="AG189" s="126" t="s">
        <v>111</v>
      </c>
      <c r="AH189" s="53">
        <f>SUM(C189:AG189)</f>
        <v>0</v>
      </c>
    </row>
    <row r="190" spans="1:34" ht="15">
      <c r="A190" s="148" t="s">
        <v>76</v>
      </c>
      <c r="B190" s="67">
        <f t="shared" si="34"/>
        <v>0</v>
      </c>
      <c r="C190" s="126" t="s">
        <v>111</v>
      </c>
      <c r="D190" s="126" t="s">
        <v>111</v>
      </c>
      <c r="E190" s="126" t="s">
        <v>111</v>
      </c>
      <c r="F190" s="126" t="s">
        <v>111</v>
      </c>
      <c r="G190" s="126" t="s">
        <v>111</v>
      </c>
      <c r="H190" s="126" t="s">
        <v>111</v>
      </c>
      <c r="I190" s="126" t="s">
        <v>111</v>
      </c>
      <c r="J190" s="127"/>
      <c r="K190" s="127"/>
      <c r="L190" s="127"/>
      <c r="M190" s="127"/>
      <c r="N190" s="127"/>
      <c r="O190" s="127"/>
      <c r="P190" s="127"/>
      <c r="Q190" s="127"/>
      <c r="R190" s="127"/>
      <c r="S190" s="127"/>
      <c r="T190" s="127"/>
      <c r="U190" s="127"/>
      <c r="V190" s="127"/>
      <c r="W190" s="127"/>
      <c r="X190" s="127"/>
      <c r="Y190" s="127"/>
      <c r="Z190" s="127"/>
      <c r="AA190" s="127"/>
      <c r="AB190" s="127"/>
      <c r="AC190" s="127"/>
      <c r="AD190" s="127"/>
      <c r="AE190" s="127"/>
      <c r="AF190" s="127"/>
      <c r="AG190" s="127"/>
      <c r="AH190" s="53">
        <f>SUM(C190:AG190)</f>
        <v>0</v>
      </c>
    </row>
    <row r="191" spans="1:34" ht="15">
      <c r="A191" s="148" t="s">
        <v>77</v>
      </c>
      <c r="B191" s="67">
        <f t="shared" si="34"/>
        <v>0</v>
      </c>
      <c r="C191" s="127"/>
      <c r="D191" s="127"/>
      <c r="E191" s="127"/>
      <c r="F191" s="127"/>
      <c r="G191" s="127"/>
      <c r="H191" s="112"/>
      <c r="I191" s="112"/>
      <c r="J191" s="112"/>
      <c r="K191" s="112"/>
      <c r="L191" s="112"/>
      <c r="M191" s="112"/>
      <c r="N191" s="112"/>
      <c r="O191" s="112"/>
      <c r="P191" s="112"/>
      <c r="Q191" s="112"/>
      <c r="R191" s="112"/>
      <c r="S191" s="18"/>
      <c r="T191" s="18"/>
      <c r="U191" s="18"/>
      <c r="V191" s="18"/>
      <c r="W191" s="18"/>
      <c r="X191" s="18"/>
      <c r="Y191" s="18"/>
      <c r="Z191" s="18"/>
      <c r="AA191" s="18"/>
      <c r="AB191" s="18"/>
      <c r="AC191" s="1930"/>
      <c r="AD191" s="1930"/>
      <c r="AE191" s="1930"/>
      <c r="AF191" s="1930"/>
      <c r="AG191" s="1930"/>
      <c r="AH191" s="53">
        <f>SUM(C191:AG191)</f>
        <v>0</v>
      </c>
    </row>
    <row r="192" spans="1:34" ht="15">
      <c r="A192" s="148" t="s">
        <v>78</v>
      </c>
      <c r="B192" s="67">
        <f t="shared" si="34"/>
        <v>0</v>
      </c>
      <c r="C192" s="1930"/>
      <c r="D192" s="1930"/>
      <c r="E192" s="1930"/>
      <c r="F192" s="1930"/>
      <c r="G192" s="1930"/>
      <c r="H192" s="1930"/>
      <c r="I192" s="1930"/>
      <c r="J192" s="1930"/>
      <c r="K192" s="1930"/>
      <c r="L192" s="1287"/>
      <c r="M192" s="1287"/>
      <c r="N192" s="1287"/>
      <c r="O192" s="1287"/>
      <c r="P192" s="1287"/>
      <c r="Q192" s="1287"/>
      <c r="R192" s="1287"/>
      <c r="S192" s="1287"/>
      <c r="T192" s="1287"/>
      <c r="U192" s="1287"/>
      <c r="V192" s="1287"/>
      <c r="W192" s="1287"/>
      <c r="X192" s="1287"/>
      <c r="Y192" s="1287"/>
      <c r="Z192" s="1287"/>
      <c r="AA192" s="1287"/>
      <c r="AB192" s="1287"/>
      <c r="AC192" s="1287"/>
      <c r="AD192" s="1287"/>
      <c r="AE192" s="1287"/>
      <c r="AF192" s="1287"/>
      <c r="AG192" s="1287"/>
      <c r="AH192" s="53">
        <f t="shared" ref="AH192:AH200" si="35">SUM(C192:AG192)</f>
        <v>0</v>
      </c>
    </row>
    <row r="193" spans="1:34" ht="15">
      <c r="A193" s="143" t="s">
        <v>79</v>
      </c>
      <c r="B193" s="67">
        <f t="shared" si="34"/>
        <v>0</v>
      </c>
      <c r="C193" s="1287"/>
      <c r="D193" s="1287"/>
      <c r="E193" s="1287"/>
      <c r="F193" s="1287"/>
      <c r="G193" s="1287"/>
      <c r="H193" s="1287"/>
      <c r="I193" s="1287"/>
      <c r="J193" s="1287"/>
      <c r="K193" s="1287"/>
      <c r="L193" s="1287"/>
      <c r="M193" s="1287"/>
      <c r="N193" s="1287"/>
      <c r="O193" s="1287"/>
      <c r="P193" s="1287"/>
      <c r="Q193" s="1287"/>
      <c r="R193" s="1287"/>
      <c r="S193" s="1287"/>
      <c r="T193" s="1287"/>
      <c r="U193" s="1287"/>
      <c r="V193" s="1287"/>
      <c r="W193" s="1287"/>
      <c r="X193" s="1287"/>
      <c r="Y193" s="1287"/>
      <c r="Z193" s="1287"/>
      <c r="AA193" s="1287"/>
      <c r="AB193" s="1287"/>
      <c r="AC193" s="1287"/>
      <c r="AD193" s="1287"/>
      <c r="AE193" s="1287"/>
      <c r="AF193" s="1287"/>
      <c r="AG193" s="1287"/>
      <c r="AH193" s="53">
        <f t="shared" si="35"/>
        <v>0</v>
      </c>
    </row>
    <row r="194" spans="1:34" ht="15">
      <c r="A194" s="143" t="s">
        <v>80</v>
      </c>
      <c r="B194" s="67">
        <f t="shared" si="34"/>
        <v>0</v>
      </c>
      <c r="C194" s="1287"/>
      <c r="D194" s="1287"/>
      <c r="E194" s="1287"/>
      <c r="F194" s="1287"/>
      <c r="G194" s="1287"/>
      <c r="H194" s="1287"/>
      <c r="I194" s="1287"/>
      <c r="J194" s="1287"/>
      <c r="K194" s="1287"/>
      <c r="L194" s="1287"/>
      <c r="M194" s="1287"/>
      <c r="N194" s="1287"/>
      <c r="O194" s="1287"/>
      <c r="P194" s="1287"/>
      <c r="Q194" s="1287"/>
      <c r="R194" s="1287"/>
      <c r="S194" s="1287"/>
      <c r="T194" s="1287"/>
      <c r="U194" s="1287"/>
      <c r="V194" s="1287"/>
      <c r="W194" s="1287"/>
      <c r="X194" s="1287"/>
      <c r="Y194" s="1287"/>
      <c r="Z194" s="1287"/>
      <c r="AA194" s="1287"/>
      <c r="AB194" s="1287"/>
      <c r="AC194" s="1287"/>
      <c r="AD194" s="1287"/>
      <c r="AE194" s="1287"/>
      <c r="AF194" s="1287"/>
      <c r="AG194" s="1287"/>
      <c r="AH194" s="53">
        <f t="shared" si="35"/>
        <v>0</v>
      </c>
    </row>
    <row r="195" spans="1:34" ht="15">
      <c r="A195" s="143" t="s">
        <v>81</v>
      </c>
      <c r="B195" s="67">
        <f t="shared" si="34"/>
        <v>0</v>
      </c>
      <c r="C195" s="1287"/>
      <c r="D195" s="1488"/>
      <c r="E195" s="1488"/>
      <c r="F195" s="1488"/>
      <c r="G195" s="1287"/>
      <c r="H195" s="1287"/>
      <c r="I195" s="1287"/>
      <c r="J195" s="2466"/>
      <c r="K195" s="2466"/>
      <c r="L195" s="1488"/>
      <c r="M195" s="1488"/>
      <c r="N195" s="1488"/>
      <c r="O195" s="1488"/>
      <c r="P195" s="1488"/>
      <c r="Q195" s="1488"/>
      <c r="R195" s="1488"/>
      <c r="S195" s="1488"/>
      <c r="T195" s="1488"/>
      <c r="U195" s="1488"/>
      <c r="V195" s="1488"/>
      <c r="W195" s="688"/>
      <c r="X195" s="688"/>
      <c r="Y195" s="688"/>
      <c r="Z195" s="688"/>
      <c r="AA195" s="688"/>
      <c r="AB195" s="688"/>
      <c r="AC195" s="688"/>
      <c r="AD195" s="688"/>
      <c r="AE195" s="688"/>
      <c r="AF195" s="688" t="s">
        <v>111</v>
      </c>
      <c r="AG195" s="688" t="s">
        <v>111</v>
      </c>
      <c r="AH195" s="53">
        <f t="shared" si="35"/>
        <v>0</v>
      </c>
    </row>
    <row r="196" spans="1:34" ht="15">
      <c r="A196" s="143" t="s">
        <v>82</v>
      </c>
      <c r="B196" s="67">
        <f t="shared" si="34"/>
        <v>0</v>
      </c>
      <c r="C196" s="688" t="s">
        <v>111</v>
      </c>
      <c r="D196" s="688" t="s">
        <v>111</v>
      </c>
      <c r="E196" s="688" t="s">
        <v>111</v>
      </c>
      <c r="F196" s="688" t="s">
        <v>111</v>
      </c>
      <c r="G196" s="688" t="s">
        <v>111</v>
      </c>
      <c r="H196" s="688" t="s">
        <v>111</v>
      </c>
      <c r="I196" s="688" t="s">
        <v>111</v>
      </c>
      <c r="J196" s="688" t="s">
        <v>111</v>
      </c>
      <c r="K196" s="688" t="s">
        <v>111</v>
      </c>
      <c r="L196" s="688" t="s">
        <v>111</v>
      </c>
      <c r="M196" s="688" t="s">
        <v>111</v>
      </c>
      <c r="N196" s="688" t="s">
        <v>111</v>
      </c>
      <c r="O196" s="688" t="s">
        <v>111</v>
      </c>
      <c r="P196" s="688" t="s">
        <v>111</v>
      </c>
      <c r="Q196" s="688" t="s">
        <v>111</v>
      </c>
      <c r="R196" s="688" t="s">
        <v>111</v>
      </c>
      <c r="S196" s="688" t="s">
        <v>111</v>
      </c>
      <c r="T196" s="688" t="s">
        <v>111</v>
      </c>
      <c r="U196" s="688" t="s">
        <v>111</v>
      </c>
      <c r="V196" s="688" t="s">
        <v>111</v>
      </c>
      <c r="W196" s="688" t="s">
        <v>111</v>
      </c>
      <c r="X196" s="688" t="s">
        <v>111</v>
      </c>
      <c r="Y196" s="688" t="s">
        <v>111</v>
      </c>
      <c r="Z196" s="688" t="s">
        <v>111</v>
      </c>
      <c r="AA196" s="688" t="s">
        <v>111</v>
      </c>
      <c r="AB196" s="688" t="s">
        <v>111</v>
      </c>
      <c r="AC196" s="688" t="s">
        <v>111</v>
      </c>
      <c r="AD196" s="688" t="s">
        <v>111</v>
      </c>
      <c r="AE196" s="688" t="s">
        <v>111</v>
      </c>
      <c r="AF196" s="688" t="s">
        <v>111</v>
      </c>
      <c r="AG196" s="688" t="s">
        <v>111</v>
      </c>
      <c r="AH196" s="53">
        <f t="shared" si="35"/>
        <v>0</v>
      </c>
    </row>
    <row r="197" spans="1:34" ht="15">
      <c r="A197" s="149" t="s">
        <v>83</v>
      </c>
      <c r="B197" s="67">
        <f t="shared" si="34"/>
        <v>0</v>
      </c>
      <c r="C197" s="688" t="s">
        <v>111</v>
      </c>
      <c r="D197" s="688" t="s">
        <v>111</v>
      </c>
      <c r="E197" s="688" t="s">
        <v>111</v>
      </c>
      <c r="F197" s="688" t="s">
        <v>111</v>
      </c>
      <c r="G197" s="688" t="s">
        <v>111</v>
      </c>
      <c r="H197" s="688" t="s">
        <v>111</v>
      </c>
      <c r="I197" s="688" t="s">
        <v>111</v>
      </c>
      <c r="J197" s="688" t="s">
        <v>111</v>
      </c>
      <c r="K197" s="688" t="s">
        <v>111</v>
      </c>
      <c r="L197" s="688" t="s">
        <v>111</v>
      </c>
      <c r="M197" s="688" t="s">
        <v>111</v>
      </c>
      <c r="N197" s="688" t="s">
        <v>111</v>
      </c>
      <c r="O197" s="688" t="s">
        <v>111</v>
      </c>
      <c r="P197" s="688" t="s">
        <v>111</v>
      </c>
      <c r="Q197" s="688" t="s">
        <v>111</v>
      </c>
      <c r="R197" s="688" t="s">
        <v>111</v>
      </c>
      <c r="S197" s="688" t="s">
        <v>111</v>
      </c>
      <c r="T197" s="688" t="s">
        <v>111</v>
      </c>
      <c r="U197" s="688" t="s">
        <v>111</v>
      </c>
      <c r="V197" s="688" t="s">
        <v>111</v>
      </c>
      <c r="W197" s="688" t="s">
        <v>111</v>
      </c>
      <c r="X197" s="688" t="s">
        <v>111</v>
      </c>
      <c r="Y197" s="688" t="s">
        <v>111</v>
      </c>
      <c r="Z197" s="688" t="s">
        <v>111</v>
      </c>
      <c r="AA197" s="688" t="s">
        <v>111</v>
      </c>
      <c r="AB197" s="688" t="s">
        <v>111</v>
      </c>
      <c r="AC197" s="688" t="s">
        <v>111</v>
      </c>
      <c r="AD197" s="688" t="s">
        <v>111</v>
      </c>
      <c r="AE197" s="688" t="s">
        <v>111</v>
      </c>
      <c r="AF197" s="688" t="s">
        <v>111</v>
      </c>
      <c r="AG197" s="688" t="s">
        <v>111</v>
      </c>
      <c r="AH197" s="53">
        <f t="shared" si="35"/>
        <v>0</v>
      </c>
    </row>
    <row r="198" spans="1:34" ht="15">
      <c r="A198" s="149" t="s">
        <v>84</v>
      </c>
      <c r="B198" s="67">
        <f t="shared" si="34"/>
        <v>0</v>
      </c>
      <c r="C198" s="688" t="s">
        <v>111</v>
      </c>
      <c r="D198" s="688" t="s">
        <v>111</v>
      </c>
      <c r="E198" s="688" t="s">
        <v>111</v>
      </c>
      <c r="F198" s="688" t="s">
        <v>111</v>
      </c>
      <c r="G198" s="688" t="s">
        <v>111</v>
      </c>
      <c r="H198" s="688" t="s">
        <v>111</v>
      </c>
      <c r="I198" s="688" t="s">
        <v>111</v>
      </c>
      <c r="J198" s="688" t="s">
        <v>111</v>
      </c>
      <c r="K198" s="688" t="s">
        <v>111</v>
      </c>
      <c r="L198" s="688" t="s">
        <v>111</v>
      </c>
      <c r="M198" s="688" t="s">
        <v>111</v>
      </c>
      <c r="N198" s="688" t="s">
        <v>111</v>
      </c>
      <c r="O198" s="688" t="s">
        <v>111</v>
      </c>
      <c r="P198" s="688" t="s">
        <v>111</v>
      </c>
      <c r="Q198" s="688" t="s">
        <v>111</v>
      </c>
      <c r="R198" s="688" t="s">
        <v>111</v>
      </c>
      <c r="S198" s="688" t="s">
        <v>111</v>
      </c>
      <c r="T198" s="688" t="s">
        <v>111</v>
      </c>
      <c r="U198" s="688" t="s">
        <v>111</v>
      </c>
      <c r="V198" s="688" t="s">
        <v>111</v>
      </c>
      <c r="W198" s="688" t="s">
        <v>111</v>
      </c>
      <c r="X198" s="1287"/>
      <c r="Y198" s="1287"/>
      <c r="Z198" s="1287"/>
      <c r="AA198" s="1287"/>
      <c r="AB198" s="1287"/>
      <c r="AC198" s="1287"/>
      <c r="AD198" s="1287"/>
      <c r="AE198" s="1488"/>
      <c r="AF198" s="1287"/>
      <c r="AG198" s="1488"/>
      <c r="AH198" s="53">
        <f t="shared" si="35"/>
        <v>0</v>
      </c>
    </row>
    <row r="199" spans="1:34" ht="15">
      <c r="A199" s="149" t="s">
        <v>85</v>
      </c>
      <c r="B199" s="67">
        <f t="shared" si="34"/>
        <v>0</v>
      </c>
      <c r="C199" s="1287"/>
      <c r="D199" s="1287"/>
      <c r="E199" s="1287"/>
      <c r="F199" s="1287"/>
      <c r="G199" s="1433"/>
      <c r="H199" s="1287"/>
      <c r="I199" s="1287"/>
      <c r="J199" s="1287"/>
      <c r="K199" s="1287"/>
      <c r="L199" s="1287"/>
      <c r="M199" s="1287"/>
      <c r="N199" s="1287"/>
      <c r="O199" s="1287"/>
      <c r="P199" s="1287"/>
      <c r="Q199" s="1287"/>
      <c r="R199" s="1287"/>
      <c r="S199" s="1287"/>
      <c r="T199" s="1287"/>
      <c r="U199" s="1287"/>
      <c r="V199" s="1287"/>
      <c r="W199" s="1287"/>
      <c r="X199" s="1287"/>
      <c r="Y199" s="1433"/>
      <c r="Z199" s="1287"/>
      <c r="AA199" s="1287"/>
      <c r="AB199" s="1287"/>
      <c r="AC199" s="1287"/>
      <c r="AD199" s="1287"/>
      <c r="AE199" s="1488"/>
      <c r="AF199" s="1287"/>
      <c r="AG199" s="1488"/>
      <c r="AH199" s="53">
        <f t="shared" si="35"/>
        <v>0</v>
      </c>
    </row>
    <row r="200" spans="1:34" ht="15">
      <c r="A200" s="149" t="s">
        <v>86</v>
      </c>
      <c r="B200" s="67">
        <f t="shared" si="34"/>
        <v>0</v>
      </c>
      <c r="C200" s="49"/>
      <c r="D200" s="18"/>
      <c r="E200" s="18"/>
      <c r="F200" s="18"/>
      <c r="G200" s="18"/>
      <c r="H200" s="18"/>
      <c r="I200" s="18"/>
      <c r="J200" s="18"/>
      <c r="K200" s="18"/>
      <c r="L200" s="18"/>
      <c r="M200" s="18"/>
      <c r="N200" s="18"/>
      <c r="O200" s="18"/>
      <c r="P200" s="1287"/>
      <c r="Q200" s="1287"/>
      <c r="R200" s="1287"/>
      <c r="S200" s="1287"/>
      <c r="T200" s="1287"/>
      <c r="U200" s="1287"/>
      <c r="V200" s="1287"/>
      <c r="W200" s="1287"/>
      <c r="X200" s="1287"/>
      <c r="Y200" s="1287"/>
      <c r="Z200" s="1287"/>
      <c r="AA200" s="1287"/>
      <c r="AB200" s="1287"/>
      <c r="AC200" s="1287"/>
      <c r="AD200" s="1287"/>
      <c r="AE200" s="1287"/>
      <c r="AF200" s="1287"/>
      <c r="AG200" s="1287"/>
      <c r="AH200" s="53">
        <f t="shared" si="35"/>
        <v>0</v>
      </c>
    </row>
    <row r="201" spans="1:34" ht="15">
      <c r="A201" s="88" t="s">
        <v>74</v>
      </c>
      <c r="B201" s="92">
        <f>SUM(B189:B200)</f>
        <v>0</v>
      </c>
      <c r="C201" s="46">
        <f>SUM(C189:C199)</f>
        <v>0</v>
      </c>
      <c r="D201" s="53">
        <f>SUM(D189:D199)</f>
        <v>0</v>
      </c>
      <c r="E201" s="53">
        <v>0</v>
      </c>
      <c r="F201" s="53">
        <f t="shared" ref="F201:AC201" si="36">SUM(F189:F199)</f>
        <v>0</v>
      </c>
      <c r="G201" s="53">
        <f t="shared" si="36"/>
        <v>0</v>
      </c>
      <c r="H201" s="53">
        <f t="shared" si="36"/>
        <v>0</v>
      </c>
      <c r="I201" s="53">
        <f t="shared" si="36"/>
        <v>0</v>
      </c>
      <c r="J201" s="53">
        <f t="shared" si="36"/>
        <v>0</v>
      </c>
      <c r="K201" s="53">
        <f t="shared" si="36"/>
        <v>0</v>
      </c>
      <c r="L201" s="53">
        <f t="shared" si="36"/>
        <v>0</v>
      </c>
      <c r="M201" s="53">
        <f t="shared" si="36"/>
        <v>0</v>
      </c>
      <c r="N201" s="53">
        <f t="shared" si="36"/>
        <v>0</v>
      </c>
      <c r="O201" s="53">
        <f t="shared" si="36"/>
        <v>0</v>
      </c>
      <c r="P201" s="53">
        <f t="shared" si="36"/>
        <v>0</v>
      </c>
      <c r="Q201" s="53">
        <f t="shared" si="36"/>
        <v>0</v>
      </c>
      <c r="R201" s="53">
        <f t="shared" si="36"/>
        <v>0</v>
      </c>
      <c r="S201" s="53">
        <f t="shared" si="36"/>
        <v>0</v>
      </c>
      <c r="T201" s="53">
        <f t="shared" si="36"/>
        <v>0</v>
      </c>
      <c r="U201" s="53">
        <f t="shared" si="36"/>
        <v>0</v>
      </c>
      <c r="V201" s="53">
        <f t="shared" si="36"/>
        <v>0</v>
      </c>
      <c r="W201" s="53">
        <f t="shared" si="36"/>
        <v>0</v>
      </c>
      <c r="X201" s="53">
        <f t="shared" si="36"/>
        <v>0</v>
      </c>
      <c r="Y201" s="53">
        <f t="shared" si="36"/>
        <v>0</v>
      </c>
      <c r="Z201" s="53">
        <f t="shared" si="36"/>
        <v>0</v>
      </c>
      <c r="AA201" s="53">
        <f t="shared" si="36"/>
        <v>0</v>
      </c>
      <c r="AB201" s="53">
        <f t="shared" si="36"/>
        <v>0</v>
      </c>
      <c r="AC201" s="53">
        <f t="shared" si="36"/>
        <v>0</v>
      </c>
      <c r="AD201" s="53">
        <v>0</v>
      </c>
      <c r="AE201" s="53">
        <f>SUM(AE189:AE199)</f>
        <v>0</v>
      </c>
      <c r="AF201" s="53">
        <f>SUM(AF189:AF199)</f>
        <v>0</v>
      </c>
      <c r="AG201" s="53">
        <f>SUM(AG189:AG199)</f>
        <v>0</v>
      </c>
      <c r="AH201" s="46">
        <f>SUM(AH189:AH199)</f>
        <v>0</v>
      </c>
    </row>
    <row r="202" spans="1:34" ht="5.0999999999999996" customHeight="1">
      <c r="A202" s="50"/>
      <c r="B202" s="51"/>
      <c r="C202" s="13"/>
      <c r="D202" s="52"/>
      <c r="E202" s="52"/>
      <c r="F202" s="52"/>
      <c r="G202" s="52"/>
      <c r="H202" s="52"/>
      <c r="I202" s="52"/>
      <c r="J202" s="52"/>
      <c r="K202" s="52"/>
      <c r="L202" s="52"/>
      <c r="M202" s="52"/>
      <c r="N202" s="52"/>
      <c r="O202" s="52"/>
      <c r="P202" s="52"/>
      <c r="Q202" s="52"/>
      <c r="R202" s="52"/>
      <c r="S202" s="52"/>
      <c r="T202" s="52"/>
      <c r="U202" s="52"/>
      <c r="V202" s="52"/>
      <c r="W202" s="52"/>
      <c r="X202" s="52"/>
      <c r="Y202" s="52"/>
      <c r="Z202" s="52"/>
      <c r="AA202" s="52"/>
      <c r="AB202" s="52"/>
      <c r="AC202" s="52"/>
      <c r="AD202" s="52"/>
      <c r="AE202" s="52"/>
      <c r="AF202" s="52"/>
      <c r="AG202" s="52"/>
      <c r="AH202" s="13"/>
    </row>
    <row r="203" spans="1:34" ht="15">
      <c r="A203" s="3569" t="s">
        <v>531</v>
      </c>
      <c r="B203" s="3570"/>
      <c r="C203" s="3570"/>
      <c r="D203" s="3570"/>
      <c r="E203" s="3570"/>
      <c r="F203" s="3570"/>
      <c r="G203" s="3570"/>
      <c r="H203" s="3571"/>
      <c r="I203" s="1477"/>
      <c r="J203" s="43"/>
      <c r="K203" s="43"/>
      <c r="L203" s="43"/>
      <c r="M203" s="43"/>
      <c r="N203" s="43"/>
      <c r="O203" s="43"/>
      <c r="P203" s="43"/>
      <c r="Q203" s="43"/>
      <c r="R203" s="43"/>
      <c r="S203" s="11"/>
      <c r="T203" s="11"/>
      <c r="U203" s="11"/>
      <c r="V203" s="11"/>
      <c r="W203" s="11"/>
      <c r="X203" s="11"/>
      <c r="Y203" s="11"/>
      <c r="Z203" s="11"/>
      <c r="AA203" s="11"/>
      <c r="AB203" s="11"/>
      <c r="AC203" s="11"/>
      <c r="AD203" s="11"/>
      <c r="AE203" s="11"/>
      <c r="AF203" s="11"/>
      <c r="AG203" s="11"/>
      <c r="AH203" s="11"/>
    </row>
    <row r="204" spans="1:34" ht="15">
      <c r="A204" s="5" t="s">
        <v>72</v>
      </c>
      <c r="B204" s="5" t="s">
        <v>73</v>
      </c>
      <c r="C204" s="1249">
        <v>1</v>
      </c>
      <c r="D204" s="30">
        <v>2</v>
      </c>
      <c r="E204" s="30">
        <v>3</v>
      </c>
      <c r="F204" s="30">
        <v>4</v>
      </c>
      <c r="G204" s="30">
        <v>5</v>
      </c>
      <c r="H204" s="30">
        <v>6</v>
      </c>
      <c r="I204" s="30">
        <v>7</v>
      </c>
      <c r="J204" s="30">
        <v>8</v>
      </c>
      <c r="K204" s="30">
        <v>9</v>
      </c>
      <c r="L204" s="30">
        <v>10</v>
      </c>
      <c r="M204" s="30">
        <v>11</v>
      </c>
      <c r="N204" s="30">
        <v>12</v>
      </c>
      <c r="O204" s="30">
        <v>13</v>
      </c>
      <c r="P204" s="30">
        <v>14</v>
      </c>
      <c r="Q204" s="30">
        <v>15</v>
      </c>
      <c r="R204" s="30">
        <v>16</v>
      </c>
      <c r="S204" s="30">
        <v>17</v>
      </c>
      <c r="T204" s="30">
        <v>18</v>
      </c>
      <c r="U204" s="30">
        <v>19</v>
      </c>
      <c r="V204" s="30">
        <v>20</v>
      </c>
      <c r="W204" s="30">
        <v>21</v>
      </c>
      <c r="X204" s="30">
        <v>22</v>
      </c>
      <c r="Y204" s="30">
        <v>23</v>
      </c>
      <c r="Z204" s="30">
        <v>24</v>
      </c>
      <c r="AA204" s="30">
        <v>25</v>
      </c>
      <c r="AB204" s="30">
        <v>26</v>
      </c>
      <c r="AC204" s="30">
        <v>27</v>
      </c>
      <c r="AD204" s="30">
        <v>28</v>
      </c>
      <c r="AE204" s="30">
        <v>29</v>
      </c>
      <c r="AF204" s="30">
        <v>30</v>
      </c>
      <c r="AG204" s="30">
        <v>31</v>
      </c>
      <c r="AH204" s="39" t="s">
        <v>74</v>
      </c>
    </row>
    <row r="205" spans="1:34" ht="15">
      <c r="A205" s="148" t="s">
        <v>75</v>
      </c>
      <c r="B205" s="112">
        <f t="shared" ref="B205:B216" si="37">+AH205</f>
        <v>0</v>
      </c>
      <c r="C205" s="126" t="s">
        <v>111</v>
      </c>
      <c r="D205" s="126" t="s">
        <v>111</v>
      </c>
      <c r="E205" s="126" t="s">
        <v>111</v>
      </c>
      <c r="F205" s="126" t="s">
        <v>111</v>
      </c>
      <c r="G205" s="126" t="s">
        <v>111</v>
      </c>
      <c r="H205" s="126" t="s">
        <v>111</v>
      </c>
      <c r="I205" s="126" t="s">
        <v>111</v>
      </c>
      <c r="J205" s="126" t="s">
        <v>111</v>
      </c>
      <c r="K205" s="126" t="s">
        <v>111</v>
      </c>
      <c r="L205" s="126" t="s">
        <v>111</v>
      </c>
      <c r="M205" s="126" t="s">
        <v>111</v>
      </c>
      <c r="N205" s="126" t="s">
        <v>111</v>
      </c>
      <c r="O205" s="126" t="s">
        <v>111</v>
      </c>
      <c r="P205" s="126" t="s">
        <v>111</v>
      </c>
      <c r="Q205" s="126" t="s">
        <v>111</v>
      </c>
      <c r="R205" s="126" t="s">
        <v>111</v>
      </c>
      <c r="S205" s="126" t="s">
        <v>111</v>
      </c>
      <c r="T205" s="126" t="s">
        <v>111</v>
      </c>
      <c r="U205" s="126" t="s">
        <v>111</v>
      </c>
      <c r="V205" s="126" t="s">
        <v>111</v>
      </c>
      <c r="W205" s="126" t="s">
        <v>111</v>
      </c>
      <c r="X205" s="126" t="s">
        <v>111</v>
      </c>
      <c r="Y205" s="126" t="s">
        <v>111</v>
      </c>
      <c r="Z205" s="126" t="s">
        <v>111</v>
      </c>
      <c r="AA205" s="126" t="s">
        <v>111</v>
      </c>
      <c r="AB205" s="126" t="s">
        <v>111</v>
      </c>
      <c r="AC205" s="126" t="s">
        <v>111</v>
      </c>
      <c r="AD205" s="126" t="s">
        <v>111</v>
      </c>
      <c r="AE205" s="126" t="s">
        <v>111</v>
      </c>
      <c r="AF205" s="126" t="s">
        <v>111</v>
      </c>
      <c r="AG205" s="126" t="s">
        <v>111</v>
      </c>
      <c r="AH205" s="53">
        <f>SUM(C205:AG205)</f>
        <v>0</v>
      </c>
    </row>
    <row r="206" spans="1:34" ht="15">
      <c r="A206" s="148" t="s">
        <v>76</v>
      </c>
      <c r="B206" s="112">
        <f t="shared" si="37"/>
        <v>41.029999999999994</v>
      </c>
      <c r="C206" s="126" t="s">
        <v>111</v>
      </c>
      <c r="D206" s="126" t="s">
        <v>111</v>
      </c>
      <c r="E206" s="126" t="s">
        <v>111</v>
      </c>
      <c r="F206" s="126" t="s">
        <v>111</v>
      </c>
      <c r="G206" s="126" t="s">
        <v>111</v>
      </c>
      <c r="H206" s="126" t="s">
        <v>111</v>
      </c>
      <c r="I206" s="126" t="s">
        <v>111</v>
      </c>
      <c r="J206" s="127"/>
      <c r="K206" s="127">
        <v>1.9350000000000001</v>
      </c>
      <c r="L206" s="127">
        <v>5.5910000000000002</v>
      </c>
      <c r="M206" s="127"/>
      <c r="N206" s="127"/>
      <c r="O206" s="127">
        <v>6.298</v>
      </c>
      <c r="P206" s="127">
        <v>2.7919999999999998</v>
      </c>
      <c r="Q206" s="127">
        <v>0.69399999999999995</v>
      </c>
      <c r="R206" s="127">
        <v>0</v>
      </c>
      <c r="S206" s="127">
        <v>1.3220000000000001</v>
      </c>
      <c r="T206" s="127">
        <v>5.8860000000000001</v>
      </c>
      <c r="U206" s="127">
        <v>5.9930000000000003</v>
      </c>
      <c r="V206" s="127">
        <v>0</v>
      </c>
      <c r="W206" s="127">
        <v>0</v>
      </c>
      <c r="X206" s="127">
        <v>0</v>
      </c>
      <c r="Y206" s="127">
        <v>0</v>
      </c>
      <c r="Z206" s="127">
        <v>1.3089999999999999</v>
      </c>
      <c r="AA206" s="127">
        <v>1.946</v>
      </c>
      <c r="AB206" s="127">
        <v>2.8540000000000001</v>
      </c>
      <c r="AC206" s="127">
        <v>2.5489999999999999</v>
      </c>
      <c r="AD206" s="127">
        <v>1.861</v>
      </c>
      <c r="AE206" s="127"/>
      <c r="AF206" s="127"/>
      <c r="AG206" s="127"/>
      <c r="AH206" s="53">
        <f>SUM(C206:AG206)</f>
        <v>41.029999999999994</v>
      </c>
    </row>
    <row r="207" spans="1:34" ht="15">
      <c r="A207" s="148" t="s">
        <v>77</v>
      </c>
      <c r="B207" s="112">
        <f t="shared" si="37"/>
        <v>48.570999999999998</v>
      </c>
      <c r="C207" s="127">
        <v>1.395</v>
      </c>
      <c r="D207" s="127">
        <v>0</v>
      </c>
      <c r="E207" s="127">
        <v>11.407999999999999</v>
      </c>
      <c r="F207" s="127">
        <v>0</v>
      </c>
      <c r="G207" s="127">
        <v>7.2690000000000001</v>
      </c>
      <c r="H207" s="112">
        <v>4.931</v>
      </c>
      <c r="I207" s="112">
        <v>0</v>
      </c>
      <c r="J207" s="112">
        <v>0</v>
      </c>
      <c r="K207" s="112">
        <v>0</v>
      </c>
      <c r="L207" s="112">
        <v>0.73399999999999999</v>
      </c>
      <c r="M207" s="112">
        <v>7.4119999999999999</v>
      </c>
      <c r="N207" s="112">
        <v>4.9859999999999998</v>
      </c>
      <c r="O207" s="112">
        <v>0</v>
      </c>
      <c r="P207" s="112">
        <v>0</v>
      </c>
      <c r="Q207" s="112">
        <v>0</v>
      </c>
      <c r="R207" s="112">
        <v>0</v>
      </c>
      <c r="S207" s="112">
        <v>0</v>
      </c>
      <c r="T207" s="112">
        <v>0</v>
      </c>
      <c r="U207" s="112">
        <v>0</v>
      </c>
      <c r="V207" s="112">
        <v>0</v>
      </c>
      <c r="W207" s="112">
        <v>0</v>
      </c>
      <c r="X207" s="112">
        <v>9.8650000000000002</v>
      </c>
      <c r="Y207" s="112">
        <v>0</v>
      </c>
      <c r="Z207" s="112">
        <v>0</v>
      </c>
      <c r="AA207" s="112">
        <v>0</v>
      </c>
      <c r="AB207" s="112">
        <v>0</v>
      </c>
      <c r="AC207" s="1930">
        <v>0.57099999999999995</v>
      </c>
      <c r="AD207" s="1930">
        <v>0</v>
      </c>
      <c r="AE207" s="1930">
        <v>0</v>
      </c>
      <c r="AF207" s="1930">
        <v>0</v>
      </c>
      <c r="AG207" s="1930">
        <v>0</v>
      </c>
      <c r="AH207" s="53">
        <f>SUM(C207:AG207)</f>
        <v>48.570999999999998</v>
      </c>
    </row>
    <row r="208" spans="1:34" ht="15">
      <c r="A208" s="148" t="s">
        <v>78</v>
      </c>
      <c r="B208" s="112">
        <f t="shared" si="37"/>
        <v>100.49099999999999</v>
      </c>
      <c r="C208" s="18">
        <v>0</v>
      </c>
      <c r="D208" s="18">
        <v>1.3620000000000001</v>
      </c>
      <c r="E208" s="18">
        <v>5.6150000000000002</v>
      </c>
      <c r="F208" s="18">
        <v>0</v>
      </c>
      <c r="G208" s="18">
        <v>0</v>
      </c>
      <c r="H208" s="18">
        <v>0</v>
      </c>
      <c r="I208" s="18">
        <v>0.6</v>
      </c>
      <c r="J208" s="18">
        <v>2.0179999999999998</v>
      </c>
      <c r="K208" s="18">
        <v>24.620999999999999</v>
      </c>
      <c r="L208" s="112">
        <v>0</v>
      </c>
      <c r="M208" s="112">
        <v>0</v>
      </c>
      <c r="N208" s="112">
        <v>8.5679999999999996</v>
      </c>
      <c r="O208" s="112">
        <v>1.6220000000000001</v>
      </c>
      <c r="P208" s="112">
        <v>0</v>
      </c>
      <c r="Q208" s="112">
        <v>0</v>
      </c>
      <c r="R208" s="112">
        <v>0</v>
      </c>
      <c r="S208" s="112">
        <v>8.8320000000000007</v>
      </c>
      <c r="T208" s="112">
        <v>23.968</v>
      </c>
      <c r="U208" s="112">
        <v>11.923</v>
      </c>
      <c r="V208" s="112">
        <v>0</v>
      </c>
      <c r="W208" s="112">
        <v>0</v>
      </c>
      <c r="X208" s="112">
        <v>1.966</v>
      </c>
      <c r="Y208" s="112">
        <v>3.7970000000000002</v>
      </c>
      <c r="Z208" s="112">
        <v>4.2709999999999999</v>
      </c>
      <c r="AA208" s="112">
        <v>0</v>
      </c>
      <c r="AB208" s="112">
        <v>0</v>
      </c>
      <c r="AC208" s="112">
        <v>0</v>
      </c>
      <c r="AD208" s="112">
        <v>0</v>
      </c>
      <c r="AE208" s="112">
        <v>0.65700000000000003</v>
      </c>
      <c r="AF208" s="112">
        <v>0.67100000000000004</v>
      </c>
      <c r="AG208" s="112"/>
      <c r="AH208" s="53">
        <f t="shared" ref="AH208:AH216" si="38">SUM(C208:AG208)</f>
        <v>100.49099999999999</v>
      </c>
    </row>
    <row r="209" spans="1:34" ht="15">
      <c r="A209" s="143" t="s">
        <v>79</v>
      </c>
      <c r="B209" s="112">
        <f t="shared" si="37"/>
        <v>138.64000000000001</v>
      </c>
      <c r="C209" s="49">
        <v>0</v>
      </c>
      <c r="D209" s="18">
        <v>0</v>
      </c>
      <c r="E209" s="18">
        <v>0</v>
      </c>
      <c r="F209" s="18">
        <v>0</v>
      </c>
      <c r="G209" s="18">
        <v>7.609</v>
      </c>
      <c r="H209" s="18">
        <v>2.782</v>
      </c>
      <c r="I209" s="18">
        <v>6.4809999999999999</v>
      </c>
      <c r="J209" s="18">
        <v>25.917000000000002</v>
      </c>
      <c r="K209" s="18">
        <v>0</v>
      </c>
      <c r="L209" s="18">
        <v>0</v>
      </c>
      <c r="M209" s="18">
        <v>0</v>
      </c>
      <c r="N209" s="18">
        <v>26.189</v>
      </c>
      <c r="O209" s="18">
        <v>1.9119999999999999</v>
      </c>
      <c r="P209" s="18">
        <v>0</v>
      </c>
      <c r="Q209" s="18">
        <v>0</v>
      </c>
      <c r="R209" s="18">
        <v>4.4459999999999997</v>
      </c>
      <c r="S209" s="18">
        <v>0</v>
      </c>
      <c r="T209" s="18">
        <v>0</v>
      </c>
      <c r="U209" s="18">
        <v>0</v>
      </c>
      <c r="V209" s="18">
        <v>0</v>
      </c>
      <c r="W209" s="18">
        <v>0</v>
      </c>
      <c r="X209" s="18">
        <v>0</v>
      </c>
      <c r="Y209" s="18">
        <v>0</v>
      </c>
      <c r="Z209" s="18">
        <v>1.3879999999999999</v>
      </c>
      <c r="AA209" s="18">
        <v>39.968000000000004</v>
      </c>
      <c r="AB209" s="18">
        <v>21.948</v>
      </c>
      <c r="AC209" s="18">
        <v>0</v>
      </c>
      <c r="AD209" s="18">
        <v>0</v>
      </c>
      <c r="AE209" s="18"/>
      <c r="AF209" s="18"/>
      <c r="AG209" s="18"/>
      <c r="AH209" s="53">
        <f t="shared" si="38"/>
        <v>138.64000000000001</v>
      </c>
    </row>
    <row r="210" spans="1:34" ht="15">
      <c r="A210" s="143" t="s">
        <v>80</v>
      </c>
      <c r="B210" s="124">
        <f t="shared" si="37"/>
        <v>303.63400000000001</v>
      </c>
      <c r="C210" s="53">
        <v>0</v>
      </c>
      <c r="D210" s="53">
        <v>0</v>
      </c>
      <c r="E210" s="53">
        <v>0</v>
      </c>
      <c r="F210" s="53">
        <v>0</v>
      </c>
      <c r="G210" s="53">
        <v>0</v>
      </c>
      <c r="H210" s="18">
        <v>0.155</v>
      </c>
      <c r="I210" s="18">
        <v>0</v>
      </c>
      <c r="J210" s="18">
        <v>0</v>
      </c>
      <c r="K210" s="18">
        <v>0</v>
      </c>
      <c r="L210" s="18">
        <v>0</v>
      </c>
      <c r="M210" s="18">
        <v>0</v>
      </c>
      <c r="N210" s="18">
        <v>0</v>
      </c>
      <c r="O210" s="18">
        <v>0</v>
      </c>
      <c r="P210" s="18">
        <v>0</v>
      </c>
      <c r="Q210" s="18">
        <v>0</v>
      </c>
      <c r="R210" s="18">
        <v>2.0470000000000002</v>
      </c>
      <c r="S210" s="18">
        <v>0</v>
      </c>
      <c r="T210" s="18">
        <v>0</v>
      </c>
      <c r="U210" s="18">
        <v>11.102</v>
      </c>
      <c r="V210" s="18">
        <v>83.438999999999993</v>
      </c>
      <c r="W210" s="18">
        <v>55.615000000000002</v>
      </c>
      <c r="X210" s="18">
        <v>7.3150000000000004</v>
      </c>
      <c r="Y210" s="53">
        <v>3.6389999999999998</v>
      </c>
      <c r="Z210" s="53">
        <v>37.219000000000001</v>
      </c>
      <c r="AA210" s="53">
        <v>72.817999999999998</v>
      </c>
      <c r="AB210" s="53">
        <v>30.285</v>
      </c>
      <c r="AC210" s="18"/>
      <c r="AD210" s="18"/>
      <c r="AE210" s="18"/>
      <c r="AF210" s="18"/>
      <c r="AG210" s="18"/>
      <c r="AH210" s="123">
        <f t="shared" si="38"/>
        <v>303.63400000000001</v>
      </c>
    </row>
    <row r="211" spans="1:34" ht="15">
      <c r="A211" s="143" t="s">
        <v>81</v>
      </c>
      <c r="B211" s="112">
        <f>SUM(AH211)</f>
        <v>64.831000000000003</v>
      </c>
      <c r="C211" s="49">
        <v>0</v>
      </c>
      <c r="D211" s="53">
        <v>0</v>
      </c>
      <c r="E211" s="53">
        <v>0</v>
      </c>
      <c r="F211" s="53">
        <v>5.42</v>
      </c>
      <c r="G211" s="18">
        <v>5.33</v>
      </c>
      <c r="H211" s="18">
        <v>21.917999999999999</v>
      </c>
      <c r="I211" s="18">
        <v>19.149000000000001</v>
      </c>
      <c r="J211" s="57">
        <v>0</v>
      </c>
      <c r="K211" s="57">
        <v>0</v>
      </c>
      <c r="L211" s="53">
        <v>0</v>
      </c>
      <c r="M211" s="53">
        <v>0</v>
      </c>
      <c r="N211" s="53">
        <v>0</v>
      </c>
      <c r="O211" s="53">
        <v>0</v>
      </c>
      <c r="P211" s="53">
        <v>0</v>
      </c>
      <c r="Q211" s="53">
        <v>0</v>
      </c>
      <c r="R211" s="53">
        <v>0</v>
      </c>
      <c r="S211" s="53">
        <v>0</v>
      </c>
      <c r="T211" s="53">
        <v>0</v>
      </c>
      <c r="U211" s="53">
        <v>0</v>
      </c>
      <c r="V211" s="53">
        <v>0</v>
      </c>
      <c r="W211" s="2327">
        <v>2.41</v>
      </c>
      <c r="X211" s="2327">
        <v>1.319</v>
      </c>
      <c r="Y211" s="2327">
        <v>0</v>
      </c>
      <c r="Z211" s="2327">
        <v>0</v>
      </c>
      <c r="AA211" s="2327">
        <v>0</v>
      </c>
      <c r="AB211" s="2327">
        <v>0</v>
      </c>
      <c r="AC211" s="2327">
        <v>0</v>
      </c>
      <c r="AD211" s="2327">
        <v>2.3929999999999998</v>
      </c>
      <c r="AE211" s="2327">
        <v>6.8920000000000003</v>
      </c>
      <c r="AF211" s="688" t="s">
        <v>111</v>
      </c>
      <c r="AG211" s="688" t="s">
        <v>111</v>
      </c>
      <c r="AH211" s="53">
        <f t="shared" si="38"/>
        <v>64.831000000000003</v>
      </c>
    </row>
    <row r="212" spans="1:34" ht="15">
      <c r="A212" s="143" t="s">
        <v>82</v>
      </c>
      <c r="B212" s="18">
        <f t="shared" si="37"/>
        <v>0</v>
      </c>
      <c r="C212" s="688" t="s">
        <v>111</v>
      </c>
      <c r="D212" s="688" t="s">
        <v>111</v>
      </c>
      <c r="E212" s="688" t="s">
        <v>111</v>
      </c>
      <c r="F212" s="688" t="s">
        <v>111</v>
      </c>
      <c r="G212" s="688" t="s">
        <v>111</v>
      </c>
      <c r="H212" s="688" t="s">
        <v>111</v>
      </c>
      <c r="I212" s="688" t="s">
        <v>111</v>
      </c>
      <c r="J212" s="688" t="s">
        <v>111</v>
      </c>
      <c r="K212" s="688" t="s">
        <v>111</v>
      </c>
      <c r="L212" s="688" t="s">
        <v>111</v>
      </c>
      <c r="M212" s="688" t="s">
        <v>111</v>
      </c>
      <c r="N212" s="688" t="s">
        <v>111</v>
      </c>
      <c r="O212" s="688" t="s">
        <v>111</v>
      </c>
      <c r="P212" s="688" t="s">
        <v>111</v>
      </c>
      <c r="Q212" s="688" t="s">
        <v>111</v>
      </c>
      <c r="R212" s="688" t="s">
        <v>111</v>
      </c>
      <c r="S212" s="688" t="s">
        <v>111</v>
      </c>
      <c r="T212" s="688" t="s">
        <v>111</v>
      </c>
      <c r="U212" s="688" t="s">
        <v>111</v>
      </c>
      <c r="V212" s="688" t="s">
        <v>111</v>
      </c>
      <c r="W212" s="688" t="s">
        <v>111</v>
      </c>
      <c r="X212" s="688" t="s">
        <v>111</v>
      </c>
      <c r="Y212" s="688" t="s">
        <v>111</v>
      </c>
      <c r="Z212" s="688" t="s">
        <v>111</v>
      </c>
      <c r="AA212" s="688" t="s">
        <v>111</v>
      </c>
      <c r="AB212" s="688" t="s">
        <v>111</v>
      </c>
      <c r="AC212" s="688" t="s">
        <v>111</v>
      </c>
      <c r="AD212" s="688" t="s">
        <v>111</v>
      </c>
      <c r="AE212" s="688" t="s">
        <v>111</v>
      </c>
      <c r="AF212" s="688" t="s">
        <v>111</v>
      </c>
      <c r="AG212" s="688" t="s">
        <v>111</v>
      </c>
      <c r="AH212" s="53">
        <f t="shared" si="38"/>
        <v>0</v>
      </c>
    </row>
    <row r="213" spans="1:34" ht="15">
      <c r="A213" s="149" t="s">
        <v>83</v>
      </c>
      <c r="B213" s="18">
        <f t="shared" si="37"/>
        <v>0</v>
      </c>
      <c r="C213" s="688" t="s">
        <v>111</v>
      </c>
      <c r="D213" s="688" t="s">
        <v>111</v>
      </c>
      <c r="E213" s="688" t="s">
        <v>111</v>
      </c>
      <c r="F213" s="688" t="s">
        <v>111</v>
      </c>
      <c r="G213" s="688" t="s">
        <v>111</v>
      </c>
      <c r="H213" s="688" t="s">
        <v>111</v>
      </c>
      <c r="I213" s="688" t="s">
        <v>111</v>
      </c>
      <c r="J213" s="688" t="s">
        <v>111</v>
      </c>
      <c r="K213" s="688" t="s">
        <v>111</v>
      </c>
      <c r="L213" s="688" t="s">
        <v>111</v>
      </c>
      <c r="M213" s="688" t="s">
        <v>111</v>
      </c>
      <c r="N213" s="688" t="s">
        <v>111</v>
      </c>
      <c r="O213" s="688" t="s">
        <v>111</v>
      </c>
      <c r="P213" s="688" t="s">
        <v>111</v>
      </c>
      <c r="Q213" s="688" t="s">
        <v>111</v>
      </c>
      <c r="R213" s="688" t="s">
        <v>111</v>
      </c>
      <c r="S213" s="688" t="s">
        <v>111</v>
      </c>
      <c r="T213" s="688" t="s">
        <v>111</v>
      </c>
      <c r="U213" s="688" t="s">
        <v>111</v>
      </c>
      <c r="V213" s="688" t="s">
        <v>111</v>
      </c>
      <c r="W213" s="688" t="s">
        <v>111</v>
      </c>
      <c r="X213" s="688" t="s">
        <v>111</v>
      </c>
      <c r="Y213" s="688" t="s">
        <v>111</v>
      </c>
      <c r="Z213" s="688" t="s">
        <v>111</v>
      </c>
      <c r="AA213" s="688" t="s">
        <v>111</v>
      </c>
      <c r="AB213" s="688" t="s">
        <v>111</v>
      </c>
      <c r="AC213" s="688" t="s">
        <v>111</v>
      </c>
      <c r="AD213" s="688" t="s">
        <v>111</v>
      </c>
      <c r="AE213" s="688" t="s">
        <v>111</v>
      </c>
      <c r="AF213" s="688" t="s">
        <v>111</v>
      </c>
      <c r="AG213" s="688" t="s">
        <v>111</v>
      </c>
      <c r="AH213" s="53">
        <f t="shared" si="38"/>
        <v>0</v>
      </c>
    </row>
    <row r="214" spans="1:34" ht="15">
      <c r="A214" s="149" t="s">
        <v>84</v>
      </c>
      <c r="B214" s="18">
        <f t="shared" si="37"/>
        <v>3.6640000000000001</v>
      </c>
      <c r="C214" s="688" t="s">
        <v>111</v>
      </c>
      <c r="D214" s="688" t="s">
        <v>111</v>
      </c>
      <c r="E214" s="688" t="s">
        <v>111</v>
      </c>
      <c r="F214" s="688" t="s">
        <v>111</v>
      </c>
      <c r="G214" s="688" t="s">
        <v>111</v>
      </c>
      <c r="H214" s="688" t="s">
        <v>111</v>
      </c>
      <c r="I214" s="688" t="s">
        <v>111</v>
      </c>
      <c r="J214" s="688" t="s">
        <v>111</v>
      </c>
      <c r="K214" s="688" t="s">
        <v>111</v>
      </c>
      <c r="L214" s="688" t="s">
        <v>111</v>
      </c>
      <c r="M214" s="688" t="s">
        <v>111</v>
      </c>
      <c r="N214" s="688" t="s">
        <v>111</v>
      </c>
      <c r="O214" s="688" t="s">
        <v>111</v>
      </c>
      <c r="P214" s="688" t="s">
        <v>111</v>
      </c>
      <c r="Q214" s="688" t="s">
        <v>111</v>
      </c>
      <c r="R214" s="688" t="s">
        <v>111</v>
      </c>
      <c r="S214" s="688" t="s">
        <v>111</v>
      </c>
      <c r="T214" s="688" t="s">
        <v>111</v>
      </c>
      <c r="U214" s="688" t="s">
        <v>111</v>
      </c>
      <c r="V214" s="688" t="s">
        <v>111</v>
      </c>
      <c r="W214" s="688" t="s">
        <v>111</v>
      </c>
      <c r="X214" s="1287"/>
      <c r="Y214" s="1287">
        <v>3.6640000000000001</v>
      </c>
      <c r="Z214" s="1287"/>
      <c r="AA214" s="1287"/>
      <c r="AB214" s="1287"/>
      <c r="AC214" s="1287"/>
      <c r="AD214" s="1287"/>
      <c r="AE214" s="1488"/>
      <c r="AF214" s="1287"/>
      <c r="AG214" s="1488"/>
      <c r="AH214" s="53">
        <f t="shared" si="38"/>
        <v>3.6640000000000001</v>
      </c>
    </row>
    <row r="215" spans="1:34" ht="15">
      <c r="A215" s="149" t="s">
        <v>85</v>
      </c>
      <c r="B215" s="18">
        <f t="shared" si="37"/>
        <v>80.558999999999997</v>
      </c>
      <c r="C215" s="49"/>
      <c r="D215" s="18"/>
      <c r="E215" s="18"/>
      <c r="F215" s="18"/>
      <c r="G215" s="11"/>
      <c r="H215" s="18"/>
      <c r="I215" s="18"/>
      <c r="J215" s="18"/>
      <c r="K215" s="18"/>
      <c r="L215" s="18"/>
      <c r="M215" s="18"/>
      <c r="N215" s="18"/>
      <c r="O215" s="18"/>
      <c r="P215" s="18"/>
      <c r="Q215" s="18"/>
      <c r="R215" s="18"/>
      <c r="S215" s="18"/>
      <c r="T215" s="18"/>
      <c r="U215" s="18"/>
      <c r="V215" s="18"/>
      <c r="W215" s="18"/>
      <c r="X215" s="18"/>
      <c r="Y215" s="11"/>
      <c r="Z215" s="18"/>
      <c r="AA215" s="18"/>
      <c r="AB215" s="18"/>
      <c r="AC215" s="18"/>
      <c r="AD215" s="18"/>
      <c r="AE215" s="53">
        <v>6.4480000000000004</v>
      </c>
      <c r="AF215" s="18">
        <v>74.111000000000004</v>
      </c>
      <c r="AG215" s="53"/>
      <c r="AH215" s="53">
        <f t="shared" si="38"/>
        <v>80.558999999999997</v>
      </c>
    </row>
    <row r="216" spans="1:34" ht="15">
      <c r="A216" s="149" t="s">
        <v>86</v>
      </c>
      <c r="B216" s="18">
        <f t="shared" si="37"/>
        <v>132.41399999999999</v>
      </c>
      <c r="C216" s="49">
        <v>4.4960000000000004</v>
      </c>
      <c r="D216" s="18">
        <v>10.914</v>
      </c>
      <c r="E216" s="18"/>
      <c r="F216" s="18"/>
      <c r="G216" s="18">
        <v>1.3460000000000001</v>
      </c>
      <c r="H216" s="18"/>
      <c r="I216" s="18"/>
      <c r="J216" s="18"/>
      <c r="K216" s="18"/>
      <c r="L216" s="18">
        <v>2.9820000000000002</v>
      </c>
      <c r="M216" s="18"/>
      <c r="N216" s="18"/>
      <c r="O216" s="18"/>
      <c r="P216" s="1287"/>
      <c r="Q216" s="1287"/>
      <c r="R216" s="1287"/>
      <c r="S216" s="1287"/>
      <c r="T216" s="1287"/>
      <c r="U216" s="1287"/>
      <c r="V216" s="1287"/>
      <c r="W216" s="1287"/>
      <c r="X216" s="1287">
        <v>6.827</v>
      </c>
      <c r="Y216" s="1287"/>
      <c r="Z216" s="1287"/>
      <c r="AA216" s="1287"/>
      <c r="AB216" s="1287">
        <v>35.177999999999997</v>
      </c>
      <c r="AC216" s="1287">
        <v>28.971</v>
      </c>
      <c r="AD216" s="1287">
        <v>0</v>
      </c>
      <c r="AE216" s="1287">
        <v>41.7</v>
      </c>
      <c r="AF216" s="1287">
        <v>0</v>
      </c>
      <c r="AG216" s="1287">
        <v>0</v>
      </c>
      <c r="AH216" s="53">
        <f t="shared" si="38"/>
        <v>132.41399999999999</v>
      </c>
    </row>
    <row r="217" spans="1:34" ht="15">
      <c r="A217" s="88" t="s">
        <v>74</v>
      </c>
      <c r="B217" s="89">
        <f>SUM(B205:B216)</f>
        <v>913.83399999999995</v>
      </c>
      <c r="C217" s="46">
        <f>SUM(C205:C215)</f>
        <v>1.395</v>
      </c>
      <c r="D217" s="53">
        <f>SUM(D205:D215)</f>
        <v>1.3620000000000001</v>
      </c>
      <c r="E217" s="53">
        <v>0</v>
      </c>
      <c r="F217" s="53">
        <f t="shared" ref="F217:AC217" si="39">SUM(F205:F215)</f>
        <v>5.42</v>
      </c>
      <c r="G217" s="53">
        <f t="shared" si="39"/>
        <v>20.207999999999998</v>
      </c>
      <c r="H217" s="53">
        <f t="shared" si="39"/>
        <v>29.786000000000001</v>
      </c>
      <c r="I217" s="53">
        <f t="shared" si="39"/>
        <v>26.23</v>
      </c>
      <c r="J217" s="53">
        <f t="shared" si="39"/>
        <v>27.935000000000002</v>
      </c>
      <c r="K217" s="53">
        <f t="shared" si="39"/>
        <v>26.555999999999997</v>
      </c>
      <c r="L217" s="53">
        <f t="shared" si="39"/>
        <v>6.3250000000000002</v>
      </c>
      <c r="M217" s="53">
        <f t="shared" si="39"/>
        <v>7.4119999999999999</v>
      </c>
      <c r="N217" s="53">
        <f t="shared" si="39"/>
        <v>39.742999999999995</v>
      </c>
      <c r="O217" s="53">
        <f t="shared" si="39"/>
        <v>9.8320000000000007</v>
      </c>
      <c r="P217" s="53">
        <f t="shared" si="39"/>
        <v>2.7919999999999998</v>
      </c>
      <c r="Q217" s="53">
        <f t="shared" si="39"/>
        <v>0.69399999999999995</v>
      </c>
      <c r="R217" s="53">
        <f t="shared" si="39"/>
        <v>6.4930000000000003</v>
      </c>
      <c r="S217" s="53">
        <f t="shared" si="39"/>
        <v>10.154</v>
      </c>
      <c r="T217" s="53">
        <f t="shared" si="39"/>
        <v>29.853999999999999</v>
      </c>
      <c r="U217" s="53">
        <f t="shared" si="39"/>
        <v>29.018000000000001</v>
      </c>
      <c r="V217" s="53">
        <f t="shared" si="39"/>
        <v>83.438999999999993</v>
      </c>
      <c r="W217" s="53">
        <f t="shared" si="39"/>
        <v>58.025000000000006</v>
      </c>
      <c r="X217" s="53">
        <f t="shared" si="39"/>
        <v>20.465</v>
      </c>
      <c r="Y217" s="53">
        <f t="shared" si="39"/>
        <v>11.1</v>
      </c>
      <c r="Z217" s="53">
        <f t="shared" si="39"/>
        <v>44.186999999999998</v>
      </c>
      <c r="AA217" s="53">
        <f t="shared" si="39"/>
        <v>114.732</v>
      </c>
      <c r="AB217" s="53">
        <f t="shared" si="39"/>
        <v>55.087000000000003</v>
      </c>
      <c r="AC217" s="53">
        <f t="shared" si="39"/>
        <v>3.12</v>
      </c>
      <c r="AD217" s="53">
        <v>0</v>
      </c>
      <c r="AE217" s="53">
        <f>SUM(AE205:AE215)</f>
        <v>13.997</v>
      </c>
      <c r="AF217" s="53">
        <f>SUM(AF205:AF215)</f>
        <v>74.782000000000011</v>
      </c>
      <c r="AG217" s="53">
        <f>SUM(AG205:AG215)</f>
        <v>0</v>
      </c>
      <c r="AH217" s="46">
        <f>SUM(AH205:AH215)</f>
        <v>781.42</v>
      </c>
    </row>
    <row r="218" spans="1:34" ht="5.0999999999999996" customHeight="1">
      <c r="A218" s="50"/>
      <c r="B218" s="51"/>
      <c r="C218" s="13"/>
      <c r="D218" s="52"/>
      <c r="E218" s="52"/>
      <c r="F218" s="52"/>
      <c r="G218" s="52"/>
      <c r="H218" s="52"/>
      <c r="I218" s="52"/>
      <c r="J218" s="52"/>
      <c r="K218" s="52"/>
      <c r="L218" s="52"/>
      <c r="M218" s="52"/>
      <c r="N218" s="52"/>
      <c r="O218" s="52"/>
      <c r="P218" s="52"/>
      <c r="Q218" s="52"/>
      <c r="R218" s="52"/>
      <c r="S218" s="52"/>
      <c r="T218" s="52"/>
      <c r="U218" s="52"/>
      <c r="V218" s="52"/>
      <c r="W218" s="52"/>
      <c r="X218" s="52"/>
      <c r="Y218" s="52"/>
      <c r="Z218" s="52"/>
      <c r="AA218" s="52"/>
      <c r="AB218" s="52"/>
      <c r="AC218" s="52"/>
      <c r="AD218" s="52"/>
      <c r="AE218" s="52"/>
      <c r="AF218" s="52"/>
      <c r="AG218" s="52"/>
      <c r="AH218" s="13"/>
    </row>
    <row r="219" spans="1:34" ht="15">
      <c r="A219" s="3569" t="s">
        <v>103</v>
      </c>
      <c r="B219" s="3570"/>
      <c r="C219" s="3570"/>
      <c r="D219" s="3570"/>
      <c r="E219" s="3570"/>
      <c r="F219" s="3570"/>
      <c r="G219" s="3570"/>
      <c r="H219" s="3571"/>
      <c r="I219" s="1433"/>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row>
    <row r="220" spans="1:34" ht="15">
      <c r="A220" s="5" t="s">
        <v>72</v>
      </c>
      <c r="B220" s="5" t="s">
        <v>73</v>
      </c>
      <c r="C220" s="1249">
        <v>1</v>
      </c>
      <c r="D220" s="30">
        <v>2</v>
      </c>
      <c r="E220" s="30">
        <v>3</v>
      </c>
      <c r="F220" s="30">
        <v>4</v>
      </c>
      <c r="G220" s="30">
        <v>5</v>
      </c>
      <c r="H220" s="30">
        <v>6</v>
      </c>
      <c r="I220" s="30">
        <v>7</v>
      </c>
      <c r="J220" s="30">
        <v>8</v>
      </c>
      <c r="K220" s="30">
        <v>9</v>
      </c>
      <c r="L220" s="30">
        <v>10</v>
      </c>
      <c r="M220" s="30">
        <v>11</v>
      </c>
      <c r="N220" s="30">
        <v>12</v>
      </c>
      <c r="O220" s="30">
        <v>13</v>
      </c>
      <c r="P220" s="30">
        <v>14</v>
      </c>
      <c r="Q220" s="30">
        <v>15</v>
      </c>
      <c r="R220" s="30">
        <v>16</v>
      </c>
      <c r="S220" s="30">
        <v>17</v>
      </c>
      <c r="T220" s="30">
        <v>18</v>
      </c>
      <c r="U220" s="30">
        <v>19</v>
      </c>
      <c r="V220" s="30">
        <v>20</v>
      </c>
      <c r="W220" s="30">
        <v>21</v>
      </c>
      <c r="X220" s="30">
        <v>22</v>
      </c>
      <c r="Y220" s="30">
        <v>23</v>
      </c>
      <c r="Z220" s="30">
        <v>24</v>
      </c>
      <c r="AA220" s="30">
        <v>25</v>
      </c>
      <c r="AB220" s="30">
        <v>26</v>
      </c>
      <c r="AC220" s="30">
        <v>27</v>
      </c>
      <c r="AD220" s="30">
        <v>28</v>
      </c>
      <c r="AE220" s="30">
        <v>29</v>
      </c>
      <c r="AF220" s="30">
        <v>30</v>
      </c>
      <c r="AG220" s="30">
        <v>31</v>
      </c>
      <c r="AH220" s="39" t="s">
        <v>74</v>
      </c>
    </row>
    <row r="221" spans="1:34" ht="15">
      <c r="A221" s="148" t="s">
        <v>75</v>
      </c>
      <c r="B221" s="18">
        <f t="shared" ref="B221:B232" si="40">+AH221</f>
        <v>0</v>
      </c>
      <c r="C221" s="126" t="s">
        <v>111</v>
      </c>
      <c r="D221" s="126" t="s">
        <v>111</v>
      </c>
      <c r="E221" s="126" t="s">
        <v>111</v>
      </c>
      <c r="F221" s="126" t="s">
        <v>111</v>
      </c>
      <c r="G221" s="126" t="s">
        <v>111</v>
      </c>
      <c r="H221" s="126" t="s">
        <v>111</v>
      </c>
      <c r="I221" s="126" t="s">
        <v>111</v>
      </c>
      <c r="J221" s="126" t="s">
        <v>111</v>
      </c>
      <c r="K221" s="126" t="s">
        <v>111</v>
      </c>
      <c r="L221" s="126" t="s">
        <v>111</v>
      </c>
      <c r="M221" s="126" t="s">
        <v>111</v>
      </c>
      <c r="N221" s="126" t="s">
        <v>111</v>
      </c>
      <c r="O221" s="126" t="s">
        <v>111</v>
      </c>
      <c r="P221" s="126" t="s">
        <v>111</v>
      </c>
      <c r="Q221" s="126" t="s">
        <v>111</v>
      </c>
      <c r="R221" s="126" t="s">
        <v>111</v>
      </c>
      <c r="S221" s="126" t="s">
        <v>111</v>
      </c>
      <c r="T221" s="126" t="s">
        <v>111</v>
      </c>
      <c r="U221" s="126" t="s">
        <v>111</v>
      </c>
      <c r="V221" s="126" t="s">
        <v>111</v>
      </c>
      <c r="W221" s="126" t="s">
        <v>111</v>
      </c>
      <c r="X221" s="126" t="s">
        <v>111</v>
      </c>
      <c r="Y221" s="126" t="s">
        <v>111</v>
      </c>
      <c r="Z221" s="126" t="s">
        <v>111</v>
      </c>
      <c r="AA221" s="126" t="s">
        <v>111</v>
      </c>
      <c r="AB221" s="126" t="s">
        <v>111</v>
      </c>
      <c r="AC221" s="126" t="s">
        <v>111</v>
      </c>
      <c r="AD221" s="126" t="s">
        <v>111</v>
      </c>
      <c r="AE221" s="126" t="s">
        <v>111</v>
      </c>
      <c r="AF221" s="126" t="s">
        <v>111</v>
      </c>
      <c r="AG221" s="126" t="s">
        <v>111</v>
      </c>
      <c r="AH221" s="53">
        <f>SUM(C221:AG221)</f>
        <v>0</v>
      </c>
    </row>
    <row r="222" spans="1:34" ht="15">
      <c r="A222" s="148" t="s">
        <v>76</v>
      </c>
      <c r="B222" s="18">
        <f t="shared" si="40"/>
        <v>0</v>
      </c>
      <c r="C222" s="126" t="s">
        <v>111</v>
      </c>
      <c r="D222" s="126" t="s">
        <v>111</v>
      </c>
      <c r="E222" s="126" t="s">
        <v>111</v>
      </c>
      <c r="F222" s="126" t="s">
        <v>111</v>
      </c>
      <c r="G222" s="126" t="s">
        <v>111</v>
      </c>
      <c r="H222" s="126" t="s">
        <v>111</v>
      </c>
      <c r="I222" s="126" t="s">
        <v>111</v>
      </c>
      <c r="J222" s="127"/>
      <c r="K222" s="127"/>
      <c r="L222" s="127"/>
      <c r="M222" s="127"/>
      <c r="N222" s="127"/>
      <c r="O222" s="127"/>
      <c r="P222" s="127"/>
      <c r="Q222" s="127"/>
      <c r="R222" s="127"/>
      <c r="S222" s="127"/>
      <c r="T222" s="127"/>
      <c r="U222" s="127"/>
      <c r="V222" s="127"/>
      <c r="W222" s="127"/>
      <c r="X222" s="127"/>
      <c r="Y222" s="127"/>
      <c r="Z222" s="127"/>
      <c r="AA222" s="127"/>
      <c r="AB222" s="127"/>
      <c r="AC222" s="127"/>
      <c r="AD222" s="127"/>
      <c r="AE222" s="127"/>
      <c r="AF222" s="127"/>
      <c r="AG222" s="127"/>
      <c r="AH222" s="53">
        <f t="shared" ref="AH222:AH232" si="41">SUM(C222:AG222)</f>
        <v>0</v>
      </c>
    </row>
    <row r="223" spans="1:34" ht="15">
      <c r="A223" s="148" t="s">
        <v>77</v>
      </c>
      <c r="B223" s="18">
        <f t="shared" si="40"/>
        <v>0</v>
      </c>
      <c r="C223" s="127"/>
      <c r="D223" s="127"/>
      <c r="E223" s="127"/>
      <c r="F223" s="127"/>
      <c r="G223" s="127"/>
      <c r="H223" s="112"/>
      <c r="I223" s="112"/>
      <c r="J223" s="112"/>
      <c r="K223" s="112"/>
      <c r="L223" s="112"/>
      <c r="M223" s="112"/>
      <c r="N223" s="112"/>
      <c r="O223" s="112"/>
      <c r="P223" s="112"/>
      <c r="Q223" s="112"/>
      <c r="R223" s="112"/>
      <c r="S223" s="18"/>
      <c r="T223" s="18"/>
      <c r="U223" s="18"/>
      <c r="V223" s="18"/>
      <c r="W223" s="18"/>
      <c r="X223" s="18"/>
      <c r="Y223" s="18"/>
      <c r="Z223" s="18"/>
      <c r="AA223" s="18"/>
      <c r="AB223" s="18"/>
      <c r="AC223" s="1930"/>
      <c r="AD223" s="1930"/>
      <c r="AE223" s="1930"/>
      <c r="AF223" s="1930"/>
      <c r="AG223" s="1930"/>
      <c r="AH223" s="53">
        <f t="shared" si="41"/>
        <v>0</v>
      </c>
    </row>
    <row r="224" spans="1:34" ht="15">
      <c r="A224" s="148" t="s">
        <v>78</v>
      </c>
      <c r="B224" s="18">
        <f t="shared" si="40"/>
        <v>0</v>
      </c>
      <c r="C224" s="1930"/>
      <c r="D224" s="1930"/>
      <c r="E224" s="1930"/>
      <c r="F224" s="1930"/>
      <c r="G224" s="1930"/>
      <c r="H224" s="1930"/>
      <c r="I224" s="1930"/>
      <c r="J224" s="1930"/>
      <c r="K224" s="1930"/>
      <c r="L224" s="1287"/>
      <c r="M224" s="1287"/>
      <c r="N224" s="1287"/>
      <c r="O224" s="1287"/>
      <c r="P224" s="1287"/>
      <c r="Q224" s="1287"/>
      <c r="R224" s="1287"/>
      <c r="S224" s="1287"/>
      <c r="T224" s="1287"/>
      <c r="U224" s="1287"/>
      <c r="V224" s="1287"/>
      <c r="W224" s="1287"/>
      <c r="X224" s="1287"/>
      <c r="Y224" s="1287"/>
      <c r="Z224" s="1287"/>
      <c r="AA224" s="1287"/>
      <c r="AB224" s="1287"/>
      <c r="AC224" s="1287"/>
      <c r="AD224" s="1287"/>
      <c r="AE224" s="1287"/>
      <c r="AF224" s="1287"/>
      <c r="AG224" s="1287"/>
      <c r="AH224" s="53">
        <f t="shared" si="41"/>
        <v>0</v>
      </c>
    </row>
    <row r="225" spans="1:34" ht="15">
      <c r="A225" s="143" t="s">
        <v>79</v>
      </c>
      <c r="B225" s="18">
        <f t="shared" si="40"/>
        <v>0</v>
      </c>
      <c r="C225" s="1287"/>
      <c r="D225" s="1287"/>
      <c r="E225" s="1287"/>
      <c r="F225" s="1287"/>
      <c r="G225" s="1287"/>
      <c r="H225" s="1287"/>
      <c r="I225" s="1287"/>
      <c r="J225" s="1287"/>
      <c r="K225" s="1287"/>
      <c r="L225" s="1287"/>
      <c r="M225" s="1287"/>
      <c r="N225" s="1287"/>
      <c r="O225" s="1287"/>
      <c r="P225" s="1287"/>
      <c r="Q225" s="1287"/>
      <c r="R225" s="1287"/>
      <c r="S225" s="1287"/>
      <c r="T225" s="1287"/>
      <c r="U225" s="1287"/>
      <c r="V225" s="1287"/>
      <c r="W225" s="1287"/>
      <c r="X225" s="1287"/>
      <c r="Y225" s="1287"/>
      <c r="Z225" s="1287"/>
      <c r="AA225" s="1287"/>
      <c r="AB225" s="1287"/>
      <c r="AC225" s="1287"/>
      <c r="AD225" s="1287"/>
      <c r="AE225" s="1287"/>
      <c r="AF225" s="1287"/>
      <c r="AG225" s="1287"/>
      <c r="AH225" s="53">
        <f t="shared" si="41"/>
        <v>0</v>
      </c>
    </row>
    <row r="226" spans="1:34" ht="15">
      <c r="A226" s="143" t="s">
        <v>80</v>
      </c>
      <c r="B226" s="18">
        <f t="shared" si="40"/>
        <v>0</v>
      </c>
      <c r="C226" s="1287"/>
      <c r="D226" s="1287"/>
      <c r="E226" s="1287"/>
      <c r="F226" s="1287"/>
      <c r="G226" s="1287"/>
      <c r="H226" s="1287"/>
      <c r="I226" s="1287"/>
      <c r="J226" s="1287"/>
      <c r="K226" s="1287"/>
      <c r="L226" s="1287"/>
      <c r="M226" s="1287"/>
      <c r="N226" s="1287"/>
      <c r="O226" s="1287"/>
      <c r="P226" s="1287"/>
      <c r="Q226" s="1287"/>
      <c r="R226" s="1287"/>
      <c r="S226" s="1287"/>
      <c r="T226" s="1287"/>
      <c r="U226" s="1287"/>
      <c r="V226" s="1287"/>
      <c r="W226" s="1287"/>
      <c r="X226" s="1287"/>
      <c r="Y226" s="1287"/>
      <c r="Z226" s="1287"/>
      <c r="AA226" s="1287"/>
      <c r="AB226" s="1287"/>
      <c r="AC226" s="1287"/>
      <c r="AD226" s="1287"/>
      <c r="AE226" s="1287"/>
      <c r="AF226" s="1287"/>
      <c r="AG226" s="1287"/>
      <c r="AH226" s="53">
        <f t="shared" si="41"/>
        <v>0</v>
      </c>
    </row>
    <row r="227" spans="1:34" ht="15">
      <c r="A227" s="143" t="s">
        <v>81</v>
      </c>
      <c r="B227" s="18">
        <f t="shared" si="40"/>
        <v>0</v>
      </c>
      <c r="C227" s="1287"/>
      <c r="D227" s="1488"/>
      <c r="E227" s="1488"/>
      <c r="F227" s="1488"/>
      <c r="G227" s="1287"/>
      <c r="H227" s="1287"/>
      <c r="I227" s="1287"/>
      <c r="J227" s="2466"/>
      <c r="K227" s="2466"/>
      <c r="L227" s="1488"/>
      <c r="M227" s="1488"/>
      <c r="N227" s="1488"/>
      <c r="O227" s="1488"/>
      <c r="P227" s="1488"/>
      <c r="Q227" s="1488"/>
      <c r="R227" s="1488"/>
      <c r="S227" s="1488"/>
      <c r="T227" s="1488"/>
      <c r="U227" s="1488"/>
      <c r="V227" s="1488"/>
      <c r="W227" s="688"/>
      <c r="X227" s="688"/>
      <c r="Y227" s="688"/>
      <c r="Z227" s="688"/>
      <c r="AA227" s="688"/>
      <c r="AB227" s="688"/>
      <c r="AC227" s="688"/>
      <c r="AD227" s="688"/>
      <c r="AE227" s="688"/>
      <c r="AF227" s="688" t="s">
        <v>111</v>
      </c>
      <c r="AG227" s="688" t="s">
        <v>111</v>
      </c>
      <c r="AH227" s="53">
        <f t="shared" si="41"/>
        <v>0</v>
      </c>
    </row>
    <row r="228" spans="1:34" ht="15">
      <c r="A228" s="143" t="s">
        <v>82</v>
      </c>
      <c r="B228" s="18">
        <f t="shared" si="40"/>
        <v>0</v>
      </c>
      <c r="C228" s="688" t="s">
        <v>111</v>
      </c>
      <c r="D228" s="688" t="s">
        <v>111</v>
      </c>
      <c r="E228" s="688" t="s">
        <v>111</v>
      </c>
      <c r="F228" s="688" t="s">
        <v>111</v>
      </c>
      <c r="G228" s="688" t="s">
        <v>111</v>
      </c>
      <c r="H228" s="688" t="s">
        <v>111</v>
      </c>
      <c r="I228" s="688" t="s">
        <v>111</v>
      </c>
      <c r="J228" s="688" t="s">
        <v>111</v>
      </c>
      <c r="K228" s="688" t="s">
        <v>111</v>
      </c>
      <c r="L228" s="688" t="s">
        <v>111</v>
      </c>
      <c r="M228" s="688" t="s">
        <v>111</v>
      </c>
      <c r="N228" s="688" t="s">
        <v>111</v>
      </c>
      <c r="O228" s="688" t="s">
        <v>111</v>
      </c>
      <c r="P228" s="688" t="s">
        <v>111</v>
      </c>
      <c r="Q228" s="688" t="s">
        <v>111</v>
      </c>
      <c r="R228" s="688" t="s">
        <v>111</v>
      </c>
      <c r="S228" s="688" t="s">
        <v>111</v>
      </c>
      <c r="T228" s="688" t="s">
        <v>111</v>
      </c>
      <c r="U228" s="688" t="s">
        <v>111</v>
      </c>
      <c r="V228" s="688" t="s">
        <v>111</v>
      </c>
      <c r="W228" s="688" t="s">
        <v>111</v>
      </c>
      <c r="X228" s="688" t="s">
        <v>111</v>
      </c>
      <c r="Y228" s="688" t="s">
        <v>111</v>
      </c>
      <c r="Z228" s="688" t="s">
        <v>111</v>
      </c>
      <c r="AA228" s="688" t="s">
        <v>111</v>
      </c>
      <c r="AB228" s="688" t="s">
        <v>111</v>
      </c>
      <c r="AC228" s="688" t="s">
        <v>111</v>
      </c>
      <c r="AD228" s="688" t="s">
        <v>111</v>
      </c>
      <c r="AE228" s="688" t="s">
        <v>111</v>
      </c>
      <c r="AF228" s="688" t="s">
        <v>111</v>
      </c>
      <c r="AG228" s="688" t="s">
        <v>111</v>
      </c>
      <c r="AH228" s="53">
        <f t="shared" si="41"/>
        <v>0</v>
      </c>
    </row>
    <row r="229" spans="1:34" ht="15">
      <c r="A229" s="149" t="s">
        <v>83</v>
      </c>
      <c r="B229" s="18">
        <f t="shared" si="40"/>
        <v>0</v>
      </c>
      <c r="C229" s="688" t="s">
        <v>111</v>
      </c>
      <c r="D229" s="688" t="s">
        <v>111</v>
      </c>
      <c r="E229" s="688" t="s">
        <v>111</v>
      </c>
      <c r="F229" s="688" t="s">
        <v>111</v>
      </c>
      <c r="G229" s="688" t="s">
        <v>111</v>
      </c>
      <c r="H229" s="688" t="s">
        <v>111</v>
      </c>
      <c r="I229" s="688" t="s">
        <v>111</v>
      </c>
      <c r="J229" s="688" t="s">
        <v>111</v>
      </c>
      <c r="K229" s="688" t="s">
        <v>111</v>
      </c>
      <c r="L229" s="688" t="s">
        <v>111</v>
      </c>
      <c r="M229" s="688" t="s">
        <v>111</v>
      </c>
      <c r="N229" s="688" t="s">
        <v>111</v>
      </c>
      <c r="O229" s="688" t="s">
        <v>111</v>
      </c>
      <c r="P229" s="688" t="s">
        <v>111</v>
      </c>
      <c r="Q229" s="688" t="s">
        <v>111</v>
      </c>
      <c r="R229" s="688" t="s">
        <v>111</v>
      </c>
      <c r="S229" s="688" t="s">
        <v>111</v>
      </c>
      <c r="T229" s="688" t="s">
        <v>111</v>
      </c>
      <c r="U229" s="688" t="s">
        <v>111</v>
      </c>
      <c r="V229" s="688" t="s">
        <v>111</v>
      </c>
      <c r="W229" s="688" t="s">
        <v>111</v>
      </c>
      <c r="X229" s="688" t="s">
        <v>111</v>
      </c>
      <c r="Y229" s="688" t="s">
        <v>111</v>
      </c>
      <c r="Z229" s="688" t="s">
        <v>111</v>
      </c>
      <c r="AA229" s="688" t="s">
        <v>111</v>
      </c>
      <c r="AB229" s="688" t="s">
        <v>111</v>
      </c>
      <c r="AC229" s="688" t="s">
        <v>111</v>
      </c>
      <c r="AD229" s="688" t="s">
        <v>111</v>
      </c>
      <c r="AE229" s="688" t="s">
        <v>111</v>
      </c>
      <c r="AF229" s="688" t="s">
        <v>111</v>
      </c>
      <c r="AG229" s="688" t="s">
        <v>111</v>
      </c>
      <c r="AH229" s="53">
        <f t="shared" si="41"/>
        <v>0</v>
      </c>
    </row>
    <row r="230" spans="1:34" ht="15">
      <c r="A230" s="149" t="s">
        <v>84</v>
      </c>
      <c r="B230" s="18">
        <f t="shared" si="40"/>
        <v>0</v>
      </c>
      <c r="C230" s="688" t="s">
        <v>111</v>
      </c>
      <c r="D230" s="688" t="s">
        <v>111</v>
      </c>
      <c r="E230" s="688" t="s">
        <v>111</v>
      </c>
      <c r="F230" s="688" t="s">
        <v>111</v>
      </c>
      <c r="G230" s="688" t="s">
        <v>111</v>
      </c>
      <c r="H230" s="688" t="s">
        <v>111</v>
      </c>
      <c r="I230" s="688" t="s">
        <v>111</v>
      </c>
      <c r="J230" s="688" t="s">
        <v>111</v>
      </c>
      <c r="K230" s="688" t="s">
        <v>111</v>
      </c>
      <c r="L230" s="688" t="s">
        <v>111</v>
      </c>
      <c r="M230" s="688" t="s">
        <v>111</v>
      </c>
      <c r="N230" s="688" t="s">
        <v>111</v>
      </c>
      <c r="O230" s="688" t="s">
        <v>111</v>
      </c>
      <c r="P230" s="688" t="s">
        <v>111</v>
      </c>
      <c r="Q230" s="688" t="s">
        <v>111</v>
      </c>
      <c r="R230" s="688" t="s">
        <v>111</v>
      </c>
      <c r="S230" s="688" t="s">
        <v>111</v>
      </c>
      <c r="T230" s="688" t="s">
        <v>111</v>
      </c>
      <c r="U230" s="688" t="s">
        <v>111</v>
      </c>
      <c r="V230" s="688" t="s">
        <v>111</v>
      </c>
      <c r="W230" s="688" t="s">
        <v>111</v>
      </c>
      <c r="X230" s="1287"/>
      <c r="Y230" s="1287"/>
      <c r="Z230" s="1287"/>
      <c r="AA230" s="1287"/>
      <c r="AB230" s="1287"/>
      <c r="AC230" s="1287"/>
      <c r="AD230" s="1287"/>
      <c r="AE230" s="1488"/>
      <c r="AF230" s="1287"/>
      <c r="AG230" s="1488"/>
      <c r="AH230" s="53">
        <f t="shared" si="41"/>
        <v>0</v>
      </c>
    </row>
    <row r="231" spans="1:34" ht="15">
      <c r="A231" s="149" t="s">
        <v>85</v>
      </c>
      <c r="B231" s="18">
        <f t="shared" si="40"/>
        <v>0</v>
      </c>
      <c r="C231" s="1287"/>
      <c r="D231" s="1287"/>
      <c r="E231" s="1287"/>
      <c r="F231" s="1287"/>
      <c r="G231" s="1433"/>
      <c r="H231" s="1287"/>
      <c r="I231" s="1287"/>
      <c r="J231" s="1287"/>
      <c r="K231" s="1287"/>
      <c r="L231" s="1287"/>
      <c r="M231" s="1287"/>
      <c r="N231" s="1287"/>
      <c r="O231" s="1287"/>
      <c r="P231" s="1287"/>
      <c r="Q231" s="1287"/>
      <c r="R231" s="1287"/>
      <c r="S231" s="1287"/>
      <c r="T231" s="1287"/>
      <c r="U231" s="1287"/>
      <c r="V231" s="1287"/>
      <c r="W231" s="1287"/>
      <c r="X231" s="1287"/>
      <c r="Y231" s="1433"/>
      <c r="Z231" s="1287"/>
      <c r="AA231" s="1287"/>
      <c r="AB231" s="1287"/>
      <c r="AC231" s="1287"/>
      <c r="AD231" s="1287"/>
      <c r="AE231" s="1488"/>
      <c r="AF231" s="1287"/>
      <c r="AG231" s="1488"/>
      <c r="AH231" s="53">
        <f t="shared" si="41"/>
        <v>0</v>
      </c>
    </row>
    <row r="232" spans="1:34" ht="15">
      <c r="A232" s="149" t="s">
        <v>86</v>
      </c>
      <c r="B232" s="18">
        <f t="shared" si="40"/>
        <v>0</v>
      </c>
      <c r="C232" s="49"/>
      <c r="D232" s="18"/>
      <c r="E232" s="18"/>
      <c r="F232" s="18"/>
      <c r="G232" s="18"/>
      <c r="H232" s="18"/>
      <c r="I232" s="18"/>
      <c r="J232" s="18"/>
      <c r="K232" s="18"/>
      <c r="L232" s="18"/>
      <c r="M232" s="18"/>
      <c r="N232" s="18"/>
      <c r="O232" s="18"/>
      <c r="P232" s="1287"/>
      <c r="Q232" s="1287"/>
      <c r="R232" s="1287"/>
      <c r="S232" s="1287"/>
      <c r="T232" s="1287"/>
      <c r="U232" s="1287"/>
      <c r="V232" s="1287"/>
      <c r="W232" s="1287"/>
      <c r="X232" s="1287"/>
      <c r="Y232" s="1287"/>
      <c r="Z232" s="1287"/>
      <c r="AA232" s="1287"/>
      <c r="AB232" s="1287"/>
      <c r="AC232" s="1287"/>
      <c r="AD232" s="1287"/>
      <c r="AE232" s="1287"/>
      <c r="AF232" s="1287"/>
      <c r="AG232" s="1287"/>
      <c r="AH232" s="53">
        <f t="shared" si="41"/>
        <v>0</v>
      </c>
    </row>
    <row r="233" spans="1:34" ht="15">
      <c r="A233" s="88" t="s">
        <v>74</v>
      </c>
      <c r="B233" s="89">
        <f>SUM(B221:B232)</f>
        <v>0</v>
      </c>
      <c r="C233" s="46">
        <f>SUM(C221:C231)</f>
        <v>0</v>
      </c>
      <c r="D233" s="53">
        <f>SUM(D221:D231)</f>
        <v>0</v>
      </c>
      <c r="E233" s="53">
        <v>0</v>
      </c>
      <c r="F233" s="53">
        <f t="shared" ref="F233:AC233" si="42">SUM(F221:F231)</f>
        <v>0</v>
      </c>
      <c r="G233" s="53">
        <f t="shared" si="42"/>
        <v>0</v>
      </c>
      <c r="H233" s="53">
        <f t="shared" si="42"/>
        <v>0</v>
      </c>
      <c r="I233" s="53">
        <f t="shared" si="42"/>
        <v>0</v>
      </c>
      <c r="J233" s="53">
        <f t="shared" si="42"/>
        <v>0</v>
      </c>
      <c r="K233" s="53">
        <f t="shared" si="42"/>
        <v>0</v>
      </c>
      <c r="L233" s="53">
        <f t="shared" si="42"/>
        <v>0</v>
      </c>
      <c r="M233" s="53">
        <f t="shared" si="42"/>
        <v>0</v>
      </c>
      <c r="N233" s="53">
        <f t="shared" si="42"/>
        <v>0</v>
      </c>
      <c r="O233" s="53">
        <f t="shared" si="42"/>
        <v>0</v>
      </c>
      <c r="P233" s="53">
        <f t="shared" si="42"/>
        <v>0</v>
      </c>
      <c r="Q233" s="53">
        <f t="shared" si="42"/>
        <v>0</v>
      </c>
      <c r="R233" s="53">
        <f t="shared" si="42"/>
        <v>0</v>
      </c>
      <c r="S233" s="53">
        <f t="shared" si="42"/>
        <v>0</v>
      </c>
      <c r="T233" s="53">
        <f t="shared" si="42"/>
        <v>0</v>
      </c>
      <c r="U233" s="53">
        <f t="shared" si="42"/>
        <v>0</v>
      </c>
      <c r="V233" s="53">
        <f t="shared" si="42"/>
        <v>0</v>
      </c>
      <c r="W233" s="53">
        <f t="shared" si="42"/>
        <v>0</v>
      </c>
      <c r="X233" s="53">
        <f t="shared" si="42"/>
        <v>0</v>
      </c>
      <c r="Y233" s="53">
        <f t="shared" si="42"/>
        <v>0</v>
      </c>
      <c r="Z233" s="53">
        <f t="shared" si="42"/>
        <v>0</v>
      </c>
      <c r="AA233" s="53">
        <f t="shared" si="42"/>
        <v>0</v>
      </c>
      <c r="AB233" s="53">
        <f t="shared" si="42"/>
        <v>0</v>
      </c>
      <c r="AC233" s="53">
        <f t="shared" si="42"/>
        <v>0</v>
      </c>
      <c r="AD233" s="53">
        <v>0</v>
      </c>
      <c r="AE233" s="53">
        <f>SUM(AE221:AE231)</f>
        <v>0</v>
      </c>
      <c r="AF233" s="53">
        <f>SUM(AF221:AF231)</f>
        <v>0</v>
      </c>
      <c r="AG233" s="53">
        <f>SUM(AG221:AG231)</f>
        <v>0</v>
      </c>
      <c r="AH233" s="46">
        <f>SUM(AH221:AH231)</f>
        <v>0</v>
      </c>
    </row>
    <row r="234" spans="1:34" ht="5.0999999999999996" customHeight="1">
      <c r="A234" s="50"/>
      <c r="B234" s="58"/>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c r="AA234" s="52"/>
      <c r="AB234" s="52"/>
      <c r="AC234" s="52"/>
      <c r="AD234" s="52"/>
      <c r="AE234" s="52"/>
      <c r="AF234" s="52"/>
      <c r="AG234" s="52"/>
      <c r="AH234" s="52"/>
    </row>
    <row r="235" spans="1:34" ht="15">
      <c r="A235" s="3569" t="s">
        <v>104</v>
      </c>
      <c r="B235" s="3570"/>
      <c r="C235" s="3570"/>
      <c r="D235" s="3570"/>
      <c r="E235" s="3570"/>
      <c r="F235" s="3570"/>
      <c r="G235" s="3570"/>
      <c r="H235" s="3571"/>
      <c r="I235" s="1433"/>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row>
    <row r="236" spans="1:34" ht="15">
      <c r="A236" s="5" t="s">
        <v>91</v>
      </c>
      <c r="B236" s="5" t="s">
        <v>73</v>
      </c>
      <c r="C236" s="1249">
        <v>1</v>
      </c>
      <c r="D236" s="30">
        <v>2</v>
      </c>
      <c r="E236" s="30">
        <v>3</v>
      </c>
      <c r="F236" s="30">
        <v>4</v>
      </c>
      <c r="G236" s="30">
        <v>5</v>
      </c>
      <c r="H236" s="30">
        <v>6</v>
      </c>
      <c r="I236" s="30">
        <v>7</v>
      </c>
      <c r="J236" s="30">
        <v>8</v>
      </c>
      <c r="K236" s="30">
        <v>9</v>
      </c>
      <c r="L236" s="30">
        <v>10</v>
      </c>
      <c r="M236" s="30">
        <v>11</v>
      </c>
      <c r="N236" s="30">
        <v>12</v>
      </c>
      <c r="O236" s="30">
        <v>13</v>
      </c>
      <c r="P236" s="30">
        <v>14</v>
      </c>
      <c r="Q236" s="30">
        <v>15</v>
      </c>
      <c r="R236" s="30">
        <v>16</v>
      </c>
      <c r="S236" s="30">
        <v>17</v>
      </c>
      <c r="T236" s="30">
        <v>18</v>
      </c>
      <c r="U236" s="30">
        <v>19</v>
      </c>
      <c r="V236" s="30">
        <v>20</v>
      </c>
      <c r="W236" s="30">
        <v>21</v>
      </c>
      <c r="X236" s="30">
        <v>22</v>
      </c>
      <c r="Y236" s="30">
        <v>23</v>
      </c>
      <c r="Z236" s="30">
        <v>24</v>
      </c>
      <c r="AA236" s="30">
        <v>25</v>
      </c>
      <c r="AB236" s="30">
        <v>26</v>
      </c>
      <c r="AC236" s="30">
        <v>27</v>
      </c>
      <c r="AD236" s="30">
        <v>28</v>
      </c>
      <c r="AE236" s="30">
        <v>29</v>
      </c>
      <c r="AF236" s="30">
        <v>30</v>
      </c>
      <c r="AG236" s="30">
        <v>31</v>
      </c>
      <c r="AH236" s="39" t="s">
        <v>74</v>
      </c>
    </row>
    <row r="237" spans="1:34" ht="15">
      <c r="A237" s="148" t="s">
        <v>75</v>
      </c>
      <c r="B237" s="18">
        <f t="shared" ref="B237:B248" si="43">+AH237</f>
        <v>0</v>
      </c>
      <c r="C237" s="126" t="s">
        <v>111</v>
      </c>
      <c r="D237" s="126" t="s">
        <v>111</v>
      </c>
      <c r="E237" s="126" t="s">
        <v>111</v>
      </c>
      <c r="F237" s="126" t="s">
        <v>111</v>
      </c>
      <c r="G237" s="126" t="s">
        <v>111</v>
      </c>
      <c r="H237" s="126" t="s">
        <v>111</v>
      </c>
      <c r="I237" s="126" t="s">
        <v>111</v>
      </c>
      <c r="J237" s="126" t="s">
        <v>111</v>
      </c>
      <c r="K237" s="126" t="s">
        <v>111</v>
      </c>
      <c r="L237" s="126" t="s">
        <v>111</v>
      </c>
      <c r="M237" s="126" t="s">
        <v>111</v>
      </c>
      <c r="N237" s="126" t="s">
        <v>111</v>
      </c>
      <c r="O237" s="126" t="s">
        <v>111</v>
      </c>
      <c r="P237" s="126" t="s">
        <v>111</v>
      </c>
      <c r="Q237" s="126" t="s">
        <v>111</v>
      </c>
      <c r="R237" s="126" t="s">
        <v>111</v>
      </c>
      <c r="S237" s="126" t="s">
        <v>111</v>
      </c>
      <c r="T237" s="126" t="s">
        <v>111</v>
      </c>
      <c r="U237" s="126" t="s">
        <v>111</v>
      </c>
      <c r="V237" s="126" t="s">
        <v>111</v>
      </c>
      <c r="W237" s="126" t="s">
        <v>111</v>
      </c>
      <c r="X237" s="126" t="s">
        <v>111</v>
      </c>
      <c r="Y237" s="126" t="s">
        <v>111</v>
      </c>
      <c r="Z237" s="126" t="s">
        <v>111</v>
      </c>
      <c r="AA237" s="126" t="s">
        <v>111</v>
      </c>
      <c r="AB237" s="126" t="s">
        <v>111</v>
      </c>
      <c r="AC237" s="126" t="s">
        <v>111</v>
      </c>
      <c r="AD237" s="126" t="s">
        <v>111</v>
      </c>
      <c r="AE237" s="126" t="s">
        <v>111</v>
      </c>
      <c r="AF237" s="126" t="s">
        <v>111</v>
      </c>
      <c r="AG237" s="126" t="s">
        <v>111</v>
      </c>
      <c r="AH237" s="53">
        <f>SUM(C237:AG237)</f>
        <v>0</v>
      </c>
    </row>
    <row r="238" spans="1:34" ht="15">
      <c r="A238" s="148" t="s">
        <v>76</v>
      </c>
      <c r="B238" s="18">
        <f t="shared" si="43"/>
        <v>0</v>
      </c>
      <c r="C238" s="126" t="s">
        <v>111</v>
      </c>
      <c r="D238" s="126" t="s">
        <v>111</v>
      </c>
      <c r="E238" s="126" t="s">
        <v>111</v>
      </c>
      <c r="F238" s="126" t="s">
        <v>111</v>
      </c>
      <c r="G238" s="126" t="s">
        <v>111</v>
      </c>
      <c r="H238" s="126" t="s">
        <v>111</v>
      </c>
      <c r="I238" s="126" t="s">
        <v>111</v>
      </c>
      <c r="J238" s="127"/>
      <c r="K238" s="127"/>
      <c r="L238" s="127"/>
      <c r="M238" s="127"/>
      <c r="N238" s="127"/>
      <c r="O238" s="127"/>
      <c r="P238" s="127"/>
      <c r="Q238" s="127"/>
      <c r="R238" s="127"/>
      <c r="S238" s="127"/>
      <c r="T238" s="127"/>
      <c r="U238" s="127"/>
      <c r="V238" s="127"/>
      <c r="W238" s="127"/>
      <c r="X238" s="127"/>
      <c r="Y238" s="127"/>
      <c r="Z238" s="127"/>
      <c r="AA238" s="127"/>
      <c r="AB238" s="127"/>
      <c r="AC238" s="127"/>
      <c r="AD238" s="127"/>
      <c r="AE238" s="127"/>
      <c r="AF238" s="127"/>
      <c r="AG238" s="127"/>
      <c r="AH238" s="53">
        <f t="shared" ref="AH238:AH248" si="44">SUM(C238:AG238)</f>
        <v>0</v>
      </c>
    </row>
    <row r="239" spans="1:34" ht="15">
      <c r="A239" s="148" t="s">
        <v>77</v>
      </c>
      <c r="B239" s="18">
        <f t="shared" si="43"/>
        <v>0</v>
      </c>
      <c r="C239" s="127"/>
      <c r="D239" s="127"/>
      <c r="E239" s="127"/>
      <c r="F239" s="127"/>
      <c r="G239" s="127"/>
      <c r="H239" s="112"/>
      <c r="I239" s="112"/>
      <c r="J239" s="112"/>
      <c r="K239" s="112"/>
      <c r="L239" s="112"/>
      <c r="M239" s="112"/>
      <c r="N239" s="112"/>
      <c r="O239" s="112"/>
      <c r="P239" s="112"/>
      <c r="Q239" s="112"/>
      <c r="R239" s="112"/>
      <c r="S239" s="18"/>
      <c r="T239" s="18"/>
      <c r="U239" s="18"/>
      <c r="V239" s="18"/>
      <c r="W239" s="18"/>
      <c r="X239" s="18"/>
      <c r="Y239" s="18"/>
      <c r="Z239" s="18"/>
      <c r="AA239" s="18"/>
      <c r="AB239" s="18"/>
      <c r="AC239" s="1930"/>
      <c r="AD239" s="1930"/>
      <c r="AE239" s="1930"/>
      <c r="AF239" s="1930"/>
      <c r="AG239" s="1930"/>
      <c r="AH239" s="53">
        <f t="shared" si="44"/>
        <v>0</v>
      </c>
    </row>
    <row r="240" spans="1:34" ht="15">
      <c r="A240" s="148" t="s">
        <v>78</v>
      </c>
      <c r="B240" s="18">
        <f t="shared" si="43"/>
        <v>0</v>
      </c>
      <c r="C240" s="1930"/>
      <c r="D240" s="1930"/>
      <c r="E240" s="1930"/>
      <c r="F240" s="1930"/>
      <c r="G240" s="1930"/>
      <c r="H240" s="1930"/>
      <c r="I240" s="1930"/>
      <c r="J240" s="1930"/>
      <c r="K240" s="1930"/>
      <c r="L240" s="1287"/>
      <c r="M240" s="1287"/>
      <c r="N240" s="1287"/>
      <c r="O240" s="1287"/>
      <c r="P240" s="1287"/>
      <c r="Q240" s="1287"/>
      <c r="R240" s="1287"/>
      <c r="S240" s="1287"/>
      <c r="T240" s="1287"/>
      <c r="U240" s="1287"/>
      <c r="V240" s="1287"/>
      <c r="W240" s="1287"/>
      <c r="X240" s="1287"/>
      <c r="Y240" s="1287"/>
      <c r="Z240" s="1287"/>
      <c r="AA240" s="1287"/>
      <c r="AB240" s="1287"/>
      <c r="AC240" s="1287"/>
      <c r="AD240" s="1287"/>
      <c r="AE240" s="1287"/>
      <c r="AF240" s="1287"/>
      <c r="AG240" s="1287"/>
      <c r="AH240" s="53">
        <f t="shared" si="44"/>
        <v>0</v>
      </c>
    </row>
    <row r="241" spans="1:34" ht="15">
      <c r="A241" s="143" t="s">
        <v>79</v>
      </c>
      <c r="B241" s="18">
        <f t="shared" si="43"/>
        <v>0</v>
      </c>
      <c r="C241" s="1287"/>
      <c r="D241" s="1287"/>
      <c r="E241" s="1287"/>
      <c r="F241" s="1287"/>
      <c r="G241" s="1287"/>
      <c r="H241" s="1287"/>
      <c r="I241" s="1287"/>
      <c r="J241" s="1287"/>
      <c r="K241" s="1287"/>
      <c r="L241" s="1287"/>
      <c r="M241" s="1287"/>
      <c r="N241" s="1287"/>
      <c r="O241" s="1287"/>
      <c r="P241" s="1287"/>
      <c r="Q241" s="1287"/>
      <c r="R241" s="1287"/>
      <c r="S241" s="1287"/>
      <c r="T241" s="1287"/>
      <c r="U241" s="1287"/>
      <c r="V241" s="1287"/>
      <c r="W241" s="1287"/>
      <c r="X241" s="1287"/>
      <c r="Y241" s="1287"/>
      <c r="Z241" s="1287"/>
      <c r="AA241" s="1287"/>
      <c r="AB241" s="1287"/>
      <c r="AC241" s="1287"/>
      <c r="AD241" s="1287"/>
      <c r="AE241" s="1287"/>
      <c r="AF241" s="1287"/>
      <c r="AG241" s="1287"/>
      <c r="AH241" s="53">
        <f t="shared" si="44"/>
        <v>0</v>
      </c>
    </row>
    <row r="242" spans="1:34" ht="15">
      <c r="A242" s="143" t="s">
        <v>80</v>
      </c>
      <c r="B242" s="18">
        <f t="shared" si="43"/>
        <v>0</v>
      </c>
      <c r="C242" s="1287"/>
      <c r="D242" s="1287"/>
      <c r="E242" s="1287"/>
      <c r="F242" s="1287"/>
      <c r="G242" s="1287"/>
      <c r="H242" s="1287"/>
      <c r="I242" s="1287"/>
      <c r="J242" s="1287"/>
      <c r="K242" s="1287"/>
      <c r="L242" s="1287"/>
      <c r="M242" s="1287"/>
      <c r="N242" s="1287"/>
      <c r="O242" s="1287"/>
      <c r="P242" s="1287"/>
      <c r="Q242" s="1287"/>
      <c r="R242" s="1287"/>
      <c r="S242" s="1287"/>
      <c r="T242" s="1287"/>
      <c r="U242" s="1287"/>
      <c r="V242" s="1287"/>
      <c r="W242" s="1287"/>
      <c r="X242" s="1287"/>
      <c r="Y242" s="1287"/>
      <c r="Z242" s="1287"/>
      <c r="AA242" s="1287"/>
      <c r="AB242" s="1287"/>
      <c r="AC242" s="1287"/>
      <c r="AD242" s="1287"/>
      <c r="AE242" s="1287"/>
      <c r="AF242" s="1287"/>
      <c r="AG242" s="1287"/>
      <c r="AH242" s="53">
        <f t="shared" si="44"/>
        <v>0</v>
      </c>
    </row>
    <row r="243" spans="1:34" ht="15">
      <c r="A243" s="143" t="s">
        <v>81</v>
      </c>
      <c r="B243" s="18">
        <f t="shared" si="43"/>
        <v>0</v>
      </c>
      <c r="C243" s="1287"/>
      <c r="D243" s="1488"/>
      <c r="E243" s="1488"/>
      <c r="F243" s="1488"/>
      <c r="G243" s="1287"/>
      <c r="H243" s="1287"/>
      <c r="I243" s="1287"/>
      <c r="J243" s="2466"/>
      <c r="K243" s="2466"/>
      <c r="L243" s="1488"/>
      <c r="M243" s="1488"/>
      <c r="N243" s="1488"/>
      <c r="O243" s="1488"/>
      <c r="P243" s="1488"/>
      <c r="Q243" s="1488"/>
      <c r="R243" s="1488"/>
      <c r="S243" s="1488"/>
      <c r="T243" s="1488"/>
      <c r="U243" s="1488"/>
      <c r="V243" s="1488"/>
      <c r="W243" s="688"/>
      <c r="X243" s="688"/>
      <c r="Y243" s="688"/>
      <c r="Z243" s="688"/>
      <c r="AA243" s="688"/>
      <c r="AB243" s="688"/>
      <c r="AC243" s="688"/>
      <c r="AD243" s="688"/>
      <c r="AE243" s="688"/>
      <c r="AF243" s="688" t="s">
        <v>111</v>
      </c>
      <c r="AG243" s="688" t="s">
        <v>111</v>
      </c>
      <c r="AH243" s="53">
        <f t="shared" si="44"/>
        <v>0</v>
      </c>
    </row>
    <row r="244" spans="1:34" ht="15">
      <c r="A244" s="143" t="s">
        <v>82</v>
      </c>
      <c r="B244" s="18">
        <f t="shared" si="43"/>
        <v>0</v>
      </c>
      <c r="C244" s="688" t="s">
        <v>111</v>
      </c>
      <c r="D244" s="688" t="s">
        <v>111</v>
      </c>
      <c r="E244" s="688" t="s">
        <v>111</v>
      </c>
      <c r="F244" s="688" t="s">
        <v>111</v>
      </c>
      <c r="G244" s="688" t="s">
        <v>111</v>
      </c>
      <c r="H244" s="688" t="s">
        <v>111</v>
      </c>
      <c r="I244" s="688" t="s">
        <v>111</v>
      </c>
      <c r="J244" s="688" t="s">
        <v>111</v>
      </c>
      <c r="K244" s="688" t="s">
        <v>111</v>
      </c>
      <c r="L244" s="688" t="s">
        <v>111</v>
      </c>
      <c r="M244" s="688" t="s">
        <v>111</v>
      </c>
      <c r="N244" s="688" t="s">
        <v>111</v>
      </c>
      <c r="O244" s="688" t="s">
        <v>111</v>
      </c>
      <c r="P244" s="688" t="s">
        <v>111</v>
      </c>
      <c r="Q244" s="688" t="s">
        <v>111</v>
      </c>
      <c r="R244" s="688" t="s">
        <v>111</v>
      </c>
      <c r="S244" s="688" t="s">
        <v>111</v>
      </c>
      <c r="T244" s="688" t="s">
        <v>111</v>
      </c>
      <c r="U244" s="688" t="s">
        <v>111</v>
      </c>
      <c r="V244" s="688" t="s">
        <v>111</v>
      </c>
      <c r="W244" s="688" t="s">
        <v>111</v>
      </c>
      <c r="X244" s="688" t="s">
        <v>111</v>
      </c>
      <c r="Y244" s="688" t="s">
        <v>111</v>
      </c>
      <c r="Z244" s="688" t="s">
        <v>111</v>
      </c>
      <c r="AA244" s="688" t="s">
        <v>111</v>
      </c>
      <c r="AB244" s="688" t="s">
        <v>111</v>
      </c>
      <c r="AC244" s="688" t="s">
        <v>111</v>
      </c>
      <c r="AD244" s="688" t="s">
        <v>111</v>
      </c>
      <c r="AE244" s="688" t="s">
        <v>111</v>
      </c>
      <c r="AF244" s="688" t="s">
        <v>111</v>
      </c>
      <c r="AG244" s="688" t="s">
        <v>111</v>
      </c>
      <c r="AH244" s="53">
        <f t="shared" si="44"/>
        <v>0</v>
      </c>
    </row>
    <row r="245" spans="1:34" ht="15">
      <c r="A245" s="149" t="s">
        <v>83</v>
      </c>
      <c r="B245" s="18">
        <f t="shared" si="43"/>
        <v>0</v>
      </c>
      <c r="C245" s="688" t="s">
        <v>111</v>
      </c>
      <c r="D245" s="688" t="s">
        <v>111</v>
      </c>
      <c r="E245" s="688" t="s">
        <v>111</v>
      </c>
      <c r="F245" s="688" t="s">
        <v>111</v>
      </c>
      <c r="G245" s="688" t="s">
        <v>111</v>
      </c>
      <c r="H245" s="688" t="s">
        <v>111</v>
      </c>
      <c r="I245" s="688" t="s">
        <v>111</v>
      </c>
      <c r="J245" s="688" t="s">
        <v>111</v>
      </c>
      <c r="K245" s="688" t="s">
        <v>111</v>
      </c>
      <c r="L245" s="688" t="s">
        <v>111</v>
      </c>
      <c r="M245" s="688" t="s">
        <v>111</v>
      </c>
      <c r="N245" s="688" t="s">
        <v>111</v>
      </c>
      <c r="O245" s="688" t="s">
        <v>111</v>
      </c>
      <c r="P245" s="688" t="s">
        <v>111</v>
      </c>
      <c r="Q245" s="688" t="s">
        <v>111</v>
      </c>
      <c r="R245" s="688" t="s">
        <v>111</v>
      </c>
      <c r="S245" s="688" t="s">
        <v>111</v>
      </c>
      <c r="T245" s="688" t="s">
        <v>111</v>
      </c>
      <c r="U245" s="688" t="s">
        <v>111</v>
      </c>
      <c r="V245" s="688" t="s">
        <v>111</v>
      </c>
      <c r="W245" s="688" t="s">
        <v>111</v>
      </c>
      <c r="X245" s="688" t="s">
        <v>111</v>
      </c>
      <c r="Y245" s="688" t="s">
        <v>111</v>
      </c>
      <c r="Z245" s="688" t="s">
        <v>111</v>
      </c>
      <c r="AA245" s="688" t="s">
        <v>111</v>
      </c>
      <c r="AB245" s="688" t="s">
        <v>111</v>
      </c>
      <c r="AC245" s="688" t="s">
        <v>111</v>
      </c>
      <c r="AD245" s="688" t="s">
        <v>111</v>
      </c>
      <c r="AE245" s="688" t="s">
        <v>111</v>
      </c>
      <c r="AF245" s="688" t="s">
        <v>111</v>
      </c>
      <c r="AG245" s="688" t="s">
        <v>111</v>
      </c>
      <c r="AH245" s="53">
        <f t="shared" si="44"/>
        <v>0</v>
      </c>
    </row>
    <row r="246" spans="1:34" ht="15">
      <c r="A246" s="149" t="s">
        <v>84</v>
      </c>
      <c r="B246" s="18">
        <f t="shared" si="43"/>
        <v>0</v>
      </c>
      <c r="C246" s="688" t="s">
        <v>111</v>
      </c>
      <c r="D246" s="688" t="s">
        <v>111</v>
      </c>
      <c r="E246" s="688" t="s">
        <v>111</v>
      </c>
      <c r="F246" s="688" t="s">
        <v>111</v>
      </c>
      <c r="G246" s="688" t="s">
        <v>111</v>
      </c>
      <c r="H246" s="688" t="s">
        <v>111</v>
      </c>
      <c r="I246" s="688" t="s">
        <v>111</v>
      </c>
      <c r="J246" s="688" t="s">
        <v>111</v>
      </c>
      <c r="K246" s="688" t="s">
        <v>111</v>
      </c>
      <c r="L246" s="688" t="s">
        <v>111</v>
      </c>
      <c r="M246" s="688" t="s">
        <v>111</v>
      </c>
      <c r="N246" s="688" t="s">
        <v>111</v>
      </c>
      <c r="O246" s="688" t="s">
        <v>111</v>
      </c>
      <c r="P246" s="688" t="s">
        <v>111</v>
      </c>
      <c r="Q246" s="688" t="s">
        <v>111</v>
      </c>
      <c r="R246" s="688" t="s">
        <v>111</v>
      </c>
      <c r="S246" s="688" t="s">
        <v>111</v>
      </c>
      <c r="T246" s="688" t="s">
        <v>111</v>
      </c>
      <c r="U246" s="688" t="s">
        <v>111</v>
      </c>
      <c r="V246" s="688" t="s">
        <v>111</v>
      </c>
      <c r="W246" s="688" t="s">
        <v>111</v>
      </c>
      <c r="X246" s="1287"/>
      <c r="Y246" s="1287"/>
      <c r="Z246" s="1287"/>
      <c r="AA246" s="1287"/>
      <c r="AB246" s="1287"/>
      <c r="AC246" s="1287"/>
      <c r="AD246" s="1287"/>
      <c r="AE246" s="1488"/>
      <c r="AF246" s="1287"/>
      <c r="AG246" s="1488"/>
      <c r="AH246" s="53">
        <f t="shared" si="44"/>
        <v>0</v>
      </c>
    </row>
    <row r="247" spans="1:34" ht="15">
      <c r="A247" s="149" t="s">
        <v>85</v>
      </c>
      <c r="B247" s="18">
        <f t="shared" si="43"/>
        <v>0</v>
      </c>
      <c r="C247" s="1287"/>
      <c r="D247" s="1287"/>
      <c r="E247" s="1287"/>
      <c r="F247" s="1287"/>
      <c r="G247" s="1433"/>
      <c r="H247" s="1287"/>
      <c r="I247" s="1287"/>
      <c r="J247" s="1287"/>
      <c r="K247" s="1287"/>
      <c r="L247" s="1287"/>
      <c r="M247" s="1287"/>
      <c r="N247" s="1287"/>
      <c r="O247" s="1287"/>
      <c r="P247" s="1287"/>
      <c r="Q247" s="1287"/>
      <c r="R247" s="1287"/>
      <c r="S247" s="1287"/>
      <c r="T247" s="1287"/>
      <c r="U247" s="1287"/>
      <c r="V247" s="1287"/>
      <c r="W247" s="1287"/>
      <c r="X247" s="1287"/>
      <c r="Y247" s="1433"/>
      <c r="Z247" s="1287"/>
      <c r="AA247" s="1287"/>
      <c r="AB247" s="1287"/>
      <c r="AC247" s="1287"/>
      <c r="AD247" s="1287"/>
      <c r="AE247" s="1488"/>
      <c r="AF247" s="1287"/>
      <c r="AG247" s="1488"/>
      <c r="AH247" s="53">
        <f t="shared" si="44"/>
        <v>0</v>
      </c>
    </row>
    <row r="248" spans="1:34" ht="15">
      <c r="A248" s="149" t="s">
        <v>86</v>
      </c>
      <c r="B248" s="18">
        <f t="shared" si="43"/>
        <v>0</v>
      </c>
      <c r="C248" s="49"/>
      <c r="D248" s="18"/>
      <c r="E248" s="18"/>
      <c r="F248" s="18"/>
      <c r="G248" s="18"/>
      <c r="H248" s="18"/>
      <c r="I248" s="18"/>
      <c r="J248" s="18"/>
      <c r="K248" s="18"/>
      <c r="L248" s="18"/>
      <c r="M248" s="18"/>
      <c r="N248" s="18"/>
      <c r="O248" s="18"/>
      <c r="P248" s="1287"/>
      <c r="Q248" s="1287"/>
      <c r="R248" s="1287"/>
      <c r="S248" s="1287"/>
      <c r="T248" s="1287"/>
      <c r="U248" s="1287"/>
      <c r="V248" s="1287"/>
      <c r="W248" s="1287"/>
      <c r="X248" s="1287"/>
      <c r="Y248" s="1287"/>
      <c r="Z248" s="1287"/>
      <c r="AA248" s="1287"/>
      <c r="AB248" s="1287"/>
      <c r="AC248" s="1287"/>
      <c r="AD248" s="1287"/>
      <c r="AE248" s="1287"/>
      <c r="AF248" s="1287"/>
      <c r="AG248" s="1287"/>
      <c r="AH248" s="53">
        <f t="shared" si="44"/>
        <v>0</v>
      </c>
    </row>
    <row r="249" spans="1:34" ht="15">
      <c r="A249" s="88" t="s">
        <v>74</v>
      </c>
      <c r="B249" s="89">
        <f>SUM(B237:B248)</f>
        <v>0</v>
      </c>
      <c r="C249" s="46">
        <f>SUM(C237:C247)</f>
        <v>0</v>
      </c>
      <c r="D249" s="53">
        <f>SUM(D237:D247)</f>
        <v>0</v>
      </c>
      <c r="E249" s="53">
        <v>0</v>
      </c>
      <c r="F249" s="53">
        <f t="shared" ref="F249:AC249" si="45">SUM(F237:F247)</f>
        <v>0</v>
      </c>
      <c r="G249" s="53">
        <f t="shared" si="45"/>
        <v>0</v>
      </c>
      <c r="H249" s="53">
        <f t="shared" si="45"/>
        <v>0</v>
      </c>
      <c r="I249" s="53">
        <f t="shared" si="45"/>
        <v>0</v>
      </c>
      <c r="J249" s="53">
        <f t="shared" si="45"/>
        <v>0</v>
      </c>
      <c r="K249" s="53">
        <f t="shared" si="45"/>
        <v>0</v>
      </c>
      <c r="L249" s="53">
        <f t="shared" si="45"/>
        <v>0</v>
      </c>
      <c r="M249" s="53">
        <f t="shared" si="45"/>
        <v>0</v>
      </c>
      <c r="N249" s="53">
        <f t="shared" si="45"/>
        <v>0</v>
      </c>
      <c r="O249" s="53">
        <f t="shared" si="45"/>
        <v>0</v>
      </c>
      <c r="P249" s="53">
        <f t="shared" si="45"/>
        <v>0</v>
      </c>
      <c r="Q249" s="53">
        <f t="shared" si="45"/>
        <v>0</v>
      </c>
      <c r="R249" s="53">
        <f t="shared" si="45"/>
        <v>0</v>
      </c>
      <c r="S249" s="53">
        <f t="shared" si="45"/>
        <v>0</v>
      </c>
      <c r="T249" s="53">
        <f t="shared" si="45"/>
        <v>0</v>
      </c>
      <c r="U249" s="53">
        <f t="shared" si="45"/>
        <v>0</v>
      </c>
      <c r="V249" s="53">
        <f t="shared" si="45"/>
        <v>0</v>
      </c>
      <c r="W249" s="53">
        <f t="shared" si="45"/>
        <v>0</v>
      </c>
      <c r="X249" s="53">
        <f t="shared" si="45"/>
        <v>0</v>
      </c>
      <c r="Y249" s="53">
        <f t="shared" si="45"/>
        <v>0</v>
      </c>
      <c r="Z249" s="53">
        <f t="shared" si="45"/>
        <v>0</v>
      </c>
      <c r="AA249" s="53">
        <f t="shared" si="45"/>
        <v>0</v>
      </c>
      <c r="AB249" s="53">
        <f t="shared" si="45"/>
        <v>0</v>
      </c>
      <c r="AC249" s="53">
        <f t="shared" si="45"/>
        <v>0</v>
      </c>
      <c r="AD249" s="53">
        <v>0</v>
      </c>
      <c r="AE249" s="53">
        <f>SUM(AE237:AE247)</f>
        <v>0</v>
      </c>
      <c r="AF249" s="53">
        <f>SUM(AF237:AF247)</f>
        <v>0</v>
      </c>
      <c r="AG249" s="53">
        <f>SUM(AG237:AG247)</f>
        <v>0</v>
      </c>
      <c r="AH249" s="46">
        <f>SUM(AH237:AH247)</f>
        <v>0</v>
      </c>
    </row>
    <row r="250" spans="1:34" ht="5.0999999999999996" customHeight="1">
      <c r="A250" s="14"/>
      <c r="B250" s="14"/>
      <c r="C250" s="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
    </row>
    <row r="251" spans="1:34" ht="15">
      <c r="A251" s="3569" t="s">
        <v>105</v>
      </c>
      <c r="B251" s="3570"/>
      <c r="C251" s="3570"/>
      <c r="D251" s="3570"/>
      <c r="E251" s="3570"/>
      <c r="F251" s="3570"/>
      <c r="G251" s="3570"/>
      <c r="H251" s="3571"/>
      <c r="I251" s="1433"/>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row>
    <row r="252" spans="1:34" ht="15">
      <c r="A252" s="5" t="s">
        <v>72</v>
      </c>
      <c r="B252" s="5" t="s">
        <v>73</v>
      </c>
      <c r="C252" s="1249">
        <v>1</v>
      </c>
      <c r="D252" s="30">
        <v>2</v>
      </c>
      <c r="E252" s="30">
        <v>3</v>
      </c>
      <c r="F252" s="30">
        <v>4</v>
      </c>
      <c r="G252" s="30">
        <v>5</v>
      </c>
      <c r="H252" s="30">
        <v>6</v>
      </c>
      <c r="I252" s="30">
        <v>7</v>
      </c>
      <c r="J252" s="30">
        <v>8</v>
      </c>
      <c r="K252" s="30">
        <v>9</v>
      </c>
      <c r="L252" s="30">
        <v>10</v>
      </c>
      <c r="M252" s="30">
        <v>11</v>
      </c>
      <c r="N252" s="30">
        <v>12</v>
      </c>
      <c r="O252" s="30">
        <v>13</v>
      </c>
      <c r="P252" s="30">
        <v>14</v>
      </c>
      <c r="Q252" s="30">
        <v>15</v>
      </c>
      <c r="R252" s="30">
        <v>16</v>
      </c>
      <c r="S252" s="30">
        <v>17</v>
      </c>
      <c r="T252" s="30">
        <v>18</v>
      </c>
      <c r="U252" s="30">
        <v>19</v>
      </c>
      <c r="V252" s="30">
        <v>20</v>
      </c>
      <c r="W252" s="30">
        <v>21</v>
      </c>
      <c r="X252" s="30">
        <v>22</v>
      </c>
      <c r="Y252" s="30">
        <v>23</v>
      </c>
      <c r="Z252" s="30">
        <v>24</v>
      </c>
      <c r="AA252" s="30">
        <v>25</v>
      </c>
      <c r="AB252" s="30">
        <v>26</v>
      </c>
      <c r="AC252" s="30">
        <v>27</v>
      </c>
      <c r="AD252" s="30">
        <v>28</v>
      </c>
      <c r="AE252" s="30">
        <v>29</v>
      </c>
      <c r="AF252" s="30">
        <v>30</v>
      </c>
      <c r="AG252" s="30">
        <v>31</v>
      </c>
      <c r="AH252" s="39" t="s">
        <v>74</v>
      </c>
    </row>
    <row r="253" spans="1:34" ht="15">
      <c r="A253" s="148" t="s">
        <v>75</v>
      </c>
      <c r="B253" s="67">
        <f t="shared" ref="B253:B264" si="46">+AH253</f>
        <v>0</v>
      </c>
      <c r="C253" s="126" t="s">
        <v>111</v>
      </c>
      <c r="D253" s="126" t="s">
        <v>111</v>
      </c>
      <c r="E253" s="126" t="s">
        <v>111</v>
      </c>
      <c r="F253" s="126" t="s">
        <v>111</v>
      </c>
      <c r="G253" s="126" t="s">
        <v>111</v>
      </c>
      <c r="H253" s="126" t="s">
        <v>111</v>
      </c>
      <c r="I253" s="126" t="s">
        <v>111</v>
      </c>
      <c r="J253" s="126" t="s">
        <v>111</v>
      </c>
      <c r="K253" s="126" t="s">
        <v>111</v>
      </c>
      <c r="L253" s="126" t="s">
        <v>111</v>
      </c>
      <c r="M253" s="126" t="s">
        <v>111</v>
      </c>
      <c r="N253" s="126" t="s">
        <v>111</v>
      </c>
      <c r="O253" s="126" t="s">
        <v>111</v>
      </c>
      <c r="P253" s="126" t="s">
        <v>111</v>
      </c>
      <c r="Q253" s="126" t="s">
        <v>111</v>
      </c>
      <c r="R253" s="126" t="s">
        <v>111</v>
      </c>
      <c r="S253" s="126" t="s">
        <v>111</v>
      </c>
      <c r="T253" s="126" t="s">
        <v>111</v>
      </c>
      <c r="U253" s="126" t="s">
        <v>111</v>
      </c>
      <c r="V253" s="126" t="s">
        <v>111</v>
      </c>
      <c r="W253" s="126" t="s">
        <v>111</v>
      </c>
      <c r="X253" s="126" t="s">
        <v>111</v>
      </c>
      <c r="Y253" s="126" t="s">
        <v>111</v>
      </c>
      <c r="Z253" s="126" t="s">
        <v>111</v>
      </c>
      <c r="AA253" s="126" t="s">
        <v>111</v>
      </c>
      <c r="AB253" s="126" t="s">
        <v>111</v>
      </c>
      <c r="AC253" s="126" t="s">
        <v>111</v>
      </c>
      <c r="AD253" s="126" t="s">
        <v>111</v>
      </c>
      <c r="AE253" s="126" t="s">
        <v>111</v>
      </c>
      <c r="AF253" s="126" t="s">
        <v>111</v>
      </c>
      <c r="AG253" s="126" t="s">
        <v>111</v>
      </c>
      <c r="AH253" s="53">
        <f>SUM(C253:AG253)</f>
        <v>0</v>
      </c>
    </row>
    <row r="254" spans="1:34" s="83" customFormat="1" ht="15">
      <c r="A254" s="148" t="s">
        <v>76</v>
      </c>
      <c r="B254" s="67">
        <f t="shared" si="46"/>
        <v>0</v>
      </c>
      <c r="C254" s="126" t="s">
        <v>111</v>
      </c>
      <c r="D254" s="126" t="s">
        <v>111</v>
      </c>
      <c r="E254" s="126" t="s">
        <v>111</v>
      </c>
      <c r="F254" s="126" t="s">
        <v>111</v>
      </c>
      <c r="G254" s="126" t="s">
        <v>111</v>
      </c>
      <c r="H254" s="126" t="s">
        <v>111</v>
      </c>
      <c r="I254" s="126" t="s">
        <v>111</v>
      </c>
      <c r="J254" s="127"/>
      <c r="K254" s="127"/>
      <c r="L254" s="127"/>
      <c r="M254" s="127"/>
      <c r="N254" s="127"/>
      <c r="O254" s="127"/>
      <c r="P254" s="127"/>
      <c r="Q254" s="127"/>
      <c r="R254" s="127"/>
      <c r="S254" s="127"/>
      <c r="T254" s="127"/>
      <c r="U254" s="127"/>
      <c r="V254" s="127"/>
      <c r="W254" s="127"/>
      <c r="X254" s="127"/>
      <c r="Y254" s="127"/>
      <c r="Z254" s="127"/>
      <c r="AA254" s="127"/>
      <c r="AB254" s="127"/>
      <c r="AC254" s="127"/>
      <c r="AD254" s="127"/>
      <c r="AE254" s="127"/>
      <c r="AF254" s="127"/>
      <c r="AG254" s="127"/>
      <c r="AH254" s="53">
        <f t="shared" ref="AH254:AH264" si="47">SUM(C254:AG254)</f>
        <v>0</v>
      </c>
    </row>
    <row r="255" spans="1:34" ht="15">
      <c r="A255" s="148" t="s">
        <v>77</v>
      </c>
      <c r="B255" s="67">
        <f t="shared" si="46"/>
        <v>0</v>
      </c>
      <c r="C255" s="127"/>
      <c r="D255" s="127"/>
      <c r="E255" s="127"/>
      <c r="F255" s="127"/>
      <c r="G255" s="127"/>
      <c r="H255" s="112"/>
      <c r="I255" s="112"/>
      <c r="J255" s="112"/>
      <c r="K255" s="112"/>
      <c r="L255" s="112"/>
      <c r="M255" s="112"/>
      <c r="N255" s="112"/>
      <c r="O255" s="112"/>
      <c r="P255" s="112"/>
      <c r="Q255" s="112"/>
      <c r="R255" s="112"/>
      <c r="S255" s="18"/>
      <c r="T255" s="18"/>
      <c r="U255" s="18"/>
      <c r="V255" s="18"/>
      <c r="W255" s="18"/>
      <c r="X255" s="18"/>
      <c r="Y255" s="18"/>
      <c r="Z255" s="18"/>
      <c r="AA255" s="18"/>
      <c r="AB255" s="18"/>
      <c r="AC255" s="1930"/>
      <c r="AD255" s="1930"/>
      <c r="AE255" s="1930"/>
      <c r="AF255" s="1930"/>
      <c r="AG255" s="1930"/>
      <c r="AH255" s="53">
        <f t="shared" si="47"/>
        <v>0</v>
      </c>
    </row>
    <row r="256" spans="1:34" ht="15">
      <c r="A256" s="148" t="s">
        <v>78</v>
      </c>
      <c r="B256" s="67">
        <f t="shared" si="46"/>
        <v>0</v>
      </c>
      <c r="C256" s="1930"/>
      <c r="D256" s="1930"/>
      <c r="E256" s="1930"/>
      <c r="F256" s="1930"/>
      <c r="G256" s="1930"/>
      <c r="H256" s="1930"/>
      <c r="I256" s="1930"/>
      <c r="J256" s="1930"/>
      <c r="K256" s="1930"/>
      <c r="L256" s="1287"/>
      <c r="M256" s="1287"/>
      <c r="N256" s="1287"/>
      <c r="O256" s="1287"/>
      <c r="P256" s="1287"/>
      <c r="Q256" s="1287"/>
      <c r="R256" s="1287"/>
      <c r="S256" s="1287"/>
      <c r="T256" s="1287"/>
      <c r="U256" s="1287"/>
      <c r="V256" s="1287"/>
      <c r="W256" s="1287"/>
      <c r="X256" s="1287"/>
      <c r="Y256" s="1287"/>
      <c r="Z256" s="1287"/>
      <c r="AA256" s="1287"/>
      <c r="AB256" s="1287"/>
      <c r="AC256" s="1287"/>
      <c r="AD256" s="1287"/>
      <c r="AE256" s="1287"/>
      <c r="AF256" s="1287"/>
      <c r="AG256" s="1287"/>
      <c r="AH256" s="53">
        <f t="shared" si="47"/>
        <v>0</v>
      </c>
    </row>
    <row r="257" spans="1:34" s="83" customFormat="1" ht="15">
      <c r="A257" s="143" t="s">
        <v>79</v>
      </c>
      <c r="B257" s="67">
        <f t="shared" si="46"/>
        <v>0</v>
      </c>
      <c r="C257" s="1287"/>
      <c r="D257" s="1287"/>
      <c r="E257" s="1287"/>
      <c r="F257" s="1287"/>
      <c r="G257" s="1287"/>
      <c r="H257" s="1287"/>
      <c r="I257" s="1287"/>
      <c r="J257" s="1287"/>
      <c r="K257" s="1287"/>
      <c r="L257" s="1287"/>
      <c r="M257" s="1287"/>
      <c r="N257" s="1287"/>
      <c r="O257" s="1287"/>
      <c r="P257" s="1287"/>
      <c r="Q257" s="1287"/>
      <c r="R257" s="1287"/>
      <c r="S257" s="1287"/>
      <c r="T257" s="1287"/>
      <c r="U257" s="1287"/>
      <c r="V257" s="1287"/>
      <c r="W257" s="1287"/>
      <c r="X257" s="1287"/>
      <c r="Y257" s="1287"/>
      <c r="Z257" s="1287"/>
      <c r="AA257" s="1287"/>
      <c r="AB257" s="1287"/>
      <c r="AC257" s="1287"/>
      <c r="AD257" s="1287"/>
      <c r="AE257" s="1287"/>
      <c r="AF257" s="1287"/>
      <c r="AG257" s="1287"/>
      <c r="AH257" s="53">
        <f t="shared" si="47"/>
        <v>0</v>
      </c>
    </row>
    <row r="258" spans="1:34" ht="15">
      <c r="A258" s="143" t="s">
        <v>80</v>
      </c>
      <c r="B258" s="67">
        <f t="shared" si="46"/>
        <v>0</v>
      </c>
      <c r="C258" s="1287"/>
      <c r="D258" s="1287"/>
      <c r="E258" s="1287"/>
      <c r="F258" s="1287"/>
      <c r="G258" s="1287"/>
      <c r="H258" s="1287"/>
      <c r="I258" s="1287"/>
      <c r="J258" s="1287"/>
      <c r="K258" s="1287"/>
      <c r="L258" s="1287"/>
      <c r="M258" s="1287"/>
      <c r="N258" s="1287"/>
      <c r="O258" s="1287"/>
      <c r="P258" s="1287"/>
      <c r="Q258" s="1287"/>
      <c r="R258" s="1287"/>
      <c r="S258" s="1287"/>
      <c r="T258" s="1287"/>
      <c r="U258" s="1287"/>
      <c r="V258" s="1287"/>
      <c r="W258" s="1287"/>
      <c r="X258" s="1287"/>
      <c r="Y258" s="1287"/>
      <c r="Z258" s="1287"/>
      <c r="AA258" s="1287"/>
      <c r="AB258" s="1287"/>
      <c r="AC258" s="1287"/>
      <c r="AD258" s="1287"/>
      <c r="AE258" s="1287"/>
      <c r="AF258" s="1287"/>
      <c r="AG258" s="1287"/>
      <c r="AH258" s="53">
        <f t="shared" si="47"/>
        <v>0</v>
      </c>
    </row>
    <row r="259" spans="1:34" ht="15">
      <c r="A259" s="143" t="s">
        <v>81</v>
      </c>
      <c r="B259" s="67">
        <f t="shared" si="46"/>
        <v>0</v>
      </c>
      <c r="C259" s="1287"/>
      <c r="D259" s="1488"/>
      <c r="E259" s="1488"/>
      <c r="F259" s="1488"/>
      <c r="G259" s="1287"/>
      <c r="H259" s="1287"/>
      <c r="I259" s="1287"/>
      <c r="J259" s="2466"/>
      <c r="K259" s="2466"/>
      <c r="L259" s="1488"/>
      <c r="M259" s="1488"/>
      <c r="N259" s="1488"/>
      <c r="O259" s="1488"/>
      <c r="P259" s="1488"/>
      <c r="Q259" s="1488"/>
      <c r="R259" s="1488"/>
      <c r="S259" s="1488"/>
      <c r="T259" s="1488"/>
      <c r="U259" s="1488"/>
      <c r="V259" s="1488"/>
      <c r="W259" s="688"/>
      <c r="X259" s="688"/>
      <c r="Y259" s="688"/>
      <c r="Z259" s="688"/>
      <c r="AA259" s="688"/>
      <c r="AB259" s="688"/>
      <c r="AC259" s="688"/>
      <c r="AD259" s="688"/>
      <c r="AE259" s="688"/>
      <c r="AF259" s="688" t="s">
        <v>111</v>
      </c>
      <c r="AG259" s="688" t="s">
        <v>111</v>
      </c>
      <c r="AH259" s="53">
        <f t="shared" si="47"/>
        <v>0</v>
      </c>
    </row>
    <row r="260" spans="1:34" s="83" customFormat="1" ht="15">
      <c r="A260" s="143" t="s">
        <v>82</v>
      </c>
      <c r="B260" s="67">
        <f t="shared" si="46"/>
        <v>0</v>
      </c>
      <c r="C260" s="688" t="s">
        <v>111</v>
      </c>
      <c r="D260" s="688" t="s">
        <v>111</v>
      </c>
      <c r="E260" s="688" t="s">
        <v>111</v>
      </c>
      <c r="F260" s="688" t="s">
        <v>111</v>
      </c>
      <c r="G260" s="688" t="s">
        <v>111</v>
      </c>
      <c r="H260" s="688" t="s">
        <v>111</v>
      </c>
      <c r="I260" s="688" t="s">
        <v>111</v>
      </c>
      <c r="J260" s="688" t="s">
        <v>111</v>
      </c>
      <c r="K260" s="688" t="s">
        <v>111</v>
      </c>
      <c r="L260" s="688" t="s">
        <v>111</v>
      </c>
      <c r="M260" s="688" t="s">
        <v>111</v>
      </c>
      <c r="N260" s="688" t="s">
        <v>111</v>
      </c>
      <c r="O260" s="688" t="s">
        <v>111</v>
      </c>
      <c r="P260" s="688" t="s">
        <v>111</v>
      </c>
      <c r="Q260" s="688" t="s">
        <v>111</v>
      </c>
      <c r="R260" s="688" t="s">
        <v>111</v>
      </c>
      <c r="S260" s="688" t="s">
        <v>111</v>
      </c>
      <c r="T260" s="688" t="s">
        <v>111</v>
      </c>
      <c r="U260" s="688" t="s">
        <v>111</v>
      </c>
      <c r="V260" s="688" t="s">
        <v>111</v>
      </c>
      <c r="W260" s="688" t="s">
        <v>111</v>
      </c>
      <c r="X260" s="688" t="s">
        <v>111</v>
      </c>
      <c r="Y260" s="688" t="s">
        <v>111</v>
      </c>
      <c r="Z260" s="688" t="s">
        <v>111</v>
      </c>
      <c r="AA260" s="688" t="s">
        <v>111</v>
      </c>
      <c r="AB260" s="688" t="s">
        <v>111</v>
      </c>
      <c r="AC260" s="688" t="s">
        <v>111</v>
      </c>
      <c r="AD260" s="688" t="s">
        <v>111</v>
      </c>
      <c r="AE260" s="688" t="s">
        <v>111</v>
      </c>
      <c r="AF260" s="688" t="s">
        <v>111</v>
      </c>
      <c r="AG260" s="688" t="s">
        <v>111</v>
      </c>
      <c r="AH260" s="53">
        <f t="shared" si="47"/>
        <v>0</v>
      </c>
    </row>
    <row r="261" spans="1:34" ht="15">
      <c r="A261" s="149" t="s">
        <v>83</v>
      </c>
      <c r="B261" s="67">
        <f t="shared" si="46"/>
        <v>0</v>
      </c>
      <c r="C261" s="688" t="s">
        <v>111</v>
      </c>
      <c r="D261" s="688" t="s">
        <v>111</v>
      </c>
      <c r="E261" s="688" t="s">
        <v>111</v>
      </c>
      <c r="F261" s="688" t="s">
        <v>111</v>
      </c>
      <c r="G261" s="688" t="s">
        <v>111</v>
      </c>
      <c r="H261" s="688" t="s">
        <v>111</v>
      </c>
      <c r="I261" s="688" t="s">
        <v>111</v>
      </c>
      <c r="J261" s="688" t="s">
        <v>111</v>
      </c>
      <c r="K261" s="688" t="s">
        <v>111</v>
      </c>
      <c r="L261" s="688" t="s">
        <v>111</v>
      </c>
      <c r="M261" s="688" t="s">
        <v>111</v>
      </c>
      <c r="N261" s="688" t="s">
        <v>111</v>
      </c>
      <c r="O261" s="688" t="s">
        <v>111</v>
      </c>
      <c r="P261" s="688" t="s">
        <v>111</v>
      </c>
      <c r="Q261" s="688" t="s">
        <v>111</v>
      </c>
      <c r="R261" s="688" t="s">
        <v>111</v>
      </c>
      <c r="S261" s="688" t="s">
        <v>111</v>
      </c>
      <c r="T261" s="688" t="s">
        <v>111</v>
      </c>
      <c r="U261" s="688" t="s">
        <v>111</v>
      </c>
      <c r="V261" s="688" t="s">
        <v>111</v>
      </c>
      <c r="W261" s="688" t="s">
        <v>111</v>
      </c>
      <c r="X261" s="688" t="s">
        <v>111</v>
      </c>
      <c r="Y261" s="688" t="s">
        <v>111</v>
      </c>
      <c r="Z261" s="688" t="s">
        <v>111</v>
      </c>
      <c r="AA261" s="688" t="s">
        <v>111</v>
      </c>
      <c r="AB261" s="688" t="s">
        <v>111</v>
      </c>
      <c r="AC261" s="688" t="s">
        <v>111</v>
      </c>
      <c r="AD261" s="688" t="s">
        <v>111</v>
      </c>
      <c r="AE261" s="688" t="s">
        <v>111</v>
      </c>
      <c r="AF261" s="688" t="s">
        <v>111</v>
      </c>
      <c r="AG261" s="688" t="s">
        <v>111</v>
      </c>
      <c r="AH261" s="53">
        <f t="shared" si="47"/>
        <v>0</v>
      </c>
    </row>
    <row r="262" spans="1:34" ht="15">
      <c r="A262" s="149" t="s">
        <v>84</v>
      </c>
      <c r="B262" s="67">
        <f t="shared" si="46"/>
        <v>0</v>
      </c>
      <c r="C262" s="688" t="s">
        <v>111</v>
      </c>
      <c r="D262" s="688" t="s">
        <v>111</v>
      </c>
      <c r="E262" s="688" t="s">
        <v>111</v>
      </c>
      <c r="F262" s="688" t="s">
        <v>111</v>
      </c>
      <c r="G262" s="688" t="s">
        <v>111</v>
      </c>
      <c r="H262" s="688" t="s">
        <v>111</v>
      </c>
      <c r="I262" s="688" t="s">
        <v>111</v>
      </c>
      <c r="J262" s="688" t="s">
        <v>111</v>
      </c>
      <c r="K262" s="688" t="s">
        <v>111</v>
      </c>
      <c r="L262" s="688" t="s">
        <v>111</v>
      </c>
      <c r="M262" s="688" t="s">
        <v>111</v>
      </c>
      <c r="N262" s="688" t="s">
        <v>111</v>
      </c>
      <c r="O262" s="688" t="s">
        <v>111</v>
      </c>
      <c r="P262" s="688" t="s">
        <v>111</v>
      </c>
      <c r="Q262" s="688" t="s">
        <v>111</v>
      </c>
      <c r="R262" s="688" t="s">
        <v>111</v>
      </c>
      <c r="S262" s="688" t="s">
        <v>111</v>
      </c>
      <c r="T262" s="688" t="s">
        <v>111</v>
      </c>
      <c r="U262" s="688" t="s">
        <v>111</v>
      </c>
      <c r="V262" s="688" t="s">
        <v>111</v>
      </c>
      <c r="W262" s="688" t="s">
        <v>111</v>
      </c>
      <c r="X262" s="1287"/>
      <c r="Y262" s="1287"/>
      <c r="Z262" s="1287"/>
      <c r="AA262" s="1287"/>
      <c r="AB262" s="1287"/>
      <c r="AC262" s="1287"/>
      <c r="AD262" s="1287"/>
      <c r="AE262" s="1488"/>
      <c r="AF262" s="1287"/>
      <c r="AG262" s="1488"/>
      <c r="AH262" s="53">
        <f t="shared" si="47"/>
        <v>0</v>
      </c>
    </row>
    <row r="263" spans="1:34" ht="15">
      <c r="A263" s="149" t="s">
        <v>85</v>
      </c>
      <c r="B263" s="67">
        <f t="shared" si="46"/>
        <v>0</v>
      </c>
      <c r="C263" s="1287"/>
      <c r="D263" s="1287"/>
      <c r="E263" s="1287"/>
      <c r="F263" s="1287"/>
      <c r="G263" s="1433"/>
      <c r="H263" s="1287"/>
      <c r="I263" s="1287"/>
      <c r="J263" s="1287"/>
      <c r="K263" s="1287"/>
      <c r="L263" s="1287"/>
      <c r="M263" s="1287"/>
      <c r="N263" s="1287"/>
      <c r="O263" s="1287"/>
      <c r="P263" s="1287"/>
      <c r="Q263" s="1287"/>
      <c r="R263" s="1287"/>
      <c r="S263" s="1287"/>
      <c r="T263" s="1287"/>
      <c r="U263" s="1287"/>
      <c r="V263" s="1287"/>
      <c r="W263" s="1287"/>
      <c r="X263" s="1287"/>
      <c r="Y263" s="1433"/>
      <c r="Z263" s="1287"/>
      <c r="AA263" s="1287"/>
      <c r="AB263" s="1287"/>
      <c r="AC263" s="1287"/>
      <c r="AD263" s="1287"/>
      <c r="AE263" s="1488"/>
      <c r="AF263" s="1287"/>
      <c r="AG263" s="1488"/>
      <c r="AH263" s="53">
        <f t="shared" si="47"/>
        <v>0</v>
      </c>
    </row>
    <row r="264" spans="1:34" ht="15">
      <c r="A264" s="149" t="s">
        <v>86</v>
      </c>
      <c r="B264" s="67">
        <f t="shared" si="46"/>
        <v>0</v>
      </c>
      <c r="C264" s="49"/>
      <c r="D264" s="18"/>
      <c r="E264" s="18"/>
      <c r="F264" s="18"/>
      <c r="G264" s="18"/>
      <c r="H264" s="18"/>
      <c r="I264" s="18"/>
      <c r="J264" s="18"/>
      <c r="K264" s="18"/>
      <c r="L264" s="18"/>
      <c r="M264" s="18"/>
      <c r="N264" s="18"/>
      <c r="O264" s="18"/>
      <c r="P264" s="1287"/>
      <c r="Q264" s="1287"/>
      <c r="R264" s="1287"/>
      <c r="S264" s="1287"/>
      <c r="T264" s="1287"/>
      <c r="U264" s="1287"/>
      <c r="V264" s="1287"/>
      <c r="W264" s="1287"/>
      <c r="X264" s="1287"/>
      <c r="Y264" s="1287"/>
      <c r="Z264" s="1287"/>
      <c r="AA264" s="1287"/>
      <c r="AB264" s="1287"/>
      <c r="AC264" s="1287"/>
      <c r="AD264" s="1287"/>
      <c r="AE264" s="1287"/>
      <c r="AF264" s="1287"/>
      <c r="AG264" s="1287"/>
      <c r="AH264" s="53">
        <f t="shared" si="47"/>
        <v>0</v>
      </c>
    </row>
    <row r="265" spans="1:34" ht="15">
      <c r="A265" s="88" t="s">
        <v>74</v>
      </c>
      <c r="B265" s="92">
        <f>SUM(B253:B264)</f>
        <v>0</v>
      </c>
      <c r="C265" s="46">
        <f>SUM(C253:C263)</f>
        <v>0</v>
      </c>
      <c r="D265" s="53">
        <f>SUM(D253:D263)</f>
        <v>0</v>
      </c>
      <c r="E265" s="53">
        <v>0</v>
      </c>
      <c r="F265" s="53">
        <f t="shared" ref="F265:AC265" si="48">SUM(F253:F263)</f>
        <v>0</v>
      </c>
      <c r="G265" s="53">
        <f t="shared" si="48"/>
        <v>0</v>
      </c>
      <c r="H265" s="53">
        <f t="shared" si="48"/>
        <v>0</v>
      </c>
      <c r="I265" s="53">
        <f t="shared" si="48"/>
        <v>0</v>
      </c>
      <c r="J265" s="53">
        <f t="shared" si="48"/>
        <v>0</v>
      </c>
      <c r="K265" s="53">
        <f t="shared" si="48"/>
        <v>0</v>
      </c>
      <c r="L265" s="53">
        <f t="shared" si="48"/>
        <v>0</v>
      </c>
      <c r="M265" s="53">
        <f t="shared" si="48"/>
        <v>0</v>
      </c>
      <c r="N265" s="53">
        <f t="shared" si="48"/>
        <v>0</v>
      </c>
      <c r="O265" s="53">
        <f t="shared" si="48"/>
        <v>0</v>
      </c>
      <c r="P265" s="53">
        <f t="shared" si="48"/>
        <v>0</v>
      </c>
      <c r="Q265" s="53">
        <f t="shared" si="48"/>
        <v>0</v>
      </c>
      <c r="R265" s="53">
        <f t="shared" si="48"/>
        <v>0</v>
      </c>
      <c r="S265" s="53">
        <f t="shared" si="48"/>
        <v>0</v>
      </c>
      <c r="T265" s="53">
        <f t="shared" si="48"/>
        <v>0</v>
      </c>
      <c r="U265" s="53">
        <f t="shared" si="48"/>
        <v>0</v>
      </c>
      <c r="V265" s="53">
        <f t="shared" si="48"/>
        <v>0</v>
      </c>
      <c r="W265" s="53">
        <f t="shared" si="48"/>
        <v>0</v>
      </c>
      <c r="X265" s="53">
        <f t="shared" si="48"/>
        <v>0</v>
      </c>
      <c r="Y265" s="53">
        <f t="shared" si="48"/>
        <v>0</v>
      </c>
      <c r="Z265" s="53">
        <f t="shared" si="48"/>
        <v>0</v>
      </c>
      <c r="AA265" s="53">
        <f t="shared" si="48"/>
        <v>0</v>
      </c>
      <c r="AB265" s="53">
        <f t="shared" si="48"/>
        <v>0</v>
      </c>
      <c r="AC265" s="53">
        <f t="shared" si="48"/>
        <v>0</v>
      </c>
      <c r="AD265" s="53">
        <v>0</v>
      </c>
      <c r="AE265" s="53">
        <f>SUM(AE253:AE263)</f>
        <v>0</v>
      </c>
      <c r="AF265" s="53">
        <f>SUM(AF253:AF263)</f>
        <v>0</v>
      </c>
      <c r="AG265" s="53">
        <f>SUM(AG253:AG263)</f>
        <v>0</v>
      </c>
      <c r="AH265" s="46">
        <f>SUM(AH253:AH263)</f>
        <v>0</v>
      </c>
    </row>
    <row r="266" spans="1:34" ht="5.0999999999999996" customHeight="1">
      <c r="A266" s="14"/>
      <c r="B266" s="14"/>
      <c r="C266" s="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
    </row>
    <row r="267" spans="1:34" ht="15">
      <c r="A267" s="3569" t="s">
        <v>106</v>
      </c>
      <c r="B267" s="3570"/>
      <c r="C267" s="3570"/>
      <c r="D267" s="3570"/>
      <c r="E267" s="3570"/>
      <c r="F267" s="3570"/>
      <c r="G267" s="3570"/>
      <c r="H267" s="3571"/>
      <c r="I267" s="1433"/>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row>
    <row r="268" spans="1:34" ht="15">
      <c r="A268" s="5" t="s">
        <v>72</v>
      </c>
      <c r="B268" s="5" t="s">
        <v>73</v>
      </c>
      <c r="C268" s="1249">
        <v>1</v>
      </c>
      <c r="D268" s="30">
        <v>2</v>
      </c>
      <c r="E268" s="30">
        <v>3</v>
      </c>
      <c r="F268" s="30">
        <v>4</v>
      </c>
      <c r="G268" s="30">
        <v>5</v>
      </c>
      <c r="H268" s="30">
        <v>6</v>
      </c>
      <c r="I268" s="30">
        <v>7</v>
      </c>
      <c r="J268" s="30">
        <v>8</v>
      </c>
      <c r="K268" s="30">
        <v>9</v>
      </c>
      <c r="L268" s="30">
        <v>10</v>
      </c>
      <c r="M268" s="30">
        <v>11</v>
      </c>
      <c r="N268" s="30">
        <v>12</v>
      </c>
      <c r="O268" s="30">
        <v>13</v>
      </c>
      <c r="P268" s="30">
        <v>14</v>
      </c>
      <c r="Q268" s="30">
        <v>15</v>
      </c>
      <c r="R268" s="30">
        <v>16</v>
      </c>
      <c r="S268" s="30">
        <v>17</v>
      </c>
      <c r="T268" s="30">
        <v>18</v>
      </c>
      <c r="U268" s="30">
        <v>19</v>
      </c>
      <c r="V268" s="30">
        <v>20</v>
      </c>
      <c r="W268" s="30">
        <v>21</v>
      </c>
      <c r="X268" s="30">
        <v>22</v>
      </c>
      <c r="Y268" s="30">
        <v>23</v>
      </c>
      <c r="Z268" s="30">
        <v>24</v>
      </c>
      <c r="AA268" s="30">
        <v>25</v>
      </c>
      <c r="AB268" s="30">
        <v>26</v>
      </c>
      <c r="AC268" s="30">
        <v>27</v>
      </c>
      <c r="AD268" s="30">
        <v>28</v>
      </c>
      <c r="AE268" s="30">
        <v>29</v>
      </c>
      <c r="AF268" s="30">
        <v>30</v>
      </c>
      <c r="AG268" s="30">
        <v>31</v>
      </c>
      <c r="AH268" s="39" t="s">
        <v>74</v>
      </c>
    </row>
    <row r="269" spans="1:34" ht="15">
      <c r="A269" s="148" t="s">
        <v>75</v>
      </c>
      <c r="B269" s="18">
        <f t="shared" ref="B269:B280" si="49">+AH269</f>
        <v>0</v>
      </c>
      <c r="C269" s="126" t="s">
        <v>111</v>
      </c>
      <c r="D269" s="126" t="s">
        <v>111</v>
      </c>
      <c r="E269" s="126" t="s">
        <v>111</v>
      </c>
      <c r="F269" s="126" t="s">
        <v>111</v>
      </c>
      <c r="G269" s="126" t="s">
        <v>111</v>
      </c>
      <c r="H269" s="126" t="s">
        <v>111</v>
      </c>
      <c r="I269" s="126" t="s">
        <v>111</v>
      </c>
      <c r="J269" s="126" t="s">
        <v>111</v>
      </c>
      <c r="K269" s="126" t="s">
        <v>111</v>
      </c>
      <c r="L269" s="126" t="s">
        <v>111</v>
      </c>
      <c r="M269" s="126" t="s">
        <v>111</v>
      </c>
      <c r="N269" s="126" t="s">
        <v>111</v>
      </c>
      <c r="O269" s="126" t="s">
        <v>111</v>
      </c>
      <c r="P269" s="126" t="s">
        <v>111</v>
      </c>
      <c r="Q269" s="126" t="s">
        <v>111</v>
      </c>
      <c r="R269" s="126" t="s">
        <v>111</v>
      </c>
      <c r="S269" s="126" t="s">
        <v>111</v>
      </c>
      <c r="T269" s="126" t="s">
        <v>111</v>
      </c>
      <c r="U269" s="126" t="s">
        <v>111</v>
      </c>
      <c r="V269" s="126" t="s">
        <v>111</v>
      </c>
      <c r="W269" s="126" t="s">
        <v>111</v>
      </c>
      <c r="X269" s="126" t="s">
        <v>111</v>
      </c>
      <c r="Y269" s="126" t="s">
        <v>111</v>
      </c>
      <c r="Z269" s="126" t="s">
        <v>111</v>
      </c>
      <c r="AA269" s="126" t="s">
        <v>111</v>
      </c>
      <c r="AB269" s="126" t="s">
        <v>111</v>
      </c>
      <c r="AC269" s="126" t="s">
        <v>111</v>
      </c>
      <c r="AD269" s="126" t="s">
        <v>111</v>
      </c>
      <c r="AE269" s="126" t="s">
        <v>111</v>
      </c>
      <c r="AF269" s="126" t="s">
        <v>111</v>
      </c>
      <c r="AG269" s="126" t="s">
        <v>111</v>
      </c>
      <c r="AH269" s="53">
        <f>SUM(C269:AG269)</f>
        <v>0</v>
      </c>
    </row>
    <row r="270" spans="1:34" s="83" customFormat="1" ht="15">
      <c r="A270" s="148" t="s">
        <v>76</v>
      </c>
      <c r="B270" s="18">
        <f t="shared" si="49"/>
        <v>0</v>
      </c>
      <c r="C270" s="126" t="s">
        <v>111</v>
      </c>
      <c r="D270" s="126" t="s">
        <v>111</v>
      </c>
      <c r="E270" s="126" t="s">
        <v>111</v>
      </c>
      <c r="F270" s="126" t="s">
        <v>111</v>
      </c>
      <c r="G270" s="126" t="s">
        <v>111</v>
      </c>
      <c r="H270" s="126" t="s">
        <v>111</v>
      </c>
      <c r="I270" s="126" t="s">
        <v>111</v>
      </c>
      <c r="J270" s="127"/>
      <c r="K270" s="127"/>
      <c r="L270" s="127"/>
      <c r="M270" s="127"/>
      <c r="N270" s="127"/>
      <c r="O270" s="127"/>
      <c r="P270" s="127"/>
      <c r="Q270" s="127"/>
      <c r="R270" s="127"/>
      <c r="S270" s="127"/>
      <c r="T270" s="127"/>
      <c r="U270" s="127"/>
      <c r="V270" s="127"/>
      <c r="W270" s="127"/>
      <c r="X270" s="127"/>
      <c r="Y270" s="127"/>
      <c r="Z270" s="127"/>
      <c r="AA270" s="127"/>
      <c r="AB270" s="127"/>
      <c r="AC270" s="127"/>
      <c r="AD270" s="127"/>
      <c r="AE270" s="127"/>
      <c r="AF270" s="127"/>
      <c r="AG270" s="127"/>
      <c r="AH270" s="53">
        <f t="shared" ref="AH270:AH280" si="50">SUM(C270:AG270)</f>
        <v>0</v>
      </c>
    </row>
    <row r="271" spans="1:34" ht="15">
      <c r="A271" s="148" t="s">
        <v>77</v>
      </c>
      <c r="B271" s="18">
        <f t="shared" si="49"/>
        <v>0</v>
      </c>
      <c r="C271" s="127"/>
      <c r="D271" s="127"/>
      <c r="E271" s="127"/>
      <c r="F271" s="127"/>
      <c r="G271" s="127"/>
      <c r="H271" s="112"/>
      <c r="I271" s="112"/>
      <c r="J271" s="112"/>
      <c r="K271" s="112"/>
      <c r="L271" s="112"/>
      <c r="M271" s="112"/>
      <c r="N271" s="112"/>
      <c r="O271" s="112"/>
      <c r="P271" s="112"/>
      <c r="Q271" s="112"/>
      <c r="R271" s="112"/>
      <c r="S271" s="18"/>
      <c r="T271" s="18"/>
      <c r="U271" s="18"/>
      <c r="V271" s="18"/>
      <c r="W271" s="18"/>
      <c r="X271" s="18"/>
      <c r="Y271" s="18"/>
      <c r="Z271" s="18"/>
      <c r="AA271" s="18"/>
      <c r="AB271" s="18"/>
      <c r="AC271" s="1930"/>
      <c r="AD271" s="1930"/>
      <c r="AE271" s="1930"/>
      <c r="AF271" s="1930"/>
      <c r="AG271" s="1930"/>
      <c r="AH271" s="53">
        <f t="shared" si="50"/>
        <v>0</v>
      </c>
    </row>
    <row r="272" spans="1:34" ht="15">
      <c r="A272" s="148" t="s">
        <v>78</v>
      </c>
      <c r="B272" s="18">
        <f t="shared" si="49"/>
        <v>0</v>
      </c>
      <c r="C272" s="1930"/>
      <c r="D272" s="1930"/>
      <c r="E272" s="1930"/>
      <c r="F272" s="1930"/>
      <c r="G272" s="1930"/>
      <c r="H272" s="1930"/>
      <c r="I272" s="1930"/>
      <c r="J272" s="1930"/>
      <c r="K272" s="1930"/>
      <c r="L272" s="1287"/>
      <c r="M272" s="1287"/>
      <c r="N272" s="1287"/>
      <c r="O272" s="1287"/>
      <c r="P272" s="1287"/>
      <c r="Q272" s="1287"/>
      <c r="R272" s="1287"/>
      <c r="S272" s="1287"/>
      <c r="T272" s="1287"/>
      <c r="U272" s="1287"/>
      <c r="V272" s="1287"/>
      <c r="W272" s="1287"/>
      <c r="X272" s="1287"/>
      <c r="Y272" s="1287"/>
      <c r="Z272" s="1287"/>
      <c r="AA272" s="1287"/>
      <c r="AB272" s="1287"/>
      <c r="AC272" s="1287"/>
      <c r="AD272" s="1287"/>
      <c r="AE272" s="1287"/>
      <c r="AF272" s="1287"/>
      <c r="AG272" s="1287"/>
      <c r="AH272" s="53">
        <f t="shared" si="50"/>
        <v>0</v>
      </c>
    </row>
    <row r="273" spans="1:34" s="83" customFormat="1" ht="15">
      <c r="A273" s="143" t="s">
        <v>79</v>
      </c>
      <c r="B273" s="18">
        <f t="shared" si="49"/>
        <v>0</v>
      </c>
      <c r="C273" s="1287"/>
      <c r="D273" s="1287"/>
      <c r="E273" s="1287"/>
      <c r="F273" s="1287"/>
      <c r="G273" s="1287"/>
      <c r="H273" s="1287"/>
      <c r="I273" s="1287"/>
      <c r="J273" s="1287"/>
      <c r="K273" s="1287"/>
      <c r="L273" s="1287"/>
      <c r="M273" s="1287"/>
      <c r="N273" s="1287"/>
      <c r="O273" s="1287"/>
      <c r="P273" s="1287"/>
      <c r="Q273" s="1287"/>
      <c r="R273" s="1287"/>
      <c r="S273" s="1287"/>
      <c r="T273" s="1287"/>
      <c r="U273" s="1287"/>
      <c r="V273" s="1287"/>
      <c r="W273" s="1287"/>
      <c r="X273" s="1287"/>
      <c r="Y273" s="1287"/>
      <c r="Z273" s="1287"/>
      <c r="AA273" s="1287"/>
      <c r="AB273" s="1287"/>
      <c r="AC273" s="1287"/>
      <c r="AD273" s="1287"/>
      <c r="AE273" s="1287"/>
      <c r="AF273" s="1287"/>
      <c r="AG273" s="1287"/>
      <c r="AH273" s="53">
        <f t="shared" si="50"/>
        <v>0</v>
      </c>
    </row>
    <row r="274" spans="1:34" ht="15">
      <c r="A274" s="143" t="s">
        <v>80</v>
      </c>
      <c r="B274" s="18">
        <f t="shared" si="49"/>
        <v>0</v>
      </c>
      <c r="C274" s="1287"/>
      <c r="D274" s="1287"/>
      <c r="E274" s="1287"/>
      <c r="F274" s="1287"/>
      <c r="G274" s="1287"/>
      <c r="H274" s="1287"/>
      <c r="I274" s="1287"/>
      <c r="J274" s="1287"/>
      <c r="K274" s="1287"/>
      <c r="L274" s="1287"/>
      <c r="M274" s="1287"/>
      <c r="N274" s="1287"/>
      <c r="O274" s="1287"/>
      <c r="P274" s="1287"/>
      <c r="Q274" s="1287"/>
      <c r="R274" s="1287"/>
      <c r="S274" s="1287"/>
      <c r="T274" s="1287"/>
      <c r="U274" s="1287"/>
      <c r="V274" s="1287"/>
      <c r="W274" s="1287"/>
      <c r="X274" s="1287"/>
      <c r="Y274" s="1287"/>
      <c r="Z274" s="1287"/>
      <c r="AA274" s="1287"/>
      <c r="AB274" s="1287"/>
      <c r="AC274" s="1287"/>
      <c r="AD274" s="1287"/>
      <c r="AE274" s="1287"/>
      <c r="AF274" s="1287"/>
      <c r="AG274" s="1287"/>
      <c r="AH274" s="53">
        <f t="shared" si="50"/>
        <v>0</v>
      </c>
    </row>
    <row r="275" spans="1:34" ht="15">
      <c r="A275" s="143" t="s">
        <v>81</v>
      </c>
      <c r="B275" s="18">
        <f t="shared" si="49"/>
        <v>0</v>
      </c>
      <c r="C275" s="1287"/>
      <c r="D275" s="1488"/>
      <c r="E275" s="1488"/>
      <c r="F275" s="1488"/>
      <c r="G275" s="1287"/>
      <c r="H275" s="1287"/>
      <c r="I275" s="1287"/>
      <c r="J275" s="2466"/>
      <c r="K275" s="2466"/>
      <c r="L275" s="1488"/>
      <c r="M275" s="1488"/>
      <c r="N275" s="1488"/>
      <c r="O275" s="1488"/>
      <c r="P275" s="1488"/>
      <c r="Q275" s="1488"/>
      <c r="R275" s="1488"/>
      <c r="S275" s="1488"/>
      <c r="T275" s="1488"/>
      <c r="U275" s="1488"/>
      <c r="V275" s="1488"/>
      <c r="W275" s="688"/>
      <c r="X275" s="688"/>
      <c r="Y275" s="688"/>
      <c r="Z275" s="688"/>
      <c r="AA275" s="688"/>
      <c r="AB275" s="688"/>
      <c r="AC275" s="688"/>
      <c r="AD275" s="688"/>
      <c r="AE275" s="688"/>
      <c r="AF275" s="688" t="s">
        <v>111</v>
      </c>
      <c r="AG275" s="688" t="s">
        <v>111</v>
      </c>
      <c r="AH275" s="53">
        <f t="shared" si="50"/>
        <v>0</v>
      </c>
    </row>
    <row r="276" spans="1:34" s="83" customFormat="1" ht="15">
      <c r="A276" s="143" t="s">
        <v>82</v>
      </c>
      <c r="B276" s="18">
        <f t="shared" si="49"/>
        <v>0</v>
      </c>
      <c r="C276" s="688" t="s">
        <v>111</v>
      </c>
      <c r="D276" s="688" t="s">
        <v>111</v>
      </c>
      <c r="E276" s="688" t="s">
        <v>111</v>
      </c>
      <c r="F276" s="688" t="s">
        <v>111</v>
      </c>
      <c r="G276" s="688" t="s">
        <v>111</v>
      </c>
      <c r="H276" s="688" t="s">
        <v>111</v>
      </c>
      <c r="I276" s="688" t="s">
        <v>111</v>
      </c>
      <c r="J276" s="688" t="s">
        <v>111</v>
      </c>
      <c r="K276" s="688" t="s">
        <v>111</v>
      </c>
      <c r="L276" s="688" t="s">
        <v>111</v>
      </c>
      <c r="M276" s="688" t="s">
        <v>111</v>
      </c>
      <c r="N276" s="688" t="s">
        <v>111</v>
      </c>
      <c r="O276" s="688" t="s">
        <v>111</v>
      </c>
      <c r="P276" s="688" t="s">
        <v>111</v>
      </c>
      <c r="Q276" s="688" t="s">
        <v>111</v>
      </c>
      <c r="R276" s="688" t="s">
        <v>111</v>
      </c>
      <c r="S276" s="688" t="s">
        <v>111</v>
      </c>
      <c r="T276" s="688" t="s">
        <v>111</v>
      </c>
      <c r="U276" s="688" t="s">
        <v>111</v>
      </c>
      <c r="V276" s="688" t="s">
        <v>111</v>
      </c>
      <c r="W276" s="688" t="s">
        <v>111</v>
      </c>
      <c r="X276" s="688" t="s">
        <v>111</v>
      </c>
      <c r="Y276" s="688" t="s">
        <v>111</v>
      </c>
      <c r="Z276" s="688" t="s">
        <v>111</v>
      </c>
      <c r="AA276" s="688" t="s">
        <v>111</v>
      </c>
      <c r="AB276" s="688" t="s">
        <v>111</v>
      </c>
      <c r="AC276" s="688" t="s">
        <v>111</v>
      </c>
      <c r="AD276" s="688" t="s">
        <v>111</v>
      </c>
      <c r="AE276" s="688" t="s">
        <v>111</v>
      </c>
      <c r="AF276" s="688" t="s">
        <v>111</v>
      </c>
      <c r="AG276" s="688" t="s">
        <v>111</v>
      </c>
      <c r="AH276" s="53">
        <f t="shared" si="50"/>
        <v>0</v>
      </c>
    </row>
    <row r="277" spans="1:34" ht="15">
      <c r="A277" s="149" t="s">
        <v>83</v>
      </c>
      <c r="B277" s="18">
        <f t="shared" si="49"/>
        <v>0</v>
      </c>
      <c r="C277" s="688" t="s">
        <v>111</v>
      </c>
      <c r="D277" s="688" t="s">
        <v>111</v>
      </c>
      <c r="E277" s="688" t="s">
        <v>111</v>
      </c>
      <c r="F277" s="688" t="s">
        <v>111</v>
      </c>
      <c r="G277" s="688" t="s">
        <v>111</v>
      </c>
      <c r="H277" s="688" t="s">
        <v>111</v>
      </c>
      <c r="I277" s="688" t="s">
        <v>111</v>
      </c>
      <c r="J277" s="688" t="s">
        <v>111</v>
      </c>
      <c r="K277" s="688" t="s">
        <v>111</v>
      </c>
      <c r="L277" s="688" t="s">
        <v>111</v>
      </c>
      <c r="M277" s="688" t="s">
        <v>111</v>
      </c>
      <c r="N277" s="688" t="s">
        <v>111</v>
      </c>
      <c r="O277" s="688" t="s">
        <v>111</v>
      </c>
      <c r="P277" s="688" t="s">
        <v>111</v>
      </c>
      <c r="Q277" s="688" t="s">
        <v>111</v>
      </c>
      <c r="R277" s="688" t="s">
        <v>111</v>
      </c>
      <c r="S277" s="688" t="s">
        <v>111</v>
      </c>
      <c r="T277" s="688" t="s">
        <v>111</v>
      </c>
      <c r="U277" s="688" t="s">
        <v>111</v>
      </c>
      <c r="V277" s="688" t="s">
        <v>111</v>
      </c>
      <c r="W277" s="688" t="s">
        <v>111</v>
      </c>
      <c r="X277" s="688" t="s">
        <v>111</v>
      </c>
      <c r="Y277" s="688" t="s">
        <v>111</v>
      </c>
      <c r="Z277" s="688" t="s">
        <v>111</v>
      </c>
      <c r="AA277" s="688" t="s">
        <v>111</v>
      </c>
      <c r="AB277" s="688" t="s">
        <v>111</v>
      </c>
      <c r="AC277" s="688" t="s">
        <v>111</v>
      </c>
      <c r="AD277" s="688" t="s">
        <v>111</v>
      </c>
      <c r="AE277" s="688" t="s">
        <v>111</v>
      </c>
      <c r="AF277" s="688" t="s">
        <v>111</v>
      </c>
      <c r="AG277" s="688" t="s">
        <v>111</v>
      </c>
      <c r="AH277" s="53">
        <f t="shared" si="50"/>
        <v>0</v>
      </c>
    </row>
    <row r="278" spans="1:34" ht="15">
      <c r="A278" s="149" t="s">
        <v>84</v>
      </c>
      <c r="B278" s="18">
        <f t="shared" si="49"/>
        <v>0</v>
      </c>
      <c r="C278" s="688" t="s">
        <v>111</v>
      </c>
      <c r="D278" s="688" t="s">
        <v>111</v>
      </c>
      <c r="E278" s="688" t="s">
        <v>111</v>
      </c>
      <c r="F278" s="688" t="s">
        <v>111</v>
      </c>
      <c r="G278" s="688" t="s">
        <v>111</v>
      </c>
      <c r="H278" s="688" t="s">
        <v>111</v>
      </c>
      <c r="I278" s="688" t="s">
        <v>111</v>
      </c>
      <c r="J278" s="688" t="s">
        <v>111</v>
      </c>
      <c r="K278" s="688" t="s">
        <v>111</v>
      </c>
      <c r="L278" s="688" t="s">
        <v>111</v>
      </c>
      <c r="M278" s="688" t="s">
        <v>111</v>
      </c>
      <c r="N278" s="688" t="s">
        <v>111</v>
      </c>
      <c r="O278" s="688" t="s">
        <v>111</v>
      </c>
      <c r="P278" s="688" t="s">
        <v>111</v>
      </c>
      <c r="Q278" s="688" t="s">
        <v>111</v>
      </c>
      <c r="R278" s="688" t="s">
        <v>111</v>
      </c>
      <c r="S278" s="688" t="s">
        <v>111</v>
      </c>
      <c r="T278" s="688" t="s">
        <v>111</v>
      </c>
      <c r="U278" s="688" t="s">
        <v>111</v>
      </c>
      <c r="V278" s="688" t="s">
        <v>111</v>
      </c>
      <c r="W278" s="688" t="s">
        <v>111</v>
      </c>
      <c r="X278" s="1287"/>
      <c r="Y278" s="1287"/>
      <c r="Z278" s="1287"/>
      <c r="AA278" s="1287"/>
      <c r="AB278" s="1287"/>
      <c r="AC278" s="1287"/>
      <c r="AD278" s="1287"/>
      <c r="AE278" s="1488"/>
      <c r="AF278" s="1287"/>
      <c r="AG278" s="1488"/>
      <c r="AH278" s="53">
        <f t="shared" si="50"/>
        <v>0</v>
      </c>
    </row>
    <row r="279" spans="1:34" ht="15">
      <c r="A279" s="149" t="s">
        <v>85</v>
      </c>
      <c r="B279" s="18">
        <f t="shared" si="49"/>
        <v>0</v>
      </c>
      <c r="C279" s="1287"/>
      <c r="D279" s="1287"/>
      <c r="E279" s="1287"/>
      <c r="F279" s="1287"/>
      <c r="G279" s="1433"/>
      <c r="H279" s="1287"/>
      <c r="I279" s="1287"/>
      <c r="J279" s="1287"/>
      <c r="K279" s="1287"/>
      <c r="L279" s="1287"/>
      <c r="M279" s="1287"/>
      <c r="N279" s="1287"/>
      <c r="O279" s="1287"/>
      <c r="P279" s="1287"/>
      <c r="Q279" s="1287"/>
      <c r="R279" s="1287"/>
      <c r="S279" s="1287"/>
      <c r="T279" s="1287"/>
      <c r="U279" s="1287"/>
      <c r="V279" s="1287"/>
      <c r="W279" s="1287"/>
      <c r="X279" s="1287"/>
      <c r="Y279" s="1433"/>
      <c r="Z279" s="1287"/>
      <c r="AA279" s="1287"/>
      <c r="AB279" s="1287"/>
      <c r="AC279" s="1287"/>
      <c r="AD279" s="1287"/>
      <c r="AE279" s="1488"/>
      <c r="AF279" s="1287"/>
      <c r="AG279" s="1488"/>
      <c r="AH279" s="53">
        <f t="shared" si="50"/>
        <v>0</v>
      </c>
    </row>
    <row r="280" spans="1:34" ht="15">
      <c r="A280" s="149" t="s">
        <v>86</v>
      </c>
      <c r="B280" s="18">
        <f t="shared" si="49"/>
        <v>0</v>
      </c>
      <c r="C280" s="49"/>
      <c r="D280" s="18"/>
      <c r="E280" s="18"/>
      <c r="F280" s="18"/>
      <c r="G280" s="18"/>
      <c r="H280" s="18"/>
      <c r="I280" s="18"/>
      <c r="J280" s="18"/>
      <c r="K280" s="18"/>
      <c r="L280" s="18"/>
      <c r="M280" s="18"/>
      <c r="N280" s="18"/>
      <c r="O280" s="18"/>
      <c r="P280" s="1287"/>
      <c r="Q280" s="1287"/>
      <c r="R280" s="1287"/>
      <c r="S280" s="1287"/>
      <c r="T280" s="1287"/>
      <c r="U280" s="1287"/>
      <c r="V280" s="1287"/>
      <c r="W280" s="1287"/>
      <c r="X280" s="1287"/>
      <c r="Y280" s="1287"/>
      <c r="Z280" s="1287"/>
      <c r="AA280" s="1287"/>
      <c r="AB280" s="1287"/>
      <c r="AC280" s="1287"/>
      <c r="AD280" s="1287"/>
      <c r="AE280" s="1287"/>
      <c r="AF280" s="1287"/>
      <c r="AG280" s="1287"/>
      <c r="AH280" s="53">
        <f t="shared" si="50"/>
        <v>0</v>
      </c>
    </row>
    <row r="281" spans="1:34" ht="15">
      <c r="A281" s="88" t="s">
        <v>74</v>
      </c>
      <c r="B281" s="89">
        <f>SUM(B269:B280)</f>
        <v>0</v>
      </c>
      <c r="C281" s="46">
        <f>SUM(C269:C279)</f>
        <v>0</v>
      </c>
      <c r="D281" s="53">
        <f>SUM(D269:D279)</f>
        <v>0</v>
      </c>
      <c r="E281" s="53">
        <v>0</v>
      </c>
      <c r="F281" s="53">
        <f t="shared" ref="F281:AC281" si="51">SUM(F269:F279)</f>
        <v>0</v>
      </c>
      <c r="G281" s="53">
        <f t="shared" si="51"/>
        <v>0</v>
      </c>
      <c r="H281" s="53">
        <f t="shared" si="51"/>
        <v>0</v>
      </c>
      <c r="I281" s="53">
        <f t="shared" si="51"/>
        <v>0</v>
      </c>
      <c r="J281" s="53">
        <f t="shared" si="51"/>
        <v>0</v>
      </c>
      <c r="K281" s="53">
        <f t="shared" si="51"/>
        <v>0</v>
      </c>
      <c r="L281" s="53">
        <f t="shared" si="51"/>
        <v>0</v>
      </c>
      <c r="M281" s="53">
        <f t="shared" si="51"/>
        <v>0</v>
      </c>
      <c r="N281" s="53">
        <f t="shared" si="51"/>
        <v>0</v>
      </c>
      <c r="O281" s="53">
        <f t="shared" si="51"/>
        <v>0</v>
      </c>
      <c r="P281" s="53">
        <f t="shared" si="51"/>
        <v>0</v>
      </c>
      <c r="Q281" s="53">
        <f t="shared" si="51"/>
        <v>0</v>
      </c>
      <c r="R281" s="53">
        <f t="shared" si="51"/>
        <v>0</v>
      </c>
      <c r="S281" s="53">
        <f t="shared" si="51"/>
        <v>0</v>
      </c>
      <c r="T281" s="53">
        <f t="shared" si="51"/>
        <v>0</v>
      </c>
      <c r="U281" s="53">
        <f t="shared" si="51"/>
        <v>0</v>
      </c>
      <c r="V281" s="53">
        <f t="shared" si="51"/>
        <v>0</v>
      </c>
      <c r="W281" s="53">
        <f t="shared" si="51"/>
        <v>0</v>
      </c>
      <c r="X281" s="53">
        <f t="shared" si="51"/>
        <v>0</v>
      </c>
      <c r="Y281" s="53">
        <f t="shared" si="51"/>
        <v>0</v>
      </c>
      <c r="Z281" s="53">
        <f t="shared" si="51"/>
        <v>0</v>
      </c>
      <c r="AA281" s="53">
        <f t="shared" si="51"/>
        <v>0</v>
      </c>
      <c r="AB281" s="53">
        <f t="shared" si="51"/>
        <v>0</v>
      </c>
      <c r="AC281" s="53">
        <f t="shared" si="51"/>
        <v>0</v>
      </c>
      <c r="AD281" s="53">
        <v>0</v>
      </c>
      <c r="AE281" s="53">
        <f>SUM(AE269:AE279)</f>
        <v>0</v>
      </c>
      <c r="AF281" s="53">
        <f>SUM(AF269:AF279)</f>
        <v>0</v>
      </c>
      <c r="AG281" s="53">
        <f>SUM(AG269:AG279)</f>
        <v>0</v>
      </c>
      <c r="AH281" s="46">
        <f>SUM(AH269:AH279)</f>
        <v>0</v>
      </c>
    </row>
    <row r="282" spans="1:34" ht="5.0999999999999996" customHeight="1">
      <c r="A282" s="14"/>
      <c r="B282" s="14"/>
      <c r="C282" s="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
    </row>
    <row r="283" spans="1:34" ht="15">
      <c r="A283" s="3569" t="s">
        <v>107</v>
      </c>
      <c r="B283" s="3570"/>
      <c r="C283" s="3570"/>
      <c r="D283" s="3570"/>
      <c r="E283" s="3570"/>
      <c r="F283" s="3570"/>
      <c r="G283" s="3570"/>
      <c r="H283" s="3571"/>
      <c r="I283" s="1433"/>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row>
    <row r="284" spans="1:34" ht="15">
      <c r="A284" s="5" t="s">
        <v>72</v>
      </c>
      <c r="B284" s="5" t="s">
        <v>73</v>
      </c>
      <c r="C284" s="1249">
        <v>1</v>
      </c>
      <c r="D284" s="30">
        <v>2</v>
      </c>
      <c r="E284" s="30">
        <v>3</v>
      </c>
      <c r="F284" s="30">
        <v>4</v>
      </c>
      <c r="G284" s="30">
        <v>5</v>
      </c>
      <c r="H284" s="30">
        <v>6</v>
      </c>
      <c r="I284" s="30">
        <v>7</v>
      </c>
      <c r="J284" s="30">
        <v>8</v>
      </c>
      <c r="K284" s="30">
        <v>9</v>
      </c>
      <c r="L284" s="30">
        <v>10</v>
      </c>
      <c r="M284" s="30">
        <v>11</v>
      </c>
      <c r="N284" s="30">
        <v>12</v>
      </c>
      <c r="O284" s="30">
        <v>13</v>
      </c>
      <c r="P284" s="30">
        <v>14</v>
      </c>
      <c r="Q284" s="30">
        <v>15</v>
      </c>
      <c r="R284" s="30">
        <v>16</v>
      </c>
      <c r="S284" s="30">
        <v>17</v>
      </c>
      <c r="T284" s="30">
        <v>18</v>
      </c>
      <c r="U284" s="30">
        <v>19</v>
      </c>
      <c r="V284" s="30">
        <v>20</v>
      </c>
      <c r="W284" s="30">
        <v>21</v>
      </c>
      <c r="X284" s="30">
        <v>22</v>
      </c>
      <c r="Y284" s="30">
        <v>23</v>
      </c>
      <c r="Z284" s="30">
        <v>24</v>
      </c>
      <c r="AA284" s="30">
        <v>25</v>
      </c>
      <c r="AB284" s="30">
        <v>26</v>
      </c>
      <c r="AC284" s="30">
        <v>27</v>
      </c>
      <c r="AD284" s="30">
        <v>28</v>
      </c>
      <c r="AE284" s="30">
        <v>29</v>
      </c>
      <c r="AF284" s="30">
        <v>30</v>
      </c>
      <c r="AG284" s="30">
        <v>31</v>
      </c>
      <c r="AH284" s="39" t="s">
        <v>74</v>
      </c>
    </row>
    <row r="285" spans="1:34" ht="15">
      <c r="A285" s="148" t="s">
        <v>75</v>
      </c>
      <c r="B285" s="18">
        <f t="shared" ref="B285:B296" si="52">+AH285</f>
        <v>0</v>
      </c>
      <c r="C285" s="126" t="s">
        <v>111</v>
      </c>
      <c r="D285" s="126" t="s">
        <v>111</v>
      </c>
      <c r="E285" s="126" t="s">
        <v>111</v>
      </c>
      <c r="F285" s="126" t="s">
        <v>111</v>
      </c>
      <c r="G285" s="126" t="s">
        <v>111</v>
      </c>
      <c r="H285" s="126" t="s">
        <v>111</v>
      </c>
      <c r="I285" s="126" t="s">
        <v>111</v>
      </c>
      <c r="J285" s="126" t="s">
        <v>111</v>
      </c>
      <c r="K285" s="126" t="s">
        <v>111</v>
      </c>
      <c r="L285" s="126" t="s">
        <v>111</v>
      </c>
      <c r="M285" s="126" t="s">
        <v>111</v>
      </c>
      <c r="N285" s="126" t="s">
        <v>111</v>
      </c>
      <c r="O285" s="126" t="s">
        <v>111</v>
      </c>
      <c r="P285" s="126" t="s">
        <v>111</v>
      </c>
      <c r="Q285" s="126" t="s">
        <v>111</v>
      </c>
      <c r="R285" s="126" t="s">
        <v>111</v>
      </c>
      <c r="S285" s="126" t="s">
        <v>111</v>
      </c>
      <c r="T285" s="126" t="s">
        <v>111</v>
      </c>
      <c r="U285" s="126" t="s">
        <v>111</v>
      </c>
      <c r="V285" s="126" t="s">
        <v>111</v>
      </c>
      <c r="W285" s="126" t="s">
        <v>111</v>
      </c>
      <c r="X285" s="126" t="s">
        <v>111</v>
      </c>
      <c r="Y285" s="126" t="s">
        <v>111</v>
      </c>
      <c r="Z285" s="126" t="s">
        <v>111</v>
      </c>
      <c r="AA285" s="126" t="s">
        <v>111</v>
      </c>
      <c r="AB285" s="126" t="s">
        <v>111</v>
      </c>
      <c r="AC285" s="126" t="s">
        <v>111</v>
      </c>
      <c r="AD285" s="126" t="s">
        <v>111</v>
      </c>
      <c r="AE285" s="126" t="s">
        <v>111</v>
      </c>
      <c r="AF285" s="126" t="s">
        <v>111</v>
      </c>
      <c r="AG285" s="126" t="s">
        <v>111</v>
      </c>
      <c r="AH285" s="53">
        <f>SUM(C285:AG285)</f>
        <v>0</v>
      </c>
    </row>
    <row r="286" spans="1:34" s="83" customFormat="1" ht="15">
      <c r="A286" s="148" t="s">
        <v>76</v>
      </c>
      <c r="B286" s="18">
        <f t="shared" si="52"/>
        <v>4.6040000000000001</v>
      </c>
      <c r="C286" s="126" t="s">
        <v>111</v>
      </c>
      <c r="D286" s="126" t="s">
        <v>111</v>
      </c>
      <c r="E286" s="126" t="s">
        <v>111</v>
      </c>
      <c r="F286" s="126" t="s">
        <v>111</v>
      </c>
      <c r="G286" s="126" t="s">
        <v>111</v>
      </c>
      <c r="H286" s="126" t="s">
        <v>111</v>
      </c>
      <c r="I286" s="126" t="s">
        <v>111</v>
      </c>
      <c r="J286" s="127"/>
      <c r="K286" s="127"/>
      <c r="L286" s="127"/>
      <c r="M286" s="127"/>
      <c r="N286" s="127"/>
      <c r="O286" s="127">
        <v>0.87</v>
      </c>
      <c r="P286" s="127">
        <v>3.734</v>
      </c>
      <c r="Q286" s="127">
        <v>0</v>
      </c>
      <c r="R286" s="127">
        <v>0</v>
      </c>
      <c r="S286" s="127">
        <v>0</v>
      </c>
      <c r="T286" s="127">
        <v>0</v>
      </c>
      <c r="U286" s="127">
        <v>0</v>
      </c>
      <c r="V286" s="127">
        <v>0</v>
      </c>
      <c r="W286" s="127"/>
      <c r="X286" s="127"/>
      <c r="Y286" s="127"/>
      <c r="Z286" s="127"/>
      <c r="AA286" s="127"/>
      <c r="AB286" s="127"/>
      <c r="AC286" s="127"/>
      <c r="AD286" s="127"/>
      <c r="AE286" s="127"/>
      <c r="AF286" s="127"/>
      <c r="AG286" s="127"/>
      <c r="AH286" s="53">
        <f t="shared" ref="AH286:AH296" si="53">SUM(C286:AG286)</f>
        <v>4.6040000000000001</v>
      </c>
    </row>
    <row r="287" spans="1:34" ht="15">
      <c r="A287" s="148" t="s">
        <v>77</v>
      </c>
      <c r="B287" s="18">
        <f t="shared" si="52"/>
        <v>0</v>
      </c>
      <c r="C287" s="127"/>
      <c r="D287" s="127"/>
      <c r="E287" s="127"/>
      <c r="F287" s="127"/>
      <c r="G287" s="127"/>
      <c r="H287" s="112"/>
      <c r="I287" s="112"/>
      <c r="J287" s="112"/>
      <c r="K287" s="112"/>
      <c r="L287" s="112"/>
      <c r="M287" s="112"/>
      <c r="N287" s="112"/>
      <c r="O287" s="112"/>
      <c r="P287" s="112"/>
      <c r="Q287" s="112"/>
      <c r="R287" s="112"/>
      <c r="S287" s="112"/>
      <c r="T287" s="112"/>
      <c r="U287" s="112"/>
      <c r="V287" s="112"/>
      <c r="W287" s="112"/>
      <c r="X287" s="112"/>
      <c r="Y287" s="112"/>
      <c r="Z287" s="112"/>
      <c r="AA287" s="112"/>
      <c r="AB287" s="112"/>
      <c r="AC287" s="126" t="s">
        <v>111</v>
      </c>
      <c r="AD287" s="126" t="s">
        <v>111</v>
      </c>
      <c r="AE287" s="126" t="s">
        <v>111</v>
      </c>
      <c r="AF287" s="126" t="s">
        <v>111</v>
      </c>
      <c r="AG287" s="126" t="s">
        <v>111</v>
      </c>
      <c r="AH287" s="53">
        <f t="shared" si="53"/>
        <v>0</v>
      </c>
    </row>
    <row r="288" spans="1:34" ht="15">
      <c r="A288" s="148" t="s">
        <v>78</v>
      </c>
      <c r="B288" s="18">
        <f t="shared" si="52"/>
        <v>17.893999999999998</v>
      </c>
      <c r="C288" s="18">
        <v>0</v>
      </c>
      <c r="D288" s="18">
        <v>0</v>
      </c>
      <c r="E288" s="18">
        <v>0</v>
      </c>
      <c r="F288" s="18">
        <v>0</v>
      </c>
      <c r="G288" s="18">
        <v>0</v>
      </c>
      <c r="H288" s="18">
        <v>0</v>
      </c>
      <c r="I288" s="18">
        <v>0</v>
      </c>
      <c r="J288" s="18">
        <v>0</v>
      </c>
      <c r="K288" s="18">
        <v>7.3730000000000002</v>
      </c>
      <c r="L288" s="112">
        <v>0</v>
      </c>
      <c r="M288" s="112">
        <v>0</v>
      </c>
      <c r="N288" s="112">
        <v>0.88900000000000001</v>
      </c>
      <c r="O288" s="112">
        <v>0</v>
      </c>
      <c r="P288" s="112">
        <v>0</v>
      </c>
      <c r="Q288" s="112">
        <v>0</v>
      </c>
      <c r="R288" s="112">
        <v>0</v>
      </c>
      <c r="S288" s="112">
        <v>0</v>
      </c>
      <c r="T288" s="112">
        <v>0</v>
      </c>
      <c r="U288" s="112">
        <v>0</v>
      </c>
      <c r="V288" s="112">
        <v>0</v>
      </c>
      <c r="W288" s="112">
        <v>0</v>
      </c>
      <c r="X288" s="112">
        <v>0</v>
      </c>
      <c r="Y288" s="112">
        <v>9.6319999999999997</v>
      </c>
      <c r="Z288" s="112"/>
      <c r="AA288" s="112"/>
      <c r="AB288" s="112"/>
      <c r="AC288" s="112"/>
      <c r="AD288" s="112"/>
      <c r="AE288" s="112"/>
      <c r="AF288" s="112"/>
      <c r="AG288" s="112"/>
      <c r="AH288" s="53">
        <f t="shared" si="53"/>
        <v>17.893999999999998</v>
      </c>
    </row>
    <row r="289" spans="1:34" s="83" customFormat="1" ht="15">
      <c r="A289" s="143" t="s">
        <v>79</v>
      </c>
      <c r="B289" s="18">
        <f t="shared" si="52"/>
        <v>0</v>
      </c>
      <c r="C289" s="49"/>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53">
        <f t="shared" si="53"/>
        <v>0</v>
      </c>
    </row>
    <row r="290" spans="1:34" ht="15">
      <c r="A290" s="143" t="s">
        <v>80</v>
      </c>
      <c r="B290" s="18">
        <f t="shared" si="52"/>
        <v>0</v>
      </c>
      <c r="C290" s="1287"/>
      <c r="D290" s="1287"/>
      <c r="E290" s="1287"/>
      <c r="F290" s="1287"/>
      <c r="G290" s="1287"/>
      <c r="H290" s="1287"/>
      <c r="I290" s="1287"/>
      <c r="J290" s="1287"/>
      <c r="K290" s="1287"/>
      <c r="L290" s="1287"/>
      <c r="M290" s="1287"/>
      <c r="N290" s="1287"/>
      <c r="O290" s="1287"/>
      <c r="P290" s="1287"/>
      <c r="Q290" s="1287"/>
      <c r="R290" s="1287"/>
      <c r="S290" s="1287"/>
      <c r="T290" s="1287"/>
      <c r="U290" s="1287"/>
      <c r="V290" s="1287"/>
      <c r="W290" s="1287"/>
      <c r="X290" s="1287"/>
      <c r="Y290" s="1287"/>
      <c r="Z290" s="1287"/>
      <c r="AA290" s="1287"/>
      <c r="AB290" s="1287"/>
      <c r="AC290" s="1287"/>
      <c r="AD290" s="1287"/>
      <c r="AE290" s="1287"/>
      <c r="AF290" s="1287"/>
      <c r="AG290" s="1287"/>
      <c r="AH290" s="53">
        <f t="shared" si="53"/>
        <v>0</v>
      </c>
    </row>
    <row r="291" spans="1:34" ht="15">
      <c r="A291" s="143" t="s">
        <v>81</v>
      </c>
      <c r="B291" s="18">
        <f t="shared" si="52"/>
        <v>0</v>
      </c>
      <c r="C291" s="1287"/>
      <c r="D291" s="1488"/>
      <c r="E291" s="1488"/>
      <c r="F291" s="1488"/>
      <c r="G291" s="1287"/>
      <c r="H291" s="1287"/>
      <c r="I291" s="1287"/>
      <c r="J291" s="2466"/>
      <c r="K291" s="2466"/>
      <c r="L291" s="1488"/>
      <c r="M291" s="1488"/>
      <c r="N291" s="1488"/>
      <c r="O291" s="1488"/>
      <c r="P291" s="1488"/>
      <c r="Q291" s="1488"/>
      <c r="R291" s="1488"/>
      <c r="S291" s="1488"/>
      <c r="T291" s="1488"/>
      <c r="U291" s="1488"/>
      <c r="V291" s="1488"/>
      <c r="W291" s="688"/>
      <c r="X291" s="688"/>
      <c r="Y291" s="688"/>
      <c r="Z291" s="688"/>
      <c r="AA291" s="688"/>
      <c r="AB291" s="688"/>
      <c r="AC291" s="688"/>
      <c r="AD291" s="688"/>
      <c r="AE291" s="688"/>
      <c r="AF291" s="688" t="s">
        <v>111</v>
      </c>
      <c r="AG291" s="688" t="s">
        <v>111</v>
      </c>
      <c r="AH291" s="53">
        <f t="shared" si="53"/>
        <v>0</v>
      </c>
    </row>
    <row r="292" spans="1:34" s="83" customFormat="1" ht="15">
      <c r="A292" s="143" t="s">
        <v>82</v>
      </c>
      <c r="B292" s="18">
        <f t="shared" si="52"/>
        <v>0</v>
      </c>
      <c r="C292" s="688" t="s">
        <v>111</v>
      </c>
      <c r="D292" s="688" t="s">
        <v>111</v>
      </c>
      <c r="E292" s="688" t="s">
        <v>111</v>
      </c>
      <c r="F292" s="688" t="s">
        <v>111</v>
      </c>
      <c r="G292" s="688" t="s">
        <v>111</v>
      </c>
      <c r="H292" s="688" t="s">
        <v>111</v>
      </c>
      <c r="I292" s="688" t="s">
        <v>111</v>
      </c>
      <c r="J292" s="688" t="s">
        <v>111</v>
      </c>
      <c r="K292" s="688" t="s">
        <v>111</v>
      </c>
      <c r="L292" s="688" t="s">
        <v>111</v>
      </c>
      <c r="M292" s="688" t="s">
        <v>111</v>
      </c>
      <c r="N292" s="688" t="s">
        <v>111</v>
      </c>
      <c r="O292" s="688" t="s">
        <v>111</v>
      </c>
      <c r="P292" s="688" t="s">
        <v>111</v>
      </c>
      <c r="Q292" s="688" t="s">
        <v>111</v>
      </c>
      <c r="R292" s="688" t="s">
        <v>111</v>
      </c>
      <c r="S292" s="688" t="s">
        <v>111</v>
      </c>
      <c r="T292" s="688" t="s">
        <v>111</v>
      </c>
      <c r="U292" s="688" t="s">
        <v>111</v>
      </c>
      <c r="V292" s="688" t="s">
        <v>111</v>
      </c>
      <c r="W292" s="688" t="s">
        <v>111</v>
      </c>
      <c r="X292" s="688" t="s">
        <v>111</v>
      </c>
      <c r="Y292" s="688" t="s">
        <v>111</v>
      </c>
      <c r="Z292" s="688" t="s">
        <v>111</v>
      </c>
      <c r="AA292" s="688" t="s">
        <v>111</v>
      </c>
      <c r="AB292" s="688" t="s">
        <v>111</v>
      </c>
      <c r="AC292" s="688" t="s">
        <v>111</v>
      </c>
      <c r="AD292" s="688" t="s">
        <v>111</v>
      </c>
      <c r="AE292" s="688" t="s">
        <v>111</v>
      </c>
      <c r="AF292" s="688" t="s">
        <v>111</v>
      </c>
      <c r="AG292" s="688" t="s">
        <v>111</v>
      </c>
      <c r="AH292" s="53">
        <f t="shared" si="53"/>
        <v>0</v>
      </c>
    </row>
    <row r="293" spans="1:34" ht="15">
      <c r="A293" s="149" t="s">
        <v>83</v>
      </c>
      <c r="B293" s="18">
        <f t="shared" si="52"/>
        <v>0</v>
      </c>
      <c r="C293" s="688" t="s">
        <v>111</v>
      </c>
      <c r="D293" s="688" t="s">
        <v>111</v>
      </c>
      <c r="E293" s="688" t="s">
        <v>111</v>
      </c>
      <c r="F293" s="688" t="s">
        <v>111</v>
      </c>
      <c r="G293" s="688" t="s">
        <v>111</v>
      </c>
      <c r="H293" s="688" t="s">
        <v>111</v>
      </c>
      <c r="I293" s="688" t="s">
        <v>111</v>
      </c>
      <c r="J293" s="688" t="s">
        <v>111</v>
      </c>
      <c r="K293" s="688" t="s">
        <v>111</v>
      </c>
      <c r="L293" s="688" t="s">
        <v>111</v>
      </c>
      <c r="M293" s="688" t="s">
        <v>111</v>
      </c>
      <c r="N293" s="688" t="s">
        <v>111</v>
      </c>
      <c r="O293" s="688" t="s">
        <v>111</v>
      </c>
      <c r="P293" s="688" t="s">
        <v>111</v>
      </c>
      <c r="Q293" s="688" t="s">
        <v>111</v>
      </c>
      <c r="R293" s="688" t="s">
        <v>111</v>
      </c>
      <c r="S293" s="688" t="s">
        <v>111</v>
      </c>
      <c r="T293" s="688" t="s">
        <v>111</v>
      </c>
      <c r="U293" s="688" t="s">
        <v>111</v>
      </c>
      <c r="V293" s="688" t="s">
        <v>111</v>
      </c>
      <c r="W293" s="688" t="s">
        <v>111</v>
      </c>
      <c r="X293" s="688" t="s">
        <v>111</v>
      </c>
      <c r="Y293" s="688" t="s">
        <v>111</v>
      </c>
      <c r="Z293" s="688" t="s">
        <v>111</v>
      </c>
      <c r="AA293" s="688" t="s">
        <v>111</v>
      </c>
      <c r="AB293" s="688" t="s">
        <v>111</v>
      </c>
      <c r="AC293" s="688" t="s">
        <v>111</v>
      </c>
      <c r="AD293" s="688" t="s">
        <v>111</v>
      </c>
      <c r="AE293" s="688" t="s">
        <v>111</v>
      </c>
      <c r="AF293" s="688" t="s">
        <v>111</v>
      </c>
      <c r="AG293" s="688" t="s">
        <v>111</v>
      </c>
      <c r="AH293" s="53">
        <f t="shared" si="53"/>
        <v>0</v>
      </c>
    </row>
    <row r="294" spans="1:34" ht="15">
      <c r="A294" s="149" t="s">
        <v>84</v>
      </c>
      <c r="B294" s="18">
        <f t="shared" si="52"/>
        <v>0</v>
      </c>
      <c r="C294" s="688" t="s">
        <v>111</v>
      </c>
      <c r="D294" s="688" t="s">
        <v>111</v>
      </c>
      <c r="E294" s="688" t="s">
        <v>111</v>
      </c>
      <c r="F294" s="688" t="s">
        <v>111</v>
      </c>
      <c r="G294" s="688" t="s">
        <v>111</v>
      </c>
      <c r="H294" s="688" t="s">
        <v>111</v>
      </c>
      <c r="I294" s="688" t="s">
        <v>111</v>
      </c>
      <c r="J294" s="688" t="s">
        <v>111</v>
      </c>
      <c r="K294" s="688" t="s">
        <v>111</v>
      </c>
      <c r="L294" s="688" t="s">
        <v>111</v>
      </c>
      <c r="M294" s="688" t="s">
        <v>111</v>
      </c>
      <c r="N294" s="688" t="s">
        <v>111</v>
      </c>
      <c r="O294" s="688" t="s">
        <v>111</v>
      </c>
      <c r="P294" s="688" t="s">
        <v>111</v>
      </c>
      <c r="Q294" s="688" t="s">
        <v>111</v>
      </c>
      <c r="R294" s="688" t="s">
        <v>111</v>
      </c>
      <c r="S294" s="688" t="s">
        <v>111</v>
      </c>
      <c r="T294" s="688" t="s">
        <v>111</v>
      </c>
      <c r="U294" s="688" t="s">
        <v>111</v>
      </c>
      <c r="V294" s="688" t="s">
        <v>111</v>
      </c>
      <c r="W294" s="688" t="s">
        <v>111</v>
      </c>
      <c r="X294" s="1287"/>
      <c r="Y294" s="1287"/>
      <c r="Z294" s="1287"/>
      <c r="AA294" s="1287"/>
      <c r="AB294" s="1287"/>
      <c r="AC294" s="1287"/>
      <c r="AD294" s="1287"/>
      <c r="AE294" s="1488"/>
      <c r="AF294" s="1287"/>
      <c r="AG294" s="1488"/>
      <c r="AH294" s="53">
        <f t="shared" si="53"/>
        <v>0</v>
      </c>
    </row>
    <row r="295" spans="1:34" ht="15">
      <c r="A295" s="149" t="s">
        <v>85</v>
      </c>
      <c r="B295" s="18">
        <f t="shared" si="52"/>
        <v>0</v>
      </c>
      <c r="C295" s="49"/>
      <c r="D295" s="18"/>
      <c r="E295" s="18"/>
      <c r="F295" s="18"/>
      <c r="G295" s="11"/>
      <c r="H295" s="18"/>
      <c r="I295" s="18"/>
      <c r="J295" s="18"/>
      <c r="K295" s="18"/>
      <c r="L295" s="18"/>
      <c r="M295" s="18"/>
      <c r="N295" s="18"/>
      <c r="O295" s="18"/>
      <c r="P295" s="18"/>
      <c r="Q295" s="18"/>
      <c r="R295" s="18"/>
      <c r="S295" s="18"/>
      <c r="T295" s="18"/>
      <c r="U295" s="18"/>
      <c r="V295" s="18"/>
      <c r="W295" s="18"/>
      <c r="X295" s="18"/>
      <c r="Y295" s="11"/>
      <c r="Z295" s="18"/>
      <c r="AA295" s="18"/>
      <c r="AB295" s="18"/>
      <c r="AC295" s="18"/>
      <c r="AD295" s="18"/>
      <c r="AE295" s="53"/>
      <c r="AF295" s="18"/>
      <c r="AG295" s="53"/>
      <c r="AH295" s="53">
        <f t="shared" si="53"/>
        <v>0</v>
      </c>
    </row>
    <row r="296" spans="1:34" ht="15">
      <c r="A296" s="149" t="s">
        <v>86</v>
      </c>
      <c r="B296" s="18">
        <f t="shared" si="52"/>
        <v>0</v>
      </c>
      <c r="C296" s="49"/>
      <c r="D296" s="18"/>
      <c r="E296" s="18"/>
      <c r="F296" s="18"/>
      <c r="G296" s="18"/>
      <c r="H296" s="18"/>
      <c r="I296" s="18"/>
      <c r="J296" s="18"/>
      <c r="K296" s="18"/>
      <c r="L296" s="18"/>
      <c r="M296" s="18"/>
      <c r="N296" s="18"/>
      <c r="O296" s="18"/>
      <c r="P296" s="1287"/>
      <c r="Q296" s="1287"/>
      <c r="R296" s="1287"/>
      <c r="S296" s="1287"/>
      <c r="T296" s="1287"/>
      <c r="U296" s="1287"/>
      <c r="V296" s="1287"/>
      <c r="W296" s="1287"/>
      <c r="X296" s="1287"/>
      <c r="Y296" s="1287"/>
      <c r="Z296" s="1287"/>
      <c r="AA296" s="1287"/>
      <c r="AB296" s="1287"/>
      <c r="AC296" s="1287"/>
      <c r="AD296" s="1287"/>
      <c r="AE296" s="1287"/>
      <c r="AF296" s="1287"/>
      <c r="AG296" s="1287"/>
      <c r="AH296" s="53">
        <f t="shared" si="53"/>
        <v>0</v>
      </c>
    </row>
    <row r="297" spans="1:34" ht="15">
      <c r="A297" s="88" t="s">
        <v>74</v>
      </c>
      <c r="B297" s="89">
        <f>SUM(B285:B296)</f>
        <v>22.497999999999998</v>
      </c>
      <c r="C297" s="46">
        <f>SUM(C285:C295)</f>
        <v>0</v>
      </c>
      <c r="D297" s="53">
        <f>SUM(D285:D295)</f>
        <v>0</v>
      </c>
      <c r="E297" s="53">
        <v>0</v>
      </c>
      <c r="F297" s="53">
        <f t="shared" ref="F297:AC297" si="54">SUM(F285:F295)</f>
        <v>0</v>
      </c>
      <c r="G297" s="53">
        <f t="shared" si="54"/>
        <v>0</v>
      </c>
      <c r="H297" s="53">
        <f t="shared" si="54"/>
        <v>0</v>
      </c>
      <c r="I297" s="53">
        <f t="shared" si="54"/>
        <v>0</v>
      </c>
      <c r="J297" s="53">
        <f t="shared" si="54"/>
        <v>0</v>
      </c>
      <c r="K297" s="53">
        <f t="shared" si="54"/>
        <v>7.3730000000000002</v>
      </c>
      <c r="L297" s="53">
        <f t="shared" si="54"/>
        <v>0</v>
      </c>
      <c r="M297" s="53">
        <f t="shared" si="54"/>
        <v>0</v>
      </c>
      <c r="N297" s="53">
        <f t="shared" si="54"/>
        <v>0.88900000000000001</v>
      </c>
      <c r="O297" s="53">
        <f t="shared" si="54"/>
        <v>0.87</v>
      </c>
      <c r="P297" s="53">
        <f t="shared" si="54"/>
        <v>3.734</v>
      </c>
      <c r="Q297" s="53">
        <f t="shared" si="54"/>
        <v>0</v>
      </c>
      <c r="R297" s="53">
        <f t="shared" si="54"/>
        <v>0</v>
      </c>
      <c r="S297" s="53">
        <f t="shared" si="54"/>
        <v>0</v>
      </c>
      <c r="T297" s="53">
        <f t="shared" si="54"/>
        <v>0</v>
      </c>
      <c r="U297" s="53">
        <f t="shared" si="54"/>
        <v>0</v>
      </c>
      <c r="V297" s="53">
        <f t="shared" si="54"/>
        <v>0</v>
      </c>
      <c r="W297" s="53">
        <f t="shared" si="54"/>
        <v>0</v>
      </c>
      <c r="X297" s="53">
        <f t="shared" si="54"/>
        <v>0</v>
      </c>
      <c r="Y297" s="53">
        <f t="shared" si="54"/>
        <v>9.6319999999999997</v>
      </c>
      <c r="Z297" s="53">
        <f t="shared" si="54"/>
        <v>0</v>
      </c>
      <c r="AA297" s="53">
        <f t="shared" si="54"/>
        <v>0</v>
      </c>
      <c r="AB297" s="53">
        <f t="shared" si="54"/>
        <v>0</v>
      </c>
      <c r="AC297" s="53">
        <f t="shared" si="54"/>
        <v>0</v>
      </c>
      <c r="AD297" s="53">
        <v>0</v>
      </c>
      <c r="AE297" s="53">
        <f>SUM(AE285:AE295)</f>
        <v>0</v>
      </c>
      <c r="AF297" s="53">
        <f>SUM(AF285:AF295)</f>
        <v>0</v>
      </c>
      <c r="AG297" s="53">
        <f>SUM(AG285:AG295)</f>
        <v>0</v>
      </c>
      <c r="AH297" s="46">
        <f>SUM(AH285:AH295)</f>
        <v>22.497999999999998</v>
      </c>
    </row>
    <row r="298" spans="1:34" ht="5.0999999999999996" customHeight="1">
      <c r="A298" s="14"/>
      <c r="B298" s="14"/>
      <c r="C298" s="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
    </row>
    <row r="299" spans="1:34" ht="15">
      <c r="A299" s="3569" t="s">
        <v>108</v>
      </c>
      <c r="B299" s="3570"/>
      <c r="C299" s="3570"/>
      <c r="D299" s="3570"/>
      <c r="E299" s="3570"/>
      <c r="F299" s="3570"/>
      <c r="G299" s="3570"/>
      <c r="H299" s="3571"/>
      <c r="I299" s="1433"/>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row>
    <row r="300" spans="1:34" ht="15">
      <c r="A300" s="5" t="s">
        <v>72</v>
      </c>
      <c r="B300" s="5" t="s">
        <v>73</v>
      </c>
      <c r="C300" s="1249">
        <v>1</v>
      </c>
      <c r="D300" s="30">
        <v>2</v>
      </c>
      <c r="E300" s="30">
        <v>3</v>
      </c>
      <c r="F300" s="30">
        <v>4</v>
      </c>
      <c r="G300" s="30">
        <v>5</v>
      </c>
      <c r="H300" s="30">
        <v>6</v>
      </c>
      <c r="I300" s="30">
        <v>7</v>
      </c>
      <c r="J300" s="30">
        <v>8</v>
      </c>
      <c r="K300" s="30">
        <v>9</v>
      </c>
      <c r="L300" s="30">
        <v>10</v>
      </c>
      <c r="M300" s="30">
        <v>11</v>
      </c>
      <c r="N300" s="30">
        <v>12</v>
      </c>
      <c r="O300" s="30">
        <v>13</v>
      </c>
      <c r="P300" s="30">
        <v>14</v>
      </c>
      <c r="Q300" s="30">
        <v>15</v>
      </c>
      <c r="R300" s="30">
        <v>16</v>
      </c>
      <c r="S300" s="30">
        <v>17</v>
      </c>
      <c r="T300" s="30">
        <v>18</v>
      </c>
      <c r="U300" s="30">
        <v>19</v>
      </c>
      <c r="V300" s="30">
        <v>20</v>
      </c>
      <c r="W300" s="30">
        <v>21</v>
      </c>
      <c r="X300" s="30">
        <v>22</v>
      </c>
      <c r="Y300" s="30">
        <v>23</v>
      </c>
      <c r="Z300" s="30">
        <v>24</v>
      </c>
      <c r="AA300" s="30">
        <v>25</v>
      </c>
      <c r="AB300" s="30">
        <v>26</v>
      </c>
      <c r="AC300" s="30">
        <v>27</v>
      </c>
      <c r="AD300" s="30">
        <v>28</v>
      </c>
      <c r="AE300" s="30">
        <v>29</v>
      </c>
      <c r="AF300" s="30">
        <v>30</v>
      </c>
      <c r="AG300" s="30">
        <v>31</v>
      </c>
      <c r="AH300" s="39" t="s">
        <v>74</v>
      </c>
    </row>
    <row r="301" spans="1:34" ht="15">
      <c r="A301" s="148" t="s">
        <v>75</v>
      </c>
      <c r="B301" s="18">
        <f t="shared" ref="B301:B312" si="55">+AH301</f>
        <v>0</v>
      </c>
      <c r="C301" s="126" t="s">
        <v>111</v>
      </c>
      <c r="D301" s="126" t="s">
        <v>111</v>
      </c>
      <c r="E301" s="126" t="s">
        <v>111</v>
      </c>
      <c r="F301" s="126" t="s">
        <v>111</v>
      </c>
      <c r="G301" s="126" t="s">
        <v>111</v>
      </c>
      <c r="H301" s="126" t="s">
        <v>111</v>
      </c>
      <c r="I301" s="126" t="s">
        <v>111</v>
      </c>
      <c r="J301" s="126" t="s">
        <v>111</v>
      </c>
      <c r="K301" s="126" t="s">
        <v>111</v>
      </c>
      <c r="L301" s="126" t="s">
        <v>111</v>
      </c>
      <c r="M301" s="126" t="s">
        <v>111</v>
      </c>
      <c r="N301" s="126" t="s">
        <v>111</v>
      </c>
      <c r="O301" s="126" t="s">
        <v>111</v>
      </c>
      <c r="P301" s="126" t="s">
        <v>111</v>
      </c>
      <c r="Q301" s="126" t="s">
        <v>111</v>
      </c>
      <c r="R301" s="126" t="s">
        <v>111</v>
      </c>
      <c r="S301" s="126" t="s">
        <v>111</v>
      </c>
      <c r="T301" s="126" t="s">
        <v>111</v>
      </c>
      <c r="U301" s="126" t="s">
        <v>111</v>
      </c>
      <c r="V301" s="126" t="s">
        <v>111</v>
      </c>
      <c r="W301" s="126" t="s">
        <v>111</v>
      </c>
      <c r="X301" s="126" t="s">
        <v>111</v>
      </c>
      <c r="Y301" s="126" t="s">
        <v>111</v>
      </c>
      <c r="Z301" s="126" t="s">
        <v>111</v>
      </c>
      <c r="AA301" s="126" t="s">
        <v>111</v>
      </c>
      <c r="AB301" s="126" t="s">
        <v>111</v>
      </c>
      <c r="AC301" s="126" t="s">
        <v>111</v>
      </c>
      <c r="AD301" s="126" t="s">
        <v>111</v>
      </c>
      <c r="AE301" s="126" t="s">
        <v>111</v>
      </c>
      <c r="AF301" s="126" t="s">
        <v>111</v>
      </c>
      <c r="AG301" s="126" t="s">
        <v>111</v>
      </c>
      <c r="AH301" s="53">
        <f>SUM(C301:AG301)</f>
        <v>0</v>
      </c>
    </row>
    <row r="302" spans="1:34" s="83" customFormat="1" ht="15">
      <c r="A302" s="148" t="s">
        <v>76</v>
      </c>
      <c r="B302" s="18">
        <f t="shared" si="55"/>
        <v>0</v>
      </c>
      <c r="C302" s="126" t="s">
        <v>111</v>
      </c>
      <c r="D302" s="126" t="s">
        <v>111</v>
      </c>
      <c r="E302" s="126" t="s">
        <v>111</v>
      </c>
      <c r="F302" s="126" t="s">
        <v>111</v>
      </c>
      <c r="G302" s="126" t="s">
        <v>111</v>
      </c>
      <c r="H302" s="126" t="s">
        <v>111</v>
      </c>
      <c r="I302" s="126" t="s">
        <v>111</v>
      </c>
      <c r="J302" s="127"/>
      <c r="K302" s="127"/>
      <c r="L302" s="127"/>
      <c r="M302" s="127"/>
      <c r="N302" s="127"/>
      <c r="O302" s="127"/>
      <c r="P302" s="127"/>
      <c r="Q302" s="127"/>
      <c r="R302" s="127"/>
      <c r="S302" s="127"/>
      <c r="T302" s="127"/>
      <c r="U302" s="127"/>
      <c r="V302" s="127"/>
      <c r="W302" s="127"/>
      <c r="X302" s="127"/>
      <c r="Y302" s="127"/>
      <c r="Z302" s="127"/>
      <c r="AA302" s="127"/>
      <c r="AB302" s="127"/>
      <c r="AC302" s="127"/>
      <c r="AD302" s="127"/>
      <c r="AE302" s="127"/>
      <c r="AF302" s="127"/>
      <c r="AG302" s="127"/>
      <c r="AH302" s="53">
        <f t="shared" ref="AH302:AH312" si="56">SUM(C302:AG302)</f>
        <v>0</v>
      </c>
    </row>
    <row r="303" spans="1:34" ht="15">
      <c r="A303" s="148" t="s">
        <v>77</v>
      </c>
      <c r="B303" s="18">
        <f t="shared" si="55"/>
        <v>0</v>
      </c>
      <c r="C303" s="127"/>
      <c r="D303" s="127"/>
      <c r="E303" s="127"/>
      <c r="F303" s="127"/>
      <c r="G303" s="127"/>
      <c r="H303" s="112"/>
      <c r="I303" s="112"/>
      <c r="J303" s="112"/>
      <c r="K303" s="112"/>
      <c r="L303" s="112"/>
      <c r="M303" s="112"/>
      <c r="N303" s="112"/>
      <c r="O303" s="112"/>
      <c r="P303" s="112"/>
      <c r="Q303" s="112"/>
      <c r="R303" s="112"/>
      <c r="S303" s="112"/>
      <c r="T303" s="112"/>
      <c r="U303" s="112"/>
      <c r="V303" s="112"/>
      <c r="W303" s="112"/>
      <c r="X303" s="112"/>
      <c r="Y303" s="112"/>
      <c r="Z303" s="112"/>
      <c r="AA303" s="112"/>
      <c r="AB303" s="112"/>
      <c r="AC303" s="1930"/>
      <c r="AD303" s="1930"/>
      <c r="AE303" s="1930"/>
      <c r="AF303" s="1930"/>
      <c r="AG303" s="1930"/>
      <c r="AH303" s="53">
        <f t="shared" si="56"/>
        <v>0</v>
      </c>
    </row>
    <row r="304" spans="1:34" ht="15">
      <c r="A304" s="148" t="s">
        <v>78</v>
      </c>
      <c r="B304" s="18">
        <f t="shared" si="55"/>
        <v>0</v>
      </c>
      <c r="C304" s="1930"/>
      <c r="D304" s="1930"/>
      <c r="E304" s="1930"/>
      <c r="F304" s="1930"/>
      <c r="G304" s="1930"/>
      <c r="H304" s="1930"/>
      <c r="I304" s="1930"/>
      <c r="J304" s="1930"/>
      <c r="K304" s="1930"/>
      <c r="L304" s="1287"/>
      <c r="M304" s="1287"/>
      <c r="N304" s="1287"/>
      <c r="O304" s="1287"/>
      <c r="P304" s="1287"/>
      <c r="Q304" s="1287"/>
      <c r="R304" s="1287"/>
      <c r="S304" s="1287"/>
      <c r="T304" s="1287"/>
      <c r="U304" s="1287"/>
      <c r="V304" s="1287"/>
      <c r="W304" s="1287"/>
      <c r="X304" s="1287"/>
      <c r="Y304" s="1287"/>
      <c r="Z304" s="1287"/>
      <c r="AA304" s="1287"/>
      <c r="AB304" s="1287"/>
      <c r="AC304" s="1287"/>
      <c r="AD304" s="1287"/>
      <c r="AE304" s="1287"/>
      <c r="AF304" s="1287"/>
      <c r="AG304" s="1287"/>
      <c r="AH304" s="53">
        <f t="shared" si="56"/>
        <v>0</v>
      </c>
    </row>
    <row r="305" spans="1:34" s="83" customFormat="1" ht="15">
      <c r="A305" s="143" t="s">
        <v>79</v>
      </c>
      <c r="B305" s="18">
        <f t="shared" si="55"/>
        <v>0</v>
      </c>
      <c r="C305" s="1287"/>
      <c r="D305" s="1287"/>
      <c r="E305" s="1287"/>
      <c r="F305" s="1287"/>
      <c r="G305" s="1287"/>
      <c r="H305" s="1287"/>
      <c r="I305" s="1287"/>
      <c r="J305" s="1287"/>
      <c r="K305" s="1287"/>
      <c r="L305" s="1287"/>
      <c r="M305" s="1287"/>
      <c r="N305" s="1287"/>
      <c r="O305" s="1287"/>
      <c r="P305" s="1287"/>
      <c r="Q305" s="1287"/>
      <c r="R305" s="1287"/>
      <c r="S305" s="1287"/>
      <c r="T305" s="1287"/>
      <c r="U305" s="1287"/>
      <c r="V305" s="1287"/>
      <c r="W305" s="1287"/>
      <c r="X305" s="1287"/>
      <c r="Y305" s="1287"/>
      <c r="Z305" s="1287"/>
      <c r="AA305" s="1287"/>
      <c r="AB305" s="1287"/>
      <c r="AC305" s="1287"/>
      <c r="AD305" s="1287"/>
      <c r="AE305" s="1287"/>
      <c r="AF305" s="1287"/>
      <c r="AG305" s="1287"/>
      <c r="AH305" s="53">
        <f t="shared" si="56"/>
        <v>0</v>
      </c>
    </row>
    <row r="306" spans="1:34" ht="15">
      <c r="A306" s="143" t="s">
        <v>80</v>
      </c>
      <c r="B306" s="18">
        <f t="shared" si="55"/>
        <v>0</v>
      </c>
      <c r="C306" s="1287"/>
      <c r="D306" s="1287"/>
      <c r="E306" s="1287"/>
      <c r="F306" s="1287"/>
      <c r="G306" s="1287"/>
      <c r="H306" s="1287"/>
      <c r="I306" s="1287"/>
      <c r="J306" s="1287"/>
      <c r="K306" s="1287"/>
      <c r="L306" s="1287"/>
      <c r="M306" s="1287"/>
      <c r="N306" s="1287"/>
      <c r="O306" s="1287"/>
      <c r="P306" s="1287"/>
      <c r="Q306" s="1287"/>
      <c r="R306" s="1287"/>
      <c r="S306" s="1287"/>
      <c r="T306" s="1287"/>
      <c r="U306" s="1287"/>
      <c r="V306" s="1287"/>
      <c r="W306" s="1287"/>
      <c r="X306" s="1287"/>
      <c r="Y306" s="1287"/>
      <c r="Z306" s="1287"/>
      <c r="AA306" s="1287"/>
      <c r="AB306" s="1287"/>
      <c r="AC306" s="1287"/>
      <c r="AD306" s="1287"/>
      <c r="AE306" s="1287"/>
      <c r="AF306" s="1287"/>
      <c r="AG306" s="1287"/>
      <c r="AH306" s="53">
        <f t="shared" si="56"/>
        <v>0</v>
      </c>
    </row>
    <row r="307" spans="1:34" ht="15">
      <c r="A307" s="143" t="s">
        <v>81</v>
      </c>
      <c r="B307" s="18">
        <f t="shared" si="55"/>
        <v>0</v>
      </c>
      <c r="C307" s="1287"/>
      <c r="D307" s="1488"/>
      <c r="E307" s="1488"/>
      <c r="F307" s="1488"/>
      <c r="G307" s="1287"/>
      <c r="H307" s="1287"/>
      <c r="I307" s="1287"/>
      <c r="J307" s="2466"/>
      <c r="K307" s="2466"/>
      <c r="L307" s="1488"/>
      <c r="M307" s="1488"/>
      <c r="N307" s="1488"/>
      <c r="O307" s="1488"/>
      <c r="P307" s="1488"/>
      <c r="Q307" s="1488"/>
      <c r="R307" s="1488"/>
      <c r="S307" s="1488"/>
      <c r="T307" s="1488"/>
      <c r="U307" s="1488"/>
      <c r="V307" s="1488"/>
      <c r="W307" s="688"/>
      <c r="X307" s="688"/>
      <c r="Y307" s="688"/>
      <c r="Z307" s="688"/>
      <c r="AA307" s="688"/>
      <c r="AB307" s="688"/>
      <c r="AC307" s="688"/>
      <c r="AD307" s="688"/>
      <c r="AE307" s="688"/>
      <c r="AF307" s="688" t="s">
        <v>111</v>
      </c>
      <c r="AG307" s="688" t="s">
        <v>111</v>
      </c>
      <c r="AH307" s="53">
        <f t="shared" si="56"/>
        <v>0</v>
      </c>
    </row>
    <row r="308" spans="1:34" s="83" customFormat="1" ht="15">
      <c r="A308" s="143" t="s">
        <v>82</v>
      </c>
      <c r="B308" s="18">
        <f t="shared" si="55"/>
        <v>0</v>
      </c>
      <c r="C308" s="688" t="s">
        <v>111</v>
      </c>
      <c r="D308" s="688" t="s">
        <v>111</v>
      </c>
      <c r="E308" s="688" t="s">
        <v>111</v>
      </c>
      <c r="F308" s="688" t="s">
        <v>111</v>
      </c>
      <c r="G308" s="688" t="s">
        <v>111</v>
      </c>
      <c r="H308" s="688" t="s">
        <v>111</v>
      </c>
      <c r="I308" s="688" t="s">
        <v>111</v>
      </c>
      <c r="J308" s="688" t="s">
        <v>111</v>
      </c>
      <c r="K308" s="688" t="s">
        <v>111</v>
      </c>
      <c r="L308" s="688" t="s">
        <v>111</v>
      </c>
      <c r="M308" s="688" t="s">
        <v>111</v>
      </c>
      <c r="N308" s="688" t="s">
        <v>111</v>
      </c>
      <c r="O308" s="688" t="s">
        <v>111</v>
      </c>
      <c r="P308" s="688" t="s">
        <v>111</v>
      </c>
      <c r="Q308" s="688" t="s">
        <v>111</v>
      </c>
      <c r="R308" s="688" t="s">
        <v>111</v>
      </c>
      <c r="S308" s="688" t="s">
        <v>111</v>
      </c>
      <c r="T308" s="688" t="s">
        <v>111</v>
      </c>
      <c r="U308" s="688" t="s">
        <v>111</v>
      </c>
      <c r="V308" s="688" t="s">
        <v>111</v>
      </c>
      <c r="W308" s="688" t="s">
        <v>111</v>
      </c>
      <c r="X308" s="688" t="s">
        <v>111</v>
      </c>
      <c r="Y308" s="688" t="s">
        <v>111</v>
      </c>
      <c r="Z308" s="688" t="s">
        <v>111</v>
      </c>
      <c r="AA308" s="688" t="s">
        <v>111</v>
      </c>
      <c r="AB308" s="688" t="s">
        <v>111</v>
      </c>
      <c r="AC308" s="688" t="s">
        <v>111</v>
      </c>
      <c r="AD308" s="688" t="s">
        <v>111</v>
      </c>
      <c r="AE308" s="688" t="s">
        <v>111</v>
      </c>
      <c r="AF308" s="688" t="s">
        <v>111</v>
      </c>
      <c r="AG308" s="688" t="s">
        <v>111</v>
      </c>
      <c r="AH308" s="53">
        <f t="shared" si="56"/>
        <v>0</v>
      </c>
    </row>
    <row r="309" spans="1:34" ht="15">
      <c r="A309" s="149" t="s">
        <v>83</v>
      </c>
      <c r="B309" s="18">
        <f t="shared" si="55"/>
        <v>0</v>
      </c>
      <c r="C309" s="688" t="s">
        <v>111</v>
      </c>
      <c r="D309" s="688" t="s">
        <v>111</v>
      </c>
      <c r="E309" s="688" t="s">
        <v>111</v>
      </c>
      <c r="F309" s="688" t="s">
        <v>111</v>
      </c>
      <c r="G309" s="688" t="s">
        <v>111</v>
      </c>
      <c r="H309" s="688" t="s">
        <v>111</v>
      </c>
      <c r="I309" s="688" t="s">
        <v>111</v>
      </c>
      <c r="J309" s="688" t="s">
        <v>111</v>
      </c>
      <c r="K309" s="688" t="s">
        <v>111</v>
      </c>
      <c r="L309" s="688" t="s">
        <v>111</v>
      </c>
      <c r="M309" s="688" t="s">
        <v>111</v>
      </c>
      <c r="N309" s="688" t="s">
        <v>111</v>
      </c>
      <c r="O309" s="688" t="s">
        <v>111</v>
      </c>
      <c r="P309" s="688" t="s">
        <v>111</v>
      </c>
      <c r="Q309" s="688" t="s">
        <v>111</v>
      </c>
      <c r="R309" s="688" t="s">
        <v>111</v>
      </c>
      <c r="S309" s="688" t="s">
        <v>111</v>
      </c>
      <c r="T309" s="688" t="s">
        <v>111</v>
      </c>
      <c r="U309" s="688" t="s">
        <v>111</v>
      </c>
      <c r="V309" s="688" t="s">
        <v>111</v>
      </c>
      <c r="W309" s="688" t="s">
        <v>111</v>
      </c>
      <c r="X309" s="688" t="s">
        <v>111</v>
      </c>
      <c r="Y309" s="688" t="s">
        <v>111</v>
      </c>
      <c r="Z309" s="688" t="s">
        <v>111</v>
      </c>
      <c r="AA309" s="688" t="s">
        <v>111</v>
      </c>
      <c r="AB309" s="688" t="s">
        <v>111</v>
      </c>
      <c r="AC309" s="688" t="s">
        <v>111</v>
      </c>
      <c r="AD309" s="688" t="s">
        <v>111</v>
      </c>
      <c r="AE309" s="688" t="s">
        <v>111</v>
      </c>
      <c r="AF309" s="688" t="s">
        <v>111</v>
      </c>
      <c r="AG309" s="688" t="s">
        <v>111</v>
      </c>
      <c r="AH309" s="53">
        <f t="shared" si="56"/>
        <v>0</v>
      </c>
    </row>
    <row r="310" spans="1:34" ht="15">
      <c r="A310" s="149" t="s">
        <v>84</v>
      </c>
      <c r="B310" s="18">
        <f t="shared" si="55"/>
        <v>0</v>
      </c>
      <c r="C310" s="688" t="s">
        <v>111</v>
      </c>
      <c r="D310" s="688" t="s">
        <v>111</v>
      </c>
      <c r="E310" s="688" t="s">
        <v>111</v>
      </c>
      <c r="F310" s="688" t="s">
        <v>111</v>
      </c>
      <c r="G310" s="688" t="s">
        <v>111</v>
      </c>
      <c r="H310" s="688" t="s">
        <v>111</v>
      </c>
      <c r="I310" s="688" t="s">
        <v>111</v>
      </c>
      <c r="J310" s="688" t="s">
        <v>111</v>
      </c>
      <c r="K310" s="688" t="s">
        <v>111</v>
      </c>
      <c r="L310" s="688" t="s">
        <v>111</v>
      </c>
      <c r="M310" s="688" t="s">
        <v>111</v>
      </c>
      <c r="N310" s="688" t="s">
        <v>111</v>
      </c>
      <c r="O310" s="688" t="s">
        <v>111</v>
      </c>
      <c r="P310" s="688" t="s">
        <v>111</v>
      </c>
      <c r="Q310" s="688" t="s">
        <v>111</v>
      </c>
      <c r="R310" s="688" t="s">
        <v>111</v>
      </c>
      <c r="S310" s="688" t="s">
        <v>111</v>
      </c>
      <c r="T310" s="688" t="s">
        <v>111</v>
      </c>
      <c r="U310" s="688" t="s">
        <v>111</v>
      </c>
      <c r="V310" s="688" t="s">
        <v>111</v>
      </c>
      <c r="W310" s="688" t="s">
        <v>111</v>
      </c>
      <c r="X310" s="1287"/>
      <c r="Y310" s="1287"/>
      <c r="Z310" s="1287"/>
      <c r="AA310" s="1287"/>
      <c r="AB310" s="1287"/>
      <c r="AC310" s="1287"/>
      <c r="AD310" s="1287"/>
      <c r="AE310" s="1488"/>
      <c r="AF310" s="1287"/>
      <c r="AG310" s="1488"/>
      <c r="AH310" s="53">
        <f t="shared" si="56"/>
        <v>0</v>
      </c>
    </row>
    <row r="311" spans="1:34" ht="15">
      <c r="A311" s="149" t="s">
        <v>85</v>
      </c>
      <c r="B311" s="18">
        <f t="shared" si="55"/>
        <v>0</v>
      </c>
      <c r="C311" s="1287"/>
      <c r="D311" s="1287"/>
      <c r="E311" s="1287"/>
      <c r="F311" s="1287"/>
      <c r="G311" s="1433"/>
      <c r="H311" s="1287"/>
      <c r="I311" s="1287"/>
      <c r="J311" s="1287"/>
      <c r="K311" s="1287"/>
      <c r="L311" s="1287"/>
      <c r="M311" s="1287"/>
      <c r="N311" s="1287"/>
      <c r="O311" s="1287"/>
      <c r="P311" s="1287"/>
      <c r="Q311" s="1287"/>
      <c r="R311" s="1287"/>
      <c r="S311" s="1287"/>
      <c r="T311" s="1287"/>
      <c r="U311" s="1287"/>
      <c r="V311" s="1287"/>
      <c r="W311" s="1287"/>
      <c r="X311" s="1287"/>
      <c r="Y311" s="1433"/>
      <c r="Z311" s="1287"/>
      <c r="AA311" s="1287"/>
      <c r="AB311" s="1287"/>
      <c r="AC311" s="1287"/>
      <c r="AD311" s="1287"/>
      <c r="AE311" s="1488"/>
      <c r="AF311" s="1287"/>
      <c r="AG311" s="1488"/>
      <c r="AH311" s="53">
        <f t="shared" si="56"/>
        <v>0</v>
      </c>
    </row>
    <row r="312" spans="1:34" ht="15">
      <c r="A312" s="149" t="s">
        <v>86</v>
      </c>
      <c r="B312" s="18">
        <f t="shared" si="55"/>
        <v>0</v>
      </c>
      <c r="C312" s="49"/>
      <c r="D312" s="18"/>
      <c r="E312" s="18"/>
      <c r="F312" s="18"/>
      <c r="G312" s="18"/>
      <c r="H312" s="18"/>
      <c r="I312" s="18"/>
      <c r="J312" s="18"/>
      <c r="K312" s="18"/>
      <c r="L312" s="18"/>
      <c r="M312" s="18"/>
      <c r="N312" s="18"/>
      <c r="O312" s="18"/>
      <c r="P312" s="1287"/>
      <c r="Q312" s="1287"/>
      <c r="R312" s="1287"/>
      <c r="S312" s="1287"/>
      <c r="T312" s="1287"/>
      <c r="U312" s="1287"/>
      <c r="V312" s="1287"/>
      <c r="W312" s="1287"/>
      <c r="X312" s="1287"/>
      <c r="Y312" s="1287"/>
      <c r="Z312" s="1287"/>
      <c r="AA312" s="1287"/>
      <c r="AB312" s="1287"/>
      <c r="AC312" s="1287"/>
      <c r="AD312" s="1287"/>
      <c r="AE312" s="1287"/>
      <c r="AF312" s="1287"/>
      <c r="AG312" s="1287"/>
      <c r="AH312" s="53">
        <f t="shared" si="56"/>
        <v>0</v>
      </c>
    </row>
    <row r="313" spans="1:34" ht="15">
      <c r="A313" s="88" t="s">
        <v>74</v>
      </c>
      <c r="B313" s="89">
        <f>SUM(B301:B312)</f>
        <v>0</v>
      </c>
      <c r="C313" s="46">
        <f>SUM(C301:C311)</f>
        <v>0</v>
      </c>
      <c r="D313" s="53">
        <f>SUM(D301:D311)</f>
        <v>0</v>
      </c>
      <c r="E313" s="53">
        <v>0</v>
      </c>
      <c r="F313" s="53">
        <f t="shared" ref="F313:AC313" si="57">SUM(F301:F311)</f>
        <v>0</v>
      </c>
      <c r="G313" s="53">
        <f t="shared" si="57"/>
        <v>0</v>
      </c>
      <c r="H313" s="53">
        <f t="shared" si="57"/>
        <v>0</v>
      </c>
      <c r="I313" s="53">
        <f t="shared" si="57"/>
        <v>0</v>
      </c>
      <c r="J313" s="53">
        <f t="shared" si="57"/>
        <v>0</v>
      </c>
      <c r="K313" s="53">
        <f t="shared" si="57"/>
        <v>0</v>
      </c>
      <c r="L313" s="53">
        <f t="shared" si="57"/>
        <v>0</v>
      </c>
      <c r="M313" s="53">
        <f t="shared" si="57"/>
        <v>0</v>
      </c>
      <c r="N313" s="53">
        <f t="shared" si="57"/>
        <v>0</v>
      </c>
      <c r="O313" s="53">
        <f t="shared" si="57"/>
        <v>0</v>
      </c>
      <c r="P313" s="53">
        <f t="shared" si="57"/>
        <v>0</v>
      </c>
      <c r="Q313" s="53">
        <f t="shared" si="57"/>
        <v>0</v>
      </c>
      <c r="R313" s="53">
        <f t="shared" si="57"/>
        <v>0</v>
      </c>
      <c r="S313" s="53">
        <f t="shared" si="57"/>
        <v>0</v>
      </c>
      <c r="T313" s="53">
        <f t="shared" si="57"/>
        <v>0</v>
      </c>
      <c r="U313" s="53">
        <f t="shared" si="57"/>
        <v>0</v>
      </c>
      <c r="V313" s="53">
        <f t="shared" si="57"/>
        <v>0</v>
      </c>
      <c r="W313" s="53">
        <f t="shared" si="57"/>
        <v>0</v>
      </c>
      <c r="X313" s="53">
        <f t="shared" si="57"/>
        <v>0</v>
      </c>
      <c r="Y313" s="53">
        <f t="shared" si="57"/>
        <v>0</v>
      </c>
      <c r="Z313" s="53">
        <f t="shared" si="57"/>
        <v>0</v>
      </c>
      <c r="AA313" s="53">
        <f t="shared" si="57"/>
        <v>0</v>
      </c>
      <c r="AB313" s="53">
        <f t="shared" si="57"/>
        <v>0</v>
      </c>
      <c r="AC313" s="53">
        <f t="shared" si="57"/>
        <v>0</v>
      </c>
      <c r="AD313" s="53">
        <v>0</v>
      </c>
      <c r="AE313" s="53">
        <f>SUM(AE301:AE311)</f>
        <v>0</v>
      </c>
      <c r="AF313" s="53">
        <f>SUM(AF301:AF311)</f>
        <v>0</v>
      </c>
      <c r="AG313" s="53">
        <f>SUM(AG301:AG311)</f>
        <v>0</v>
      </c>
      <c r="AH313" s="46">
        <f>SUM(AH301:AH311)</f>
        <v>0</v>
      </c>
    </row>
    <row r="314" spans="1:34" ht="5.0999999999999996" customHeight="1">
      <c r="A314" s="14"/>
      <c r="B314" s="14"/>
      <c r="C314" s="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
    </row>
    <row r="315" spans="1:34" ht="15">
      <c r="A315" s="3569" t="s">
        <v>109</v>
      </c>
      <c r="B315" s="3570"/>
      <c r="C315" s="3570"/>
      <c r="D315" s="3570"/>
      <c r="E315" s="3570"/>
      <c r="F315" s="3570"/>
      <c r="G315" s="3570"/>
      <c r="H315" s="3571"/>
      <c r="I315" s="1433"/>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row>
    <row r="316" spans="1:34" ht="15">
      <c r="A316" s="5" t="s">
        <v>72</v>
      </c>
      <c r="B316" s="5" t="s">
        <v>73</v>
      </c>
      <c r="C316" s="1249">
        <v>1</v>
      </c>
      <c r="D316" s="30">
        <v>2</v>
      </c>
      <c r="E316" s="30">
        <v>3</v>
      </c>
      <c r="F316" s="30">
        <v>4</v>
      </c>
      <c r="G316" s="30">
        <v>5</v>
      </c>
      <c r="H316" s="30">
        <v>6</v>
      </c>
      <c r="I316" s="30">
        <v>7</v>
      </c>
      <c r="J316" s="30">
        <v>8</v>
      </c>
      <c r="K316" s="30">
        <v>9</v>
      </c>
      <c r="L316" s="30">
        <v>10</v>
      </c>
      <c r="M316" s="30">
        <v>11</v>
      </c>
      <c r="N316" s="30">
        <v>12</v>
      </c>
      <c r="O316" s="30">
        <v>13</v>
      </c>
      <c r="P316" s="30">
        <v>14</v>
      </c>
      <c r="Q316" s="30">
        <v>15</v>
      </c>
      <c r="R316" s="30">
        <v>16</v>
      </c>
      <c r="S316" s="30">
        <v>17</v>
      </c>
      <c r="T316" s="30">
        <v>18</v>
      </c>
      <c r="U316" s="30">
        <v>19</v>
      </c>
      <c r="V316" s="30">
        <v>20</v>
      </c>
      <c r="W316" s="30">
        <v>21</v>
      </c>
      <c r="X316" s="30">
        <v>22</v>
      </c>
      <c r="Y316" s="30">
        <v>23</v>
      </c>
      <c r="Z316" s="30">
        <v>24</v>
      </c>
      <c r="AA316" s="30">
        <v>25</v>
      </c>
      <c r="AB316" s="30">
        <v>26</v>
      </c>
      <c r="AC316" s="30">
        <v>27</v>
      </c>
      <c r="AD316" s="30">
        <v>28</v>
      </c>
      <c r="AE316" s="30">
        <v>29</v>
      </c>
      <c r="AF316" s="30">
        <v>30</v>
      </c>
      <c r="AG316" s="30">
        <v>31</v>
      </c>
      <c r="AH316" s="39" t="s">
        <v>74</v>
      </c>
    </row>
    <row r="317" spans="1:34" ht="15">
      <c r="A317" s="148" t="s">
        <v>75</v>
      </c>
      <c r="B317" s="18">
        <f t="shared" ref="B317:B328" si="58">+AH317</f>
        <v>0</v>
      </c>
      <c r="C317" s="126" t="s">
        <v>111</v>
      </c>
      <c r="D317" s="126" t="s">
        <v>111</v>
      </c>
      <c r="E317" s="126" t="s">
        <v>111</v>
      </c>
      <c r="F317" s="126" t="s">
        <v>111</v>
      </c>
      <c r="G317" s="126" t="s">
        <v>111</v>
      </c>
      <c r="H317" s="126" t="s">
        <v>111</v>
      </c>
      <c r="I317" s="126" t="s">
        <v>111</v>
      </c>
      <c r="J317" s="126" t="s">
        <v>111</v>
      </c>
      <c r="K317" s="126" t="s">
        <v>111</v>
      </c>
      <c r="L317" s="126" t="s">
        <v>111</v>
      </c>
      <c r="M317" s="126" t="s">
        <v>111</v>
      </c>
      <c r="N317" s="126" t="s">
        <v>111</v>
      </c>
      <c r="O317" s="126" t="s">
        <v>111</v>
      </c>
      <c r="P317" s="126" t="s">
        <v>111</v>
      </c>
      <c r="Q317" s="126" t="s">
        <v>111</v>
      </c>
      <c r="R317" s="126" t="s">
        <v>111</v>
      </c>
      <c r="S317" s="126" t="s">
        <v>111</v>
      </c>
      <c r="T317" s="126" t="s">
        <v>111</v>
      </c>
      <c r="U317" s="126" t="s">
        <v>111</v>
      </c>
      <c r="V317" s="126" t="s">
        <v>111</v>
      </c>
      <c r="W317" s="126" t="s">
        <v>111</v>
      </c>
      <c r="X317" s="126" t="s">
        <v>111</v>
      </c>
      <c r="Y317" s="126" t="s">
        <v>111</v>
      </c>
      <c r="Z317" s="126" t="s">
        <v>111</v>
      </c>
      <c r="AA317" s="126" t="s">
        <v>111</v>
      </c>
      <c r="AB317" s="126" t="s">
        <v>111</v>
      </c>
      <c r="AC317" s="126" t="s">
        <v>111</v>
      </c>
      <c r="AD317" s="126" t="s">
        <v>111</v>
      </c>
      <c r="AE317" s="126" t="s">
        <v>111</v>
      </c>
      <c r="AF317" s="126" t="s">
        <v>111</v>
      </c>
      <c r="AG317" s="126" t="s">
        <v>111</v>
      </c>
      <c r="AH317" s="53">
        <f>SUM(C317:AG317)</f>
        <v>0</v>
      </c>
    </row>
    <row r="318" spans="1:34" s="83" customFormat="1" ht="15">
      <c r="A318" s="148" t="s">
        <v>76</v>
      </c>
      <c r="B318" s="18">
        <f t="shared" si="58"/>
        <v>0</v>
      </c>
      <c r="C318" s="126" t="s">
        <v>111</v>
      </c>
      <c r="D318" s="126" t="s">
        <v>111</v>
      </c>
      <c r="E318" s="126" t="s">
        <v>111</v>
      </c>
      <c r="F318" s="126" t="s">
        <v>111</v>
      </c>
      <c r="G318" s="126" t="s">
        <v>111</v>
      </c>
      <c r="H318" s="126" t="s">
        <v>111</v>
      </c>
      <c r="I318" s="126" t="s">
        <v>111</v>
      </c>
      <c r="J318" s="127"/>
      <c r="K318" s="127"/>
      <c r="L318" s="127"/>
      <c r="M318" s="127"/>
      <c r="N318" s="127"/>
      <c r="O318" s="127"/>
      <c r="P318" s="127"/>
      <c r="Q318" s="127"/>
      <c r="R318" s="127"/>
      <c r="S318" s="127"/>
      <c r="T318" s="127"/>
      <c r="U318" s="127"/>
      <c r="V318" s="127"/>
      <c r="W318" s="127"/>
      <c r="X318" s="127"/>
      <c r="Y318" s="127"/>
      <c r="Z318" s="127"/>
      <c r="AA318" s="127"/>
      <c r="AB318" s="127"/>
      <c r="AC318" s="127"/>
      <c r="AD318" s="127"/>
      <c r="AE318" s="127"/>
      <c r="AF318" s="127"/>
      <c r="AG318" s="127"/>
      <c r="AH318" s="53">
        <f t="shared" ref="AH318:AH328" si="59">SUM(C318:AG318)</f>
        <v>0</v>
      </c>
    </row>
    <row r="319" spans="1:34" ht="15">
      <c r="A319" s="148" t="s">
        <v>77</v>
      </c>
      <c r="B319" s="18">
        <f t="shared" si="58"/>
        <v>0</v>
      </c>
      <c r="C319" s="127"/>
      <c r="D319" s="127"/>
      <c r="E319" s="127"/>
      <c r="F319" s="127"/>
      <c r="G319" s="127"/>
      <c r="H319" s="112"/>
      <c r="I319" s="112"/>
      <c r="J319" s="112"/>
      <c r="K319" s="112"/>
      <c r="L319" s="112"/>
      <c r="M319" s="112"/>
      <c r="N319" s="112"/>
      <c r="O319" s="112"/>
      <c r="P319" s="112"/>
      <c r="Q319" s="112"/>
      <c r="R319" s="112"/>
      <c r="S319" s="112"/>
      <c r="T319" s="112"/>
      <c r="U319" s="112"/>
      <c r="V319" s="112"/>
      <c r="W319" s="112"/>
      <c r="X319" s="112"/>
      <c r="Y319" s="112"/>
      <c r="Z319" s="112"/>
      <c r="AA319" s="112"/>
      <c r="AB319" s="112"/>
      <c r="AC319" s="1930"/>
      <c r="AD319" s="1930"/>
      <c r="AE319" s="1930"/>
      <c r="AF319" s="1930"/>
      <c r="AG319" s="1930"/>
      <c r="AH319" s="53">
        <f t="shared" si="59"/>
        <v>0</v>
      </c>
    </row>
    <row r="320" spans="1:34" ht="15">
      <c r="A320" s="148" t="s">
        <v>78</v>
      </c>
      <c r="B320" s="18">
        <f t="shared" si="58"/>
        <v>0</v>
      </c>
      <c r="C320" s="1930"/>
      <c r="D320" s="1930"/>
      <c r="E320" s="1930"/>
      <c r="F320" s="1930"/>
      <c r="G320" s="1930"/>
      <c r="H320" s="1930"/>
      <c r="I320" s="1930"/>
      <c r="J320" s="1930"/>
      <c r="K320" s="1930"/>
      <c r="L320" s="1287"/>
      <c r="M320" s="1287"/>
      <c r="N320" s="1287"/>
      <c r="O320" s="1287"/>
      <c r="P320" s="1287"/>
      <c r="Q320" s="1287"/>
      <c r="R320" s="1287"/>
      <c r="S320" s="1287"/>
      <c r="T320" s="1287"/>
      <c r="U320" s="1287"/>
      <c r="V320" s="1287"/>
      <c r="W320" s="1287"/>
      <c r="X320" s="1287"/>
      <c r="Y320" s="1287"/>
      <c r="Z320" s="1287"/>
      <c r="AA320" s="1287"/>
      <c r="AB320" s="1287"/>
      <c r="AC320" s="1287"/>
      <c r="AD320" s="1287"/>
      <c r="AE320" s="1287"/>
      <c r="AF320" s="1287"/>
      <c r="AG320" s="1287"/>
      <c r="AH320" s="53">
        <f t="shared" si="59"/>
        <v>0</v>
      </c>
    </row>
    <row r="321" spans="1:34" s="83" customFormat="1" ht="15">
      <c r="A321" s="143" t="s">
        <v>79</v>
      </c>
      <c r="B321" s="18">
        <f t="shared" si="58"/>
        <v>0</v>
      </c>
      <c r="C321" s="1287"/>
      <c r="D321" s="1287"/>
      <c r="E321" s="1287"/>
      <c r="F321" s="1287"/>
      <c r="G321" s="1287"/>
      <c r="H321" s="1287"/>
      <c r="I321" s="1287"/>
      <c r="J321" s="1287"/>
      <c r="K321" s="1287"/>
      <c r="L321" s="1287"/>
      <c r="M321" s="1287"/>
      <c r="N321" s="1287"/>
      <c r="O321" s="1287"/>
      <c r="P321" s="1287"/>
      <c r="Q321" s="1287"/>
      <c r="R321" s="1287"/>
      <c r="S321" s="1287"/>
      <c r="T321" s="1287"/>
      <c r="U321" s="1287"/>
      <c r="V321" s="1287"/>
      <c r="W321" s="1287"/>
      <c r="X321" s="1287"/>
      <c r="Y321" s="1287"/>
      <c r="Z321" s="1287"/>
      <c r="AA321" s="1287"/>
      <c r="AB321" s="1287"/>
      <c r="AC321" s="1287"/>
      <c r="AD321" s="1287"/>
      <c r="AE321" s="1287"/>
      <c r="AF321" s="1287"/>
      <c r="AG321" s="1287"/>
      <c r="AH321" s="53">
        <f t="shared" si="59"/>
        <v>0</v>
      </c>
    </row>
    <row r="322" spans="1:34" ht="15">
      <c r="A322" s="143" t="s">
        <v>80</v>
      </c>
      <c r="B322" s="18">
        <f t="shared" si="58"/>
        <v>0</v>
      </c>
      <c r="C322" s="1287"/>
      <c r="D322" s="1287"/>
      <c r="E322" s="1287"/>
      <c r="F322" s="1287"/>
      <c r="G322" s="1287"/>
      <c r="H322" s="1287"/>
      <c r="I322" s="1287"/>
      <c r="J322" s="1287"/>
      <c r="K322" s="1287"/>
      <c r="L322" s="1287"/>
      <c r="M322" s="1287"/>
      <c r="N322" s="1287"/>
      <c r="O322" s="1287"/>
      <c r="P322" s="1287"/>
      <c r="Q322" s="1287"/>
      <c r="R322" s="1287"/>
      <c r="S322" s="1287"/>
      <c r="T322" s="1287"/>
      <c r="U322" s="1287"/>
      <c r="V322" s="1287"/>
      <c r="W322" s="1287"/>
      <c r="X322" s="1287"/>
      <c r="Y322" s="1287"/>
      <c r="Z322" s="1287"/>
      <c r="AA322" s="1287"/>
      <c r="AB322" s="1287"/>
      <c r="AC322" s="1287"/>
      <c r="AD322" s="1287"/>
      <c r="AE322" s="1287"/>
      <c r="AF322" s="1287"/>
      <c r="AG322" s="1287"/>
      <c r="AH322" s="53">
        <f t="shared" si="59"/>
        <v>0</v>
      </c>
    </row>
    <row r="323" spans="1:34" ht="15">
      <c r="A323" s="143" t="s">
        <v>81</v>
      </c>
      <c r="B323" s="18">
        <f t="shared" si="58"/>
        <v>0</v>
      </c>
      <c r="C323" s="1287"/>
      <c r="D323" s="1488"/>
      <c r="E323" s="1488"/>
      <c r="F323" s="1488"/>
      <c r="G323" s="1287"/>
      <c r="H323" s="1287"/>
      <c r="I323" s="1287"/>
      <c r="J323" s="2466"/>
      <c r="K323" s="2466"/>
      <c r="L323" s="1488"/>
      <c r="M323" s="1488"/>
      <c r="N323" s="1488"/>
      <c r="O323" s="1488"/>
      <c r="P323" s="1488"/>
      <c r="Q323" s="1488"/>
      <c r="R323" s="1488"/>
      <c r="S323" s="1488"/>
      <c r="T323" s="1488"/>
      <c r="U323" s="1488"/>
      <c r="V323" s="1488"/>
      <c r="W323" s="688"/>
      <c r="X323" s="688"/>
      <c r="Y323" s="688"/>
      <c r="Z323" s="688"/>
      <c r="AA323" s="688"/>
      <c r="AB323" s="688"/>
      <c r="AC323" s="688"/>
      <c r="AD323" s="688"/>
      <c r="AE323" s="688"/>
      <c r="AF323" s="688" t="s">
        <v>111</v>
      </c>
      <c r="AG323" s="688" t="s">
        <v>111</v>
      </c>
      <c r="AH323" s="53">
        <f t="shared" si="59"/>
        <v>0</v>
      </c>
    </row>
    <row r="324" spans="1:34" s="83" customFormat="1" ht="15">
      <c r="A324" s="143" t="s">
        <v>82</v>
      </c>
      <c r="B324" s="18">
        <f t="shared" si="58"/>
        <v>0</v>
      </c>
      <c r="C324" s="688" t="s">
        <v>111</v>
      </c>
      <c r="D324" s="688" t="s">
        <v>111</v>
      </c>
      <c r="E324" s="688" t="s">
        <v>111</v>
      </c>
      <c r="F324" s="688" t="s">
        <v>111</v>
      </c>
      <c r="G324" s="688" t="s">
        <v>111</v>
      </c>
      <c r="H324" s="688" t="s">
        <v>111</v>
      </c>
      <c r="I324" s="688" t="s">
        <v>111</v>
      </c>
      <c r="J324" s="688" t="s">
        <v>111</v>
      </c>
      <c r="K324" s="688" t="s">
        <v>111</v>
      </c>
      <c r="L324" s="688" t="s">
        <v>111</v>
      </c>
      <c r="M324" s="688" t="s">
        <v>111</v>
      </c>
      <c r="N324" s="688" t="s">
        <v>111</v>
      </c>
      <c r="O324" s="688" t="s">
        <v>111</v>
      </c>
      <c r="P324" s="688" t="s">
        <v>111</v>
      </c>
      <c r="Q324" s="688" t="s">
        <v>111</v>
      </c>
      <c r="R324" s="688" t="s">
        <v>111</v>
      </c>
      <c r="S324" s="688" t="s">
        <v>111</v>
      </c>
      <c r="T324" s="688" t="s">
        <v>111</v>
      </c>
      <c r="U324" s="688" t="s">
        <v>111</v>
      </c>
      <c r="V324" s="688" t="s">
        <v>111</v>
      </c>
      <c r="W324" s="688" t="s">
        <v>111</v>
      </c>
      <c r="X324" s="688" t="s">
        <v>111</v>
      </c>
      <c r="Y324" s="688" t="s">
        <v>111</v>
      </c>
      <c r="Z324" s="688" t="s">
        <v>111</v>
      </c>
      <c r="AA324" s="688" t="s">
        <v>111</v>
      </c>
      <c r="AB324" s="688" t="s">
        <v>111</v>
      </c>
      <c r="AC324" s="688" t="s">
        <v>111</v>
      </c>
      <c r="AD324" s="688" t="s">
        <v>111</v>
      </c>
      <c r="AE324" s="688" t="s">
        <v>111</v>
      </c>
      <c r="AF324" s="688" t="s">
        <v>111</v>
      </c>
      <c r="AG324" s="688" t="s">
        <v>111</v>
      </c>
      <c r="AH324" s="53">
        <f t="shared" si="59"/>
        <v>0</v>
      </c>
    </row>
    <row r="325" spans="1:34" ht="15">
      <c r="A325" s="149" t="s">
        <v>83</v>
      </c>
      <c r="B325" s="18">
        <f t="shared" si="58"/>
        <v>0</v>
      </c>
      <c r="C325" s="688" t="s">
        <v>111</v>
      </c>
      <c r="D325" s="688" t="s">
        <v>111</v>
      </c>
      <c r="E325" s="688" t="s">
        <v>111</v>
      </c>
      <c r="F325" s="688" t="s">
        <v>111</v>
      </c>
      <c r="G325" s="688" t="s">
        <v>111</v>
      </c>
      <c r="H325" s="688" t="s">
        <v>111</v>
      </c>
      <c r="I325" s="688" t="s">
        <v>111</v>
      </c>
      <c r="J325" s="688" t="s">
        <v>111</v>
      </c>
      <c r="K325" s="688" t="s">
        <v>111</v>
      </c>
      <c r="L325" s="688" t="s">
        <v>111</v>
      </c>
      <c r="M325" s="688" t="s">
        <v>111</v>
      </c>
      <c r="N325" s="688" t="s">
        <v>111</v>
      </c>
      <c r="O325" s="688" t="s">
        <v>111</v>
      </c>
      <c r="P325" s="688" t="s">
        <v>111</v>
      </c>
      <c r="Q325" s="688" t="s">
        <v>111</v>
      </c>
      <c r="R325" s="688" t="s">
        <v>111</v>
      </c>
      <c r="S325" s="688" t="s">
        <v>111</v>
      </c>
      <c r="T325" s="688" t="s">
        <v>111</v>
      </c>
      <c r="U325" s="688" t="s">
        <v>111</v>
      </c>
      <c r="V325" s="688" t="s">
        <v>111</v>
      </c>
      <c r="W325" s="688" t="s">
        <v>111</v>
      </c>
      <c r="X325" s="688" t="s">
        <v>111</v>
      </c>
      <c r="Y325" s="688" t="s">
        <v>111</v>
      </c>
      <c r="Z325" s="688" t="s">
        <v>111</v>
      </c>
      <c r="AA325" s="688" t="s">
        <v>111</v>
      </c>
      <c r="AB325" s="688" t="s">
        <v>111</v>
      </c>
      <c r="AC325" s="688" t="s">
        <v>111</v>
      </c>
      <c r="AD325" s="688" t="s">
        <v>111</v>
      </c>
      <c r="AE325" s="688" t="s">
        <v>111</v>
      </c>
      <c r="AF325" s="688" t="s">
        <v>111</v>
      </c>
      <c r="AG325" s="688" t="s">
        <v>111</v>
      </c>
      <c r="AH325" s="53">
        <f t="shared" si="59"/>
        <v>0</v>
      </c>
    </row>
    <row r="326" spans="1:34" ht="15">
      <c r="A326" s="149" t="s">
        <v>84</v>
      </c>
      <c r="B326" s="18">
        <f t="shared" si="58"/>
        <v>0</v>
      </c>
      <c r="C326" s="688" t="s">
        <v>111</v>
      </c>
      <c r="D326" s="688" t="s">
        <v>111</v>
      </c>
      <c r="E326" s="688" t="s">
        <v>111</v>
      </c>
      <c r="F326" s="688" t="s">
        <v>111</v>
      </c>
      <c r="G326" s="688" t="s">
        <v>111</v>
      </c>
      <c r="H326" s="688" t="s">
        <v>111</v>
      </c>
      <c r="I326" s="688" t="s">
        <v>111</v>
      </c>
      <c r="J326" s="688" t="s">
        <v>111</v>
      </c>
      <c r="K326" s="688" t="s">
        <v>111</v>
      </c>
      <c r="L326" s="688" t="s">
        <v>111</v>
      </c>
      <c r="M326" s="688" t="s">
        <v>111</v>
      </c>
      <c r="N326" s="688" t="s">
        <v>111</v>
      </c>
      <c r="O326" s="688" t="s">
        <v>111</v>
      </c>
      <c r="P326" s="688" t="s">
        <v>111</v>
      </c>
      <c r="Q326" s="688" t="s">
        <v>111</v>
      </c>
      <c r="R326" s="688" t="s">
        <v>111</v>
      </c>
      <c r="S326" s="688" t="s">
        <v>111</v>
      </c>
      <c r="T326" s="688" t="s">
        <v>111</v>
      </c>
      <c r="U326" s="688" t="s">
        <v>111</v>
      </c>
      <c r="V326" s="688" t="s">
        <v>111</v>
      </c>
      <c r="W326" s="688" t="s">
        <v>111</v>
      </c>
      <c r="X326" s="1287"/>
      <c r="Y326" s="1287"/>
      <c r="Z326" s="1287"/>
      <c r="AA326" s="1287"/>
      <c r="AB326" s="1287"/>
      <c r="AC326" s="1287"/>
      <c r="AD326" s="1287"/>
      <c r="AE326" s="1488"/>
      <c r="AF326" s="1287"/>
      <c r="AG326" s="1488"/>
      <c r="AH326" s="53">
        <f t="shared" si="59"/>
        <v>0</v>
      </c>
    </row>
    <row r="327" spans="1:34" ht="15">
      <c r="A327" s="149" t="s">
        <v>85</v>
      </c>
      <c r="B327" s="18">
        <f t="shared" si="58"/>
        <v>0</v>
      </c>
      <c r="C327" s="1287"/>
      <c r="D327" s="1287"/>
      <c r="E327" s="1287"/>
      <c r="F327" s="1287"/>
      <c r="G327" s="1433"/>
      <c r="H327" s="1287"/>
      <c r="I327" s="1287"/>
      <c r="J327" s="1287"/>
      <c r="K327" s="1287"/>
      <c r="L327" s="1287"/>
      <c r="M327" s="1287"/>
      <c r="N327" s="1287"/>
      <c r="O327" s="1287"/>
      <c r="P327" s="1287"/>
      <c r="Q327" s="1287"/>
      <c r="R327" s="1287"/>
      <c r="S327" s="1287"/>
      <c r="T327" s="1287"/>
      <c r="U327" s="1287"/>
      <c r="V327" s="1287"/>
      <c r="W327" s="1287"/>
      <c r="X327" s="1287"/>
      <c r="Y327" s="1433"/>
      <c r="Z327" s="1287"/>
      <c r="AA327" s="1287"/>
      <c r="AB327" s="1287"/>
      <c r="AC327" s="1287"/>
      <c r="AD327" s="1287"/>
      <c r="AE327" s="1488"/>
      <c r="AF327" s="1287"/>
      <c r="AG327" s="1488"/>
      <c r="AH327" s="53">
        <f t="shared" si="59"/>
        <v>0</v>
      </c>
    </row>
    <row r="328" spans="1:34" ht="15">
      <c r="A328" s="149" t="s">
        <v>86</v>
      </c>
      <c r="B328" s="18">
        <f t="shared" si="58"/>
        <v>0</v>
      </c>
      <c r="C328" s="49"/>
      <c r="D328" s="18"/>
      <c r="E328" s="18"/>
      <c r="F328" s="18"/>
      <c r="G328" s="18"/>
      <c r="H328" s="18"/>
      <c r="I328" s="18"/>
      <c r="J328" s="18"/>
      <c r="K328" s="18"/>
      <c r="L328" s="18"/>
      <c r="M328" s="18"/>
      <c r="N328" s="18"/>
      <c r="O328" s="18"/>
      <c r="P328" s="1287"/>
      <c r="Q328" s="1287"/>
      <c r="R328" s="1287"/>
      <c r="S328" s="1287"/>
      <c r="T328" s="1287"/>
      <c r="U328" s="1287"/>
      <c r="V328" s="1287"/>
      <c r="W328" s="1287"/>
      <c r="X328" s="1287"/>
      <c r="Y328" s="1287"/>
      <c r="Z328" s="1287"/>
      <c r="AA328" s="1287"/>
      <c r="AB328" s="1287"/>
      <c r="AC328" s="1287"/>
      <c r="AD328" s="1287"/>
      <c r="AE328" s="1287"/>
      <c r="AF328" s="1287"/>
      <c r="AG328" s="1287"/>
      <c r="AH328" s="53">
        <f t="shared" si="59"/>
        <v>0</v>
      </c>
    </row>
    <row r="329" spans="1:34" ht="15">
      <c r="A329" s="88" t="s">
        <v>74</v>
      </c>
      <c r="B329" s="89">
        <f>SUM(B317:B328)</f>
        <v>0</v>
      </c>
      <c r="C329" s="46">
        <f>SUM(C317:C327)</f>
        <v>0</v>
      </c>
      <c r="D329" s="53">
        <f>SUM(D317:D327)</f>
        <v>0</v>
      </c>
      <c r="E329" s="53">
        <v>0</v>
      </c>
      <c r="F329" s="53">
        <f t="shared" ref="F329:AC329" si="60">SUM(F317:F327)</f>
        <v>0</v>
      </c>
      <c r="G329" s="53">
        <f t="shared" si="60"/>
        <v>0</v>
      </c>
      <c r="H329" s="53">
        <f t="shared" si="60"/>
        <v>0</v>
      </c>
      <c r="I329" s="53">
        <f t="shared" si="60"/>
        <v>0</v>
      </c>
      <c r="J329" s="53">
        <f t="shared" si="60"/>
        <v>0</v>
      </c>
      <c r="K329" s="53">
        <f t="shared" si="60"/>
        <v>0</v>
      </c>
      <c r="L329" s="53">
        <f t="shared" si="60"/>
        <v>0</v>
      </c>
      <c r="M329" s="53">
        <f t="shared" si="60"/>
        <v>0</v>
      </c>
      <c r="N329" s="53">
        <f t="shared" si="60"/>
        <v>0</v>
      </c>
      <c r="O329" s="53">
        <f t="shared" si="60"/>
        <v>0</v>
      </c>
      <c r="P329" s="53">
        <f t="shared" si="60"/>
        <v>0</v>
      </c>
      <c r="Q329" s="53">
        <f t="shared" si="60"/>
        <v>0</v>
      </c>
      <c r="R329" s="53">
        <f t="shared" si="60"/>
        <v>0</v>
      </c>
      <c r="S329" s="53">
        <f t="shared" si="60"/>
        <v>0</v>
      </c>
      <c r="T329" s="53">
        <f t="shared" si="60"/>
        <v>0</v>
      </c>
      <c r="U329" s="53">
        <f t="shared" si="60"/>
        <v>0</v>
      </c>
      <c r="V329" s="53">
        <f t="shared" si="60"/>
        <v>0</v>
      </c>
      <c r="W329" s="53">
        <f t="shared" si="60"/>
        <v>0</v>
      </c>
      <c r="X329" s="53">
        <f t="shared" si="60"/>
        <v>0</v>
      </c>
      <c r="Y329" s="53">
        <f t="shared" si="60"/>
        <v>0</v>
      </c>
      <c r="Z329" s="53">
        <f t="shared" si="60"/>
        <v>0</v>
      </c>
      <c r="AA329" s="53">
        <f t="shared" si="60"/>
        <v>0</v>
      </c>
      <c r="AB329" s="53">
        <f t="shared" si="60"/>
        <v>0</v>
      </c>
      <c r="AC329" s="53">
        <f t="shared" si="60"/>
        <v>0</v>
      </c>
      <c r="AD329" s="53">
        <v>0</v>
      </c>
      <c r="AE329" s="53">
        <f>SUM(AE317:AE327)</f>
        <v>0</v>
      </c>
      <c r="AF329" s="53">
        <f>SUM(AF317:AF327)</f>
        <v>0</v>
      </c>
      <c r="AG329" s="53">
        <f>SUM(AG317:AG327)</f>
        <v>0</v>
      </c>
      <c r="AH329" s="46">
        <f>SUM(AH317:AH327)</f>
        <v>0</v>
      </c>
    </row>
    <row r="330" spans="1:34" ht="8.25" customHeight="1">
      <c r="A330" s="14"/>
      <c r="B330" s="14"/>
      <c r="C330" s="1"/>
      <c r="D330" s="11"/>
      <c r="E330" s="11"/>
      <c r="F330" s="11"/>
      <c r="G330" s="11"/>
      <c r="H330" s="11"/>
      <c r="I330" s="1433"/>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
    </row>
    <row r="331" spans="1:34" ht="15">
      <c r="A331" s="3569" t="s">
        <v>125</v>
      </c>
      <c r="B331" s="3570"/>
      <c r="C331" s="3570"/>
      <c r="D331" s="3570"/>
      <c r="E331" s="3570"/>
      <c r="F331" s="3570"/>
      <c r="G331" s="3570"/>
      <c r="H331" s="3571"/>
      <c r="I331" s="1433"/>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row>
    <row r="332" spans="1:34" ht="15">
      <c r="A332" s="5" t="s">
        <v>72</v>
      </c>
      <c r="B332" s="5" t="s">
        <v>73</v>
      </c>
      <c r="C332" s="1233">
        <v>1</v>
      </c>
      <c r="D332" s="30">
        <v>2</v>
      </c>
      <c r="E332" s="30">
        <v>3</v>
      </c>
      <c r="F332" s="30">
        <v>4</v>
      </c>
      <c r="G332" s="30">
        <v>5</v>
      </c>
      <c r="H332" s="30">
        <v>6</v>
      </c>
      <c r="I332" s="30">
        <v>7</v>
      </c>
      <c r="J332" s="30">
        <v>8</v>
      </c>
      <c r="K332" s="30">
        <v>9</v>
      </c>
      <c r="L332" s="30">
        <v>10</v>
      </c>
      <c r="M332" s="30">
        <v>11</v>
      </c>
      <c r="N332" s="30">
        <v>12</v>
      </c>
      <c r="O332" s="30">
        <v>13</v>
      </c>
      <c r="P332" s="30">
        <v>14</v>
      </c>
      <c r="Q332" s="30">
        <v>15</v>
      </c>
      <c r="R332" s="30">
        <v>16</v>
      </c>
      <c r="S332" s="30">
        <v>17</v>
      </c>
      <c r="T332" s="30">
        <v>18</v>
      </c>
      <c r="U332" s="30">
        <v>19</v>
      </c>
      <c r="V332" s="30">
        <v>20</v>
      </c>
      <c r="W332" s="30">
        <v>21</v>
      </c>
      <c r="X332" s="30">
        <v>22</v>
      </c>
      <c r="Y332" s="30">
        <v>23</v>
      </c>
      <c r="Z332" s="30">
        <v>24</v>
      </c>
      <c r="AA332" s="30">
        <v>25</v>
      </c>
      <c r="AB332" s="30">
        <v>26</v>
      </c>
      <c r="AC332" s="30">
        <v>27</v>
      </c>
      <c r="AD332" s="30">
        <v>28</v>
      </c>
      <c r="AE332" s="30">
        <v>29</v>
      </c>
      <c r="AF332" s="30">
        <v>30</v>
      </c>
      <c r="AG332" s="30">
        <v>31</v>
      </c>
      <c r="AH332" s="39" t="s">
        <v>74</v>
      </c>
    </row>
    <row r="333" spans="1:34" ht="15">
      <c r="A333" s="148" t="s">
        <v>75</v>
      </c>
      <c r="B333" s="18">
        <f t="shared" ref="B333:B344" si="61">+AH333</f>
        <v>0</v>
      </c>
      <c r="C333" s="126" t="s">
        <v>111</v>
      </c>
      <c r="D333" s="126" t="s">
        <v>111</v>
      </c>
      <c r="E333" s="126" t="s">
        <v>111</v>
      </c>
      <c r="F333" s="126" t="s">
        <v>111</v>
      </c>
      <c r="G333" s="126" t="s">
        <v>111</v>
      </c>
      <c r="H333" s="126" t="s">
        <v>111</v>
      </c>
      <c r="I333" s="126" t="s">
        <v>111</v>
      </c>
      <c r="J333" s="126" t="s">
        <v>111</v>
      </c>
      <c r="K333" s="126" t="s">
        <v>111</v>
      </c>
      <c r="L333" s="126" t="s">
        <v>111</v>
      </c>
      <c r="M333" s="126" t="s">
        <v>111</v>
      </c>
      <c r="N333" s="126" t="s">
        <v>111</v>
      </c>
      <c r="O333" s="126" t="s">
        <v>111</v>
      </c>
      <c r="P333" s="126" t="s">
        <v>111</v>
      </c>
      <c r="Q333" s="126" t="s">
        <v>111</v>
      </c>
      <c r="R333" s="126" t="s">
        <v>111</v>
      </c>
      <c r="S333" s="126" t="s">
        <v>111</v>
      </c>
      <c r="T333" s="126" t="s">
        <v>111</v>
      </c>
      <c r="U333" s="126" t="s">
        <v>111</v>
      </c>
      <c r="V333" s="126" t="s">
        <v>111</v>
      </c>
      <c r="W333" s="126" t="s">
        <v>111</v>
      </c>
      <c r="X333" s="126" t="s">
        <v>111</v>
      </c>
      <c r="Y333" s="126" t="s">
        <v>111</v>
      </c>
      <c r="Z333" s="126" t="s">
        <v>111</v>
      </c>
      <c r="AA333" s="126" t="s">
        <v>111</v>
      </c>
      <c r="AB333" s="126" t="s">
        <v>111</v>
      </c>
      <c r="AC333" s="126" t="s">
        <v>111</v>
      </c>
      <c r="AD333" s="126" t="s">
        <v>111</v>
      </c>
      <c r="AE333" s="126" t="s">
        <v>111</v>
      </c>
      <c r="AF333" s="126" t="s">
        <v>111</v>
      </c>
      <c r="AG333" s="126" t="s">
        <v>111</v>
      </c>
      <c r="AH333" s="53">
        <f>SUM(C333:AG333)</f>
        <v>0</v>
      </c>
    </row>
    <row r="334" spans="1:34" ht="15">
      <c r="A334" s="148" t="s">
        <v>76</v>
      </c>
      <c r="B334" s="18">
        <f t="shared" si="61"/>
        <v>13.992999999999999</v>
      </c>
      <c r="C334" s="126" t="s">
        <v>111</v>
      </c>
      <c r="D334" s="126" t="s">
        <v>111</v>
      </c>
      <c r="E334" s="126" t="s">
        <v>111</v>
      </c>
      <c r="F334" s="126" t="s">
        <v>111</v>
      </c>
      <c r="G334" s="126" t="s">
        <v>111</v>
      </c>
      <c r="H334" s="126" t="s">
        <v>111</v>
      </c>
      <c r="I334" s="126" t="s">
        <v>111</v>
      </c>
      <c r="J334" s="127"/>
      <c r="K334" s="127"/>
      <c r="L334" s="127"/>
      <c r="M334" s="127"/>
      <c r="N334" s="127"/>
      <c r="O334" s="127">
        <v>1.085</v>
      </c>
      <c r="P334" s="127">
        <v>0</v>
      </c>
      <c r="Q334" s="127">
        <v>0</v>
      </c>
      <c r="R334" s="127">
        <v>0</v>
      </c>
      <c r="S334" s="127">
        <v>0</v>
      </c>
      <c r="T334" s="127">
        <v>1.623</v>
      </c>
      <c r="U334" s="127">
        <v>0</v>
      </c>
      <c r="V334" s="127">
        <v>0</v>
      </c>
      <c r="W334" s="127">
        <v>0</v>
      </c>
      <c r="X334" s="127">
        <v>0</v>
      </c>
      <c r="Y334" s="127">
        <v>0</v>
      </c>
      <c r="Z334" s="127">
        <v>0</v>
      </c>
      <c r="AA334" s="127">
        <v>1.595</v>
      </c>
      <c r="AB334" s="127">
        <v>0.68799999999999994</v>
      </c>
      <c r="AC334" s="127">
        <v>5.6319999999999997</v>
      </c>
      <c r="AD334" s="127">
        <v>3.37</v>
      </c>
      <c r="AE334" s="127"/>
      <c r="AF334" s="127"/>
      <c r="AG334" s="127"/>
      <c r="AH334" s="53">
        <f t="shared" ref="AH334:AH344" si="62">SUM(C334:AG334)</f>
        <v>13.992999999999999</v>
      </c>
    </row>
    <row r="335" spans="1:34" ht="15">
      <c r="A335" s="148" t="s">
        <v>77</v>
      </c>
      <c r="B335" s="18">
        <f t="shared" si="61"/>
        <v>23.538000000000004</v>
      </c>
      <c r="C335" s="127">
        <v>0</v>
      </c>
      <c r="D335" s="127">
        <v>0</v>
      </c>
      <c r="E335" s="127">
        <v>0</v>
      </c>
      <c r="F335" s="127">
        <v>0</v>
      </c>
      <c r="G335" s="127">
        <v>4.0940000000000003</v>
      </c>
      <c r="H335" s="112">
        <v>18.152000000000001</v>
      </c>
      <c r="I335" s="112">
        <v>0</v>
      </c>
      <c r="J335" s="112">
        <v>0</v>
      </c>
      <c r="K335" s="112">
        <v>0</v>
      </c>
      <c r="L335" s="112">
        <v>0</v>
      </c>
      <c r="M335" s="112">
        <v>0</v>
      </c>
      <c r="N335" s="112">
        <v>1.292</v>
      </c>
      <c r="O335" s="112"/>
      <c r="P335" s="112"/>
      <c r="Q335" s="112"/>
      <c r="R335" s="112"/>
      <c r="S335" s="112"/>
      <c r="T335" s="112"/>
      <c r="U335" s="112"/>
      <c r="V335" s="112"/>
      <c r="W335" s="112"/>
      <c r="X335" s="112"/>
      <c r="Y335" s="112"/>
      <c r="Z335" s="112"/>
      <c r="AA335" s="112"/>
      <c r="AB335" s="112"/>
      <c r="AC335" s="1930"/>
      <c r="AD335" s="1930"/>
      <c r="AE335" s="1930"/>
      <c r="AF335" s="1930"/>
      <c r="AG335" s="1930"/>
      <c r="AH335" s="53">
        <f t="shared" si="62"/>
        <v>23.538000000000004</v>
      </c>
    </row>
    <row r="336" spans="1:34" ht="15">
      <c r="A336" s="148" t="s">
        <v>78</v>
      </c>
      <c r="B336" s="18">
        <f t="shared" si="61"/>
        <v>35.972999999999999</v>
      </c>
      <c r="C336" s="18">
        <v>0</v>
      </c>
      <c r="D336" s="18">
        <v>0</v>
      </c>
      <c r="E336" s="18">
        <v>0</v>
      </c>
      <c r="F336" s="18">
        <v>0</v>
      </c>
      <c r="G336" s="18">
        <v>0</v>
      </c>
      <c r="H336" s="18">
        <v>0</v>
      </c>
      <c r="I336" s="18">
        <v>0</v>
      </c>
      <c r="J336" s="18">
        <v>0</v>
      </c>
      <c r="K336" s="18">
        <v>4.7919999999999998</v>
      </c>
      <c r="L336" s="112">
        <v>0</v>
      </c>
      <c r="M336" s="112">
        <v>0</v>
      </c>
      <c r="N336" s="112">
        <v>2.3330000000000002</v>
      </c>
      <c r="O336" s="112">
        <v>0</v>
      </c>
      <c r="P336" s="112">
        <v>0</v>
      </c>
      <c r="Q336" s="112">
        <v>0</v>
      </c>
      <c r="R336" s="112">
        <v>0</v>
      </c>
      <c r="S336" s="112">
        <v>0</v>
      </c>
      <c r="T336" s="112">
        <v>0.82199999999999995</v>
      </c>
      <c r="U336" s="112">
        <v>0</v>
      </c>
      <c r="V336" s="112">
        <v>0</v>
      </c>
      <c r="W336" s="112">
        <v>0</v>
      </c>
      <c r="X336" s="112">
        <v>0</v>
      </c>
      <c r="Y336" s="112">
        <v>27.602</v>
      </c>
      <c r="Z336" s="112">
        <v>0.42399999999999999</v>
      </c>
      <c r="AA336" s="112"/>
      <c r="AB336" s="112"/>
      <c r="AC336" s="112"/>
      <c r="AD336" s="112"/>
      <c r="AE336" s="112"/>
      <c r="AF336" s="112"/>
      <c r="AG336" s="112"/>
      <c r="AH336" s="53">
        <f t="shared" si="62"/>
        <v>35.972999999999999</v>
      </c>
    </row>
    <row r="337" spans="1:34" ht="15">
      <c r="A337" s="143" t="s">
        <v>79</v>
      </c>
      <c r="B337" s="18">
        <f t="shared" si="61"/>
        <v>40.244</v>
      </c>
      <c r="C337" s="49">
        <v>0</v>
      </c>
      <c r="D337" s="18">
        <v>0</v>
      </c>
      <c r="E337" s="18">
        <v>0</v>
      </c>
      <c r="F337" s="18">
        <v>0</v>
      </c>
      <c r="G337" s="18">
        <v>1.9510000000000001</v>
      </c>
      <c r="H337" s="18">
        <v>3.569</v>
      </c>
      <c r="I337" s="18">
        <v>0.755</v>
      </c>
      <c r="J337" s="18">
        <v>2.387</v>
      </c>
      <c r="K337" s="18">
        <v>0</v>
      </c>
      <c r="L337" s="18">
        <v>0</v>
      </c>
      <c r="M337" s="18">
        <v>2.9060000000000001</v>
      </c>
      <c r="N337" s="18">
        <v>0</v>
      </c>
      <c r="O337" s="18">
        <v>0</v>
      </c>
      <c r="P337" s="18">
        <v>0</v>
      </c>
      <c r="Q337" s="18">
        <v>0</v>
      </c>
      <c r="R337" s="18">
        <v>0.33400000000000002</v>
      </c>
      <c r="S337" s="18">
        <v>0</v>
      </c>
      <c r="T337" s="18">
        <v>0</v>
      </c>
      <c r="U337" s="18">
        <v>0</v>
      </c>
      <c r="V337" s="18">
        <v>0</v>
      </c>
      <c r="W337" s="18">
        <v>0</v>
      </c>
      <c r="X337" s="18">
        <v>0</v>
      </c>
      <c r="Y337" s="18">
        <v>0</v>
      </c>
      <c r="Z337" s="18">
        <v>0</v>
      </c>
      <c r="AA337" s="18">
        <v>28.341999999999999</v>
      </c>
      <c r="AB337" s="18">
        <v>0</v>
      </c>
      <c r="AC337" s="18">
        <v>0</v>
      </c>
      <c r="AD337" s="18">
        <v>0</v>
      </c>
      <c r="AE337" s="18"/>
      <c r="AF337" s="18"/>
      <c r="AG337" s="18"/>
      <c r="AH337" s="53">
        <f t="shared" si="62"/>
        <v>40.244</v>
      </c>
    </row>
    <row r="338" spans="1:34" ht="15">
      <c r="A338" s="143" t="s">
        <v>80</v>
      </c>
      <c r="B338" s="18">
        <f t="shared" si="61"/>
        <v>51.125</v>
      </c>
      <c r="C338" s="49">
        <v>0</v>
      </c>
      <c r="D338" s="18">
        <v>0</v>
      </c>
      <c r="E338" s="18">
        <v>0</v>
      </c>
      <c r="F338" s="18">
        <v>0</v>
      </c>
      <c r="G338" s="18">
        <v>0</v>
      </c>
      <c r="H338" s="1287">
        <v>0</v>
      </c>
      <c r="I338" s="1287">
        <v>0</v>
      </c>
      <c r="J338" s="1287">
        <v>0</v>
      </c>
      <c r="K338" s="1287">
        <v>0</v>
      </c>
      <c r="L338" s="1287">
        <v>0</v>
      </c>
      <c r="M338" s="1287">
        <v>0</v>
      </c>
      <c r="N338" s="1287">
        <v>0</v>
      </c>
      <c r="O338" s="1287">
        <v>0</v>
      </c>
      <c r="P338" s="1287">
        <v>0</v>
      </c>
      <c r="Q338" s="1287">
        <v>0</v>
      </c>
      <c r="R338" s="1287">
        <v>0</v>
      </c>
      <c r="S338" s="1287">
        <v>0</v>
      </c>
      <c r="T338" s="1287">
        <v>0</v>
      </c>
      <c r="U338" s="1287">
        <v>9.8889999999999993</v>
      </c>
      <c r="V338" s="1287">
        <v>0</v>
      </c>
      <c r="W338" s="1287">
        <v>0</v>
      </c>
      <c r="X338" s="1287">
        <v>0</v>
      </c>
      <c r="Y338" s="18">
        <v>0</v>
      </c>
      <c r="Z338" s="18">
        <v>0</v>
      </c>
      <c r="AA338" s="18">
        <v>0</v>
      </c>
      <c r="AB338" s="18">
        <v>41.235999999999997</v>
      </c>
      <c r="AC338" s="18"/>
      <c r="AD338" s="18"/>
      <c r="AE338" s="18"/>
      <c r="AF338" s="18"/>
      <c r="AG338" s="18"/>
      <c r="AH338" s="53">
        <f t="shared" si="62"/>
        <v>51.125</v>
      </c>
    </row>
    <row r="339" spans="1:34" ht="15">
      <c r="A339" s="143" t="s">
        <v>81</v>
      </c>
      <c r="B339" s="18">
        <f t="shared" si="61"/>
        <v>18.370000000000005</v>
      </c>
      <c r="C339" s="49">
        <v>0</v>
      </c>
      <c r="D339" s="53">
        <v>0</v>
      </c>
      <c r="E339" s="53">
        <v>0</v>
      </c>
      <c r="F339" s="53">
        <v>0</v>
      </c>
      <c r="G339" s="18">
        <v>0</v>
      </c>
      <c r="H339" s="18">
        <v>16.548999999999999</v>
      </c>
      <c r="I339" s="18">
        <v>0</v>
      </c>
      <c r="J339" s="57">
        <v>0</v>
      </c>
      <c r="K339" s="57">
        <v>0</v>
      </c>
      <c r="L339" s="53">
        <v>0</v>
      </c>
      <c r="M339" s="53">
        <v>0</v>
      </c>
      <c r="N339" s="53">
        <v>0</v>
      </c>
      <c r="O339" s="53">
        <v>0</v>
      </c>
      <c r="P339" s="53">
        <v>0</v>
      </c>
      <c r="Q339" s="53">
        <v>3.9E-2</v>
      </c>
      <c r="R339" s="53">
        <v>0</v>
      </c>
      <c r="S339" s="53">
        <v>0</v>
      </c>
      <c r="T339" s="53">
        <v>0</v>
      </c>
      <c r="U339" s="53">
        <v>0</v>
      </c>
      <c r="V339" s="53">
        <v>0</v>
      </c>
      <c r="W339" s="2327"/>
      <c r="X339" s="2327">
        <v>0.41699999999999998</v>
      </c>
      <c r="Y339" s="2327"/>
      <c r="Z339" s="2327"/>
      <c r="AA339" s="2327"/>
      <c r="AB339" s="2327"/>
      <c r="AC339" s="2327"/>
      <c r="AD339" s="2327">
        <v>0.54500000000000004</v>
      </c>
      <c r="AE339" s="2327">
        <v>0.82</v>
      </c>
      <c r="AF339" s="3232" t="s">
        <v>111</v>
      </c>
      <c r="AG339" s="3232" t="s">
        <v>111</v>
      </c>
      <c r="AH339" s="53">
        <f t="shared" si="62"/>
        <v>18.370000000000005</v>
      </c>
    </row>
    <row r="340" spans="1:34" ht="15">
      <c r="A340" s="143" t="s">
        <v>82</v>
      </c>
      <c r="B340" s="18">
        <f t="shared" si="61"/>
        <v>0</v>
      </c>
      <c r="C340" s="688" t="s">
        <v>111</v>
      </c>
      <c r="D340" s="688" t="s">
        <v>111</v>
      </c>
      <c r="E340" s="688" t="s">
        <v>111</v>
      </c>
      <c r="F340" s="688" t="s">
        <v>111</v>
      </c>
      <c r="G340" s="688" t="s">
        <v>111</v>
      </c>
      <c r="H340" s="688" t="s">
        <v>111</v>
      </c>
      <c r="I340" s="688" t="s">
        <v>111</v>
      </c>
      <c r="J340" s="688" t="s">
        <v>111</v>
      </c>
      <c r="K340" s="688" t="s">
        <v>111</v>
      </c>
      <c r="L340" s="688" t="s">
        <v>111</v>
      </c>
      <c r="M340" s="688" t="s">
        <v>111</v>
      </c>
      <c r="N340" s="688" t="s">
        <v>111</v>
      </c>
      <c r="O340" s="688" t="s">
        <v>111</v>
      </c>
      <c r="P340" s="688" t="s">
        <v>111</v>
      </c>
      <c r="Q340" s="688" t="s">
        <v>111</v>
      </c>
      <c r="R340" s="688" t="s">
        <v>111</v>
      </c>
      <c r="S340" s="688" t="s">
        <v>111</v>
      </c>
      <c r="T340" s="688" t="s">
        <v>111</v>
      </c>
      <c r="U340" s="688" t="s">
        <v>111</v>
      </c>
      <c r="V340" s="688" t="s">
        <v>111</v>
      </c>
      <c r="W340" s="688" t="s">
        <v>111</v>
      </c>
      <c r="X340" s="688" t="s">
        <v>111</v>
      </c>
      <c r="Y340" s="688" t="s">
        <v>111</v>
      </c>
      <c r="Z340" s="688" t="s">
        <v>111</v>
      </c>
      <c r="AA340" s="688" t="s">
        <v>111</v>
      </c>
      <c r="AB340" s="688" t="s">
        <v>111</v>
      </c>
      <c r="AC340" s="688" t="s">
        <v>111</v>
      </c>
      <c r="AD340" s="688" t="s">
        <v>111</v>
      </c>
      <c r="AE340" s="688" t="s">
        <v>111</v>
      </c>
      <c r="AF340" s="688" t="s">
        <v>111</v>
      </c>
      <c r="AG340" s="688" t="s">
        <v>111</v>
      </c>
      <c r="AH340" s="53">
        <f t="shared" si="62"/>
        <v>0</v>
      </c>
    </row>
    <row r="341" spans="1:34" ht="15">
      <c r="A341" s="149" t="s">
        <v>83</v>
      </c>
      <c r="B341" s="18">
        <f t="shared" si="61"/>
        <v>0</v>
      </c>
      <c r="C341" s="688" t="s">
        <v>111</v>
      </c>
      <c r="D341" s="688" t="s">
        <v>111</v>
      </c>
      <c r="E341" s="688" t="s">
        <v>111</v>
      </c>
      <c r="F341" s="688" t="s">
        <v>111</v>
      </c>
      <c r="G341" s="688" t="s">
        <v>111</v>
      </c>
      <c r="H341" s="688" t="s">
        <v>111</v>
      </c>
      <c r="I341" s="688" t="s">
        <v>111</v>
      </c>
      <c r="J341" s="688" t="s">
        <v>111</v>
      </c>
      <c r="K341" s="688" t="s">
        <v>111</v>
      </c>
      <c r="L341" s="688" t="s">
        <v>111</v>
      </c>
      <c r="M341" s="688" t="s">
        <v>111</v>
      </c>
      <c r="N341" s="688" t="s">
        <v>111</v>
      </c>
      <c r="O341" s="688" t="s">
        <v>111</v>
      </c>
      <c r="P341" s="688" t="s">
        <v>111</v>
      </c>
      <c r="Q341" s="688" t="s">
        <v>111</v>
      </c>
      <c r="R341" s="688" t="s">
        <v>111</v>
      </c>
      <c r="S341" s="688" t="s">
        <v>111</v>
      </c>
      <c r="T341" s="688" t="s">
        <v>111</v>
      </c>
      <c r="U341" s="688" t="s">
        <v>111</v>
      </c>
      <c r="V341" s="688" t="s">
        <v>111</v>
      </c>
      <c r="W341" s="688" t="s">
        <v>111</v>
      </c>
      <c r="X341" s="688" t="s">
        <v>111</v>
      </c>
      <c r="Y341" s="688" t="s">
        <v>111</v>
      </c>
      <c r="Z341" s="688" t="s">
        <v>111</v>
      </c>
      <c r="AA341" s="688" t="s">
        <v>111</v>
      </c>
      <c r="AB341" s="688" t="s">
        <v>111</v>
      </c>
      <c r="AC341" s="688" t="s">
        <v>111</v>
      </c>
      <c r="AD341" s="688" t="s">
        <v>111</v>
      </c>
      <c r="AE341" s="688" t="s">
        <v>111</v>
      </c>
      <c r="AF341" s="688" t="s">
        <v>111</v>
      </c>
      <c r="AG341" s="688" t="s">
        <v>111</v>
      </c>
      <c r="AH341" s="53">
        <f t="shared" si="62"/>
        <v>0</v>
      </c>
    </row>
    <row r="342" spans="1:34" ht="15">
      <c r="A342" s="149" t="s">
        <v>84</v>
      </c>
      <c r="B342" s="18">
        <f t="shared" si="61"/>
        <v>0</v>
      </c>
      <c r="C342" s="688" t="s">
        <v>111</v>
      </c>
      <c r="D342" s="688" t="s">
        <v>111</v>
      </c>
      <c r="E342" s="688" t="s">
        <v>111</v>
      </c>
      <c r="F342" s="688" t="s">
        <v>111</v>
      </c>
      <c r="G342" s="688" t="s">
        <v>111</v>
      </c>
      <c r="H342" s="688" t="s">
        <v>111</v>
      </c>
      <c r="I342" s="688" t="s">
        <v>111</v>
      </c>
      <c r="J342" s="688" t="s">
        <v>111</v>
      </c>
      <c r="K342" s="688" t="s">
        <v>111</v>
      </c>
      <c r="L342" s="688" t="s">
        <v>111</v>
      </c>
      <c r="M342" s="688" t="s">
        <v>111</v>
      </c>
      <c r="N342" s="688" t="s">
        <v>111</v>
      </c>
      <c r="O342" s="688" t="s">
        <v>111</v>
      </c>
      <c r="P342" s="688" t="s">
        <v>111</v>
      </c>
      <c r="Q342" s="688" t="s">
        <v>111</v>
      </c>
      <c r="R342" s="688" t="s">
        <v>111</v>
      </c>
      <c r="S342" s="688" t="s">
        <v>111</v>
      </c>
      <c r="T342" s="688" t="s">
        <v>111</v>
      </c>
      <c r="U342" s="688" t="s">
        <v>111</v>
      </c>
      <c r="V342" s="688" t="s">
        <v>111</v>
      </c>
      <c r="W342" s="688" t="s">
        <v>111</v>
      </c>
      <c r="X342" s="1287"/>
      <c r="Y342" s="1287"/>
      <c r="Z342" s="1287"/>
      <c r="AA342" s="1287"/>
      <c r="AB342" s="1287"/>
      <c r="AC342" s="1287"/>
      <c r="AD342" s="1287"/>
      <c r="AE342" s="1488"/>
      <c r="AF342" s="1287"/>
      <c r="AG342" s="1488"/>
      <c r="AH342" s="53">
        <f t="shared" si="62"/>
        <v>0</v>
      </c>
    </row>
    <row r="343" spans="1:34" ht="15">
      <c r="A343" s="149" t="s">
        <v>85</v>
      </c>
      <c r="B343" s="18">
        <f t="shared" si="61"/>
        <v>5.8289999999999997</v>
      </c>
      <c r="C343" s="49"/>
      <c r="D343" s="18"/>
      <c r="E343" s="18"/>
      <c r="F343" s="18"/>
      <c r="G343" s="11"/>
      <c r="H343" s="18"/>
      <c r="I343" s="18"/>
      <c r="J343" s="18"/>
      <c r="K343" s="18"/>
      <c r="L343" s="18"/>
      <c r="M343" s="18"/>
      <c r="N343" s="18"/>
      <c r="O343" s="18"/>
      <c r="P343" s="18"/>
      <c r="Q343" s="18"/>
      <c r="R343" s="18"/>
      <c r="S343" s="18"/>
      <c r="T343" s="18"/>
      <c r="U343" s="18"/>
      <c r="V343" s="18"/>
      <c r="W343" s="18"/>
      <c r="X343" s="18"/>
      <c r="Y343" s="11"/>
      <c r="Z343" s="18"/>
      <c r="AA343" s="18"/>
      <c r="AB343" s="18"/>
      <c r="AC343" s="18"/>
      <c r="AD343" s="18"/>
      <c r="AE343" s="53">
        <v>5.8289999999999997</v>
      </c>
      <c r="AF343" s="18">
        <v>0</v>
      </c>
      <c r="AG343" s="53"/>
      <c r="AH343" s="53">
        <f t="shared" si="62"/>
        <v>5.8289999999999997</v>
      </c>
    </row>
    <row r="344" spans="1:34" ht="15">
      <c r="A344" s="149" t="s">
        <v>86</v>
      </c>
      <c r="B344" s="18">
        <f t="shared" si="61"/>
        <v>45.414000000000001</v>
      </c>
      <c r="C344" s="49">
        <v>0</v>
      </c>
      <c r="D344" s="18">
        <v>15.57</v>
      </c>
      <c r="E344" s="18"/>
      <c r="F344" s="18"/>
      <c r="G344" s="18"/>
      <c r="H344" s="18"/>
      <c r="I344" s="18"/>
      <c r="J344" s="18"/>
      <c r="K344" s="18"/>
      <c r="L344" s="18"/>
      <c r="M344" s="18"/>
      <c r="N344" s="18"/>
      <c r="O344" s="18"/>
      <c r="P344" s="1287"/>
      <c r="Q344" s="1287"/>
      <c r="R344" s="1287"/>
      <c r="S344" s="1287"/>
      <c r="T344" s="1287"/>
      <c r="U344" s="1287"/>
      <c r="V344" s="1287"/>
      <c r="W344" s="1287"/>
      <c r="X344" s="1287"/>
      <c r="Y344" s="1287"/>
      <c r="Z344" s="1287"/>
      <c r="AA344" s="1287"/>
      <c r="AB344" s="1287"/>
      <c r="AC344" s="1287">
        <v>0</v>
      </c>
      <c r="AD344" s="1287">
        <v>4.0960000000000001</v>
      </c>
      <c r="AE344" s="1287">
        <v>25.748000000000001</v>
      </c>
      <c r="AF344" s="1287">
        <v>0</v>
      </c>
      <c r="AG344" s="1287">
        <v>0</v>
      </c>
      <c r="AH344" s="53">
        <f t="shared" si="62"/>
        <v>45.414000000000001</v>
      </c>
    </row>
    <row r="345" spans="1:34" ht="15">
      <c r="A345" s="88" t="s">
        <v>74</v>
      </c>
      <c r="B345" s="89">
        <f>SUM(B333:B344)</f>
        <v>234.48599999999999</v>
      </c>
      <c r="C345" s="46">
        <f>SUM(C333:C343)</f>
        <v>0</v>
      </c>
      <c r="D345" s="53">
        <f>SUM(D333:D343)</f>
        <v>0</v>
      </c>
      <c r="E345" s="53">
        <v>0</v>
      </c>
      <c r="F345" s="53">
        <f t="shared" ref="F345:AC345" si="63">SUM(F333:F343)</f>
        <v>0</v>
      </c>
      <c r="G345" s="53">
        <f t="shared" si="63"/>
        <v>6.0449999999999999</v>
      </c>
      <c r="H345" s="53">
        <f t="shared" si="63"/>
        <v>38.269999999999996</v>
      </c>
      <c r="I345" s="53">
        <f t="shared" si="63"/>
        <v>0.755</v>
      </c>
      <c r="J345" s="53">
        <f t="shared" si="63"/>
        <v>2.387</v>
      </c>
      <c r="K345" s="53">
        <f t="shared" si="63"/>
        <v>4.7919999999999998</v>
      </c>
      <c r="L345" s="53">
        <f t="shared" si="63"/>
        <v>0</v>
      </c>
      <c r="M345" s="53">
        <f t="shared" si="63"/>
        <v>2.9060000000000001</v>
      </c>
      <c r="N345" s="53">
        <f t="shared" si="63"/>
        <v>3.625</v>
      </c>
      <c r="O345" s="53">
        <f t="shared" si="63"/>
        <v>1.085</v>
      </c>
      <c r="P345" s="53">
        <f t="shared" si="63"/>
        <v>0</v>
      </c>
      <c r="Q345" s="53">
        <f t="shared" si="63"/>
        <v>3.9E-2</v>
      </c>
      <c r="R345" s="53">
        <f t="shared" si="63"/>
        <v>0.33400000000000002</v>
      </c>
      <c r="S345" s="53">
        <f t="shared" si="63"/>
        <v>0</v>
      </c>
      <c r="T345" s="53">
        <f t="shared" si="63"/>
        <v>2.4449999999999998</v>
      </c>
      <c r="U345" s="53">
        <f t="shared" si="63"/>
        <v>9.8889999999999993</v>
      </c>
      <c r="V345" s="53">
        <f t="shared" si="63"/>
        <v>0</v>
      </c>
      <c r="W345" s="53">
        <f t="shared" si="63"/>
        <v>0</v>
      </c>
      <c r="X345" s="53">
        <f t="shared" si="63"/>
        <v>0.41699999999999998</v>
      </c>
      <c r="Y345" s="53">
        <f t="shared" si="63"/>
        <v>27.602</v>
      </c>
      <c r="Z345" s="53">
        <f t="shared" si="63"/>
        <v>0.42399999999999999</v>
      </c>
      <c r="AA345" s="53">
        <f t="shared" si="63"/>
        <v>29.936999999999998</v>
      </c>
      <c r="AB345" s="53">
        <f t="shared" si="63"/>
        <v>41.923999999999999</v>
      </c>
      <c r="AC345" s="53">
        <f t="shared" si="63"/>
        <v>5.6319999999999997</v>
      </c>
      <c r="AD345" s="53">
        <v>0</v>
      </c>
      <c r="AE345" s="53">
        <f>SUM(AE333:AE343)</f>
        <v>6.649</v>
      </c>
      <c r="AF345" s="53">
        <f>SUM(AF333:AF343)</f>
        <v>0</v>
      </c>
      <c r="AG345" s="53">
        <f>SUM(AG333:AG343)</f>
        <v>0</v>
      </c>
      <c r="AH345" s="46">
        <f>SUM(AH333:AH343)</f>
        <v>189.072</v>
      </c>
    </row>
    <row r="346" spans="1:34" ht="6.75" customHeight="1">
      <c r="A346" s="14"/>
      <c r="B346" s="14"/>
      <c r="C346" s="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
    </row>
    <row r="347" spans="1:34" ht="15">
      <c r="A347" s="3569" t="s">
        <v>126</v>
      </c>
      <c r="B347" s="3570"/>
      <c r="C347" s="3570"/>
      <c r="D347" s="3570"/>
      <c r="E347" s="3570"/>
      <c r="F347" s="3570"/>
      <c r="G347" s="3570"/>
      <c r="H347" s="3571"/>
      <c r="I347" s="1433"/>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row>
    <row r="348" spans="1:34" ht="15">
      <c r="A348" s="5" t="s">
        <v>72</v>
      </c>
      <c r="B348" s="5" t="s">
        <v>73</v>
      </c>
      <c r="C348" s="1233">
        <v>1</v>
      </c>
      <c r="D348" s="30">
        <v>2</v>
      </c>
      <c r="E348" s="30">
        <v>3</v>
      </c>
      <c r="F348" s="30">
        <v>4</v>
      </c>
      <c r="G348" s="30">
        <v>5</v>
      </c>
      <c r="H348" s="30">
        <v>6</v>
      </c>
      <c r="I348" s="30">
        <v>7</v>
      </c>
      <c r="J348" s="30">
        <v>8</v>
      </c>
      <c r="K348" s="30">
        <v>9</v>
      </c>
      <c r="L348" s="30">
        <v>10</v>
      </c>
      <c r="M348" s="30">
        <v>11</v>
      </c>
      <c r="N348" s="30">
        <v>12</v>
      </c>
      <c r="O348" s="30">
        <v>13</v>
      </c>
      <c r="P348" s="30">
        <v>14</v>
      </c>
      <c r="Q348" s="30">
        <v>15</v>
      </c>
      <c r="R348" s="30">
        <v>16</v>
      </c>
      <c r="S348" s="30">
        <v>17</v>
      </c>
      <c r="T348" s="30">
        <v>18</v>
      </c>
      <c r="U348" s="30">
        <v>19</v>
      </c>
      <c r="V348" s="30">
        <v>20</v>
      </c>
      <c r="W348" s="30">
        <v>21</v>
      </c>
      <c r="X348" s="30">
        <v>22</v>
      </c>
      <c r="Y348" s="30">
        <v>23</v>
      </c>
      <c r="Z348" s="30">
        <v>24</v>
      </c>
      <c r="AA348" s="30">
        <v>25</v>
      </c>
      <c r="AB348" s="30">
        <v>26</v>
      </c>
      <c r="AC348" s="30">
        <v>27</v>
      </c>
      <c r="AD348" s="30">
        <v>28</v>
      </c>
      <c r="AE348" s="30">
        <v>29</v>
      </c>
      <c r="AF348" s="30">
        <v>30</v>
      </c>
      <c r="AG348" s="30">
        <v>31</v>
      </c>
      <c r="AH348" s="39" t="s">
        <v>74</v>
      </c>
    </row>
    <row r="349" spans="1:34" ht="15">
      <c r="A349" s="148" t="s">
        <v>75</v>
      </c>
      <c r="B349" s="18">
        <f t="shared" ref="B349:B360" si="64">+AH349</f>
        <v>0</v>
      </c>
      <c r="C349" s="126" t="s">
        <v>111</v>
      </c>
      <c r="D349" s="126" t="s">
        <v>111</v>
      </c>
      <c r="E349" s="126" t="s">
        <v>111</v>
      </c>
      <c r="F349" s="126" t="s">
        <v>111</v>
      </c>
      <c r="G349" s="126" t="s">
        <v>111</v>
      </c>
      <c r="H349" s="126" t="s">
        <v>111</v>
      </c>
      <c r="I349" s="126" t="s">
        <v>111</v>
      </c>
      <c r="J349" s="126" t="s">
        <v>111</v>
      </c>
      <c r="K349" s="126" t="s">
        <v>111</v>
      </c>
      <c r="L349" s="126" t="s">
        <v>111</v>
      </c>
      <c r="M349" s="126" t="s">
        <v>111</v>
      </c>
      <c r="N349" s="126" t="s">
        <v>111</v>
      </c>
      <c r="O349" s="126" t="s">
        <v>111</v>
      </c>
      <c r="P349" s="126" t="s">
        <v>111</v>
      </c>
      <c r="Q349" s="126" t="s">
        <v>111</v>
      </c>
      <c r="R349" s="126" t="s">
        <v>111</v>
      </c>
      <c r="S349" s="126" t="s">
        <v>111</v>
      </c>
      <c r="T349" s="126" t="s">
        <v>111</v>
      </c>
      <c r="U349" s="126" t="s">
        <v>111</v>
      </c>
      <c r="V349" s="126" t="s">
        <v>111</v>
      </c>
      <c r="W349" s="126" t="s">
        <v>111</v>
      </c>
      <c r="X349" s="126" t="s">
        <v>111</v>
      </c>
      <c r="Y349" s="126" t="s">
        <v>111</v>
      </c>
      <c r="Z349" s="126" t="s">
        <v>111</v>
      </c>
      <c r="AA349" s="126" t="s">
        <v>111</v>
      </c>
      <c r="AB349" s="126" t="s">
        <v>111</v>
      </c>
      <c r="AC349" s="126" t="s">
        <v>111</v>
      </c>
      <c r="AD349" s="126" t="s">
        <v>111</v>
      </c>
      <c r="AE349" s="126" t="s">
        <v>111</v>
      </c>
      <c r="AF349" s="126" t="s">
        <v>111</v>
      </c>
      <c r="AG349" s="126" t="s">
        <v>111</v>
      </c>
      <c r="AH349" s="53">
        <f>SUM(C349:AG349)</f>
        <v>0</v>
      </c>
    </row>
    <row r="350" spans="1:34" ht="15">
      <c r="A350" s="148" t="s">
        <v>76</v>
      </c>
      <c r="B350" s="18">
        <f t="shared" si="64"/>
        <v>2.3570000000000002</v>
      </c>
      <c r="C350" s="126" t="s">
        <v>111</v>
      </c>
      <c r="D350" s="126" t="s">
        <v>111</v>
      </c>
      <c r="E350" s="126" t="s">
        <v>111</v>
      </c>
      <c r="F350" s="126" t="s">
        <v>111</v>
      </c>
      <c r="G350" s="126" t="s">
        <v>111</v>
      </c>
      <c r="H350" s="126" t="s">
        <v>111</v>
      </c>
      <c r="I350" s="126" t="s">
        <v>111</v>
      </c>
      <c r="J350" s="127">
        <v>2.3570000000000002</v>
      </c>
      <c r="K350" s="127">
        <v>0</v>
      </c>
      <c r="L350" s="127">
        <v>0</v>
      </c>
      <c r="M350" s="127">
        <v>0</v>
      </c>
      <c r="N350" s="127">
        <v>0</v>
      </c>
      <c r="O350" s="127">
        <v>0</v>
      </c>
      <c r="P350" s="127">
        <v>0</v>
      </c>
      <c r="Q350" s="127">
        <v>0</v>
      </c>
      <c r="R350" s="127">
        <v>0</v>
      </c>
      <c r="S350" s="127">
        <v>0</v>
      </c>
      <c r="T350" s="127">
        <v>0</v>
      </c>
      <c r="U350" s="127">
        <v>0</v>
      </c>
      <c r="V350" s="127">
        <v>0</v>
      </c>
      <c r="W350" s="127"/>
      <c r="X350" s="127"/>
      <c r="Y350" s="127"/>
      <c r="Z350" s="127"/>
      <c r="AA350" s="127"/>
      <c r="AB350" s="127"/>
      <c r="AC350" s="127"/>
      <c r="AD350" s="127"/>
      <c r="AE350" s="127"/>
      <c r="AF350" s="127"/>
      <c r="AG350" s="127"/>
      <c r="AH350" s="53">
        <f t="shared" ref="AH350:AH360" si="65">SUM(C350:AG350)</f>
        <v>2.3570000000000002</v>
      </c>
    </row>
    <row r="351" spans="1:34" ht="15">
      <c r="A351" s="148" t="s">
        <v>77</v>
      </c>
      <c r="B351" s="18">
        <f t="shared" si="64"/>
        <v>22.853000000000002</v>
      </c>
      <c r="C351" s="127"/>
      <c r="D351" s="127"/>
      <c r="E351" s="18">
        <v>0.53300000000000003</v>
      </c>
      <c r="F351" s="127"/>
      <c r="G351" s="127"/>
      <c r="H351" s="112"/>
      <c r="I351" s="112"/>
      <c r="J351" s="112"/>
      <c r="K351" s="112"/>
      <c r="L351" s="112"/>
      <c r="M351" s="112">
        <v>22.32</v>
      </c>
      <c r="N351" s="112"/>
      <c r="O351" s="112"/>
      <c r="P351" s="112"/>
      <c r="Q351" s="112"/>
      <c r="R351" s="112"/>
      <c r="S351" s="112"/>
      <c r="T351" s="112"/>
      <c r="U351" s="112"/>
      <c r="V351" s="112"/>
      <c r="W351" s="112"/>
      <c r="X351" s="112"/>
      <c r="Y351" s="112"/>
      <c r="Z351" s="112"/>
      <c r="AA351" s="112"/>
      <c r="AB351" s="112"/>
      <c r="AC351" s="1930"/>
      <c r="AD351" s="1930"/>
      <c r="AE351" s="1930"/>
      <c r="AF351" s="1930"/>
      <c r="AG351" s="1930"/>
      <c r="AH351" s="53">
        <f t="shared" si="65"/>
        <v>22.853000000000002</v>
      </c>
    </row>
    <row r="352" spans="1:34" ht="15">
      <c r="A352" s="148" t="s">
        <v>78</v>
      </c>
      <c r="B352" s="18">
        <f t="shared" si="64"/>
        <v>4.7210000000000001</v>
      </c>
      <c r="C352" s="18">
        <v>0</v>
      </c>
      <c r="D352" s="18">
        <v>0</v>
      </c>
      <c r="E352" s="18">
        <v>0</v>
      </c>
      <c r="F352" s="18">
        <v>0</v>
      </c>
      <c r="G352" s="18">
        <v>0</v>
      </c>
      <c r="H352" s="18">
        <v>0</v>
      </c>
      <c r="I352" s="18">
        <v>0</v>
      </c>
      <c r="J352" s="18">
        <v>0</v>
      </c>
      <c r="K352" s="18">
        <v>0</v>
      </c>
      <c r="L352" s="53">
        <v>0</v>
      </c>
      <c r="M352" s="53">
        <v>0</v>
      </c>
      <c r="N352" s="53">
        <v>0.63500000000000001</v>
      </c>
      <c r="O352" s="112">
        <v>0</v>
      </c>
      <c r="P352" s="112">
        <v>0</v>
      </c>
      <c r="Q352" s="112">
        <v>0</v>
      </c>
      <c r="R352" s="112">
        <v>0</v>
      </c>
      <c r="S352" s="112">
        <v>0</v>
      </c>
      <c r="T352" s="112">
        <v>2.161</v>
      </c>
      <c r="U352" s="112"/>
      <c r="V352" s="112"/>
      <c r="W352" s="112"/>
      <c r="X352" s="112"/>
      <c r="Y352" s="112"/>
      <c r="Z352" s="112"/>
      <c r="AA352" s="112"/>
      <c r="AB352" s="112"/>
      <c r="AC352" s="112"/>
      <c r="AD352" s="112"/>
      <c r="AE352" s="112">
        <v>1.925</v>
      </c>
      <c r="AF352" s="112"/>
      <c r="AG352" s="112"/>
      <c r="AH352" s="53">
        <f t="shared" si="65"/>
        <v>4.7210000000000001</v>
      </c>
    </row>
    <row r="353" spans="1:34" ht="15">
      <c r="A353" s="143" t="s">
        <v>79</v>
      </c>
      <c r="B353" s="18">
        <f t="shared" si="64"/>
        <v>38.191000000000003</v>
      </c>
      <c r="C353" s="49">
        <v>0</v>
      </c>
      <c r="D353" s="18">
        <v>0</v>
      </c>
      <c r="E353" s="18">
        <v>0</v>
      </c>
      <c r="F353" s="18">
        <v>0</v>
      </c>
      <c r="G353" s="18">
        <v>3.6240000000000001</v>
      </c>
      <c r="H353" s="18">
        <v>0</v>
      </c>
      <c r="I353" s="18">
        <v>0</v>
      </c>
      <c r="J353" s="18">
        <v>0</v>
      </c>
      <c r="K353" s="18">
        <v>0</v>
      </c>
      <c r="L353" s="18">
        <v>0</v>
      </c>
      <c r="M353" s="18">
        <v>32.122999999999998</v>
      </c>
      <c r="N353" s="18">
        <v>0</v>
      </c>
      <c r="O353" s="18">
        <v>2.444</v>
      </c>
      <c r="P353" s="18">
        <v>0</v>
      </c>
      <c r="Q353" s="18">
        <v>0</v>
      </c>
      <c r="R353" s="18">
        <v>0</v>
      </c>
      <c r="S353" s="18"/>
      <c r="T353" s="18"/>
      <c r="U353" s="18"/>
      <c r="V353" s="18"/>
      <c r="W353" s="18"/>
      <c r="X353" s="18"/>
      <c r="Y353" s="18"/>
      <c r="Z353" s="18"/>
      <c r="AA353" s="18"/>
      <c r="AB353" s="18"/>
      <c r="AC353" s="18"/>
      <c r="AD353" s="18"/>
      <c r="AE353" s="18"/>
      <c r="AF353" s="18"/>
      <c r="AG353" s="18"/>
      <c r="AH353" s="53">
        <f t="shared" si="65"/>
        <v>38.191000000000003</v>
      </c>
    </row>
    <row r="354" spans="1:34" ht="15">
      <c r="A354" s="143" t="s">
        <v>80</v>
      </c>
      <c r="B354" s="18">
        <f t="shared" si="64"/>
        <v>50.817</v>
      </c>
      <c r="C354" s="49">
        <v>0</v>
      </c>
      <c r="D354" s="18">
        <v>0</v>
      </c>
      <c r="E354" s="18">
        <v>0</v>
      </c>
      <c r="F354" s="18">
        <v>0</v>
      </c>
      <c r="G354" s="18">
        <v>0</v>
      </c>
      <c r="H354" s="1287">
        <v>0</v>
      </c>
      <c r="I354" s="1287">
        <v>0</v>
      </c>
      <c r="J354" s="1287">
        <v>0</v>
      </c>
      <c r="K354" s="1287">
        <v>0</v>
      </c>
      <c r="L354" s="1287">
        <v>0</v>
      </c>
      <c r="M354" s="1287">
        <v>0</v>
      </c>
      <c r="N354" s="1287">
        <v>0</v>
      </c>
      <c r="O354" s="1287">
        <v>0</v>
      </c>
      <c r="P354" s="1287">
        <v>0</v>
      </c>
      <c r="Q354" s="1287">
        <v>0</v>
      </c>
      <c r="R354" s="1287">
        <v>0</v>
      </c>
      <c r="S354" s="1287">
        <v>0</v>
      </c>
      <c r="T354" s="1287">
        <v>0</v>
      </c>
      <c r="U354" s="1287">
        <v>14.631</v>
      </c>
      <c r="V354" s="1287">
        <v>26.07</v>
      </c>
      <c r="W354" s="1287">
        <v>0</v>
      </c>
      <c r="X354" s="1287">
        <v>0</v>
      </c>
      <c r="Y354" s="18">
        <v>0</v>
      </c>
      <c r="Z354" s="18">
        <v>0</v>
      </c>
      <c r="AA354" s="18">
        <v>0</v>
      </c>
      <c r="AB354" s="18">
        <v>10.116</v>
      </c>
      <c r="AC354" s="18"/>
      <c r="AD354" s="18"/>
      <c r="AE354" s="18"/>
      <c r="AF354" s="18"/>
      <c r="AG354" s="18"/>
      <c r="AH354" s="53">
        <f t="shared" si="65"/>
        <v>50.817</v>
      </c>
    </row>
    <row r="355" spans="1:34" ht="15">
      <c r="A355" s="143" t="s">
        <v>81</v>
      </c>
      <c r="B355" s="18">
        <f t="shared" si="64"/>
        <v>4.423</v>
      </c>
      <c r="C355" s="49">
        <v>0</v>
      </c>
      <c r="D355" s="53">
        <v>0</v>
      </c>
      <c r="E355" s="53">
        <v>0</v>
      </c>
      <c r="F355" s="53">
        <v>0</v>
      </c>
      <c r="G355" s="18">
        <v>0</v>
      </c>
      <c r="H355" s="18">
        <v>0</v>
      </c>
      <c r="I355" s="18">
        <v>0</v>
      </c>
      <c r="J355" s="57">
        <v>3.7679999999999998</v>
      </c>
      <c r="K355" s="57">
        <v>0</v>
      </c>
      <c r="L355" s="53">
        <v>0</v>
      </c>
      <c r="M355" s="53">
        <v>0</v>
      </c>
      <c r="N355" s="53">
        <v>0</v>
      </c>
      <c r="O355" s="53">
        <v>0</v>
      </c>
      <c r="P355" s="53">
        <v>0</v>
      </c>
      <c r="Q355" s="53">
        <v>0</v>
      </c>
      <c r="R355" s="53">
        <v>0</v>
      </c>
      <c r="S355" s="53">
        <v>0</v>
      </c>
      <c r="T355" s="53">
        <v>0</v>
      </c>
      <c r="U355" s="53">
        <v>0</v>
      </c>
      <c r="V355" s="53">
        <v>0</v>
      </c>
      <c r="W355" s="688"/>
      <c r="X355" s="2327">
        <v>0.65500000000000003</v>
      </c>
      <c r="Y355" s="688"/>
      <c r="Z355" s="688"/>
      <c r="AA355" s="688"/>
      <c r="AB355" s="688"/>
      <c r="AC355" s="688"/>
      <c r="AD355" s="688"/>
      <c r="AE355" s="688"/>
      <c r="AF355" s="688" t="s">
        <v>111</v>
      </c>
      <c r="AG355" s="688" t="s">
        <v>111</v>
      </c>
      <c r="AH355" s="53">
        <f t="shared" si="65"/>
        <v>4.423</v>
      </c>
    </row>
    <row r="356" spans="1:34" ht="15">
      <c r="A356" s="143" t="s">
        <v>82</v>
      </c>
      <c r="B356" s="18">
        <f t="shared" si="64"/>
        <v>0</v>
      </c>
      <c r="C356" s="688" t="s">
        <v>111</v>
      </c>
      <c r="D356" s="688" t="s">
        <v>111</v>
      </c>
      <c r="E356" s="688" t="s">
        <v>111</v>
      </c>
      <c r="F356" s="688" t="s">
        <v>111</v>
      </c>
      <c r="G356" s="688" t="s">
        <v>111</v>
      </c>
      <c r="H356" s="688" t="s">
        <v>111</v>
      </c>
      <c r="I356" s="688" t="s">
        <v>111</v>
      </c>
      <c r="J356" s="688" t="s">
        <v>111</v>
      </c>
      <c r="K356" s="688" t="s">
        <v>111</v>
      </c>
      <c r="L356" s="688" t="s">
        <v>111</v>
      </c>
      <c r="M356" s="688" t="s">
        <v>111</v>
      </c>
      <c r="N356" s="688" t="s">
        <v>111</v>
      </c>
      <c r="O356" s="688" t="s">
        <v>111</v>
      </c>
      <c r="P356" s="688" t="s">
        <v>111</v>
      </c>
      <c r="Q356" s="688" t="s">
        <v>111</v>
      </c>
      <c r="R356" s="688" t="s">
        <v>111</v>
      </c>
      <c r="S356" s="688" t="s">
        <v>111</v>
      </c>
      <c r="T356" s="688" t="s">
        <v>111</v>
      </c>
      <c r="U356" s="688" t="s">
        <v>111</v>
      </c>
      <c r="V356" s="688" t="s">
        <v>111</v>
      </c>
      <c r="W356" s="688" t="s">
        <v>111</v>
      </c>
      <c r="X356" s="688" t="s">
        <v>111</v>
      </c>
      <c r="Y356" s="688" t="s">
        <v>111</v>
      </c>
      <c r="Z356" s="688" t="s">
        <v>111</v>
      </c>
      <c r="AA356" s="688" t="s">
        <v>111</v>
      </c>
      <c r="AB356" s="688" t="s">
        <v>111</v>
      </c>
      <c r="AC356" s="688" t="s">
        <v>111</v>
      </c>
      <c r="AD356" s="688" t="s">
        <v>111</v>
      </c>
      <c r="AE356" s="688" t="s">
        <v>111</v>
      </c>
      <c r="AF356" s="688" t="s">
        <v>111</v>
      </c>
      <c r="AG356" s="688" t="s">
        <v>111</v>
      </c>
      <c r="AH356" s="53">
        <f t="shared" si="65"/>
        <v>0</v>
      </c>
    </row>
    <row r="357" spans="1:34" ht="15">
      <c r="A357" s="149" t="s">
        <v>83</v>
      </c>
      <c r="B357" s="18">
        <f t="shared" si="64"/>
        <v>0</v>
      </c>
      <c r="C357" s="688" t="s">
        <v>111</v>
      </c>
      <c r="D357" s="688" t="s">
        <v>111</v>
      </c>
      <c r="E357" s="688" t="s">
        <v>111</v>
      </c>
      <c r="F357" s="688" t="s">
        <v>111</v>
      </c>
      <c r="G357" s="688" t="s">
        <v>111</v>
      </c>
      <c r="H357" s="688" t="s">
        <v>111</v>
      </c>
      <c r="I357" s="688" t="s">
        <v>111</v>
      </c>
      <c r="J357" s="688" t="s">
        <v>111</v>
      </c>
      <c r="K357" s="688" t="s">
        <v>111</v>
      </c>
      <c r="L357" s="688" t="s">
        <v>111</v>
      </c>
      <c r="M357" s="688" t="s">
        <v>111</v>
      </c>
      <c r="N357" s="688" t="s">
        <v>111</v>
      </c>
      <c r="O357" s="688" t="s">
        <v>111</v>
      </c>
      <c r="P357" s="688" t="s">
        <v>111</v>
      </c>
      <c r="Q357" s="688" t="s">
        <v>111</v>
      </c>
      <c r="R357" s="688" t="s">
        <v>111</v>
      </c>
      <c r="S357" s="688" t="s">
        <v>111</v>
      </c>
      <c r="T357" s="688" t="s">
        <v>111</v>
      </c>
      <c r="U357" s="688" t="s">
        <v>111</v>
      </c>
      <c r="V357" s="688" t="s">
        <v>111</v>
      </c>
      <c r="W357" s="688" t="s">
        <v>111</v>
      </c>
      <c r="X357" s="688" t="s">
        <v>111</v>
      </c>
      <c r="Y357" s="688" t="s">
        <v>111</v>
      </c>
      <c r="Z357" s="688" t="s">
        <v>111</v>
      </c>
      <c r="AA357" s="688" t="s">
        <v>111</v>
      </c>
      <c r="AB357" s="688" t="s">
        <v>111</v>
      </c>
      <c r="AC357" s="688" t="s">
        <v>111</v>
      </c>
      <c r="AD357" s="688" t="s">
        <v>111</v>
      </c>
      <c r="AE357" s="688" t="s">
        <v>111</v>
      </c>
      <c r="AF357" s="688" t="s">
        <v>111</v>
      </c>
      <c r="AG357" s="688" t="s">
        <v>111</v>
      </c>
      <c r="AH357" s="53">
        <f t="shared" si="65"/>
        <v>0</v>
      </c>
    </row>
    <row r="358" spans="1:34" ht="15">
      <c r="A358" s="149" t="s">
        <v>84</v>
      </c>
      <c r="B358" s="18">
        <f t="shared" si="64"/>
        <v>0</v>
      </c>
      <c r="C358" s="688" t="s">
        <v>111</v>
      </c>
      <c r="D358" s="688" t="s">
        <v>111</v>
      </c>
      <c r="E358" s="688" t="s">
        <v>111</v>
      </c>
      <c r="F358" s="688" t="s">
        <v>111</v>
      </c>
      <c r="G358" s="688" t="s">
        <v>111</v>
      </c>
      <c r="H358" s="688" t="s">
        <v>111</v>
      </c>
      <c r="I358" s="688" t="s">
        <v>111</v>
      </c>
      <c r="J358" s="688" t="s">
        <v>111</v>
      </c>
      <c r="K358" s="688" t="s">
        <v>111</v>
      </c>
      <c r="L358" s="688" t="s">
        <v>111</v>
      </c>
      <c r="M358" s="688" t="s">
        <v>111</v>
      </c>
      <c r="N358" s="688" t="s">
        <v>111</v>
      </c>
      <c r="O358" s="688" t="s">
        <v>111</v>
      </c>
      <c r="P358" s="688" t="s">
        <v>111</v>
      </c>
      <c r="Q358" s="688" t="s">
        <v>111</v>
      </c>
      <c r="R358" s="688" t="s">
        <v>111</v>
      </c>
      <c r="S358" s="688" t="s">
        <v>111</v>
      </c>
      <c r="T358" s="688" t="s">
        <v>111</v>
      </c>
      <c r="U358" s="688" t="s">
        <v>111</v>
      </c>
      <c r="V358" s="688" t="s">
        <v>111</v>
      </c>
      <c r="W358" s="688" t="s">
        <v>111</v>
      </c>
      <c r="X358" s="1287"/>
      <c r="Y358" s="1287"/>
      <c r="Z358" s="1287"/>
      <c r="AA358" s="1287"/>
      <c r="AB358" s="1287"/>
      <c r="AC358" s="1287"/>
      <c r="AD358" s="1287"/>
      <c r="AE358" s="1488"/>
      <c r="AF358" s="1287"/>
      <c r="AG358" s="1488"/>
      <c r="AH358" s="53">
        <f t="shared" si="65"/>
        <v>0</v>
      </c>
    </row>
    <row r="359" spans="1:34" ht="15">
      <c r="A359" s="149" t="s">
        <v>85</v>
      </c>
      <c r="B359" s="18">
        <f t="shared" si="64"/>
        <v>0</v>
      </c>
      <c r="C359" s="49"/>
      <c r="D359" s="18"/>
      <c r="E359" s="18"/>
      <c r="F359" s="18"/>
      <c r="G359" s="11"/>
      <c r="H359" s="18"/>
      <c r="I359" s="18"/>
      <c r="J359" s="18"/>
      <c r="K359" s="18"/>
      <c r="L359" s="18"/>
      <c r="M359" s="18"/>
      <c r="N359" s="18"/>
      <c r="O359" s="18"/>
      <c r="P359" s="18"/>
      <c r="Q359" s="18"/>
      <c r="R359" s="18"/>
      <c r="S359" s="18"/>
      <c r="T359" s="18"/>
      <c r="U359" s="18"/>
      <c r="V359" s="18"/>
      <c r="W359" s="18"/>
      <c r="X359" s="18"/>
      <c r="Y359" s="11"/>
      <c r="Z359" s="18"/>
      <c r="AA359" s="18"/>
      <c r="AB359" s="18"/>
      <c r="AC359" s="18"/>
      <c r="AD359" s="18"/>
      <c r="AE359" s="53"/>
      <c r="AF359" s="18"/>
      <c r="AG359" s="53"/>
      <c r="AH359" s="53">
        <f t="shared" si="65"/>
        <v>0</v>
      </c>
    </row>
    <row r="360" spans="1:34" ht="15">
      <c r="A360" s="149" t="s">
        <v>86</v>
      </c>
      <c r="B360" s="18">
        <f t="shared" si="64"/>
        <v>0</v>
      </c>
      <c r="C360" s="49"/>
      <c r="D360" s="18"/>
      <c r="E360" s="18"/>
      <c r="F360" s="18"/>
      <c r="G360" s="18"/>
      <c r="H360" s="18"/>
      <c r="I360" s="18"/>
      <c r="J360" s="18"/>
      <c r="K360" s="18"/>
      <c r="L360" s="18"/>
      <c r="M360" s="18"/>
      <c r="N360" s="18"/>
      <c r="O360" s="18"/>
      <c r="P360" s="1287"/>
      <c r="Q360" s="1287"/>
      <c r="R360" s="1287"/>
      <c r="S360" s="1287"/>
      <c r="T360" s="1287"/>
      <c r="U360" s="1287"/>
      <c r="V360" s="1287"/>
      <c r="W360" s="1287"/>
      <c r="X360" s="1287"/>
      <c r="Y360" s="1287"/>
      <c r="Z360" s="1287"/>
      <c r="AA360" s="1287"/>
      <c r="AB360" s="1287"/>
      <c r="AC360" s="1287"/>
      <c r="AD360" s="1287"/>
      <c r="AE360" s="1287"/>
      <c r="AF360" s="1287"/>
      <c r="AG360" s="1287"/>
      <c r="AH360" s="53">
        <f t="shared" si="65"/>
        <v>0</v>
      </c>
    </row>
    <row r="361" spans="1:34" ht="15">
      <c r="A361" s="88" t="s">
        <v>74</v>
      </c>
      <c r="B361" s="89">
        <f>SUM(B349:B360)</f>
        <v>123.36199999999999</v>
      </c>
      <c r="C361" s="46">
        <f>SUM(C349:C359)</f>
        <v>0</v>
      </c>
      <c r="D361" s="53">
        <f>SUM(D349:D359)</f>
        <v>0</v>
      </c>
      <c r="E361" s="53">
        <v>0</v>
      </c>
      <c r="F361" s="53">
        <f t="shared" ref="F361:AC361" si="66">SUM(F349:F359)</f>
        <v>0</v>
      </c>
      <c r="G361" s="53">
        <f t="shared" si="66"/>
        <v>3.6240000000000001</v>
      </c>
      <c r="H361" s="53">
        <f t="shared" si="66"/>
        <v>0</v>
      </c>
      <c r="I361" s="53">
        <f t="shared" si="66"/>
        <v>0</v>
      </c>
      <c r="J361" s="53">
        <f t="shared" si="66"/>
        <v>6.125</v>
      </c>
      <c r="K361" s="53">
        <f t="shared" si="66"/>
        <v>0</v>
      </c>
      <c r="L361" s="53">
        <f t="shared" si="66"/>
        <v>0</v>
      </c>
      <c r="M361" s="53">
        <f t="shared" si="66"/>
        <v>54.442999999999998</v>
      </c>
      <c r="N361" s="53">
        <f t="shared" si="66"/>
        <v>0.63500000000000001</v>
      </c>
      <c r="O361" s="53">
        <f t="shared" si="66"/>
        <v>2.444</v>
      </c>
      <c r="P361" s="53">
        <f t="shared" si="66"/>
        <v>0</v>
      </c>
      <c r="Q361" s="53">
        <f t="shared" si="66"/>
        <v>0</v>
      </c>
      <c r="R361" s="53">
        <f t="shared" si="66"/>
        <v>0</v>
      </c>
      <c r="S361" s="53">
        <f t="shared" si="66"/>
        <v>0</v>
      </c>
      <c r="T361" s="53">
        <f t="shared" si="66"/>
        <v>2.161</v>
      </c>
      <c r="U361" s="53">
        <f t="shared" si="66"/>
        <v>14.631</v>
      </c>
      <c r="V361" s="53">
        <f t="shared" si="66"/>
        <v>26.07</v>
      </c>
      <c r="W361" s="53">
        <f t="shared" si="66"/>
        <v>0</v>
      </c>
      <c r="X361" s="53">
        <f t="shared" si="66"/>
        <v>0.65500000000000003</v>
      </c>
      <c r="Y361" s="53">
        <f t="shared" si="66"/>
        <v>0</v>
      </c>
      <c r="Z361" s="53">
        <f t="shared" si="66"/>
        <v>0</v>
      </c>
      <c r="AA361" s="53">
        <f t="shared" si="66"/>
        <v>0</v>
      </c>
      <c r="AB361" s="53">
        <f t="shared" si="66"/>
        <v>10.116</v>
      </c>
      <c r="AC361" s="53">
        <f t="shared" si="66"/>
        <v>0</v>
      </c>
      <c r="AD361" s="53">
        <v>0</v>
      </c>
      <c r="AE361" s="53">
        <f>SUM(AE349:AE359)</f>
        <v>1.925</v>
      </c>
      <c r="AF361" s="53">
        <f>SUM(AF349:AF359)</f>
        <v>0</v>
      </c>
      <c r="AG361" s="53">
        <f>SUM(AG349:AG359)</f>
        <v>0</v>
      </c>
      <c r="AH361" s="46">
        <f>SUM(AH349:AH359)</f>
        <v>123.36199999999999</v>
      </c>
    </row>
    <row r="362" spans="1:34" ht="6" customHeight="1">
      <c r="A362" s="14"/>
      <c r="B362" s="14"/>
      <c r="C362" s="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
    </row>
    <row r="363" spans="1:34" ht="15">
      <c r="A363" s="3569" t="s">
        <v>127</v>
      </c>
      <c r="B363" s="3570"/>
      <c r="C363" s="3570"/>
      <c r="D363" s="3570"/>
      <c r="E363" s="3570"/>
      <c r="F363" s="3570"/>
      <c r="G363" s="3570"/>
      <c r="H363" s="3571"/>
      <c r="I363" s="1433"/>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row>
    <row r="364" spans="1:34" ht="15">
      <c r="A364" s="5" t="s">
        <v>72</v>
      </c>
      <c r="B364" s="5" t="s">
        <v>73</v>
      </c>
      <c r="C364" s="1249">
        <v>1</v>
      </c>
      <c r="D364" s="30">
        <v>2</v>
      </c>
      <c r="E364" s="30">
        <v>3</v>
      </c>
      <c r="F364" s="30">
        <v>4</v>
      </c>
      <c r="G364" s="30">
        <v>5</v>
      </c>
      <c r="H364" s="30">
        <v>6</v>
      </c>
      <c r="I364" s="30">
        <v>7</v>
      </c>
      <c r="J364" s="30">
        <v>8</v>
      </c>
      <c r="K364" s="30">
        <v>9</v>
      </c>
      <c r="L364" s="30">
        <v>10</v>
      </c>
      <c r="M364" s="30">
        <v>11</v>
      </c>
      <c r="N364" s="30">
        <v>12</v>
      </c>
      <c r="O364" s="30">
        <v>13</v>
      </c>
      <c r="P364" s="30">
        <v>14</v>
      </c>
      <c r="Q364" s="30">
        <v>15</v>
      </c>
      <c r="R364" s="30">
        <v>16</v>
      </c>
      <c r="S364" s="30">
        <v>17</v>
      </c>
      <c r="T364" s="30">
        <v>18</v>
      </c>
      <c r="U364" s="30">
        <v>19</v>
      </c>
      <c r="V364" s="30">
        <v>20</v>
      </c>
      <c r="W364" s="30">
        <v>21</v>
      </c>
      <c r="X364" s="30">
        <v>22</v>
      </c>
      <c r="Y364" s="30">
        <v>23</v>
      </c>
      <c r="Z364" s="30">
        <v>24</v>
      </c>
      <c r="AA364" s="30">
        <v>25</v>
      </c>
      <c r="AB364" s="30">
        <v>26</v>
      </c>
      <c r="AC364" s="30">
        <v>27</v>
      </c>
      <c r="AD364" s="30">
        <v>28</v>
      </c>
      <c r="AE364" s="30">
        <v>29</v>
      </c>
      <c r="AF364" s="30">
        <v>30</v>
      </c>
      <c r="AG364" s="30">
        <v>31</v>
      </c>
      <c r="AH364" s="39" t="s">
        <v>74</v>
      </c>
    </row>
    <row r="365" spans="1:34" ht="15">
      <c r="A365" s="148" t="s">
        <v>75</v>
      </c>
      <c r="B365" s="18">
        <f t="shared" ref="B365:B376" si="67">+AH365</f>
        <v>0</v>
      </c>
      <c r="C365" s="126" t="s">
        <v>111</v>
      </c>
      <c r="D365" s="126" t="s">
        <v>111</v>
      </c>
      <c r="E365" s="126" t="s">
        <v>111</v>
      </c>
      <c r="F365" s="126" t="s">
        <v>111</v>
      </c>
      <c r="G365" s="126" t="s">
        <v>111</v>
      </c>
      <c r="H365" s="126" t="s">
        <v>111</v>
      </c>
      <c r="I365" s="126" t="s">
        <v>111</v>
      </c>
      <c r="J365" s="126" t="s">
        <v>111</v>
      </c>
      <c r="K365" s="126" t="s">
        <v>111</v>
      </c>
      <c r="L365" s="126" t="s">
        <v>111</v>
      </c>
      <c r="M365" s="126" t="s">
        <v>111</v>
      </c>
      <c r="N365" s="126" t="s">
        <v>111</v>
      </c>
      <c r="O365" s="126" t="s">
        <v>111</v>
      </c>
      <c r="P365" s="126" t="s">
        <v>111</v>
      </c>
      <c r="Q365" s="126" t="s">
        <v>111</v>
      </c>
      <c r="R365" s="126" t="s">
        <v>111</v>
      </c>
      <c r="S365" s="126" t="s">
        <v>111</v>
      </c>
      <c r="T365" s="126" t="s">
        <v>111</v>
      </c>
      <c r="U365" s="126" t="s">
        <v>111</v>
      </c>
      <c r="V365" s="126" t="s">
        <v>111</v>
      </c>
      <c r="W365" s="126" t="s">
        <v>111</v>
      </c>
      <c r="X365" s="126" t="s">
        <v>111</v>
      </c>
      <c r="Y365" s="126" t="s">
        <v>111</v>
      </c>
      <c r="Z365" s="126" t="s">
        <v>111</v>
      </c>
      <c r="AA365" s="126" t="s">
        <v>111</v>
      </c>
      <c r="AB365" s="126" t="s">
        <v>111</v>
      </c>
      <c r="AC365" s="126" t="s">
        <v>111</v>
      </c>
      <c r="AD365" s="126" t="s">
        <v>111</v>
      </c>
      <c r="AE365" s="126" t="s">
        <v>111</v>
      </c>
      <c r="AF365" s="126" t="s">
        <v>111</v>
      </c>
      <c r="AG365" s="126" t="s">
        <v>111</v>
      </c>
      <c r="AH365" s="53">
        <f>SUM(C365:AG365)</f>
        <v>0</v>
      </c>
    </row>
    <row r="366" spans="1:34" ht="15">
      <c r="A366" s="148" t="s">
        <v>76</v>
      </c>
      <c r="B366" s="18">
        <f t="shared" si="67"/>
        <v>0</v>
      </c>
      <c r="C366" s="126" t="s">
        <v>111</v>
      </c>
      <c r="D366" s="126" t="s">
        <v>111</v>
      </c>
      <c r="E366" s="126" t="s">
        <v>111</v>
      </c>
      <c r="F366" s="126" t="s">
        <v>111</v>
      </c>
      <c r="G366" s="126" t="s">
        <v>111</v>
      </c>
      <c r="H366" s="126" t="s">
        <v>111</v>
      </c>
      <c r="I366" s="126" t="s">
        <v>111</v>
      </c>
      <c r="J366" s="127"/>
      <c r="K366" s="127"/>
      <c r="L366" s="127"/>
      <c r="M366" s="127"/>
      <c r="N366" s="127"/>
      <c r="O366" s="127"/>
      <c r="P366" s="127"/>
      <c r="Q366" s="127"/>
      <c r="R366" s="127"/>
      <c r="S366" s="127"/>
      <c r="T366" s="127"/>
      <c r="U366" s="127"/>
      <c r="V366" s="127"/>
      <c r="W366" s="127"/>
      <c r="X366" s="127"/>
      <c r="Y366" s="127"/>
      <c r="Z366" s="127"/>
      <c r="AA366" s="127"/>
      <c r="AB366" s="127"/>
      <c r="AC366" s="127"/>
      <c r="AD366" s="127"/>
      <c r="AE366" s="127"/>
      <c r="AF366" s="127"/>
      <c r="AG366" s="127"/>
      <c r="AH366" s="53">
        <f t="shared" ref="AH366:AH376" si="68">SUM(C366:AG366)</f>
        <v>0</v>
      </c>
    </row>
    <row r="367" spans="1:34" ht="15">
      <c r="A367" s="148" t="s">
        <v>77</v>
      </c>
      <c r="B367" s="18">
        <f t="shared" si="67"/>
        <v>0</v>
      </c>
      <c r="C367" s="127"/>
      <c r="D367" s="127"/>
      <c r="E367" s="127"/>
      <c r="F367" s="127"/>
      <c r="G367" s="127"/>
      <c r="H367" s="112"/>
      <c r="I367" s="112"/>
      <c r="J367" s="112"/>
      <c r="K367" s="112"/>
      <c r="L367" s="112"/>
      <c r="M367" s="112"/>
      <c r="N367" s="112"/>
      <c r="O367" s="112"/>
      <c r="P367" s="112"/>
      <c r="Q367" s="112"/>
      <c r="R367" s="112"/>
      <c r="S367" s="112"/>
      <c r="T367" s="112"/>
      <c r="U367" s="112"/>
      <c r="V367" s="112"/>
      <c r="W367" s="112"/>
      <c r="X367" s="112"/>
      <c r="Y367" s="112"/>
      <c r="Z367" s="112"/>
      <c r="AA367" s="112"/>
      <c r="AB367" s="112"/>
      <c r="AC367" s="1930"/>
      <c r="AD367" s="1930"/>
      <c r="AE367" s="1930"/>
      <c r="AF367" s="1930"/>
      <c r="AG367" s="1930"/>
      <c r="AH367" s="53">
        <f t="shared" si="68"/>
        <v>0</v>
      </c>
    </row>
    <row r="368" spans="1:34" ht="15">
      <c r="A368" s="148" t="s">
        <v>78</v>
      </c>
      <c r="B368" s="18">
        <f t="shared" si="67"/>
        <v>0</v>
      </c>
      <c r="C368" s="1930"/>
      <c r="D368" s="1930"/>
      <c r="E368" s="1930"/>
      <c r="F368" s="1930"/>
      <c r="G368" s="1930"/>
      <c r="H368" s="1930"/>
      <c r="I368" s="1930"/>
      <c r="J368" s="1930"/>
      <c r="K368" s="1930"/>
      <c r="L368" s="1287"/>
      <c r="M368" s="1287"/>
      <c r="N368" s="1287"/>
      <c r="O368" s="1287"/>
      <c r="P368" s="1287"/>
      <c r="Q368" s="1287"/>
      <c r="R368" s="1287"/>
      <c r="S368" s="1287"/>
      <c r="T368" s="1287"/>
      <c r="U368" s="1287"/>
      <c r="V368" s="1287"/>
      <c r="W368" s="1287"/>
      <c r="X368" s="1287"/>
      <c r="Y368" s="1287"/>
      <c r="Z368" s="1287"/>
      <c r="AA368" s="1287"/>
      <c r="AB368" s="1287"/>
      <c r="AC368" s="1287"/>
      <c r="AD368" s="1287"/>
      <c r="AE368" s="1287"/>
      <c r="AF368" s="1287"/>
      <c r="AG368" s="1287"/>
      <c r="AH368" s="53">
        <f t="shared" si="68"/>
        <v>0</v>
      </c>
    </row>
    <row r="369" spans="1:34" ht="15">
      <c r="A369" s="143" t="s">
        <v>79</v>
      </c>
      <c r="B369" s="18">
        <f t="shared" si="67"/>
        <v>0</v>
      </c>
      <c r="C369" s="1287"/>
      <c r="D369" s="1287"/>
      <c r="E369" s="1287"/>
      <c r="F369" s="1287"/>
      <c r="G369" s="1287"/>
      <c r="H369" s="1287"/>
      <c r="I369" s="1287"/>
      <c r="J369" s="1287"/>
      <c r="K369" s="1287"/>
      <c r="L369" s="1287"/>
      <c r="M369" s="1287"/>
      <c r="N369" s="1287"/>
      <c r="O369" s="1287"/>
      <c r="P369" s="1287"/>
      <c r="Q369" s="1287"/>
      <c r="R369" s="1287"/>
      <c r="S369" s="1287"/>
      <c r="T369" s="1287"/>
      <c r="U369" s="1287"/>
      <c r="V369" s="1287"/>
      <c r="W369" s="1287"/>
      <c r="X369" s="1287"/>
      <c r="Y369" s="1287"/>
      <c r="Z369" s="1287"/>
      <c r="AA369" s="1287"/>
      <c r="AB369" s="1287"/>
      <c r="AC369" s="1287"/>
      <c r="AD369" s="1287"/>
      <c r="AE369" s="1287"/>
      <c r="AF369" s="1287"/>
      <c r="AG369" s="1287"/>
      <c r="AH369" s="53">
        <f t="shared" si="68"/>
        <v>0</v>
      </c>
    </row>
    <row r="370" spans="1:34" ht="15">
      <c r="A370" s="143" t="s">
        <v>80</v>
      </c>
      <c r="B370" s="18">
        <f t="shared" si="67"/>
        <v>0</v>
      </c>
      <c r="C370" s="1287"/>
      <c r="D370" s="1287"/>
      <c r="E370" s="1287"/>
      <c r="F370" s="1287"/>
      <c r="G370" s="1287"/>
      <c r="H370" s="1287"/>
      <c r="I370" s="1287"/>
      <c r="J370" s="1287"/>
      <c r="K370" s="1287"/>
      <c r="L370" s="1287"/>
      <c r="M370" s="1287"/>
      <c r="N370" s="1287"/>
      <c r="O370" s="1287"/>
      <c r="P370" s="1287"/>
      <c r="Q370" s="1287"/>
      <c r="R370" s="1287"/>
      <c r="S370" s="1287"/>
      <c r="T370" s="1287"/>
      <c r="U370" s="1287"/>
      <c r="V370" s="1287"/>
      <c r="W370" s="1287"/>
      <c r="X370" s="1287"/>
      <c r="Y370" s="1287"/>
      <c r="Z370" s="1287"/>
      <c r="AA370" s="1287"/>
      <c r="AB370" s="1287"/>
      <c r="AC370" s="1287"/>
      <c r="AD370" s="1287"/>
      <c r="AE370" s="1287"/>
      <c r="AF370" s="1287"/>
      <c r="AG370" s="1287"/>
      <c r="AH370" s="53">
        <f t="shared" si="68"/>
        <v>0</v>
      </c>
    </row>
    <row r="371" spans="1:34" ht="15">
      <c r="A371" s="143" t="s">
        <v>81</v>
      </c>
      <c r="B371" s="18">
        <f t="shared" si="67"/>
        <v>0</v>
      </c>
      <c r="C371" s="1287"/>
      <c r="D371" s="1488"/>
      <c r="E371" s="1488"/>
      <c r="F371" s="1488"/>
      <c r="G371" s="1287"/>
      <c r="H371" s="1287"/>
      <c r="I371" s="1287"/>
      <c r="J371" s="2466"/>
      <c r="K371" s="2466"/>
      <c r="L371" s="1488"/>
      <c r="M371" s="1488"/>
      <c r="N371" s="1488"/>
      <c r="O371" s="1488"/>
      <c r="P371" s="1488"/>
      <c r="Q371" s="1488"/>
      <c r="R371" s="1488"/>
      <c r="S371" s="1488"/>
      <c r="T371" s="1488"/>
      <c r="U371" s="1488"/>
      <c r="V371" s="1488"/>
      <c r="W371" s="688"/>
      <c r="X371" s="688"/>
      <c r="Y371" s="688"/>
      <c r="Z371" s="688"/>
      <c r="AA371" s="688"/>
      <c r="AB371" s="688"/>
      <c r="AC371" s="688"/>
      <c r="AD371" s="688"/>
      <c r="AE371" s="688"/>
      <c r="AF371" s="688" t="s">
        <v>111</v>
      </c>
      <c r="AG371" s="688" t="s">
        <v>111</v>
      </c>
      <c r="AH371" s="53">
        <f t="shared" si="68"/>
        <v>0</v>
      </c>
    </row>
    <row r="372" spans="1:34" ht="15">
      <c r="A372" s="143" t="s">
        <v>82</v>
      </c>
      <c r="B372" s="18">
        <f t="shared" si="67"/>
        <v>0</v>
      </c>
      <c r="C372" s="688" t="s">
        <v>111</v>
      </c>
      <c r="D372" s="688" t="s">
        <v>111</v>
      </c>
      <c r="E372" s="688" t="s">
        <v>111</v>
      </c>
      <c r="F372" s="688" t="s">
        <v>111</v>
      </c>
      <c r="G372" s="688" t="s">
        <v>111</v>
      </c>
      <c r="H372" s="688" t="s">
        <v>111</v>
      </c>
      <c r="I372" s="688" t="s">
        <v>111</v>
      </c>
      <c r="J372" s="688" t="s">
        <v>111</v>
      </c>
      <c r="K372" s="688" t="s">
        <v>111</v>
      </c>
      <c r="L372" s="688" t="s">
        <v>111</v>
      </c>
      <c r="M372" s="688" t="s">
        <v>111</v>
      </c>
      <c r="N372" s="688" t="s">
        <v>111</v>
      </c>
      <c r="O372" s="688" t="s">
        <v>111</v>
      </c>
      <c r="P372" s="688" t="s">
        <v>111</v>
      </c>
      <c r="Q372" s="688" t="s">
        <v>111</v>
      </c>
      <c r="R372" s="688" t="s">
        <v>111</v>
      </c>
      <c r="S372" s="688" t="s">
        <v>111</v>
      </c>
      <c r="T372" s="688" t="s">
        <v>111</v>
      </c>
      <c r="U372" s="688" t="s">
        <v>111</v>
      </c>
      <c r="V372" s="688" t="s">
        <v>111</v>
      </c>
      <c r="W372" s="688" t="s">
        <v>111</v>
      </c>
      <c r="X372" s="688" t="s">
        <v>111</v>
      </c>
      <c r="Y372" s="688" t="s">
        <v>111</v>
      </c>
      <c r="Z372" s="688" t="s">
        <v>111</v>
      </c>
      <c r="AA372" s="688" t="s">
        <v>111</v>
      </c>
      <c r="AB372" s="688" t="s">
        <v>111</v>
      </c>
      <c r="AC372" s="688" t="s">
        <v>111</v>
      </c>
      <c r="AD372" s="688" t="s">
        <v>111</v>
      </c>
      <c r="AE372" s="688" t="s">
        <v>111</v>
      </c>
      <c r="AF372" s="688" t="s">
        <v>111</v>
      </c>
      <c r="AG372" s="688" t="s">
        <v>111</v>
      </c>
      <c r="AH372" s="53">
        <f t="shared" si="68"/>
        <v>0</v>
      </c>
    </row>
    <row r="373" spans="1:34" ht="15">
      <c r="A373" s="149" t="s">
        <v>83</v>
      </c>
      <c r="B373" s="18">
        <f t="shared" si="67"/>
        <v>0</v>
      </c>
      <c r="C373" s="688" t="s">
        <v>111</v>
      </c>
      <c r="D373" s="688" t="s">
        <v>111</v>
      </c>
      <c r="E373" s="688" t="s">
        <v>111</v>
      </c>
      <c r="F373" s="688" t="s">
        <v>111</v>
      </c>
      <c r="G373" s="688" t="s">
        <v>111</v>
      </c>
      <c r="H373" s="688" t="s">
        <v>111</v>
      </c>
      <c r="I373" s="688" t="s">
        <v>111</v>
      </c>
      <c r="J373" s="688" t="s">
        <v>111</v>
      </c>
      <c r="K373" s="688" t="s">
        <v>111</v>
      </c>
      <c r="L373" s="688" t="s">
        <v>111</v>
      </c>
      <c r="M373" s="688" t="s">
        <v>111</v>
      </c>
      <c r="N373" s="688" t="s">
        <v>111</v>
      </c>
      <c r="O373" s="688" t="s">
        <v>111</v>
      </c>
      <c r="P373" s="688" t="s">
        <v>111</v>
      </c>
      <c r="Q373" s="688" t="s">
        <v>111</v>
      </c>
      <c r="R373" s="688" t="s">
        <v>111</v>
      </c>
      <c r="S373" s="688" t="s">
        <v>111</v>
      </c>
      <c r="T373" s="688" t="s">
        <v>111</v>
      </c>
      <c r="U373" s="688" t="s">
        <v>111</v>
      </c>
      <c r="V373" s="688" t="s">
        <v>111</v>
      </c>
      <c r="W373" s="688" t="s">
        <v>111</v>
      </c>
      <c r="X373" s="688" t="s">
        <v>111</v>
      </c>
      <c r="Y373" s="688" t="s">
        <v>111</v>
      </c>
      <c r="Z373" s="688" t="s">
        <v>111</v>
      </c>
      <c r="AA373" s="688" t="s">
        <v>111</v>
      </c>
      <c r="AB373" s="688" t="s">
        <v>111</v>
      </c>
      <c r="AC373" s="688" t="s">
        <v>111</v>
      </c>
      <c r="AD373" s="688" t="s">
        <v>111</v>
      </c>
      <c r="AE373" s="688" t="s">
        <v>111</v>
      </c>
      <c r="AF373" s="688" t="s">
        <v>111</v>
      </c>
      <c r="AG373" s="688" t="s">
        <v>111</v>
      </c>
      <c r="AH373" s="53">
        <f t="shared" si="68"/>
        <v>0</v>
      </c>
    </row>
    <row r="374" spans="1:34" ht="15">
      <c r="A374" s="149" t="s">
        <v>84</v>
      </c>
      <c r="B374" s="18">
        <f t="shared" si="67"/>
        <v>0</v>
      </c>
      <c r="C374" s="688" t="s">
        <v>111</v>
      </c>
      <c r="D374" s="688" t="s">
        <v>111</v>
      </c>
      <c r="E374" s="688" t="s">
        <v>111</v>
      </c>
      <c r="F374" s="688" t="s">
        <v>111</v>
      </c>
      <c r="G374" s="688" t="s">
        <v>111</v>
      </c>
      <c r="H374" s="688" t="s">
        <v>111</v>
      </c>
      <c r="I374" s="688" t="s">
        <v>111</v>
      </c>
      <c r="J374" s="688" t="s">
        <v>111</v>
      </c>
      <c r="K374" s="688" t="s">
        <v>111</v>
      </c>
      <c r="L374" s="688" t="s">
        <v>111</v>
      </c>
      <c r="M374" s="688" t="s">
        <v>111</v>
      </c>
      <c r="N374" s="688" t="s">
        <v>111</v>
      </c>
      <c r="O374" s="688" t="s">
        <v>111</v>
      </c>
      <c r="P374" s="688" t="s">
        <v>111</v>
      </c>
      <c r="Q374" s="688" t="s">
        <v>111</v>
      </c>
      <c r="R374" s="688" t="s">
        <v>111</v>
      </c>
      <c r="S374" s="688" t="s">
        <v>111</v>
      </c>
      <c r="T374" s="688" t="s">
        <v>111</v>
      </c>
      <c r="U374" s="688" t="s">
        <v>111</v>
      </c>
      <c r="V374" s="688" t="s">
        <v>111</v>
      </c>
      <c r="W374" s="688" t="s">
        <v>111</v>
      </c>
      <c r="X374" s="1287"/>
      <c r="Y374" s="1287"/>
      <c r="Z374" s="1287"/>
      <c r="AA374" s="1287"/>
      <c r="AB374" s="1287"/>
      <c r="AC374" s="1287"/>
      <c r="AD374" s="1287"/>
      <c r="AE374" s="1488"/>
      <c r="AF374" s="1287"/>
      <c r="AG374" s="1488"/>
      <c r="AH374" s="53">
        <f t="shared" si="68"/>
        <v>0</v>
      </c>
    </row>
    <row r="375" spans="1:34" ht="15">
      <c r="A375" s="149" t="s">
        <v>85</v>
      </c>
      <c r="B375" s="18">
        <f t="shared" si="67"/>
        <v>0</v>
      </c>
      <c r="C375" s="49"/>
      <c r="D375" s="18"/>
      <c r="E375" s="18"/>
      <c r="F375" s="18"/>
      <c r="G375" s="11"/>
      <c r="H375" s="18"/>
      <c r="I375" s="18"/>
      <c r="J375" s="18"/>
      <c r="K375" s="18"/>
      <c r="L375" s="18"/>
      <c r="M375" s="18"/>
      <c r="N375" s="18"/>
      <c r="O375" s="18"/>
      <c r="P375" s="18"/>
      <c r="Q375" s="18"/>
      <c r="R375" s="18"/>
      <c r="S375" s="18"/>
      <c r="T375" s="18"/>
      <c r="U375" s="18"/>
      <c r="V375" s="18"/>
      <c r="W375" s="18"/>
      <c r="X375" s="18"/>
      <c r="Y375" s="11"/>
      <c r="Z375" s="18"/>
      <c r="AA375" s="18"/>
      <c r="AB375" s="18"/>
      <c r="AC375" s="18"/>
      <c r="AD375" s="18"/>
      <c r="AE375" s="53"/>
      <c r="AF375" s="18"/>
      <c r="AG375" s="53"/>
      <c r="AH375" s="53">
        <f t="shared" si="68"/>
        <v>0</v>
      </c>
    </row>
    <row r="376" spans="1:34" ht="15">
      <c r="A376" s="149" t="s">
        <v>86</v>
      </c>
      <c r="B376" s="18">
        <f t="shared" si="67"/>
        <v>0</v>
      </c>
      <c r="C376" s="49"/>
      <c r="D376" s="18"/>
      <c r="E376" s="18"/>
      <c r="F376" s="18"/>
      <c r="G376" s="18"/>
      <c r="H376" s="18"/>
      <c r="I376" s="18"/>
      <c r="J376" s="18"/>
      <c r="K376" s="18"/>
      <c r="L376" s="18"/>
      <c r="M376" s="18"/>
      <c r="N376" s="18"/>
      <c r="O376" s="18"/>
      <c r="P376" s="1287"/>
      <c r="Q376" s="1287"/>
      <c r="R376" s="1287"/>
      <c r="S376" s="1287"/>
      <c r="T376" s="1287"/>
      <c r="U376" s="1287"/>
      <c r="V376" s="1287"/>
      <c r="W376" s="1287"/>
      <c r="X376" s="1287"/>
      <c r="Y376" s="1287"/>
      <c r="Z376" s="1287"/>
      <c r="AA376" s="1287"/>
      <c r="AB376" s="1287"/>
      <c r="AC376" s="1287"/>
      <c r="AD376" s="1287"/>
      <c r="AE376" s="1287"/>
      <c r="AF376" s="1287"/>
      <c r="AG376" s="1287"/>
      <c r="AH376" s="53">
        <f t="shared" si="68"/>
        <v>0</v>
      </c>
    </row>
    <row r="377" spans="1:34" ht="15">
      <c r="A377" s="88" t="s">
        <v>74</v>
      </c>
      <c r="B377" s="89">
        <f>SUM(B365:B376)</f>
        <v>0</v>
      </c>
      <c r="C377" s="46">
        <f>SUM(C365:C375)</f>
        <v>0</v>
      </c>
      <c r="D377" s="53">
        <f>SUM(D365:D375)</f>
        <v>0</v>
      </c>
      <c r="E377" s="53">
        <v>0</v>
      </c>
      <c r="F377" s="53">
        <f t="shared" ref="F377:AC377" si="69">SUM(F365:F375)</f>
        <v>0</v>
      </c>
      <c r="G377" s="53">
        <f t="shared" si="69"/>
        <v>0</v>
      </c>
      <c r="H377" s="53">
        <f t="shared" si="69"/>
        <v>0</v>
      </c>
      <c r="I377" s="53">
        <f t="shared" si="69"/>
        <v>0</v>
      </c>
      <c r="J377" s="53">
        <f t="shared" si="69"/>
        <v>0</v>
      </c>
      <c r="K377" s="53">
        <f t="shared" si="69"/>
        <v>0</v>
      </c>
      <c r="L377" s="53">
        <f t="shared" si="69"/>
        <v>0</v>
      </c>
      <c r="M377" s="53">
        <f t="shared" si="69"/>
        <v>0</v>
      </c>
      <c r="N377" s="53">
        <f t="shared" si="69"/>
        <v>0</v>
      </c>
      <c r="O377" s="53">
        <f t="shared" si="69"/>
        <v>0</v>
      </c>
      <c r="P377" s="53">
        <f t="shared" si="69"/>
        <v>0</v>
      </c>
      <c r="Q377" s="53">
        <f t="shared" si="69"/>
        <v>0</v>
      </c>
      <c r="R377" s="53">
        <f t="shared" si="69"/>
        <v>0</v>
      </c>
      <c r="S377" s="53">
        <f t="shared" si="69"/>
        <v>0</v>
      </c>
      <c r="T377" s="53">
        <f t="shared" si="69"/>
        <v>0</v>
      </c>
      <c r="U377" s="53">
        <f t="shared" si="69"/>
        <v>0</v>
      </c>
      <c r="V377" s="53">
        <f t="shared" si="69"/>
        <v>0</v>
      </c>
      <c r="W377" s="53">
        <f t="shared" si="69"/>
        <v>0</v>
      </c>
      <c r="X377" s="53">
        <f t="shared" si="69"/>
        <v>0</v>
      </c>
      <c r="Y377" s="53">
        <f t="shared" si="69"/>
        <v>0</v>
      </c>
      <c r="Z377" s="53">
        <f t="shared" si="69"/>
        <v>0</v>
      </c>
      <c r="AA377" s="53">
        <f t="shared" si="69"/>
        <v>0</v>
      </c>
      <c r="AB377" s="53">
        <f t="shared" si="69"/>
        <v>0</v>
      </c>
      <c r="AC377" s="53">
        <f t="shared" si="69"/>
        <v>0</v>
      </c>
      <c r="AD377" s="53">
        <v>0</v>
      </c>
      <c r="AE377" s="53">
        <f>SUM(AE365:AE375)</f>
        <v>0</v>
      </c>
      <c r="AF377" s="53">
        <f>SUM(AF365:AF375)</f>
        <v>0</v>
      </c>
      <c r="AG377" s="53">
        <f>SUM(AG365:AG375)</f>
        <v>0</v>
      </c>
      <c r="AH377" s="46">
        <f>SUM(AH365:AH375)</f>
        <v>0</v>
      </c>
    </row>
    <row r="378" spans="1:34" ht="6.75" customHeight="1">
      <c r="A378" s="14"/>
      <c r="B378" s="14"/>
      <c r="C378" s="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
    </row>
    <row r="379" spans="1:34" ht="15">
      <c r="A379" s="3569" t="s">
        <v>129</v>
      </c>
      <c r="B379" s="3570"/>
      <c r="C379" s="3570"/>
      <c r="D379" s="3570"/>
      <c r="E379" s="3570"/>
      <c r="F379" s="3570"/>
      <c r="G379" s="3570"/>
      <c r="H379" s="3571"/>
      <c r="I379" s="1433"/>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row>
    <row r="380" spans="1:34" ht="15">
      <c r="A380" s="5" t="s">
        <v>72</v>
      </c>
      <c r="B380" s="5" t="s">
        <v>73</v>
      </c>
      <c r="C380" s="1249">
        <v>1</v>
      </c>
      <c r="D380" s="30">
        <v>2</v>
      </c>
      <c r="E380" s="30">
        <v>3</v>
      </c>
      <c r="F380" s="30">
        <v>4</v>
      </c>
      <c r="G380" s="30">
        <v>5</v>
      </c>
      <c r="H380" s="30">
        <v>6</v>
      </c>
      <c r="I380" s="30">
        <v>7</v>
      </c>
      <c r="J380" s="30">
        <v>8</v>
      </c>
      <c r="K380" s="30">
        <v>9</v>
      </c>
      <c r="L380" s="30">
        <v>10</v>
      </c>
      <c r="M380" s="30">
        <v>11</v>
      </c>
      <c r="N380" s="30">
        <v>12</v>
      </c>
      <c r="O380" s="30">
        <v>13</v>
      </c>
      <c r="P380" s="30">
        <v>14</v>
      </c>
      <c r="Q380" s="30">
        <v>15</v>
      </c>
      <c r="R380" s="30">
        <v>16</v>
      </c>
      <c r="S380" s="30">
        <v>17</v>
      </c>
      <c r="T380" s="30">
        <v>18</v>
      </c>
      <c r="U380" s="30">
        <v>19</v>
      </c>
      <c r="V380" s="30">
        <v>20</v>
      </c>
      <c r="W380" s="30">
        <v>21</v>
      </c>
      <c r="X380" s="30">
        <v>22</v>
      </c>
      <c r="Y380" s="30">
        <v>23</v>
      </c>
      <c r="Z380" s="30">
        <v>24</v>
      </c>
      <c r="AA380" s="30">
        <v>25</v>
      </c>
      <c r="AB380" s="30">
        <v>26</v>
      </c>
      <c r="AC380" s="30">
        <v>27</v>
      </c>
      <c r="AD380" s="30">
        <v>28</v>
      </c>
      <c r="AE380" s="30">
        <v>29</v>
      </c>
      <c r="AF380" s="30">
        <v>30</v>
      </c>
      <c r="AG380" s="30">
        <v>31</v>
      </c>
      <c r="AH380" s="39" t="s">
        <v>74</v>
      </c>
    </row>
    <row r="381" spans="1:34" ht="15">
      <c r="A381" s="148" t="s">
        <v>75</v>
      </c>
      <c r="B381" s="18">
        <f t="shared" ref="B381:B392" si="70">+AH381</f>
        <v>0</v>
      </c>
      <c r="C381" s="126" t="s">
        <v>111</v>
      </c>
      <c r="D381" s="126" t="s">
        <v>111</v>
      </c>
      <c r="E381" s="126" t="s">
        <v>111</v>
      </c>
      <c r="F381" s="126" t="s">
        <v>111</v>
      </c>
      <c r="G381" s="126" t="s">
        <v>111</v>
      </c>
      <c r="H381" s="126" t="s">
        <v>111</v>
      </c>
      <c r="I381" s="126" t="s">
        <v>111</v>
      </c>
      <c r="J381" s="126" t="s">
        <v>111</v>
      </c>
      <c r="K381" s="126" t="s">
        <v>111</v>
      </c>
      <c r="L381" s="126" t="s">
        <v>111</v>
      </c>
      <c r="M381" s="126" t="s">
        <v>111</v>
      </c>
      <c r="N381" s="126" t="s">
        <v>111</v>
      </c>
      <c r="O381" s="126" t="s">
        <v>111</v>
      </c>
      <c r="P381" s="126" t="s">
        <v>111</v>
      </c>
      <c r="Q381" s="126" t="s">
        <v>111</v>
      </c>
      <c r="R381" s="126" t="s">
        <v>111</v>
      </c>
      <c r="S381" s="126" t="s">
        <v>111</v>
      </c>
      <c r="T381" s="126" t="s">
        <v>111</v>
      </c>
      <c r="U381" s="126" t="s">
        <v>111</v>
      </c>
      <c r="V381" s="126" t="s">
        <v>111</v>
      </c>
      <c r="W381" s="126" t="s">
        <v>111</v>
      </c>
      <c r="X381" s="126" t="s">
        <v>111</v>
      </c>
      <c r="Y381" s="126" t="s">
        <v>111</v>
      </c>
      <c r="Z381" s="126" t="s">
        <v>111</v>
      </c>
      <c r="AA381" s="126" t="s">
        <v>111</v>
      </c>
      <c r="AB381" s="126" t="s">
        <v>111</v>
      </c>
      <c r="AC381" s="126" t="s">
        <v>111</v>
      </c>
      <c r="AD381" s="126" t="s">
        <v>111</v>
      </c>
      <c r="AE381" s="126" t="s">
        <v>111</v>
      </c>
      <c r="AF381" s="126" t="s">
        <v>111</v>
      </c>
      <c r="AG381" s="126" t="s">
        <v>111</v>
      </c>
      <c r="AH381" s="53">
        <f>SUM(C381:AG381)</f>
        <v>0</v>
      </c>
    </row>
    <row r="382" spans="1:34" ht="15">
      <c r="A382" s="148" t="s">
        <v>76</v>
      </c>
      <c r="B382" s="18">
        <f t="shared" si="70"/>
        <v>0</v>
      </c>
      <c r="C382" s="126" t="s">
        <v>111</v>
      </c>
      <c r="D382" s="126" t="s">
        <v>111</v>
      </c>
      <c r="E382" s="126" t="s">
        <v>111</v>
      </c>
      <c r="F382" s="126" t="s">
        <v>111</v>
      </c>
      <c r="G382" s="126" t="s">
        <v>111</v>
      </c>
      <c r="H382" s="126" t="s">
        <v>111</v>
      </c>
      <c r="I382" s="126" t="s">
        <v>111</v>
      </c>
      <c r="J382" s="127"/>
      <c r="K382" s="127"/>
      <c r="L382" s="127"/>
      <c r="M382" s="127"/>
      <c r="N382" s="127"/>
      <c r="O382" s="127"/>
      <c r="P382" s="127"/>
      <c r="Q382" s="127"/>
      <c r="R382" s="127"/>
      <c r="S382" s="127"/>
      <c r="T382" s="127"/>
      <c r="U382" s="127"/>
      <c r="V382" s="127"/>
      <c r="W382" s="127"/>
      <c r="X382" s="127"/>
      <c r="Y382" s="127"/>
      <c r="Z382" s="127"/>
      <c r="AA382" s="127"/>
      <c r="AB382" s="127"/>
      <c r="AC382" s="127"/>
      <c r="AD382" s="127"/>
      <c r="AE382" s="127"/>
      <c r="AF382" s="127"/>
      <c r="AG382" s="127"/>
      <c r="AH382" s="53">
        <f t="shared" ref="AH382:AH392" si="71">SUM(C382:AG382)</f>
        <v>0</v>
      </c>
    </row>
    <row r="383" spans="1:34" ht="15">
      <c r="A383" s="148" t="s">
        <v>77</v>
      </c>
      <c r="B383" s="18">
        <f t="shared" si="70"/>
        <v>0</v>
      </c>
      <c r="C383" s="127"/>
      <c r="D383" s="127"/>
      <c r="E383" s="127"/>
      <c r="F383" s="127"/>
      <c r="G383" s="127"/>
      <c r="H383" s="112"/>
      <c r="I383" s="112"/>
      <c r="J383" s="112"/>
      <c r="K383" s="112"/>
      <c r="L383" s="112"/>
      <c r="M383" s="112"/>
      <c r="N383" s="112"/>
      <c r="O383" s="112"/>
      <c r="P383" s="112"/>
      <c r="Q383" s="112"/>
      <c r="R383" s="112"/>
      <c r="S383" s="112"/>
      <c r="T383" s="112"/>
      <c r="U383" s="112"/>
      <c r="V383" s="112"/>
      <c r="W383" s="112"/>
      <c r="X383" s="112"/>
      <c r="Y383" s="112"/>
      <c r="Z383" s="112"/>
      <c r="AA383" s="112"/>
      <c r="AB383" s="112"/>
      <c r="AC383" s="1930"/>
      <c r="AD383" s="1930"/>
      <c r="AE383" s="1930"/>
      <c r="AF383" s="1930"/>
      <c r="AG383" s="1930"/>
      <c r="AH383" s="53">
        <f t="shared" si="71"/>
        <v>0</v>
      </c>
    </row>
    <row r="384" spans="1:34" ht="15">
      <c r="A384" s="148" t="s">
        <v>78</v>
      </c>
      <c r="B384" s="18">
        <f t="shared" si="70"/>
        <v>0</v>
      </c>
      <c r="C384" s="1930"/>
      <c r="D384" s="1930"/>
      <c r="E384" s="1930"/>
      <c r="F384" s="1930"/>
      <c r="G384" s="1930"/>
      <c r="H384" s="1930"/>
      <c r="I384" s="1930"/>
      <c r="J384" s="1930"/>
      <c r="K384" s="1930"/>
      <c r="L384" s="1287"/>
      <c r="M384" s="1287"/>
      <c r="N384" s="1287"/>
      <c r="O384" s="1287"/>
      <c r="P384" s="1287"/>
      <c r="Q384" s="1287"/>
      <c r="R384" s="1287"/>
      <c r="S384" s="1287"/>
      <c r="T384" s="1287"/>
      <c r="U384" s="1287"/>
      <c r="V384" s="1287"/>
      <c r="W384" s="1287"/>
      <c r="X384" s="1287"/>
      <c r="Y384" s="1287"/>
      <c r="Z384" s="1287"/>
      <c r="AA384" s="1287"/>
      <c r="AB384" s="1287"/>
      <c r="AC384" s="1287"/>
      <c r="AD384" s="1287"/>
      <c r="AE384" s="1287"/>
      <c r="AF384" s="1287"/>
      <c r="AG384" s="1287"/>
      <c r="AH384" s="53">
        <f t="shared" si="71"/>
        <v>0</v>
      </c>
    </row>
    <row r="385" spans="1:34" ht="15">
      <c r="A385" s="143" t="s">
        <v>79</v>
      </c>
      <c r="B385" s="18">
        <f t="shared" si="70"/>
        <v>0</v>
      </c>
      <c r="C385" s="1287"/>
      <c r="D385" s="1287"/>
      <c r="E385" s="1287"/>
      <c r="F385" s="1287"/>
      <c r="G385" s="1287"/>
      <c r="H385" s="1287"/>
      <c r="I385" s="1287"/>
      <c r="J385" s="1287"/>
      <c r="K385" s="1287"/>
      <c r="L385" s="1287"/>
      <c r="M385" s="1287"/>
      <c r="N385" s="1287"/>
      <c r="O385" s="1287"/>
      <c r="P385" s="1287"/>
      <c r="Q385" s="1287"/>
      <c r="R385" s="1287"/>
      <c r="S385" s="1287"/>
      <c r="T385" s="1287"/>
      <c r="U385" s="1287"/>
      <c r="V385" s="1287"/>
      <c r="W385" s="1287"/>
      <c r="X385" s="1287"/>
      <c r="Y385" s="1287"/>
      <c r="Z385" s="1287"/>
      <c r="AA385" s="1287"/>
      <c r="AB385" s="1287"/>
      <c r="AC385" s="1287"/>
      <c r="AD385" s="1287"/>
      <c r="AE385" s="1287"/>
      <c r="AF385" s="1287"/>
      <c r="AG385" s="1287"/>
      <c r="AH385" s="53">
        <f t="shared" si="71"/>
        <v>0</v>
      </c>
    </row>
    <row r="386" spans="1:34" ht="15">
      <c r="A386" s="143" t="s">
        <v>80</v>
      </c>
      <c r="B386" s="18">
        <f t="shared" si="70"/>
        <v>0</v>
      </c>
      <c r="C386" s="1287"/>
      <c r="D386" s="1287"/>
      <c r="E386" s="1287"/>
      <c r="F386" s="1287"/>
      <c r="G386" s="1287"/>
      <c r="H386" s="1287"/>
      <c r="I386" s="1287"/>
      <c r="J386" s="1287"/>
      <c r="K386" s="1287"/>
      <c r="L386" s="1287"/>
      <c r="M386" s="1287"/>
      <c r="N386" s="1287"/>
      <c r="O386" s="1287"/>
      <c r="P386" s="1287"/>
      <c r="Q386" s="1287"/>
      <c r="R386" s="1287"/>
      <c r="S386" s="1287"/>
      <c r="T386" s="1287"/>
      <c r="U386" s="1287"/>
      <c r="V386" s="1287"/>
      <c r="W386" s="1287"/>
      <c r="X386" s="1287"/>
      <c r="Y386" s="1287"/>
      <c r="Z386" s="1287"/>
      <c r="AA386" s="1287"/>
      <c r="AB386" s="1287"/>
      <c r="AC386" s="1287"/>
      <c r="AD386" s="1287"/>
      <c r="AE386" s="1287"/>
      <c r="AF386" s="1287"/>
      <c r="AG386" s="1287"/>
      <c r="AH386" s="53">
        <f t="shared" si="71"/>
        <v>0</v>
      </c>
    </row>
    <row r="387" spans="1:34" ht="15">
      <c r="A387" s="143" t="s">
        <v>81</v>
      </c>
      <c r="B387" s="18">
        <f t="shared" si="70"/>
        <v>0</v>
      </c>
      <c r="C387" s="1287"/>
      <c r="D387" s="1488"/>
      <c r="E387" s="1488"/>
      <c r="F387" s="1488"/>
      <c r="G387" s="1287"/>
      <c r="H387" s="1287"/>
      <c r="I387" s="1287"/>
      <c r="J387" s="2466"/>
      <c r="K387" s="2466"/>
      <c r="L387" s="1488"/>
      <c r="M387" s="1488"/>
      <c r="N387" s="1488"/>
      <c r="O387" s="1488"/>
      <c r="P387" s="1488"/>
      <c r="Q387" s="1488"/>
      <c r="R387" s="1488"/>
      <c r="S387" s="1488"/>
      <c r="T387" s="1488"/>
      <c r="U387" s="1488"/>
      <c r="V387" s="1488"/>
      <c r="W387" s="688"/>
      <c r="X387" s="688"/>
      <c r="Y387" s="688"/>
      <c r="Z387" s="688"/>
      <c r="AA387" s="688"/>
      <c r="AB387" s="688"/>
      <c r="AC387" s="688"/>
      <c r="AD387" s="688"/>
      <c r="AE387" s="688"/>
      <c r="AF387" s="688" t="s">
        <v>111</v>
      </c>
      <c r="AG387" s="688" t="s">
        <v>111</v>
      </c>
      <c r="AH387" s="53">
        <f t="shared" si="71"/>
        <v>0</v>
      </c>
    </row>
    <row r="388" spans="1:34" ht="15">
      <c r="A388" s="143" t="s">
        <v>82</v>
      </c>
      <c r="B388" s="18">
        <f t="shared" si="70"/>
        <v>0</v>
      </c>
      <c r="C388" s="688" t="s">
        <v>111</v>
      </c>
      <c r="D388" s="688" t="s">
        <v>111</v>
      </c>
      <c r="E388" s="688" t="s">
        <v>111</v>
      </c>
      <c r="F388" s="688" t="s">
        <v>111</v>
      </c>
      <c r="G388" s="688" t="s">
        <v>111</v>
      </c>
      <c r="H388" s="688" t="s">
        <v>111</v>
      </c>
      <c r="I388" s="688" t="s">
        <v>111</v>
      </c>
      <c r="J388" s="688" t="s">
        <v>111</v>
      </c>
      <c r="K388" s="688" t="s">
        <v>111</v>
      </c>
      <c r="L388" s="688" t="s">
        <v>111</v>
      </c>
      <c r="M388" s="688" t="s">
        <v>111</v>
      </c>
      <c r="N388" s="688" t="s">
        <v>111</v>
      </c>
      <c r="O388" s="688" t="s">
        <v>111</v>
      </c>
      <c r="P388" s="688" t="s">
        <v>111</v>
      </c>
      <c r="Q388" s="688" t="s">
        <v>111</v>
      </c>
      <c r="R388" s="688" t="s">
        <v>111</v>
      </c>
      <c r="S388" s="688" t="s">
        <v>111</v>
      </c>
      <c r="T388" s="688" t="s">
        <v>111</v>
      </c>
      <c r="U388" s="688" t="s">
        <v>111</v>
      </c>
      <c r="V388" s="688" t="s">
        <v>111</v>
      </c>
      <c r="W388" s="688" t="s">
        <v>111</v>
      </c>
      <c r="X388" s="688" t="s">
        <v>111</v>
      </c>
      <c r="Y388" s="688" t="s">
        <v>111</v>
      </c>
      <c r="Z388" s="688" t="s">
        <v>111</v>
      </c>
      <c r="AA388" s="688" t="s">
        <v>111</v>
      </c>
      <c r="AB388" s="688" t="s">
        <v>111</v>
      </c>
      <c r="AC388" s="688" t="s">
        <v>111</v>
      </c>
      <c r="AD388" s="688" t="s">
        <v>111</v>
      </c>
      <c r="AE388" s="688" t="s">
        <v>111</v>
      </c>
      <c r="AF388" s="688" t="s">
        <v>111</v>
      </c>
      <c r="AG388" s="688" t="s">
        <v>111</v>
      </c>
      <c r="AH388" s="53">
        <f t="shared" si="71"/>
        <v>0</v>
      </c>
    </row>
    <row r="389" spans="1:34" ht="15">
      <c r="A389" s="149" t="s">
        <v>83</v>
      </c>
      <c r="B389" s="18">
        <f t="shared" si="70"/>
        <v>0</v>
      </c>
      <c r="C389" s="688" t="s">
        <v>111</v>
      </c>
      <c r="D389" s="688" t="s">
        <v>111</v>
      </c>
      <c r="E389" s="688" t="s">
        <v>111</v>
      </c>
      <c r="F389" s="688" t="s">
        <v>111</v>
      </c>
      <c r="G389" s="688" t="s">
        <v>111</v>
      </c>
      <c r="H389" s="688" t="s">
        <v>111</v>
      </c>
      <c r="I389" s="688" t="s">
        <v>111</v>
      </c>
      <c r="J389" s="688" t="s">
        <v>111</v>
      </c>
      <c r="K389" s="688" t="s">
        <v>111</v>
      </c>
      <c r="L389" s="688" t="s">
        <v>111</v>
      </c>
      <c r="M389" s="688" t="s">
        <v>111</v>
      </c>
      <c r="N389" s="688" t="s">
        <v>111</v>
      </c>
      <c r="O389" s="688" t="s">
        <v>111</v>
      </c>
      <c r="P389" s="688" t="s">
        <v>111</v>
      </c>
      <c r="Q389" s="688" t="s">
        <v>111</v>
      </c>
      <c r="R389" s="688" t="s">
        <v>111</v>
      </c>
      <c r="S389" s="688" t="s">
        <v>111</v>
      </c>
      <c r="T389" s="688" t="s">
        <v>111</v>
      </c>
      <c r="U389" s="688" t="s">
        <v>111</v>
      </c>
      <c r="V389" s="688" t="s">
        <v>111</v>
      </c>
      <c r="W389" s="688" t="s">
        <v>111</v>
      </c>
      <c r="X389" s="688" t="s">
        <v>111</v>
      </c>
      <c r="Y389" s="688" t="s">
        <v>111</v>
      </c>
      <c r="Z389" s="688" t="s">
        <v>111</v>
      </c>
      <c r="AA389" s="688" t="s">
        <v>111</v>
      </c>
      <c r="AB389" s="688" t="s">
        <v>111</v>
      </c>
      <c r="AC389" s="688" t="s">
        <v>111</v>
      </c>
      <c r="AD389" s="688" t="s">
        <v>111</v>
      </c>
      <c r="AE389" s="688" t="s">
        <v>111</v>
      </c>
      <c r="AF389" s="688" t="s">
        <v>111</v>
      </c>
      <c r="AG389" s="688" t="s">
        <v>111</v>
      </c>
      <c r="AH389" s="53">
        <f t="shared" si="71"/>
        <v>0</v>
      </c>
    </row>
    <row r="390" spans="1:34" ht="15">
      <c r="A390" s="149" t="s">
        <v>84</v>
      </c>
      <c r="B390" s="18">
        <f t="shared" si="70"/>
        <v>0</v>
      </c>
      <c r="C390" s="688" t="s">
        <v>111</v>
      </c>
      <c r="D390" s="688" t="s">
        <v>111</v>
      </c>
      <c r="E390" s="688" t="s">
        <v>111</v>
      </c>
      <c r="F390" s="688" t="s">
        <v>111</v>
      </c>
      <c r="G390" s="688" t="s">
        <v>111</v>
      </c>
      <c r="H390" s="688" t="s">
        <v>111</v>
      </c>
      <c r="I390" s="688" t="s">
        <v>111</v>
      </c>
      <c r="J390" s="688" t="s">
        <v>111</v>
      </c>
      <c r="K390" s="688" t="s">
        <v>111</v>
      </c>
      <c r="L390" s="688" t="s">
        <v>111</v>
      </c>
      <c r="M390" s="688" t="s">
        <v>111</v>
      </c>
      <c r="N390" s="688" t="s">
        <v>111</v>
      </c>
      <c r="O390" s="688" t="s">
        <v>111</v>
      </c>
      <c r="P390" s="688" t="s">
        <v>111</v>
      </c>
      <c r="Q390" s="688" t="s">
        <v>111</v>
      </c>
      <c r="R390" s="688" t="s">
        <v>111</v>
      </c>
      <c r="S390" s="688" t="s">
        <v>111</v>
      </c>
      <c r="T390" s="688" t="s">
        <v>111</v>
      </c>
      <c r="U390" s="688" t="s">
        <v>111</v>
      </c>
      <c r="V390" s="688" t="s">
        <v>111</v>
      </c>
      <c r="W390" s="688" t="s">
        <v>111</v>
      </c>
      <c r="X390" s="1287"/>
      <c r="Y390" s="1287"/>
      <c r="Z390" s="1287"/>
      <c r="AA390" s="1287"/>
      <c r="AB390" s="1287"/>
      <c r="AC390" s="1287"/>
      <c r="AD390" s="1287"/>
      <c r="AE390" s="1488"/>
      <c r="AF390" s="1287"/>
      <c r="AG390" s="1488"/>
      <c r="AH390" s="53">
        <f t="shared" si="71"/>
        <v>0</v>
      </c>
    </row>
    <row r="391" spans="1:34" ht="15">
      <c r="A391" s="149" t="s">
        <v>85</v>
      </c>
      <c r="B391" s="18">
        <f t="shared" si="70"/>
        <v>0</v>
      </c>
      <c r="C391" s="49"/>
      <c r="D391" s="18"/>
      <c r="E391" s="18"/>
      <c r="F391" s="18"/>
      <c r="G391" s="11"/>
      <c r="H391" s="18"/>
      <c r="I391" s="18"/>
      <c r="J391" s="18"/>
      <c r="K391" s="18"/>
      <c r="L391" s="18"/>
      <c r="M391" s="18"/>
      <c r="N391" s="18"/>
      <c r="O391" s="18"/>
      <c r="P391" s="18"/>
      <c r="Q391" s="18"/>
      <c r="R391" s="18"/>
      <c r="S391" s="18"/>
      <c r="T391" s="18"/>
      <c r="U391" s="18"/>
      <c r="V391" s="18"/>
      <c r="W391" s="18"/>
      <c r="X391" s="18"/>
      <c r="Y391" s="11"/>
      <c r="Z391" s="18"/>
      <c r="AA391" s="18"/>
      <c r="AB391" s="18"/>
      <c r="AC391" s="18"/>
      <c r="AD391" s="18"/>
      <c r="AE391" s="53"/>
      <c r="AF391" s="18"/>
      <c r="AG391" s="53"/>
      <c r="AH391" s="53">
        <f t="shared" si="71"/>
        <v>0</v>
      </c>
    </row>
    <row r="392" spans="1:34" ht="15">
      <c r="A392" s="149" t="s">
        <v>86</v>
      </c>
      <c r="B392" s="18">
        <f t="shared" si="70"/>
        <v>0</v>
      </c>
      <c r="C392" s="49"/>
      <c r="D392" s="18"/>
      <c r="E392" s="18"/>
      <c r="F392" s="18"/>
      <c r="G392" s="18"/>
      <c r="H392" s="18"/>
      <c r="I392" s="18"/>
      <c r="J392" s="18"/>
      <c r="K392" s="18"/>
      <c r="L392" s="18"/>
      <c r="M392" s="18"/>
      <c r="N392" s="18"/>
      <c r="O392" s="18"/>
      <c r="P392" s="1287"/>
      <c r="Q392" s="1287"/>
      <c r="R392" s="1287"/>
      <c r="S392" s="1287"/>
      <c r="T392" s="1287"/>
      <c r="U392" s="1287"/>
      <c r="V392" s="1287"/>
      <c r="W392" s="1287"/>
      <c r="X392" s="1287"/>
      <c r="Y392" s="1287"/>
      <c r="Z392" s="1287"/>
      <c r="AA392" s="1287"/>
      <c r="AB392" s="1287"/>
      <c r="AC392" s="1287"/>
      <c r="AD392" s="1287"/>
      <c r="AE392" s="1287"/>
      <c r="AF392" s="1287"/>
      <c r="AG392" s="1287"/>
      <c r="AH392" s="53">
        <f t="shared" si="71"/>
        <v>0</v>
      </c>
    </row>
    <row r="393" spans="1:34" ht="15">
      <c r="A393" s="88" t="s">
        <v>74</v>
      </c>
      <c r="B393" s="89">
        <f>SUM(B381:B392)</f>
        <v>0</v>
      </c>
      <c r="C393" s="46">
        <f>SUM(C381:C391)</f>
        <v>0</v>
      </c>
      <c r="D393" s="53">
        <f>SUM(D381:D391)</f>
        <v>0</v>
      </c>
      <c r="E393" s="53">
        <v>0</v>
      </c>
      <c r="F393" s="53">
        <f t="shared" ref="F393:AC393" si="72">SUM(F381:F391)</f>
        <v>0</v>
      </c>
      <c r="G393" s="53">
        <f t="shared" si="72"/>
        <v>0</v>
      </c>
      <c r="H393" s="53">
        <f t="shared" si="72"/>
        <v>0</v>
      </c>
      <c r="I393" s="53">
        <f t="shared" si="72"/>
        <v>0</v>
      </c>
      <c r="J393" s="53">
        <f t="shared" si="72"/>
        <v>0</v>
      </c>
      <c r="K393" s="53">
        <f t="shared" si="72"/>
        <v>0</v>
      </c>
      <c r="L393" s="53">
        <f t="shared" si="72"/>
        <v>0</v>
      </c>
      <c r="M393" s="53">
        <f t="shared" si="72"/>
        <v>0</v>
      </c>
      <c r="N393" s="53">
        <f t="shared" si="72"/>
        <v>0</v>
      </c>
      <c r="O393" s="53">
        <f t="shared" si="72"/>
        <v>0</v>
      </c>
      <c r="P393" s="53">
        <f t="shared" si="72"/>
        <v>0</v>
      </c>
      <c r="Q393" s="53">
        <f t="shared" si="72"/>
        <v>0</v>
      </c>
      <c r="R393" s="53">
        <f t="shared" si="72"/>
        <v>0</v>
      </c>
      <c r="S393" s="53">
        <f t="shared" si="72"/>
        <v>0</v>
      </c>
      <c r="T393" s="53">
        <f t="shared" si="72"/>
        <v>0</v>
      </c>
      <c r="U393" s="53">
        <f t="shared" si="72"/>
        <v>0</v>
      </c>
      <c r="V393" s="53">
        <f t="shared" si="72"/>
        <v>0</v>
      </c>
      <c r="W393" s="53">
        <f t="shared" si="72"/>
        <v>0</v>
      </c>
      <c r="X393" s="53">
        <f t="shared" si="72"/>
        <v>0</v>
      </c>
      <c r="Y393" s="53">
        <f t="shared" si="72"/>
        <v>0</v>
      </c>
      <c r="Z393" s="53">
        <f t="shared" si="72"/>
        <v>0</v>
      </c>
      <c r="AA393" s="53">
        <f t="shared" si="72"/>
        <v>0</v>
      </c>
      <c r="AB393" s="53">
        <f t="shared" si="72"/>
        <v>0</v>
      </c>
      <c r="AC393" s="53">
        <f t="shared" si="72"/>
        <v>0</v>
      </c>
      <c r="AD393" s="53">
        <v>0</v>
      </c>
      <c r="AE393" s="53">
        <f>SUM(AE381:AE391)</f>
        <v>0</v>
      </c>
      <c r="AF393" s="53">
        <f>SUM(AF381:AF391)</f>
        <v>0</v>
      </c>
      <c r="AG393" s="53">
        <f>SUM(AG381:AG391)</f>
        <v>0</v>
      </c>
      <c r="AH393" s="46">
        <f>SUM(AH381:AH391)</f>
        <v>0</v>
      </c>
    </row>
    <row r="394" spans="1:34" ht="15" customHeight="1">
      <c r="A394" s="14"/>
      <c r="B394" s="14"/>
      <c r="C394" s="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
    </row>
    <row r="395" spans="1:34" ht="15">
      <c r="A395" s="3569" t="s">
        <v>60</v>
      </c>
      <c r="B395" s="3570"/>
      <c r="C395" s="3570"/>
      <c r="D395" s="3570"/>
      <c r="E395" s="3570"/>
      <c r="F395" s="3570"/>
      <c r="G395" s="3570"/>
      <c r="H395" s="3571"/>
      <c r="I395" s="1433"/>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row>
    <row r="396" spans="1:34" ht="15">
      <c r="A396" s="5" t="s">
        <v>72</v>
      </c>
      <c r="B396" s="5" t="s">
        <v>73</v>
      </c>
      <c r="C396" s="1249">
        <v>1</v>
      </c>
      <c r="D396" s="30">
        <v>2</v>
      </c>
      <c r="E396" s="30">
        <v>3</v>
      </c>
      <c r="F396" s="30">
        <v>4</v>
      </c>
      <c r="G396" s="30">
        <v>5</v>
      </c>
      <c r="H396" s="30">
        <v>6</v>
      </c>
      <c r="I396" s="30">
        <v>7</v>
      </c>
      <c r="J396" s="30">
        <v>8</v>
      </c>
      <c r="K396" s="30">
        <v>9</v>
      </c>
      <c r="L396" s="30">
        <v>10</v>
      </c>
      <c r="M396" s="30">
        <v>11</v>
      </c>
      <c r="N396" s="30">
        <v>12</v>
      </c>
      <c r="O396" s="30">
        <v>13</v>
      </c>
      <c r="P396" s="30">
        <v>14</v>
      </c>
      <c r="Q396" s="30">
        <v>15</v>
      </c>
      <c r="R396" s="30">
        <v>16</v>
      </c>
      <c r="S396" s="30">
        <v>17</v>
      </c>
      <c r="T396" s="30">
        <v>18</v>
      </c>
      <c r="U396" s="30">
        <v>19</v>
      </c>
      <c r="V396" s="30">
        <v>20</v>
      </c>
      <c r="W396" s="30">
        <v>21</v>
      </c>
      <c r="X396" s="30">
        <v>22</v>
      </c>
      <c r="Y396" s="30">
        <v>23</v>
      </c>
      <c r="Z396" s="30">
        <v>24</v>
      </c>
      <c r="AA396" s="30">
        <v>25</v>
      </c>
      <c r="AB396" s="30">
        <v>26</v>
      </c>
      <c r="AC396" s="30">
        <v>27</v>
      </c>
      <c r="AD396" s="30">
        <v>28</v>
      </c>
      <c r="AE396" s="30">
        <v>29</v>
      </c>
      <c r="AF396" s="30">
        <v>30</v>
      </c>
      <c r="AG396" s="30">
        <v>31</v>
      </c>
      <c r="AH396" s="39" t="s">
        <v>74</v>
      </c>
    </row>
    <row r="397" spans="1:34" ht="15">
      <c r="A397" s="148" t="s">
        <v>75</v>
      </c>
      <c r="B397" s="18">
        <f t="shared" ref="B397:B408" si="73">+AH397</f>
        <v>0</v>
      </c>
      <c r="C397" s="126" t="s">
        <v>111</v>
      </c>
      <c r="D397" s="126" t="s">
        <v>111</v>
      </c>
      <c r="E397" s="126" t="s">
        <v>111</v>
      </c>
      <c r="F397" s="126" t="s">
        <v>111</v>
      </c>
      <c r="G397" s="126" t="s">
        <v>111</v>
      </c>
      <c r="H397" s="126" t="s">
        <v>111</v>
      </c>
      <c r="I397" s="126" t="s">
        <v>111</v>
      </c>
      <c r="J397" s="126" t="s">
        <v>111</v>
      </c>
      <c r="K397" s="126" t="s">
        <v>111</v>
      </c>
      <c r="L397" s="126" t="s">
        <v>111</v>
      </c>
      <c r="M397" s="126" t="s">
        <v>111</v>
      </c>
      <c r="N397" s="126" t="s">
        <v>111</v>
      </c>
      <c r="O397" s="126" t="s">
        <v>111</v>
      </c>
      <c r="P397" s="126" t="s">
        <v>111</v>
      </c>
      <c r="Q397" s="126" t="s">
        <v>111</v>
      </c>
      <c r="R397" s="126" t="s">
        <v>111</v>
      </c>
      <c r="S397" s="126" t="s">
        <v>111</v>
      </c>
      <c r="T397" s="126" t="s">
        <v>111</v>
      </c>
      <c r="U397" s="126" t="s">
        <v>111</v>
      </c>
      <c r="V397" s="126" t="s">
        <v>111</v>
      </c>
      <c r="W397" s="126" t="s">
        <v>111</v>
      </c>
      <c r="X397" s="126" t="s">
        <v>111</v>
      </c>
      <c r="Y397" s="126" t="s">
        <v>111</v>
      </c>
      <c r="Z397" s="126" t="s">
        <v>111</v>
      </c>
      <c r="AA397" s="126" t="s">
        <v>111</v>
      </c>
      <c r="AB397" s="126" t="s">
        <v>111</v>
      </c>
      <c r="AC397" s="126" t="s">
        <v>111</v>
      </c>
      <c r="AD397" s="126" t="s">
        <v>111</v>
      </c>
      <c r="AE397" s="126" t="s">
        <v>111</v>
      </c>
      <c r="AF397" s="126" t="s">
        <v>111</v>
      </c>
      <c r="AG397" s="126" t="s">
        <v>111</v>
      </c>
      <c r="AH397" s="53">
        <f>SUM(C397:AG397)</f>
        <v>0</v>
      </c>
    </row>
    <row r="398" spans="1:34" ht="15">
      <c r="A398" s="148" t="s">
        <v>76</v>
      </c>
      <c r="B398" s="18">
        <f t="shared" si="73"/>
        <v>0</v>
      </c>
      <c r="C398" s="126" t="s">
        <v>111</v>
      </c>
      <c r="D398" s="126" t="s">
        <v>111</v>
      </c>
      <c r="E398" s="126" t="s">
        <v>111</v>
      </c>
      <c r="F398" s="126" t="s">
        <v>111</v>
      </c>
      <c r="G398" s="126" t="s">
        <v>111</v>
      </c>
      <c r="H398" s="126" t="s">
        <v>111</v>
      </c>
      <c r="I398" s="126" t="s">
        <v>111</v>
      </c>
      <c r="J398" s="127"/>
      <c r="K398" s="127"/>
      <c r="L398" s="127"/>
      <c r="M398" s="127"/>
      <c r="N398" s="127"/>
      <c r="O398" s="127"/>
      <c r="P398" s="127"/>
      <c r="Q398" s="127"/>
      <c r="R398" s="127"/>
      <c r="S398" s="127"/>
      <c r="T398" s="127"/>
      <c r="U398" s="127"/>
      <c r="V398" s="127"/>
      <c r="W398" s="127"/>
      <c r="X398" s="127"/>
      <c r="Y398" s="127"/>
      <c r="Z398" s="127"/>
      <c r="AA398" s="127"/>
      <c r="AB398" s="127"/>
      <c r="AC398" s="127"/>
      <c r="AD398" s="127"/>
      <c r="AE398" s="127"/>
      <c r="AF398" s="127"/>
      <c r="AG398" s="127"/>
      <c r="AH398" s="53">
        <f t="shared" ref="AH398:AH408" si="74">SUM(C398:AG398)</f>
        <v>0</v>
      </c>
    </row>
    <row r="399" spans="1:34" ht="15">
      <c r="A399" s="148" t="s">
        <v>77</v>
      </c>
      <c r="B399" s="18">
        <f t="shared" si="73"/>
        <v>0</v>
      </c>
      <c r="C399" s="127"/>
      <c r="D399" s="127"/>
      <c r="E399" s="127"/>
      <c r="F399" s="127"/>
      <c r="G399" s="127"/>
      <c r="H399" s="112"/>
      <c r="I399" s="112"/>
      <c r="J399" s="112"/>
      <c r="K399" s="112"/>
      <c r="L399" s="112"/>
      <c r="M399" s="112"/>
      <c r="N399" s="112"/>
      <c r="O399" s="112"/>
      <c r="P399" s="112"/>
      <c r="Q399" s="112"/>
      <c r="R399" s="112"/>
      <c r="S399" s="112"/>
      <c r="T399" s="112"/>
      <c r="U399" s="112"/>
      <c r="V399" s="112"/>
      <c r="W399" s="112"/>
      <c r="X399" s="112"/>
      <c r="Y399" s="112"/>
      <c r="Z399" s="112"/>
      <c r="AA399" s="112"/>
      <c r="AB399" s="112"/>
      <c r="AC399" s="1930"/>
      <c r="AD399" s="1930"/>
      <c r="AE399" s="1930"/>
      <c r="AF399" s="1930"/>
      <c r="AG399" s="1930"/>
      <c r="AH399" s="53">
        <f t="shared" si="74"/>
        <v>0</v>
      </c>
    </row>
    <row r="400" spans="1:34" ht="15">
      <c r="A400" s="148" t="s">
        <v>78</v>
      </c>
      <c r="B400" s="18">
        <f t="shared" si="73"/>
        <v>0</v>
      </c>
      <c r="C400" s="1930"/>
      <c r="D400" s="1930"/>
      <c r="E400" s="1930"/>
      <c r="F400" s="1930"/>
      <c r="G400" s="1930"/>
      <c r="H400" s="1930"/>
      <c r="I400" s="1930"/>
      <c r="J400" s="1930"/>
      <c r="K400" s="1930"/>
      <c r="L400" s="1287"/>
      <c r="M400" s="1287"/>
      <c r="N400" s="1287"/>
      <c r="O400" s="1287"/>
      <c r="P400" s="1287"/>
      <c r="Q400" s="1287"/>
      <c r="R400" s="1287"/>
      <c r="S400" s="1287"/>
      <c r="T400" s="1287"/>
      <c r="U400" s="1287"/>
      <c r="V400" s="1287"/>
      <c r="W400" s="1287"/>
      <c r="X400" s="1287"/>
      <c r="Y400" s="1287"/>
      <c r="Z400" s="1287"/>
      <c r="AA400" s="1287"/>
      <c r="AB400" s="1287"/>
      <c r="AC400" s="1287"/>
      <c r="AD400" s="1287"/>
      <c r="AE400" s="1287"/>
      <c r="AF400" s="1287"/>
      <c r="AG400" s="1287"/>
      <c r="AH400" s="53">
        <f t="shared" si="74"/>
        <v>0</v>
      </c>
    </row>
    <row r="401" spans="1:34" ht="15">
      <c r="A401" s="143" t="s">
        <v>79</v>
      </c>
      <c r="B401" s="18">
        <f t="shared" si="73"/>
        <v>0</v>
      </c>
      <c r="C401" s="1287"/>
      <c r="D401" s="1287"/>
      <c r="E401" s="1287"/>
      <c r="F401" s="1287"/>
      <c r="G401" s="1287"/>
      <c r="H401" s="1287"/>
      <c r="I401" s="1287"/>
      <c r="J401" s="1287"/>
      <c r="K401" s="1287"/>
      <c r="L401" s="1287"/>
      <c r="M401" s="1287"/>
      <c r="N401" s="1287"/>
      <c r="O401" s="1287"/>
      <c r="P401" s="1287"/>
      <c r="Q401" s="1287"/>
      <c r="R401" s="1287"/>
      <c r="S401" s="1287"/>
      <c r="T401" s="1287"/>
      <c r="U401" s="1287"/>
      <c r="V401" s="1287"/>
      <c r="W401" s="1287"/>
      <c r="X401" s="1287"/>
      <c r="Y401" s="1287"/>
      <c r="Z401" s="1287"/>
      <c r="AA401" s="1287"/>
      <c r="AB401" s="1287"/>
      <c r="AC401" s="1287"/>
      <c r="AD401" s="1287"/>
      <c r="AE401" s="1287"/>
      <c r="AF401" s="1287"/>
      <c r="AG401" s="1287"/>
      <c r="AH401" s="53">
        <f t="shared" si="74"/>
        <v>0</v>
      </c>
    </row>
    <row r="402" spans="1:34" ht="15">
      <c r="A402" s="143" t="s">
        <v>80</v>
      </c>
      <c r="B402" s="18">
        <f t="shared" si="73"/>
        <v>0</v>
      </c>
      <c r="C402" s="1287"/>
      <c r="D402" s="1287"/>
      <c r="E402" s="1287"/>
      <c r="F402" s="1287"/>
      <c r="G402" s="1287"/>
      <c r="H402" s="1287"/>
      <c r="I402" s="1287"/>
      <c r="J402" s="1287"/>
      <c r="K402" s="1287"/>
      <c r="L402" s="1287"/>
      <c r="M402" s="1287"/>
      <c r="N402" s="1287"/>
      <c r="O402" s="1287"/>
      <c r="P402" s="1287"/>
      <c r="Q402" s="1287"/>
      <c r="R402" s="1287"/>
      <c r="S402" s="1287"/>
      <c r="T402" s="1287"/>
      <c r="U402" s="1287"/>
      <c r="V402" s="1287"/>
      <c r="W402" s="1287"/>
      <c r="X402" s="1287"/>
      <c r="Y402" s="1287"/>
      <c r="Z402" s="1287"/>
      <c r="AA402" s="1287"/>
      <c r="AB402" s="1287"/>
      <c r="AC402" s="1287"/>
      <c r="AD402" s="1287"/>
      <c r="AE402" s="1287"/>
      <c r="AF402" s="1287"/>
      <c r="AG402" s="1287"/>
      <c r="AH402" s="53">
        <f t="shared" si="74"/>
        <v>0</v>
      </c>
    </row>
    <row r="403" spans="1:34" ht="15">
      <c r="A403" s="143" t="s">
        <v>81</v>
      </c>
      <c r="B403" s="18">
        <f t="shared" si="73"/>
        <v>0</v>
      </c>
      <c r="C403" s="1287"/>
      <c r="D403" s="1488"/>
      <c r="E403" s="1488"/>
      <c r="F403" s="1488"/>
      <c r="G403" s="1287"/>
      <c r="H403" s="1287"/>
      <c r="I403" s="1287"/>
      <c r="J403" s="2466"/>
      <c r="K403" s="2466"/>
      <c r="L403" s="1488"/>
      <c r="M403" s="1488"/>
      <c r="N403" s="1488"/>
      <c r="O403" s="1488"/>
      <c r="P403" s="1488"/>
      <c r="Q403" s="1488"/>
      <c r="R403" s="1488"/>
      <c r="S403" s="1488"/>
      <c r="T403" s="1488"/>
      <c r="U403" s="1488"/>
      <c r="V403" s="1488"/>
      <c r="W403" s="688"/>
      <c r="X403" s="688"/>
      <c r="Y403" s="688"/>
      <c r="Z403" s="688"/>
      <c r="AA403" s="688"/>
      <c r="AB403" s="688"/>
      <c r="AC403" s="688"/>
      <c r="AD403" s="688"/>
      <c r="AE403" s="688"/>
      <c r="AF403" s="688" t="s">
        <v>111</v>
      </c>
      <c r="AG403" s="688" t="s">
        <v>111</v>
      </c>
      <c r="AH403" s="53">
        <f t="shared" si="74"/>
        <v>0</v>
      </c>
    </row>
    <row r="404" spans="1:34" ht="15">
      <c r="A404" s="143" t="s">
        <v>82</v>
      </c>
      <c r="B404" s="18">
        <f t="shared" si="73"/>
        <v>0</v>
      </c>
      <c r="C404" s="688" t="s">
        <v>111</v>
      </c>
      <c r="D404" s="688" t="s">
        <v>111</v>
      </c>
      <c r="E404" s="688" t="s">
        <v>111</v>
      </c>
      <c r="F404" s="688" t="s">
        <v>111</v>
      </c>
      <c r="G404" s="688" t="s">
        <v>111</v>
      </c>
      <c r="H404" s="688" t="s">
        <v>111</v>
      </c>
      <c r="I404" s="688" t="s">
        <v>111</v>
      </c>
      <c r="J404" s="688" t="s">
        <v>111</v>
      </c>
      <c r="K404" s="688" t="s">
        <v>111</v>
      </c>
      <c r="L404" s="688" t="s">
        <v>111</v>
      </c>
      <c r="M404" s="688" t="s">
        <v>111</v>
      </c>
      <c r="N404" s="688" t="s">
        <v>111</v>
      </c>
      <c r="O404" s="688" t="s">
        <v>111</v>
      </c>
      <c r="P404" s="688" t="s">
        <v>111</v>
      </c>
      <c r="Q404" s="688" t="s">
        <v>111</v>
      </c>
      <c r="R404" s="688" t="s">
        <v>111</v>
      </c>
      <c r="S404" s="688" t="s">
        <v>111</v>
      </c>
      <c r="T404" s="688" t="s">
        <v>111</v>
      </c>
      <c r="U404" s="688" t="s">
        <v>111</v>
      </c>
      <c r="V404" s="688" t="s">
        <v>111</v>
      </c>
      <c r="W404" s="688" t="s">
        <v>111</v>
      </c>
      <c r="X404" s="688" t="s">
        <v>111</v>
      </c>
      <c r="Y404" s="688" t="s">
        <v>111</v>
      </c>
      <c r="Z404" s="688" t="s">
        <v>111</v>
      </c>
      <c r="AA404" s="688" t="s">
        <v>111</v>
      </c>
      <c r="AB404" s="688" t="s">
        <v>111</v>
      </c>
      <c r="AC404" s="688" t="s">
        <v>111</v>
      </c>
      <c r="AD404" s="688" t="s">
        <v>111</v>
      </c>
      <c r="AE404" s="688" t="s">
        <v>111</v>
      </c>
      <c r="AF404" s="688" t="s">
        <v>111</v>
      </c>
      <c r="AG404" s="688" t="s">
        <v>111</v>
      </c>
      <c r="AH404" s="53">
        <f t="shared" si="74"/>
        <v>0</v>
      </c>
    </row>
    <row r="405" spans="1:34" ht="15">
      <c r="A405" s="149" t="s">
        <v>83</v>
      </c>
      <c r="B405" s="18">
        <f t="shared" si="73"/>
        <v>0</v>
      </c>
      <c r="C405" s="688" t="s">
        <v>111</v>
      </c>
      <c r="D405" s="688" t="s">
        <v>111</v>
      </c>
      <c r="E405" s="688" t="s">
        <v>111</v>
      </c>
      <c r="F405" s="688" t="s">
        <v>111</v>
      </c>
      <c r="G405" s="688" t="s">
        <v>111</v>
      </c>
      <c r="H405" s="688" t="s">
        <v>111</v>
      </c>
      <c r="I405" s="688" t="s">
        <v>111</v>
      </c>
      <c r="J405" s="688" t="s">
        <v>111</v>
      </c>
      <c r="K405" s="688" t="s">
        <v>111</v>
      </c>
      <c r="L405" s="688" t="s">
        <v>111</v>
      </c>
      <c r="M405" s="688" t="s">
        <v>111</v>
      </c>
      <c r="N405" s="688" t="s">
        <v>111</v>
      </c>
      <c r="O405" s="688" t="s">
        <v>111</v>
      </c>
      <c r="P405" s="688" t="s">
        <v>111</v>
      </c>
      <c r="Q405" s="688" t="s">
        <v>111</v>
      </c>
      <c r="R405" s="688" t="s">
        <v>111</v>
      </c>
      <c r="S405" s="688" t="s">
        <v>111</v>
      </c>
      <c r="T405" s="688" t="s">
        <v>111</v>
      </c>
      <c r="U405" s="688" t="s">
        <v>111</v>
      </c>
      <c r="V405" s="688" t="s">
        <v>111</v>
      </c>
      <c r="W405" s="688" t="s">
        <v>111</v>
      </c>
      <c r="X405" s="688" t="s">
        <v>111</v>
      </c>
      <c r="Y405" s="688" t="s">
        <v>111</v>
      </c>
      <c r="Z405" s="688" t="s">
        <v>111</v>
      </c>
      <c r="AA405" s="688" t="s">
        <v>111</v>
      </c>
      <c r="AB405" s="688" t="s">
        <v>111</v>
      </c>
      <c r="AC405" s="688" t="s">
        <v>111</v>
      </c>
      <c r="AD405" s="688" t="s">
        <v>111</v>
      </c>
      <c r="AE405" s="688" t="s">
        <v>111</v>
      </c>
      <c r="AF405" s="688" t="s">
        <v>111</v>
      </c>
      <c r="AG405" s="688" t="s">
        <v>111</v>
      </c>
      <c r="AH405" s="53">
        <f t="shared" si="74"/>
        <v>0</v>
      </c>
    </row>
    <row r="406" spans="1:34" ht="15">
      <c r="A406" s="149" t="s">
        <v>84</v>
      </c>
      <c r="B406" s="18">
        <f t="shared" si="73"/>
        <v>0</v>
      </c>
      <c r="C406" s="688" t="s">
        <v>111</v>
      </c>
      <c r="D406" s="688" t="s">
        <v>111</v>
      </c>
      <c r="E406" s="688" t="s">
        <v>111</v>
      </c>
      <c r="F406" s="688" t="s">
        <v>111</v>
      </c>
      <c r="G406" s="688" t="s">
        <v>111</v>
      </c>
      <c r="H406" s="688" t="s">
        <v>111</v>
      </c>
      <c r="I406" s="688" t="s">
        <v>111</v>
      </c>
      <c r="J406" s="688" t="s">
        <v>111</v>
      </c>
      <c r="K406" s="688" t="s">
        <v>111</v>
      </c>
      <c r="L406" s="688" t="s">
        <v>111</v>
      </c>
      <c r="M406" s="688" t="s">
        <v>111</v>
      </c>
      <c r="N406" s="688" t="s">
        <v>111</v>
      </c>
      <c r="O406" s="688" t="s">
        <v>111</v>
      </c>
      <c r="P406" s="688" t="s">
        <v>111</v>
      </c>
      <c r="Q406" s="688" t="s">
        <v>111</v>
      </c>
      <c r="R406" s="688" t="s">
        <v>111</v>
      </c>
      <c r="S406" s="688" t="s">
        <v>111</v>
      </c>
      <c r="T406" s="688" t="s">
        <v>111</v>
      </c>
      <c r="U406" s="688" t="s">
        <v>111</v>
      </c>
      <c r="V406" s="688" t="s">
        <v>111</v>
      </c>
      <c r="W406" s="688" t="s">
        <v>111</v>
      </c>
      <c r="X406" s="1287"/>
      <c r="Y406" s="1287"/>
      <c r="Z406" s="1287"/>
      <c r="AA406" s="1287"/>
      <c r="AB406" s="1287"/>
      <c r="AC406" s="1287"/>
      <c r="AD406" s="1287"/>
      <c r="AE406" s="1488"/>
      <c r="AF406" s="1287"/>
      <c r="AG406" s="1488"/>
      <c r="AH406" s="53">
        <f t="shared" si="74"/>
        <v>0</v>
      </c>
    </row>
    <row r="407" spans="1:34" ht="15">
      <c r="A407" s="149" t="s">
        <v>85</v>
      </c>
      <c r="B407" s="18">
        <f t="shared" si="73"/>
        <v>0.02</v>
      </c>
      <c r="C407" s="49"/>
      <c r="D407" s="18"/>
      <c r="E407" s="18"/>
      <c r="F407" s="18"/>
      <c r="G407" s="11"/>
      <c r="H407" s="18"/>
      <c r="I407" s="18"/>
      <c r="J407" s="18"/>
      <c r="K407" s="18"/>
      <c r="L407" s="18"/>
      <c r="M407" s="18"/>
      <c r="N407" s="18"/>
      <c r="O407" s="18"/>
      <c r="P407" s="18"/>
      <c r="Q407" s="18"/>
      <c r="R407" s="18"/>
      <c r="S407" s="18"/>
      <c r="T407" s="18"/>
      <c r="U407" s="18"/>
      <c r="V407" s="18"/>
      <c r="W407" s="18"/>
      <c r="X407" s="18"/>
      <c r="Y407" s="11"/>
      <c r="Z407" s="18"/>
      <c r="AA407" s="18"/>
      <c r="AB407" s="18">
        <v>0.02</v>
      </c>
      <c r="AC407" s="18"/>
      <c r="AD407" s="18"/>
      <c r="AE407" s="53"/>
      <c r="AF407" s="18"/>
      <c r="AG407" s="53"/>
      <c r="AH407" s="53">
        <f t="shared" si="74"/>
        <v>0.02</v>
      </c>
    </row>
    <row r="408" spans="1:34" ht="15">
      <c r="A408" s="149" t="s">
        <v>86</v>
      </c>
      <c r="B408" s="18">
        <f t="shared" si="73"/>
        <v>0</v>
      </c>
      <c r="C408" s="49"/>
      <c r="D408" s="18"/>
      <c r="E408" s="18"/>
      <c r="F408" s="18"/>
      <c r="G408" s="18"/>
      <c r="H408" s="18"/>
      <c r="I408" s="18"/>
      <c r="J408" s="18"/>
      <c r="K408" s="18"/>
      <c r="L408" s="18"/>
      <c r="M408" s="18"/>
      <c r="N408" s="18"/>
      <c r="O408" s="18"/>
      <c r="P408" s="1287"/>
      <c r="Q408" s="1287"/>
      <c r="R408" s="1287"/>
      <c r="S408" s="1287"/>
      <c r="T408" s="1287"/>
      <c r="U408" s="1287"/>
      <c r="V408" s="1287"/>
      <c r="W408" s="1287"/>
      <c r="X408" s="1287"/>
      <c r="Y408" s="1287"/>
      <c r="Z408" s="1287"/>
      <c r="AA408" s="1287"/>
      <c r="AB408" s="1287"/>
      <c r="AC408" s="1287"/>
      <c r="AD408" s="1287"/>
      <c r="AE408" s="1287"/>
      <c r="AF408" s="1287"/>
      <c r="AG408" s="1287"/>
      <c r="AH408" s="53">
        <f t="shared" si="74"/>
        <v>0</v>
      </c>
    </row>
    <row r="409" spans="1:34" ht="15">
      <c r="A409" s="88" t="s">
        <v>74</v>
      </c>
      <c r="B409" s="89">
        <f>SUM(B397:B408)</f>
        <v>0.02</v>
      </c>
      <c r="C409" s="46">
        <f>SUM(C397:C407)</f>
        <v>0</v>
      </c>
      <c r="D409" s="53">
        <f>SUM(D397:D407)</f>
        <v>0</v>
      </c>
      <c r="E409" s="53">
        <v>0</v>
      </c>
      <c r="F409" s="53">
        <f t="shared" ref="F409:AC409" si="75">SUM(F397:F407)</f>
        <v>0</v>
      </c>
      <c r="G409" s="53">
        <f t="shared" si="75"/>
        <v>0</v>
      </c>
      <c r="H409" s="53">
        <f t="shared" si="75"/>
        <v>0</v>
      </c>
      <c r="I409" s="53">
        <f t="shared" si="75"/>
        <v>0</v>
      </c>
      <c r="J409" s="53">
        <f t="shared" si="75"/>
        <v>0</v>
      </c>
      <c r="K409" s="53">
        <f t="shared" si="75"/>
        <v>0</v>
      </c>
      <c r="L409" s="53">
        <f t="shared" si="75"/>
        <v>0</v>
      </c>
      <c r="M409" s="53">
        <f t="shared" si="75"/>
        <v>0</v>
      </c>
      <c r="N409" s="53">
        <f t="shared" si="75"/>
        <v>0</v>
      </c>
      <c r="O409" s="53">
        <f t="shared" si="75"/>
        <v>0</v>
      </c>
      <c r="P409" s="53">
        <f t="shared" si="75"/>
        <v>0</v>
      </c>
      <c r="Q409" s="53">
        <f t="shared" si="75"/>
        <v>0</v>
      </c>
      <c r="R409" s="53">
        <f t="shared" si="75"/>
        <v>0</v>
      </c>
      <c r="S409" s="53">
        <f t="shared" si="75"/>
        <v>0</v>
      </c>
      <c r="T409" s="53">
        <f t="shared" si="75"/>
        <v>0</v>
      </c>
      <c r="U409" s="53">
        <f t="shared" si="75"/>
        <v>0</v>
      </c>
      <c r="V409" s="53">
        <f t="shared" si="75"/>
        <v>0</v>
      </c>
      <c r="W409" s="53">
        <f t="shared" si="75"/>
        <v>0</v>
      </c>
      <c r="X409" s="53">
        <f t="shared" si="75"/>
        <v>0</v>
      </c>
      <c r="Y409" s="53">
        <f t="shared" si="75"/>
        <v>0</v>
      </c>
      <c r="Z409" s="53">
        <f t="shared" si="75"/>
        <v>0</v>
      </c>
      <c r="AA409" s="53">
        <f t="shared" si="75"/>
        <v>0</v>
      </c>
      <c r="AB409" s="53">
        <f t="shared" si="75"/>
        <v>0.02</v>
      </c>
      <c r="AC409" s="53">
        <f t="shared" si="75"/>
        <v>0</v>
      </c>
      <c r="AD409" s="53">
        <v>0</v>
      </c>
      <c r="AE409" s="53">
        <f>SUM(AE397:AE407)</f>
        <v>0</v>
      </c>
      <c r="AF409" s="53">
        <f>SUM(AF397:AF407)</f>
        <v>0</v>
      </c>
      <c r="AG409" s="53">
        <f>SUM(AG397:AG407)</f>
        <v>0</v>
      </c>
      <c r="AH409" s="46">
        <f>SUM(AH397:AH407)</f>
        <v>0.02</v>
      </c>
    </row>
    <row r="410" spans="1:34" ht="15">
      <c r="A410" s="59"/>
      <c r="B410" s="59"/>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c r="AA410" s="60"/>
      <c r="AB410" s="60"/>
      <c r="AC410" s="60"/>
      <c r="AD410" s="60"/>
      <c r="AE410" s="60"/>
      <c r="AF410" s="60"/>
      <c r="AG410" s="60"/>
      <c r="AH410" s="60"/>
    </row>
    <row r="411" spans="1:34" ht="15">
      <c r="A411" s="3591" t="s">
        <v>61</v>
      </c>
      <c r="B411" s="3592"/>
      <c r="C411" s="3592"/>
      <c r="D411" s="3592"/>
      <c r="E411" s="3592"/>
      <c r="F411" s="3592"/>
      <c r="G411" s="3592"/>
      <c r="H411" s="3592"/>
      <c r="I411" s="3592"/>
      <c r="J411" s="3592"/>
      <c r="K411" s="3592"/>
      <c r="L411" s="3592"/>
      <c r="M411" s="3592"/>
      <c r="N411" s="3592"/>
      <c r="O411" s="3592"/>
      <c r="P411" s="3592"/>
      <c r="Q411" s="3592"/>
      <c r="R411" s="3593"/>
      <c r="S411" s="11"/>
      <c r="T411" s="11"/>
      <c r="U411" s="11"/>
      <c r="V411" s="11"/>
      <c r="W411" s="11"/>
      <c r="X411" s="11"/>
      <c r="Y411" s="11"/>
      <c r="Z411" s="11"/>
      <c r="AA411" s="11"/>
      <c r="AB411" s="11"/>
      <c r="AC411" s="11"/>
      <c r="AD411" s="11"/>
      <c r="AE411" s="11"/>
      <c r="AF411" s="11"/>
      <c r="AG411" s="11"/>
      <c r="AH411" s="11"/>
    </row>
    <row r="412" spans="1:34" ht="12.75" customHeight="1">
      <c r="A412" s="50"/>
      <c r="B412" s="50"/>
      <c r="C412" s="50"/>
      <c r="D412" s="50"/>
      <c r="E412" s="50"/>
      <c r="F412" s="50"/>
      <c r="G412" s="50"/>
      <c r="H412" s="50"/>
      <c r="I412" s="50"/>
      <c r="J412" s="50"/>
      <c r="K412" s="50"/>
      <c r="L412" s="50"/>
      <c r="M412" s="50"/>
      <c r="N412" s="50"/>
      <c r="O412" s="50"/>
      <c r="P412" s="50"/>
      <c r="Q412" s="50"/>
      <c r="R412" s="50"/>
      <c r="S412" s="11"/>
      <c r="T412" s="11"/>
      <c r="U412" s="11"/>
      <c r="V412" s="11"/>
      <c r="W412" s="11"/>
      <c r="X412" s="11"/>
      <c r="Y412" s="11"/>
      <c r="Z412" s="11"/>
      <c r="AA412" s="11"/>
      <c r="AB412" s="11"/>
      <c r="AC412" s="11"/>
      <c r="AD412" s="11"/>
      <c r="AE412" s="11"/>
      <c r="AF412" s="11"/>
      <c r="AG412" s="11"/>
      <c r="AH412" s="11"/>
    </row>
    <row r="413" spans="1:34" ht="15">
      <c r="A413" s="3582" t="s">
        <v>62</v>
      </c>
      <c r="B413" s="3583"/>
      <c r="C413" s="3583"/>
      <c r="D413" s="3583"/>
      <c r="E413" s="3583"/>
      <c r="F413" s="3583"/>
      <c r="G413" s="3583"/>
      <c r="H413" s="3584"/>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row>
    <row r="414" spans="1:34" ht="15">
      <c r="A414" s="5" t="s">
        <v>72</v>
      </c>
      <c r="B414" s="5" t="s">
        <v>73</v>
      </c>
      <c r="C414" s="1249">
        <v>1</v>
      </c>
      <c r="D414" s="30">
        <v>2</v>
      </c>
      <c r="E414" s="30">
        <v>3</v>
      </c>
      <c r="F414" s="30">
        <v>4</v>
      </c>
      <c r="G414" s="30">
        <v>5</v>
      </c>
      <c r="H414" s="30">
        <v>6</v>
      </c>
      <c r="I414" s="30">
        <v>7</v>
      </c>
      <c r="J414" s="30">
        <v>8</v>
      </c>
      <c r="K414" s="30">
        <v>9</v>
      </c>
      <c r="L414" s="30">
        <v>10</v>
      </c>
      <c r="M414" s="30">
        <v>11</v>
      </c>
      <c r="N414" s="30">
        <v>12</v>
      </c>
      <c r="O414" s="30">
        <v>13</v>
      </c>
      <c r="P414" s="30">
        <v>14</v>
      </c>
      <c r="Q414" s="30">
        <v>15</v>
      </c>
      <c r="R414" s="30">
        <v>16</v>
      </c>
      <c r="S414" s="30">
        <v>17</v>
      </c>
      <c r="T414" s="30">
        <v>18</v>
      </c>
      <c r="U414" s="30">
        <v>19</v>
      </c>
      <c r="V414" s="30">
        <v>20</v>
      </c>
      <c r="W414" s="30">
        <v>21</v>
      </c>
      <c r="X414" s="30">
        <v>22</v>
      </c>
      <c r="Y414" s="30">
        <v>23</v>
      </c>
      <c r="Z414" s="30">
        <v>24</v>
      </c>
      <c r="AA414" s="30">
        <v>25</v>
      </c>
      <c r="AB414" s="30">
        <v>26</v>
      </c>
      <c r="AC414" s="30">
        <v>27</v>
      </c>
      <c r="AD414" s="30">
        <v>28</v>
      </c>
      <c r="AE414" s="30">
        <v>29</v>
      </c>
      <c r="AF414" s="30">
        <v>30</v>
      </c>
      <c r="AG414" s="30">
        <v>31</v>
      </c>
      <c r="AH414" s="39" t="s">
        <v>74</v>
      </c>
    </row>
    <row r="415" spans="1:34" ht="15">
      <c r="A415" s="30" t="s">
        <v>75</v>
      </c>
      <c r="B415" s="114">
        <f t="shared" ref="B415:B426" si="76">+AH415</f>
        <v>0</v>
      </c>
      <c r="C415" s="1930"/>
      <c r="D415" s="1930"/>
      <c r="E415" s="1930"/>
      <c r="F415" s="1930"/>
      <c r="G415" s="1930"/>
      <c r="H415" s="1930"/>
      <c r="I415" s="1930"/>
      <c r="J415" s="1930"/>
      <c r="K415" s="1930"/>
      <c r="L415" s="1930"/>
      <c r="M415" s="1930"/>
      <c r="N415" s="1930"/>
      <c r="O415" s="1930"/>
      <c r="P415" s="1930"/>
      <c r="Q415" s="1930"/>
      <c r="R415" s="1930"/>
      <c r="S415" s="1930"/>
      <c r="T415" s="1930"/>
      <c r="U415" s="1930"/>
      <c r="V415" s="1930"/>
      <c r="W415" s="1930"/>
      <c r="X415" s="1930"/>
      <c r="Y415" s="1930"/>
      <c r="Z415" s="1930"/>
      <c r="AA415" s="1930"/>
      <c r="AB415" s="1287"/>
      <c r="AC415" s="1930"/>
      <c r="AD415" s="1930"/>
      <c r="AE415" s="1930"/>
      <c r="AF415" s="1930"/>
      <c r="AG415" s="1930"/>
      <c r="AH415" s="53">
        <f>SUM(C415:AG415)</f>
        <v>0</v>
      </c>
    </row>
    <row r="416" spans="1:34" ht="15">
      <c r="A416" s="30" t="s">
        <v>76</v>
      </c>
      <c r="B416" s="114">
        <f t="shared" si="76"/>
        <v>0</v>
      </c>
      <c r="C416" s="1930"/>
      <c r="D416" s="1930"/>
      <c r="E416" s="1930"/>
      <c r="F416" s="1930"/>
      <c r="G416" s="1930"/>
      <c r="H416" s="1930"/>
      <c r="I416" s="1930"/>
      <c r="J416" s="1930"/>
      <c r="K416" s="1930"/>
      <c r="L416" s="1930"/>
      <c r="M416" s="1930"/>
      <c r="N416" s="1930"/>
      <c r="O416" s="1930"/>
      <c r="P416" s="1930"/>
      <c r="Q416" s="1930"/>
      <c r="R416" s="1930"/>
      <c r="S416" s="1930"/>
      <c r="T416" s="1930"/>
      <c r="U416" s="1930"/>
      <c r="V416" s="1930"/>
      <c r="W416" s="1930"/>
      <c r="X416" s="1930"/>
      <c r="Y416" s="1930"/>
      <c r="Z416" s="1930"/>
      <c r="AA416" s="1930"/>
      <c r="AB416" s="1930"/>
      <c r="AC416" s="1930"/>
      <c r="AD416" s="1930"/>
      <c r="AE416" s="1930"/>
      <c r="AF416" s="1930"/>
      <c r="AG416" s="1930"/>
      <c r="AH416" s="53">
        <f t="shared" ref="AH416:AH426" si="77">SUM(C416:AG416)</f>
        <v>0</v>
      </c>
    </row>
    <row r="417" spans="1:34" ht="15">
      <c r="A417" s="30" t="s">
        <v>77</v>
      </c>
      <c r="B417" s="114">
        <f t="shared" si="76"/>
        <v>0</v>
      </c>
      <c r="C417" s="1930"/>
      <c r="D417" s="1930"/>
      <c r="E417" s="1930"/>
      <c r="F417" s="1930"/>
      <c r="G417" s="1930"/>
      <c r="H417" s="1287"/>
      <c r="I417" s="1287"/>
      <c r="J417" s="1287"/>
      <c r="K417" s="1287"/>
      <c r="L417" s="1287"/>
      <c r="M417" s="1287"/>
      <c r="N417" s="1287"/>
      <c r="O417" s="1287"/>
      <c r="P417" s="1287"/>
      <c r="Q417" s="1280"/>
      <c r="R417" s="1280"/>
      <c r="S417" s="1280"/>
      <c r="T417" s="1280"/>
      <c r="U417" s="1280"/>
      <c r="V417" s="1280"/>
      <c r="W417" s="1280"/>
      <c r="X417" s="1280"/>
      <c r="Y417" s="1280"/>
      <c r="Z417" s="1280"/>
      <c r="AA417" s="1280"/>
      <c r="AB417" s="1280"/>
      <c r="AC417" s="1280"/>
      <c r="AD417" s="1280"/>
      <c r="AE417" s="1280"/>
      <c r="AF417" s="1280"/>
      <c r="AG417" s="1280"/>
      <c r="AH417" s="53">
        <f t="shared" si="77"/>
        <v>0</v>
      </c>
    </row>
    <row r="418" spans="1:34" ht="15">
      <c r="A418" s="30" t="s">
        <v>78</v>
      </c>
      <c r="B418" s="114">
        <f t="shared" si="76"/>
        <v>0</v>
      </c>
      <c r="C418" s="1280"/>
      <c r="D418" s="1280"/>
      <c r="E418" s="1280"/>
      <c r="F418" s="1280"/>
      <c r="G418" s="1280"/>
      <c r="H418" s="1280"/>
      <c r="I418" s="1280"/>
      <c r="J418" s="1280"/>
      <c r="K418" s="1280"/>
      <c r="L418" s="1280"/>
      <c r="M418" s="1280"/>
      <c r="N418" s="1280"/>
      <c r="O418" s="1280"/>
      <c r="P418" s="1280"/>
      <c r="Q418" s="1280"/>
      <c r="R418" s="1280"/>
      <c r="S418" s="1280"/>
      <c r="T418" s="1280"/>
      <c r="U418" s="1280"/>
      <c r="V418" s="1280"/>
      <c r="W418" s="1280"/>
      <c r="X418" s="1280"/>
      <c r="Y418" s="1280"/>
      <c r="Z418" s="1280"/>
      <c r="AA418" s="1280"/>
      <c r="AB418" s="1280"/>
      <c r="AC418" s="1280"/>
      <c r="AD418" s="1280"/>
      <c r="AE418" s="1280"/>
      <c r="AF418" s="1280" t="s">
        <v>112</v>
      </c>
      <c r="AG418" s="1280" t="s">
        <v>112</v>
      </c>
      <c r="AH418" s="53">
        <f t="shared" si="77"/>
        <v>0</v>
      </c>
    </row>
    <row r="419" spans="1:34" ht="15">
      <c r="A419" s="30" t="s">
        <v>79</v>
      </c>
      <c r="B419" s="114">
        <f t="shared" si="76"/>
        <v>0</v>
      </c>
      <c r="C419" s="1280" t="s">
        <v>112</v>
      </c>
      <c r="D419" s="1280" t="s">
        <v>112</v>
      </c>
      <c r="E419" s="1280" t="s">
        <v>112</v>
      </c>
      <c r="F419" s="1280" t="s">
        <v>112</v>
      </c>
      <c r="G419" s="1280" t="s">
        <v>112</v>
      </c>
      <c r="H419" s="1280" t="s">
        <v>112</v>
      </c>
      <c r="I419" s="1280" t="s">
        <v>112</v>
      </c>
      <c r="J419" s="1280" t="s">
        <v>112</v>
      </c>
      <c r="K419" s="1280" t="s">
        <v>112</v>
      </c>
      <c r="L419" s="1280" t="s">
        <v>112</v>
      </c>
      <c r="M419" s="1280" t="s">
        <v>112</v>
      </c>
      <c r="N419" s="1280" t="s">
        <v>112</v>
      </c>
      <c r="O419" s="1280" t="s">
        <v>112</v>
      </c>
      <c r="P419" s="1280" t="s">
        <v>112</v>
      </c>
      <c r="Q419" s="1280" t="s">
        <v>112</v>
      </c>
      <c r="R419" s="1287"/>
      <c r="S419" s="1287"/>
      <c r="T419" s="1287"/>
      <c r="U419" s="1287"/>
      <c r="V419" s="1287"/>
      <c r="W419" s="1287"/>
      <c r="X419" s="1287"/>
      <c r="Y419" s="1287"/>
      <c r="Z419" s="1287"/>
      <c r="AA419" s="1287"/>
      <c r="AB419" s="1287"/>
      <c r="AC419" s="1287"/>
      <c r="AD419" s="1287"/>
      <c r="AE419" s="1287"/>
      <c r="AF419" s="1287"/>
      <c r="AG419" s="1287"/>
      <c r="AH419" s="53">
        <f t="shared" si="77"/>
        <v>0</v>
      </c>
    </row>
    <row r="420" spans="1:34" ht="15">
      <c r="A420" s="30" t="s">
        <v>80</v>
      </c>
      <c r="B420" s="114">
        <f t="shared" si="76"/>
        <v>0</v>
      </c>
      <c r="C420" s="49"/>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53">
        <f t="shared" si="77"/>
        <v>0</v>
      </c>
    </row>
    <row r="421" spans="1:34" ht="15">
      <c r="A421" s="30" t="s">
        <v>81</v>
      </c>
      <c r="B421" s="112">
        <f t="shared" si="76"/>
        <v>0</v>
      </c>
      <c r="C421" s="49"/>
      <c r="D421" s="53"/>
      <c r="E421" s="53"/>
      <c r="F421" s="53"/>
      <c r="G421" s="18"/>
      <c r="H421" s="18"/>
      <c r="I421" s="18"/>
      <c r="J421" s="57"/>
      <c r="K421" s="57"/>
      <c r="L421" s="53"/>
      <c r="M421" s="53"/>
      <c r="N421" s="53"/>
      <c r="O421" s="53"/>
      <c r="P421" s="53"/>
      <c r="Q421" s="53"/>
      <c r="R421" s="53"/>
      <c r="S421" s="53"/>
      <c r="T421" s="53"/>
      <c r="U421" s="53"/>
      <c r="V421" s="53"/>
      <c r="W421" s="1002" t="s">
        <v>112</v>
      </c>
      <c r="X421" s="1002" t="s">
        <v>112</v>
      </c>
      <c r="Y421" s="1002" t="s">
        <v>112</v>
      </c>
      <c r="Z421" s="1002" t="s">
        <v>112</v>
      </c>
      <c r="AA421" s="1002" t="s">
        <v>112</v>
      </c>
      <c r="AB421" s="1002" t="s">
        <v>112</v>
      </c>
      <c r="AC421" s="1002" t="s">
        <v>112</v>
      </c>
      <c r="AD421" s="1002" t="s">
        <v>112</v>
      </c>
      <c r="AE421" s="1002" t="s">
        <v>112</v>
      </c>
      <c r="AF421" s="1002" t="s">
        <v>112</v>
      </c>
      <c r="AG421" s="1002" t="s">
        <v>112</v>
      </c>
      <c r="AH421" s="53">
        <f t="shared" si="77"/>
        <v>0</v>
      </c>
    </row>
    <row r="422" spans="1:34" ht="15">
      <c r="A422" s="30" t="s">
        <v>82</v>
      </c>
      <c r="B422" s="112">
        <f t="shared" si="76"/>
        <v>0</v>
      </c>
      <c r="C422" s="1002" t="s">
        <v>112</v>
      </c>
      <c r="D422" s="1002" t="s">
        <v>112</v>
      </c>
      <c r="E422" s="1002" t="s">
        <v>112</v>
      </c>
      <c r="F422" s="1002" t="s">
        <v>112</v>
      </c>
      <c r="G422" s="1002" t="s">
        <v>112</v>
      </c>
      <c r="H422" s="1002" t="s">
        <v>112</v>
      </c>
      <c r="I422" s="1002" t="s">
        <v>112</v>
      </c>
      <c r="J422" s="1002" t="s">
        <v>112</v>
      </c>
      <c r="K422" s="1002" t="s">
        <v>112</v>
      </c>
      <c r="L422" s="1002" t="s">
        <v>112</v>
      </c>
      <c r="M422" s="1002" t="s">
        <v>112</v>
      </c>
      <c r="N422" s="1002" t="s">
        <v>112</v>
      </c>
      <c r="O422" s="1002" t="s">
        <v>112</v>
      </c>
      <c r="P422" s="1002" t="s">
        <v>112</v>
      </c>
      <c r="Q422" s="1002" t="s">
        <v>112</v>
      </c>
      <c r="R422" s="1002" t="s">
        <v>112</v>
      </c>
      <c r="S422" s="1002" t="s">
        <v>112</v>
      </c>
      <c r="T422" s="1002" t="s">
        <v>112</v>
      </c>
      <c r="U422" s="1002" t="s">
        <v>112</v>
      </c>
      <c r="V422" s="1002" t="s">
        <v>112</v>
      </c>
      <c r="W422" s="1002" t="s">
        <v>112</v>
      </c>
      <c r="X422" s="1002" t="s">
        <v>112</v>
      </c>
      <c r="Y422" s="1002" t="s">
        <v>112</v>
      </c>
      <c r="Z422" s="1002" t="s">
        <v>112</v>
      </c>
      <c r="AA422" s="1002" t="s">
        <v>112</v>
      </c>
      <c r="AB422" s="1002" t="s">
        <v>112</v>
      </c>
      <c r="AC422" s="1002" t="s">
        <v>112</v>
      </c>
      <c r="AD422" s="1002" t="s">
        <v>112</v>
      </c>
      <c r="AE422" s="1002" t="s">
        <v>112</v>
      </c>
      <c r="AF422" s="1002" t="s">
        <v>112</v>
      </c>
      <c r="AG422" s="1002" t="s">
        <v>112</v>
      </c>
      <c r="AH422" s="53">
        <f t="shared" si="77"/>
        <v>0</v>
      </c>
    </row>
    <row r="423" spans="1:34" ht="15">
      <c r="A423" s="30" t="s">
        <v>83</v>
      </c>
      <c r="B423" s="112">
        <f t="shared" si="76"/>
        <v>0</v>
      </c>
      <c r="C423" s="46"/>
      <c r="D423" s="53"/>
      <c r="E423" s="53"/>
      <c r="F423" s="53"/>
      <c r="G423" s="53"/>
      <c r="H423" s="53"/>
      <c r="I423" s="53"/>
      <c r="J423" s="57"/>
      <c r="K423" s="57"/>
      <c r="L423" s="18"/>
      <c r="M423" s="18"/>
      <c r="N423" s="18"/>
      <c r="O423" s="18"/>
      <c r="P423" s="18"/>
      <c r="Q423" s="1002" t="s">
        <v>112</v>
      </c>
      <c r="R423" s="1002" t="s">
        <v>112</v>
      </c>
      <c r="S423" s="1002" t="s">
        <v>112</v>
      </c>
      <c r="T423" s="1002" t="s">
        <v>112</v>
      </c>
      <c r="U423" s="1002" t="s">
        <v>112</v>
      </c>
      <c r="V423" s="1002" t="s">
        <v>112</v>
      </c>
      <c r="W423" s="1002" t="s">
        <v>112</v>
      </c>
      <c r="X423" s="1002" t="s">
        <v>112</v>
      </c>
      <c r="Y423" s="1002" t="s">
        <v>112</v>
      </c>
      <c r="Z423" s="1002" t="s">
        <v>112</v>
      </c>
      <c r="AA423" s="1002" t="s">
        <v>112</v>
      </c>
      <c r="AB423" s="1002" t="s">
        <v>112</v>
      </c>
      <c r="AC423" s="1002" t="s">
        <v>112</v>
      </c>
      <c r="AD423" s="1002" t="s">
        <v>112</v>
      </c>
      <c r="AE423" s="1002" t="s">
        <v>112</v>
      </c>
      <c r="AF423" s="1002" t="s">
        <v>112</v>
      </c>
      <c r="AG423" s="1002" t="s">
        <v>112</v>
      </c>
      <c r="AH423" s="53">
        <f t="shared" si="77"/>
        <v>0</v>
      </c>
    </row>
    <row r="424" spans="1:34" ht="15">
      <c r="A424" s="30" t="s">
        <v>84</v>
      </c>
      <c r="B424" s="112">
        <f t="shared" si="76"/>
        <v>0</v>
      </c>
      <c r="C424" s="1002" t="s">
        <v>112</v>
      </c>
      <c r="D424" s="1002" t="s">
        <v>112</v>
      </c>
      <c r="E424" s="1002" t="s">
        <v>112</v>
      </c>
      <c r="F424" s="1002" t="s">
        <v>112</v>
      </c>
      <c r="G424" s="1002" t="s">
        <v>112</v>
      </c>
      <c r="H424" s="1002" t="s">
        <v>112</v>
      </c>
      <c r="I424" s="1002" t="s">
        <v>112</v>
      </c>
      <c r="J424" s="1002" t="s">
        <v>112</v>
      </c>
      <c r="K424" s="1002" t="s">
        <v>112</v>
      </c>
      <c r="L424" s="1002" t="s">
        <v>112</v>
      </c>
      <c r="M424" s="1002" t="s">
        <v>112</v>
      </c>
      <c r="N424" s="1002" t="s">
        <v>112</v>
      </c>
      <c r="O424" s="1002" t="s">
        <v>112</v>
      </c>
      <c r="P424" s="1002" t="s">
        <v>112</v>
      </c>
      <c r="Q424" s="1002" t="s">
        <v>112</v>
      </c>
      <c r="R424" s="1002" t="s">
        <v>112</v>
      </c>
      <c r="S424" s="1002" t="s">
        <v>112</v>
      </c>
      <c r="T424" s="1002" t="s">
        <v>112</v>
      </c>
      <c r="U424" s="1002" t="s">
        <v>112</v>
      </c>
      <c r="V424" s="1002" t="s">
        <v>112</v>
      </c>
      <c r="W424" s="1002" t="s">
        <v>112</v>
      </c>
      <c r="X424" s="1002" t="s">
        <v>112</v>
      </c>
      <c r="Y424" s="1002" t="s">
        <v>112</v>
      </c>
      <c r="Z424" s="1002" t="s">
        <v>112</v>
      </c>
      <c r="AA424" s="1002" t="s">
        <v>112</v>
      </c>
      <c r="AB424" s="1002" t="s">
        <v>112</v>
      </c>
      <c r="AC424" s="1002" t="s">
        <v>112</v>
      </c>
      <c r="AD424" s="1002" t="s">
        <v>112</v>
      </c>
      <c r="AE424" s="1002" t="s">
        <v>112</v>
      </c>
      <c r="AF424" s="1002" t="s">
        <v>112</v>
      </c>
      <c r="AG424" s="1002" t="s">
        <v>112</v>
      </c>
      <c r="AH424" s="53">
        <f t="shared" si="77"/>
        <v>0</v>
      </c>
    </row>
    <row r="425" spans="1:34" ht="15">
      <c r="A425" s="30" t="s">
        <v>85</v>
      </c>
      <c r="B425" s="18">
        <f t="shared" si="76"/>
        <v>0</v>
      </c>
      <c r="C425" s="81" t="s">
        <v>112</v>
      </c>
      <c r="D425" s="81" t="s">
        <v>112</v>
      </c>
      <c r="E425" s="81" t="s">
        <v>112</v>
      </c>
      <c r="F425" s="81" t="s">
        <v>112</v>
      </c>
      <c r="G425" s="81" t="s">
        <v>112</v>
      </c>
      <c r="H425" s="81" t="s">
        <v>112</v>
      </c>
      <c r="I425" s="81" t="s">
        <v>112</v>
      </c>
      <c r="J425" s="81" t="s">
        <v>112</v>
      </c>
      <c r="K425" s="81" t="s">
        <v>112</v>
      </c>
      <c r="L425" s="81" t="s">
        <v>112</v>
      </c>
      <c r="M425" s="81" t="s">
        <v>112</v>
      </c>
      <c r="N425" s="81" t="s">
        <v>112</v>
      </c>
      <c r="O425" s="81" t="s">
        <v>112</v>
      </c>
      <c r="P425" s="81" t="s">
        <v>112</v>
      </c>
      <c r="Q425" s="81" t="s">
        <v>112</v>
      </c>
      <c r="R425" s="18"/>
      <c r="S425" s="18"/>
      <c r="T425" s="18"/>
      <c r="U425" s="18"/>
      <c r="V425" s="18"/>
      <c r="W425" s="18"/>
      <c r="X425" s="18"/>
      <c r="Y425" s="11"/>
      <c r="Z425" s="18"/>
      <c r="AA425" s="18"/>
      <c r="AB425" s="18"/>
      <c r="AC425" s="18"/>
      <c r="AD425" s="18"/>
      <c r="AE425" s="53"/>
      <c r="AF425" s="18"/>
      <c r="AG425" s="53"/>
      <c r="AH425" s="53">
        <f t="shared" si="77"/>
        <v>0</v>
      </c>
    </row>
    <row r="426" spans="1:34" ht="15">
      <c r="A426" s="30" t="s">
        <v>86</v>
      </c>
      <c r="B426" s="18">
        <f t="shared" si="76"/>
        <v>0</v>
      </c>
      <c r="C426" s="49"/>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53"/>
      <c r="AF426" s="18"/>
      <c r="AG426" s="53"/>
      <c r="AH426" s="53">
        <f t="shared" si="77"/>
        <v>0</v>
      </c>
    </row>
    <row r="427" spans="1:34" ht="15">
      <c r="A427" s="88" t="s">
        <v>74</v>
      </c>
      <c r="B427" s="89">
        <f>SUM(B415:B426)</f>
        <v>0</v>
      </c>
      <c r="C427" s="46">
        <f>SUM(C415:C425)</f>
        <v>0</v>
      </c>
      <c r="D427" s="53">
        <f>SUM(D415:D425)</f>
        <v>0</v>
      </c>
      <c r="E427" s="53">
        <v>0</v>
      </c>
      <c r="F427" s="53">
        <f>SUM(F415:F425)</f>
        <v>0</v>
      </c>
      <c r="G427" s="53">
        <f>SUM(G415:G425)</f>
        <v>0</v>
      </c>
      <c r="H427" s="53">
        <f>SUM(H415:H425)</f>
        <v>0</v>
      </c>
      <c r="I427" s="53">
        <f>SUM(I415:I425)</f>
        <v>0</v>
      </c>
      <c r="J427" s="53">
        <f t="shared" ref="J427:AC427" si="78">SUM(J415:J425)</f>
        <v>0</v>
      </c>
      <c r="K427" s="53">
        <f t="shared" si="78"/>
        <v>0</v>
      </c>
      <c r="L427" s="53">
        <f t="shared" si="78"/>
        <v>0</v>
      </c>
      <c r="M427" s="53">
        <f t="shared" si="78"/>
        <v>0</v>
      </c>
      <c r="N427" s="53">
        <f t="shared" si="78"/>
        <v>0</v>
      </c>
      <c r="O427" s="53">
        <f t="shared" si="78"/>
        <v>0</v>
      </c>
      <c r="P427" s="53">
        <f t="shared" si="78"/>
        <v>0</v>
      </c>
      <c r="Q427" s="53">
        <f t="shared" si="78"/>
        <v>0</v>
      </c>
      <c r="R427" s="53">
        <f t="shared" si="78"/>
        <v>0</v>
      </c>
      <c r="S427" s="53">
        <f t="shared" si="78"/>
        <v>0</v>
      </c>
      <c r="T427" s="53">
        <f t="shared" si="78"/>
        <v>0</v>
      </c>
      <c r="U427" s="53">
        <f t="shared" si="78"/>
        <v>0</v>
      </c>
      <c r="V427" s="53">
        <f t="shared" si="78"/>
        <v>0</v>
      </c>
      <c r="W427" s="53">
        <f t="shared" si="78"/>
        <v>0</v>
      </c>
      <c r="X427" s="53">
        <f t="shared" si="78"/>
        <v>0</v>
      </c>
      <c r="Y427" s="53">
        <f t="shared" si="78"/>
        <v>0</v>
      </c>
      <c r="Z427" s="53">
        <f t="shared" si="78"/>
        <v>0</v>
      </c>
      <c r="AA427" s="53">
        <f t="shared" si="78"/>
        <v>0</v>
      </c>
      <c r="AB427" s="53">
        <f t="shared" si="78"/>
        <v>0</v>
      </c>
      <c r="AC427" s="53">
        <f t="shared" si="78"/>
        <v>0</v>
      </c>
      <c r="AD427" s="53">
        <v>0</v>
      </c>
      <c r="AE427" s="53">
        <f>SUM(AE415:AE425)</f>
        <v>0</v>
      </c>
      <c r="AF427" s="53">
        <f>SUM(AF415:AF425)</f>
        <v>0</v>
      </c>
      <c r="AG427" s="53">
        <f>SUM(AG415:AG425)</f>
        <v>0</v>
      </c>
      <c r="AH427" s="46">
        <f>SUM(AH415:AH425)</f>
        <v>0</v>
      </c>
    </row>
    <row r="428" spans="1:34" ht="15">
      <c r="A428" s="1918"/>
      <c r="B428" s="1921"/>
      <c r="C428" s="13"/>
      <c r="D428" s="52"/>
      <c r="E428" s="52"/>
      <c r="F428" s="52"/>
      <c r="G428" s="52"/>
      <c r="H428" s="52"/>
      <c r="I428" s="52"/>
      <c r="J428" s="52"/>
      <c r="K428" s="52"/>
      <c r="L428" s="52"/>
      <c r="M428" s="52"/>
      <c r="N428" s="52"/>
      <c r="O428" s="52"/>
      <c r="P428" s="52"/>
      <c r="Q428" s="52"/>
      <c r="R428" s="52"/>
      <c r="S428" s="52"/>
      <c r="T428" s="52"/>
      <c r="U428" s="52"/>
      <c r="V428" s="52"/>
      <c r="W428" s="52"/>
      <c r="X428" s="52"/>
      <c r="Y428" s="52"/>
      <c r="Z428" s="52"/>
      <c r="AA428" s="52"/>
      <c r="AB428" s="52"/>
      <c r="AC428" s="52"/>
      <c r="AD428" s="52"/>
      <c r="AE428" s="52"/>
      <c r="AF428" s="52"/>
      <c r="AG428" s="52"/>
      <c r="AH428" s="13"/>
    </row>
    <row r="429" spans="1:34" ht="15">
      <c r="A429" s="3582" t="s">
        <v>596</v>
      </c>
      <c r="B429" s="3583"/>
      <c r="C429" s="3583"/>
      <c r="D429" s="3583"/>
      <c r="E429" s="3583"/>
      <c r="F429" s="3583"/>
      <c r="G429" s="3583"/>
      <c r="H429" s="3584"/>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row>
    <row r="430" spans="1:34" ht="15">
      <c r="A430" s="5" t="s">
        <v>72</v>
      </c>
      <c r="B430" s="5" t="s">
        <v>73</v>
      </c>
      <c r="C430" s="1249">
        <v>1</v>
      </c>
      <c r="D430" s="30">
        <v>2</v>
      </c>
      <c r="E430" s="30">
        <v>3</v>
      </c>
      <c r="F430" s="30">
        <v>4</v>
      </c>
      <c r="G430" s="30">
        <v>5</v>
      </c>
      <c r="H430" s="30">
        <v>6</v>
      </c>
      <c r="I430" s="30">
        <v>7</v>
      </c>
      <c r="J430" s="30">
        <v>8</v>
      </c>
      <c r="K430" s="30">
        <v>9</v>
      </c>
      <c r="L430" s="30">
        <v>10</v>
      </c>
      <c r="M430" s="30">
        <v>11</v>
      </c>
      <c r="N430" s="30">
        <v>12</v>
      </c>
      <c r="O430" s="30">
        <v>13</v>
      </c>
      <c r="P430" s="30">
        <v>14</v>
      </c>
      <c r="Q430" s="30">
        <v>15</v>
      </c>
      <c r="R430" s="30">
        <v>16</v>
      </c>
      <c r="S430" s="30">
        <v>17</v>
      </c>
      <c r="T430" s="30">
        <v>18</v>
      </c>
      <c r="U430" s="30">
        <v>19</v>
      </c>
      <c r="V430" s="30">
        <v>20</v>
      </c>
      <c r="W430" s="30">
        <v>21</v>
      </c>
      <c r="X430" s="30">
        <v>22</v>
      </c>
      <c r="Y430" s="30">
        <v>23</v>
      </c>
      <c r="Z430" s="30">
        <v>24</v>
      </c>
      <c r="AA430" s="30">
        <v>25</v>
      </c>
      <c r="AB430" s="30">
        <v>26</v>
      </c>
      <c r="AC430" s="30">
        <v>27</v>
      </c>
      <c r="AD430" s="30">
        <v>28</v>
      </c>
      <c r="AE430" s="30">
        <v>29</v>
      </c>
      <c r="AF430" s="30">
        <v>30</v>
      </c>
      <c r="AG430" s="30">
        <v>31</v>
      </c>
      <c r="AH430" s="39" t="s">
        <v>74</v>
      </c>
    </row>
    <row r="431" spans="1:34" ht="15">
      <c r="A431" s="30" t="s">
        <v>75</v>
      </c>
      <c r="B431" s="114">
        <f t="shared" ref="B431:B442" si="79">+AH431</f>
        <v>0</v>
      </c>
      <c r="C431" s="1930"/>
      <c r="D431" s="1930"/>
      <c r="E431" s="1930"/>
      <c r="F431" s="1930"/>
      <c r="G431" s="1930"/>
      <c r="H431" s="1930"/>
      <c r="I431" s="1930"/>
      <c r="J431" s="1930"/>
      <c r="K431" s="1930"/>
      <c r="L431" s="1930"/>
      <c r="M431" s="1930"/>
      <c r="N431" s="1930"/>
      <c r="O431" s="1930"/>
      <c r="P431" s="1930"/>
      <c r="Q431" s="1930"/>
      <c r="R431" s="1930"/>
      <c r="S431" s="1930"/>
      <c r="T431" s="1930"/>
      <c r="U431" s="1930"/>
      <c r="V431" s="1930"/>
      <c r="W431" s="1930"/>
      <c r="X431" s="1930"/>
      <c r="Y431" s="1930"/>
      <c r="Z431" s="1930"/>
      <c r="AA431" s="1930"/>
      <c r="AB431" s="1287"/>
      <c r="AC431" s="1930"/>
      <c r="AD431" s="1930"/>
      <c r="AE431" s="1930"/>
      <c r="AF431" s="1930"/>
      <c r="AG431" s="1930"/>
      <c r="AH431" s="53">
        <f>SUM(C431:AG431)</f>
        <v>0</v>
      </c>
    </row>
    <row r="432" spans="1:34" ht="15">
      <c r="A432" s="30" t="s">
        <v>76</v>
      </c>
      <c r="B432" s="114">
        <f t="shared" si="79"/>
        <v>0</v>
      </c>
      <c r="C432" s="1930"/>
      <c r="D432" s="1930"/>
      <c r="E432" s="1930"/>
      <c r="F432" s="1930"/>
      <c r="G432" s="1930"/>
      <c r="H432" s="1930"/>
      <c r="I432" s="1930"/>
      <c r="J432" s="1930"/>
      <c r="K432" s="1930"/>
      <c r="L432" s="1930"/>
      <c r="M432" s="1930"/>
      <c r="N432" s="1930"/>
      <c r="O432" s="1930"/>
      <c r="P432" s="1930"/>
      <c r="Q432" s="1930">
        <v>0</v>
      </c>
      <c r="R432" s="1930"/>
      <c r="S432" s="1930"/>
      <c r="T432" s="1930"/>
      <c r="U432" s="1930"/>
      <c r="V432" s="1930"/>
      <c r="W432" s="1930"/>
      <c r="X432" s="1930"/>
      <c r="Y432" s="1930"/>
      <c r="Z432" s="1930"/>
      <c r="AA432" s="1930"/>
      <c r="AB432" s="1930"/>
      <c r="AC432" s="1930"/>
      <c r="AD432" s="1930"/>
      <c r="AE432" s="1930"/>
      <c r="AF432" s="1930"/>
      <c r="AG432" s="1930"/>
      <c r="AH432" s="53">
        <f t="shared" ref="AH432:AH442" si="80">SUM(C432:AG432)</f>
        <v>0</v>
      </c>
    </row>
    <row r="433" spans="1:34" ht="15">
      <c r="A433" s="30" t="s">
        <v>77</v>
      </c>
      <c r="B433" s="114">
        <f t="shared" si="79"/>
        <v>0</v>
      </c>
      <c r="C433" s="1930"/>
      <c r="D433" s="1930"/>
      <c r="E433" s="1930"/>
      <c r="F433" s="1930"/>
      <c r="G433" s="1930"/>
      <c r="H433" s="1287"/>
      <c r="I433" s="1287"/>
      <c r="J433" s="1287"/>
      <c r="K433" s="1287"/>
      <c r="L433" s="1287"/>
      <c r="M433" s="1287"/>
      <c r="N433" s="1287"/>
      <c r="O433" s="1287"/>
      <c r="P433" s="1287"/>
      <c r="Q433" s="1280"/>
      <c r="R433" s="1280"/>
      <c r="S433" s="1280"/>
      <c r="T433" s="1280"/>
      <c r="U433" s="1280"/>
      <c r="V433" s="1280"/>
      <c r="W433" s="1280"/>
      <c r="X433" s="1280"/>
      <c r="Y433" s="1280"/>
      <c r="Z433" s="1280"/>
      <c r="AA433" s="1280"/>
      <c r="AB433" s="1280"/>
      <c r="AC433" s="1280"/>
      <c r="AD433" s="1280"/>
      <c r="AE433" s="1280"/>
      <c r="AF433" s="1280"/>
      <c r="AG433" s="1280"/>
      <c r="AH433" s="53">
        <f t="shared" si="80"/>
        <v>0</v>
      </c>
    </row>
    <row r="434" spans="1:34" ht="15">
      <c r="A434" s="30" t="s">
        <v>78</v>
      </c>
      <c r="B434" s="114">
        <f t="shared" si="79"/>
        <v>0</v>
      </c>
      <c r="C434" s="1280"/>
      <c r="D434" s="1280"/>
      <c r="E434" s="1280"/>
      <c r="F434" s="1280"/>
      <c r="G434" s="1280"/>
      <c r="H434" s="1280"/>
      <c r="I434" s="1280"/>
      <c r="J434" s="1280"/>
      <c r="K434" s="1280"/>
      <c r="L434" s="1280"/>
      <c r="M434" s="1280"/>
      <c r="N434" s="1280"/>
      <c r="O434" s="1280"/>
      <c r="P434" s="1280"/>
      <c r="Q434" s="1280"/>
      <c r="R434" s="1280"/>
      <c r="S434" s="1280"/>
      <c r="T434" s="1280"/>
      <c r="U434" s="1280"/>
      <c r="V434" s="1280"/>
      <c r="W434" s="1280"/>
      <c r="X434" s="1280"/>
      <c r="Y434" s="1280"/>
      <c r="Z434" s="1280"/>
      <c r="AA434" s="1280"/>
      <c r="AB434" s="1280"/>
      <c r="AC434" s="1280"/>
      <c r="AD434" s="1280"/>
      <c r="AE434" s="1280"/>
      <c r="AF434" s="1280" t="s">
        <v>112</v>
      </c>
      <c r="AG434" s="1280" t="s">
        <v>112</v>
      </c>
      <c r="AH434" s="53">
        <f t="shared" si="80"/>
        <v>0</v>
      </c>
    </row>
    <row r="435" spans="1:34" ht="15">
      <c r="A435" s="30" t="s">
        <v>79</v>
      </c>
      <c r="B435" s="114">
        <f t="shared" si="79"/>
        <v>84.588999999999999</v>
      </c>
      <c r="C435" s="1280" t="s">
        <v>112</v>
      </c>
      <c r="D435" s="1280" t="s">
        <v>112</v>
      </c>
      <c r="E435" s="1280" t="s">
        <v>112</v>
      </c>
      <c r="F435" s="1280" t="s">
        <v>112</v>
      </c>
      <c r="G435" s="1280" t="s">
        <v>112</v>
      </c>
      <c r="H435" s="1280" t="s">
        <v>112</v>
      </c>
      <c r="I435" s="1280" t="s">
        <v>112</v>
      </c>
      <c r="J435" s="1280" t="s">
        <v>112</v>
      </c>
      <c r="K435" s="1280" t="s">
        <v>112</v>
      </c>
      <c r="L435" s="1280" t="s">
        <v>112</v>
      </c>
      <c r="M435" s="1280" t="s">
        <v>112</v>
      </c>
      <c r="N435" s="1280" t="s">
        <v>112</v>
      </c>
      <c r="O435" s="1280" t="s">
        <v>112</v>
      </c>
      <c r="P435" s="1280" t="s">
        <v>112</v>
      </c>
      <c r="Q435" s="1280" t="s">
        <v>112</v>
      </c>
      <c r="R435" s="1280"/>
      <c r="S435" s="1280">
        <v>44.87</v>
      </c>
      <c r="T435" s="1280"/>
      <c r="U435" s="1280"/>
      <c r="V435" s="1280">
        <v>39.719000000000001</v>
      </c>
      <c r="W435" s="1280"/>
      <c r="X435" s="1280"/>
      <c r="Y435" s="1280"/>
      <c r="Z435" s="1280"/>
      <c r="AA435" s="1280"/>
      <c r="AB435" s="1280"/>
      <c r="AC435" s="1280"/>
      <c r="AD435" s="1280"/>
      <c r="AE435" s="1280"/>
      <c r="AF435" s="1280"/>
      <c r="AG435" s="1280"/>
      <c r="AH435" s="53">
        <f t="shared" si="80"/>
        <v>84.588999999999999</v>
      </c>
    </row>
    <row r="436" spans="1:34" ht="15">
      <c r="A436" s="30" t="s">
        <v>80</v>
      </c>
      <c r="B436" s="114">
        <f t="shared" si="79"/>
        <v>0</v>
      </c>
      <c r="C436" s="49"/>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53">
        <f t="shared" si="80"/>
        <v>0</v>
      </c>
    </row>
    <row r="437" spans="1:34" ht="15">
      <c r="A437" s="30" t="s">
        <v>81</v>
      </c>
      <c r="B437" s="112">
        <f t="shared" si="79"/>
        <v>0</v>
      </c>
      <c r="C437" s="49"/>
      <c r="D437" s="53"/>
      <c r="E437" s="53"/>
      <c r="F437" s="53"/>
      <c r="G437" s="18"/>
      <c r="H437" s="18"/>
      <c r="I437" s="18"/>
      <c r="J437" s="57"/>
      <c r="K437" s="57"/>
      <c r="L437" s="53"/>
      <c r="M437" s="53"/>
      <c r="N437" s="53"/>
      <c r="O437" s="53"/>
      <c r="P437" s="53"/>
      <c r="Q437" s="53"/>
      <c r="R437" s="53"/>
      <c r="S437" s="53"/>
      <c r="T437" s="53"/>
      <c r="U437" s="53"/>
      <c r="V437" s="53"/>
      <c r="W437" s="53"/>
      <c r="X437" s="53"/>
      <c r="Y437" s="53"/>
      <c r="Z437" s="53"/>
      <c r="AA437" s="53"/>
      <c r="AB437" s="53"/>
      <c r="AC437" s="53"/>
      <c r="AD437" s="53"/>
      <c r="AE437" s="53"/>
      <c r="AF437" s="53"/>
      <c r="AG437" s="53"/>
      <c r="AH437" s="53">
        <f t="shared" si="80"/>
        <v>0</v>
      </c>
    </row>
    <row r="438" spans="1:34" ht="15">
      <c r="A438" s="30" t="s">
        <v>82</v>
      </c>
      <c r="B438" s="112">
        <f t="shared" si="79"/>
        <v>0</v>
      </c>
      <c r="C438" s="49"/>
      <c r="D438" s="18"/>
      <c r="E438" s="18"/>
      <c r="F438" s="18"/>
      <c r="G438" s="18"/>
      <c r="H438" s="18"/>
      <c r="I438" s="18"/>
      <c r="J438" s="57"/>
      <c r="K438" s="57"/>
      <c r="L438" s="53"/>
      <c r="M438" s="53"/>
      <c r="N438" s="53"/>
      <c r="O438" s="53"/>
      <c r="P438" s="53"/>
      <c r="Q438" s="53"/>
      <c r="R438" s="53"/>
      <c r="S438" s="53"/>
      <c r="T438" s="53"/>
      <c r="U438" s="53"/>
      <c r="V438" s="53"/>
      <c r="W438" s="53"/>
      <c r="X438" s="53"/>
      <c r="Y438" s="53"/>
      <c r="Z438" s="53"/>
      <c r="AA438" s="53"/>
      <c r="AB438" s="53"/>
      <c r="AC438" s="53"/>
      <c r="AD438" s="53"/>
      <c r="AE438" s="53"/>
      <c r="AF438" s="53"/>
      <c r="AG438" s="53"/>
      <c r="AH438" s="53">
        <f t="shared" si="80"/>
        <v>0</v>
      </c>
    </row>
    <row r="439" spans="1:34" ht="15">
      <c r="A439" s="30" t="s">
        <v>83</v>
      </c>
      <c r="B439" s="112">
        <f t="shared" si="79"/>
        <v>0</v>
      </c>
      <c r="C439" s="46"/>
      <c r="D439" s="53"/>
      <c r="E439" s="53"/>
      <c r="F439" s="53"/>
      <c r="G439" s="53"/>
      <c r="H439" s="53"/>
      <c r="I439" s="53"/>
      <c r="J439" s="57"/>
      <c r="K439" s="57"/>
      <c r="L439" s="18"/>
      <c r="M439" s="18" t="s">
        <v>1289</v>
      </c>
      <c r="N439" s="18"/>
      <c r="O439" s="18" t="s">
        <v>1290</v>
      </c>
      <c r="P439" s="18" t="s">
        <v>1291</v>
      </c>
      <c r="Q439" s="1002" t="s">
        <v>112</v>
      </c>
      <c r="R439" s="1002" t="s">
        <v>112</v>
      </c>
      <c r="S439" s="1002" t="s">
        <v>112</v>
      </c>
      <c r="T439" s="1002" t="s">
        <v>112</v>
      </c>
      <c r="U439" s="1002" t="s">
        <v>112</v>
      </c>
      <c r="V439" s="1002" t="s">
        <v>112</v>
      </c>
      <c r="W439" s="1002" t="s">
        <v>112</v>
      </c>
      <c r="X439" s="1002" t="s">
        <v>112</v>
      </c>
      <c r="Y439" s="1002" t="s">
        <v>112</v>
      </c>
      <c r="Z439" s="1002" t="s">
        <v>112</v>
      </c>
      <c r="AA439" s="1002" t="s">
        <v>112</v>
      </c>
      <c r="AB439" s="1002" t="s">
        <v>112</v>
      </c>
      <c r="AC439" s="1002" t="s">
        <v>112</v>
      </c>
      <c r="AD439" s="1002" t="s">
        <v>112</v>
      </c>
      <c r="AE439" s="1002" t="s">
        <v>112</v>
      </c>
      <c r="AF439" s="1002" t="s">
        <v>112</v>
      </c>
      <c r="AG439" s="1002" t="s">
        <v>112</v>
      </c>
      <c r="AH439" s="53">
        <f t="shared" si="80"/>
        <v>0</v>
      </c>
    </row>
    <row r="440" spans="1:34" ht="15">
      <c r="A440" s="30" t="s">
        <v>84</v>
      </c>
      <c r="B440" s="112">
        <f t="shared" si="79"/>
        <v>0</v>
      </c>
      <c r="C440" s="1002" t="s">
        <v>112</v>
      </c>
      <c r="D440" s="1002" t="s">
        <v>112</v>
      </c>
      <c r="E440" s="1002" t="s">
        <v>112</v>
      </c>
      <c r="F440" s="1002" t="s">
        <v>112</v>
      </c>
      <c r="G440" s="1002" t="s">
        <v>112</v>
      </c>
      <c r="H440" s="1002" t="s">
        <v>112</v>
      </c>
      <c r="I440" s="1002" t="s">
        <v>112</v>
      </c>
      <c r="J440" s="1002" t="s">
        <v>112</v>
      </c>
      <c r="K440" s="1002" t="s">
        <v>112</v>
      </c>
      <c r="L440" s="1002" t="s">
        <v>112</v>
      </c>
      <c r="M440" s="1002" t="s">
        <v>112</v>
      </c>
      <c r="N440" s="1002" t="s">
        <v>112</v>
      </c>
      <c r="O440" s="1002" t="s">
        <v>112</v>
      </c>
      <c r="P440" s="1002" t="s">
        <v>112</v>
      </c>
      <c r="Q440" s="1002" t="s">
        <v>112</v>
      </c>
      <c r="R440" s="3256" t="s">
        <v>1292</v>
      </c>
      <c r="S440" s="1002" t="s">
        <v>112</v>
      </c>
      <c r="T440" s="1002" t="s">
        <v>112</v>
      </c>
      <c r="U440" s="1002" t="s">
        <v>112</v>
      </c>
      <c r="V440" s="1002" t="s">
        <v>112</v>
      </c>
      <c r="W440" s="1002" t="s">
        <v>112</v>
      </c>
      <c r="X440" s="1002" t="s">
        <v>112</v>
      </c>
      <c r="Y440" s="1002" t="s">
        <v>112</v>
      </c>
      <c r="Z440" s="1002" t="s">
        <v>112</v>
      </c>
      <c r="AA440" s="1002" t="s">
        <v>112</v>
      </c>
      <c r="AB440" s="1002" t="s">
        <v>112</v>
      </c>
      <c r="AC440" s="1002" t="s">
        <v>112</v>
      </c>
      <c r="AD440" s="1002" t="s">
        <v>112</v>
      </c>
      <c r="AE440" s="1002" t="s">
        <v>112</v>
      </c>
      <c r="AF440" s="1002" t="s">
        <v>112</v>
      </c>
      <c r="AG440" s="1002" t="s">
        <v>112</v>
      </c>
      <c r="AH440" s="53">
        <f t="shared" si="80"/>
        <v>0</v>
      </c>
    </row>
    <row r="441" spans="1:34" ht="15">
      <c r="A441" s="30" t="s">
        <v>85</v>
      </c>
      <c r="B441" s="18">
        <f t="shared" si="79"/>
        <v>44.524000000000001</v>
      </c>
      <c r="C441" s="81" t="s">
        <v>112</v>
      </c>
      <c r="D441" s="81" t="s">
        <v>112</v>
      </c>
      <c r="E441" s="81" t="s">
        <v>112</v>
      </c>
      <c r="F441" s="81" t="s">
        <v>112</v>
      </c>
      <c r="G441" s="81" t="s">
        <v>112</v>
      </c>
      <c r="H441" s="81" t="s">
        <v>112</v>
      </c>
      <c r="I441" s="81" t="s">
        <v>112</v>
      </c>
      <c r="J441" s="81" t="s">
        <v>112</v>
      </c>
      <c r="K441" s="81" t="s">
        <v>112</v>
      </c>
      <c r="L441" s="81" t="s">
        <v>112</v>
      </c>
      <c r="M441" s="81" t="s">
        <v>112</v>
      </c>
      <c r="N441" s="81" t="s">
        <v>112</v>
      </c>
      <c r="O441" s="81" t="s">
        <v>112</v>
      </c>
      <c r="P441" s="81" t="s">
        <v>112</v>
      </c>
      <c r="Q441" s="81" t="s">
        <v>112</v>
      </c>
      <c r="R441" s="18"/>
      <c r="S441" s="18"/>
      <c r="T441" s="18"/>
      <c r="U441" s="18"/>
      <c r="V441" s="18"/>
      <c r="W441" s="18"/>
      <c r="X441" s="18"/>
      <c r="Y441" s="11"/>
      <c r="Z441" s="18"/>
      <c r="AA441" s="18"/>
      <c r="AB441" s="18"/>
      <c r="AC441" s="18"/>
      <c r="AD441" s="18">
        <f>10.881+22.635+11.008</f>
        <v>44.524000000000001</v>
      </c>
      <c r="AE441" s="53"/>
      <c r="AF441" s="18"/>
      <c r="AG441" s="53"/>
      <c r="AH441" s="53">
        <f t="shared" si="80"/>
        <v>44.524000000000001</v>
      </c>
    </row>
    <row r="442" spans="1:34" ht="15">
      <c r="A442" s="30" t="s">
        <v>86</v>
      </c>
      <c r="B442" s="18">
        <f t="shared" si="79"/>
        <v>3.8620000000000001</v>
      </c>
      <c r="C442" s="49"/>
      <c r="D442" s="18"/>
      <c r="E442" s="18">
        <v>3.8620000000000001</v>
      </c>
      <c r="F442" s="18"/>
      <c r="G442" s="18" t="s">
        <v>1293</v>
      </c>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53"/>
      <c r="AF442" s="18"/>
      <c r="AG442" s="53"/>
      <c r="AH442" s="53">
        <f t="shared" si="80"/>
        <v>3.8620000000000001</v>
      </c>
    </row>
    <row r="443" spans="1:34" ht="15">
      <c r="A443" s="88" t="s">
        <v>74</v>
      </c>
      <c r="B443" s="89">
        <f>SUM(B431:B442)</f>
        <v>132.97499999999999</v>
      </c>
      <c r="C443" s="46">
        <f>SUM(C431:C441)</f>
        <v>0</v>
      </c>
      <c r="D443" s="53">
        <f>SUM(D431:D441)</f>
        <v>0</v>
      </c>
      <c r="E443" s="53">
        <v>0</v>
      </c>
      <c r="F443" s="53">
        <f>SUM(F431:F441)</f>
        <v>0</v>
      </c>
      <c r="G443" s="53">
        <f>SUM(G431:G441)</f>
        <v>0</v>
      </c>
      <c r="H443" s="53">
        <f>SUM(H431:H441)</f>
        <v>0</v>
      </c>
      <c r="I443" s="53">
        <f>SUM(I431:I441)</f>
        <v>0</v>
      </c>
      <c r="J443" s="53">
        <f t="shared" ref="J443:AC443" si="81">SUM(J431:J441)</f>
        <v>0</v>
      </c>
      <c r="K443" s="53">
        <f t="shared" si="81"/>
        <v>0</v>
      </c>
      <c r="L443" s="53">
        <f t="shared" si="81"/>
        <v>0</v>
      </c>
      <c r="M443" s="53">
        <f t="shared" si="81"/>
        <v>0</v>
      </c>
      <c r="N443" s="53">
        <f t="shared" si="81"/>
        <v>0</v>
      </c>
      <c r="O443" s="53">
        <f t="shared" si="81"/>
        <v>0</v>
      </c>
      <c r="P443" s="53">
        <f t="shared" si="81"/>
        <v>0</v>
      </c>
      <c r="Q443" s="53">
        <f t="shared" si="81"/>
        <v>0</v>
      </c>
      <c r="R443" s="53">
        <f t="shared" si="81"/>
        <v>0</v>
      </c>
      <c r="S443" s="53">
        <f t="shared" si="81"/>
        <v>44.87</v>
      </c>
      <c r="T443" s="53">
        <f t="shared" si="81"/>
        <v>0</v>
      </c>
      <c r="U443" s="53">
        <f t="shared" si="81"/>
        <v>0</v>
      </c>
      <c r="V443" s="53">
        <f t="shared" si="81"/>
        <v>39.719000000000001</v>
      </c>
      <c r="W443" s="53">
        <f t="shared" si="81"/>
        <v>0</v>
      </c>
      <c r="X443" s="53">
        <f t="shared" si="81"/>
        <v>0</v>
      </c>
      <c r="Y443" s="53">
        <f t="shared" si="81"/>
        <v>0</v>
      </c>
      <c r="Z443" s="53">
        <f t="shared" si="81"/>
        <v>0</v>
      </c>
      <c r="AA443" s="53">
        <f t="shared" si="81"/>
        <v>0</v>
      </c>
      <c r="AB443" s="53">
        <f t="shared" si="81"/>
        <v>0</v>
      </c>
      <c r="AC443" s="53">
        <f t="shared" si="81"/>
        <v>0</v>
      </c>
      <c r="AD443" s="53">
        <v>0</v>
      </c>
      <c r="AE443" s="53">
        <f>SUM(AE431:AE441)</f>
        <v>0</v>
      </c>
      <c r="AF443" s="53">
        <f>SUM(AF431:AF441)</f>
        <v>0</v>
      </c>
      <c r="AG443" s="53">
        <f>SUM(AG431:AG441)</f>
        <v>0</v>
      </c>
      <c r="AH443" s="46">
        <f>SUM(AH431:AH441)</f>
        <v>129.113</v>
      </c>
    </row>
    <row r="444" spans="1:34" ht="15">
      <c r="A444" s="1918"/>
      <c r="B444" s="1921"/>
      <c r="C444" s="13"/>
      <c r="D444" s="52"/>
      <c r="E444" s="52"/>
      <c r="F444" s="52"/>
      <c r="G444" s="52"/>
      <c r="H444" s="52"/>
      <c r="I444" s="52"/>
      <c r="J444" s="52"/>
      <c r="K444" s="52"/>
      <c r="L444" s="52"/>
      <c r="M444" s="52"/>
      <c r="N444" s="52"/>
      <c r="O444" s="52"/>
      <c r="P444" s="52"/>
      <c r="Q444" s="52"/>
      <c r="R444" s="52"/>
      <c r="S444" s="52"/>
      <c r="T444" s="52"/>
      <c r="U444" s="52"/>
      <c r="V444" s="52"/>
      <c r="W444" s="52"/>
      <c r="X444" s="52"/>
      <c r="Y444" s="52"/>
      <c r="Z444" s="52"/>
      <c r="AA444" s="52"/>
      <c r="AB444" s="52"/>
      <c r="AC444" s="52"/>
      <c r="AD444" s="52"/>
      <c r="AE444" s="52"/>
      <c r="AF444" s="52"/>
      <c r="AG444" s="52"/>
      <c r="AH444" s="13"/>
    </row>
    <row r="445" spans="1:34" ht="17.25">
      <c r="A445" s="3588" t="s">
        <v>603</v>
      </c>
      <c r="B445" s="3589"/>
      <c r="C445" s="3589"/>
      <c r="D445" s="3589"/>
      <c r="E445" s="3589"/>
      <c r="F445" s="3589"/>
      <c r="G445" s="3589"/>
      <c r="H445" s="3590"/>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row>
    <row r="446" spans="1:34" ht="15">
      <c r="A446" s="5" t="s">
        <v>72</v>
      </c>
      <c r="B446" s="5" t="s">
        <v>73</v>
      </c>
      <c r="C446" s="1249">
        <v>1</v>
      </c>
      <c r="D446" s="30">
        <v>2</v>
      </c>
      <c r="E446" s="30">
        <v>3</v>
      </c>
      <c r="F446" s="30">
        <v>4</v>
      </c>
      <c r="G446" s="30">
        <v>5</v>
      </c>
      <c r="H446" s="30">
        <v>6</v>
      </c>
      <c r="I446" s="30">
        <v>7</v>
      </c>
      <c r="J446" s="30">
        <v>8</v>
      </c>
      <c r="K446" s="30">
        <v>9</v>
      </c>
      <c r="L446" s="30">
        <v>10</v>
      </c>
      <c r="M446" s="30">
        <v>11</v>
      </c>
      <c r="N446" s="30">
        <v>12</v>
      </c>
      <c r="O446" s="30">
        <v>13</v>
      </c>
      <c r="P446" s="30">
        <v>14</v>
      </c>
      <c r="Q446" s="30">
        <v>15</v>
      </c>
      <c r="R446" s="30">
        <v>16</v>
      </c>
      <c r="S446" s="30">
        <v>17</v>
      </c>
      <c r="T446" s="30">
        <v>18</v>
      </c>
      <c r="U446" s="30">
        <v>19</v>
      </c>
      <c r="V446" s="30">
        <v>20</v>
      </c>
      <c r="W446" s="30">
        <v>21</v>
      </c>
      <c r="X446" s="30">
        <v>22</v>
      </c>
      <c r="Y446" s="30">
        <v>23</v>
      </c>
      <c r="Z446" s="30">
        <v>24</v>
      </c>
      <c r="AA446" s="30">
        <v>25</v>
      </c>
      <c r="AB446" s="30">
        <v>26</v>
      </c>
      <c r="AC446" s="30">
        <v>27</v>
      </c>
      <c r="AD446" s="30">
        <v>28</v>
      </c>
      <c r="AE446" s="30">
        <v>29</v>
      </c>
      <c r="AF446" s="30">
        <v>30</v>
      </c>
      <c r="AG446" s="30">
        <v>31</v>
      </c>
      <c r="AH446" s="39" t="s">
        <v>74</v>
      </c>
    </row>
    <row r="447" spans="1:34" ht="15">
      <c r="A447" s="30" t="s">
        <v>75</v>
      </c>
      <c r="B447" s="114">
        <f t="shared" ref="B447:B458" si="82">+AH447</f>
        <v>0</v>
      </c>
      <c r="C447" s="1930"/>
      <c r="D447" s="1930"/>
      <c r="E447" s="1930"/>
      <c r="F447" s="1930"/>
      <c r="G447" s="1930"/>
      <c r="H447" s="1930"/>
      <c r="I447" s="1930"/>
      <c r="J447" s="1930"/>
      <c r="K447" s="1930"/>
      <c r="L447" s="1930"/>
      <c r="M447" s="1930"/>
      <c r="N447" s="1930"/>
      <c r="O447" s="1930"/>
      <c r="P447" s="1930"/>
      <c r="Q447" s="1930"/>
      <c r="R447" s="1930"/>
      <c r="S447" s="1930"/>
      <c r="T447" s="1930"/>
      <c r="U447" s="1930"/>
      <c r="V447" s="1930"/>
      <c r="W447" s="1930"/>
      <c r="X447" s="1930"/>
      <c r="Y447" s="1930"/>
      <c r="Z447" s="1930"/>
      <c r="AA447" s="1930"/>
      <c r="AB447" s="1287"/>
      <c r="AC447" s="1930"/>
      <c r="AD447" s="1930"/>
      <c r="AE447" s="1930"/>
      <c r="AF447" s="1930"/>
      <c r="AG447" s="1930"/>
      <c r="AH447" s="53">
        <f t="shared" ref="AH447:AH448" si="83">SUM(C447:AG447)</f>
        <v>0</v>
      </c>
    </row>
    <row r="448" spans="1:34" ht="15">
      <c r="A448" s="30" t="s">
        <v>76</v>
      </c>
      <c r="B448" s="114">
        <f t="shared" si="82"/>
        <v>0</v>
      </c>
      <c r="C448" s="1930"/>
      <c r="D448" s="1930"/>
      <c r="E448" s="1930"/>
      <c r="F448" s="1930"/>
      <c r="G448" s="1930"/>
      <c r="H448" s="1930"/>
      <c r="I448" s="1930"/>
      <c r="J448" s="1930"/>
      <c r="K448" s="1930"/>
      <c r="L448" s="1930"/>
      <c r="M448" s="1930"/>
      <c r="N448" s="1930"/>
      <c r="O448" s="1930"/>
      <c r="P448" s="1930"/>
      <c r="Q448" s="1815" t="s">
        <v>1298</v>
      </c>
      <c r="R448" s="1930"/>
      <c r="S448" s="1930"/>
      <c r="T448" s="1930" t="s">
        <v>1297</v>
      </c>
      <c r="U448" s="1930"/>
      <c r="V448" s="1930"/>
      <c r="W448" s="1930"/>
      <c r="X448" s="1930"/>
      <c r="Y448" s="1930"/>
      <c r="Z448" s="1930"/>
      <c r="AA448" s="1930"/>
      <c r="AB448" s="1930"/>
      <c r="AC448" s="1930"/>
      <c r="AD448" s="1930"/>
      <c r="AE448" s="1930"/>
      <c r="AF448" s="1930"/>
      <c r="AG448" s="1930"/>
      <c r="AH448" s="53">
        <f t="shared" si="83"/>
        <v>0</v>
      </c>
    </row>
    <row r="449" spans="1:34" ht="15">
      <c r="A449" s="30" t="s">
        <v>77</v>
      </c>
      <c r="B449" s="114">
        <f t="shared" si="82"/>
        <v>0</v>
      </c>
      <c r="C449" s="1930"/>
      <c r="D449" s="1930"/>
      <c r="E449" s="1930"/>
      <c r="F449" s="1930"/>
      <c r="G449" s="1930"/>
      <c r="H449" s="1287"/>
      <c r="I449" s="1287"/>
      <c r="J449" s="1287"/>
      <c r="K449" s="1287"/>
      <c r="L449" s="1287"/>
      <c r="M449" s="1287"/>
      <c r="N449" s="1287"/>
      <c r="O449" s="1287"/>
      <c r="P449" s="1287"/>
      <c r="Q449" s="1280"/>
      <c r="R449" s="1280"/>
      <c r="S449" s="1280"/>
      <c r="T449" s="1280"/>
      <c r="U449" s="1280"/>
      <c r="V449" s="1280"/>
      <c r="W449" s="1280"/>
      <c r="X449" s="1280"/>
      <c r="Y449" s="1280"/>
      <c r="Z449" s="1280"/>
      <c r="AA449" s="1280"/>
      <c r="AB449" s="1280"/>
      <c r="AC449" s="1280"/>
      <c r="AD449" s="1280"/>
      <c r="AE449" s="1280"/>
      <c r="AF449" s="1280"/>
      <c r="AG449" s="1280"/>
      <c r="AH449" s="53">
        <f>SUM(C449:AG449)</f>
        <v>0</v>
      </c>
    </row>
    <row r="450" spans="1:34" ht="15">
      <c r="A450" s="30" t="s">
        <v>78</v>
      </c>
      <c r="B450" s="114">
        <f>+AH450</f>
        <v>0</v>
      </c>
      <c r="C450" s="1280"/>
      <c r="D450" s="1280"/>
      <c r="E450" s="1280"/>
      <c r="F450" s="1280"/>
      <c r="G450" s="1280"/>
      <c r="H450" s="1280"/>
      <c r="I450" s="1280"/>
      <c r="J450" s="1280"/>
      <c r="K450" s="1280"/>
      <c r="L450" s="1280"/>
      <c r="M450" s="1280"/>
      <c r="N450" s="1280"/>
      <c r="O450" s="1280"/>
      <c r="P450" s="1280"/>
      <c r="Q450" s="1280"/>
      <c r="R450" s="1280"/>
      <c r="S450" s="1280"/>
      <c r="T450" s="1280"/>
      <c r="U450" s="1280"/>
      <c r="V450" s="1280"/>
      <c r="W450" s="1280"/>
      <c r="X450" s="1280"/>
      <c r="Y450" s="1280"/>
      <c r="Z450" s="1280"/>
      <c r="AA450" s="1280"/>
      <c r="AB450" s="1280"/>
      <c r="AC450" s="1280"/>
      <c r="AD450" s="1280"/>
      <c r="AE450" s="1280"/>
      <c r="AF450" s="1280" t="s">
        <v>112</v>
      </c>
      <c r="AG450" s="1280" t="s">
        <v>112</v>
      </c>
      <c r="AH450" s="53">
        <f t="shared" ref="AH450:AH458" si="84">SUM(C450:AG450)</f>
        <v>0</v>
      </c>
    </row>
    <row r="451" spans="1:34" ht="15">
      <c r="A451" s="30" t="s">
        <v>79</v>
      </c>
      <c r="B451" s="114">
        <f t="shared" si="82"/>
        <v>0</v>
      </c>
      <c r="C451" s="1280" t="s">
        <v>112</v>
      </c>
      <c r="D451" s="1280" t="s">
        <v>112</v>
      </c>
      <c r="E451" s="1280" t="s">
        <v>112</v>
      </c>
      <c r="F451" s="1280" t="s">
        <v>112</v>
      </c>
      <c r="G451" s="1280" t="s">
        <v>112</v>
      </c>
      <c r="H451" s="1280" t="s">
        <v>112</v>
      </c>
      <c r="I451" s="1280" t="s">
        <v>112</v>
      </c>
      <c r="J451" s="1280" t="s">
        <v>112</v>
      </c>
      <c r="K451" s="1280" t="s">
        <v>112</v>
      </c>
      <c r="L451" s="1280" t="s">
        <v>112</v>
      </c>
      <c r="M451" s="1280" t="s">
        <v>112</v>
      </c>
      <c r="N451" s="1280" t="s">
        <v>112</v>
      </c>
      <c r="O451" s="1280" t="s">
        <v>112</v>
      </c>
      <c r="P451" s="1280" t="s">
        <v>112</v>
      </c>
      <c r="Q451" s="1280" t="s">
        <v>112</v>
      </c>
      <c r="R451" s="3241"/>
      <c r="S451" s="3241"/>
      <c r="T451" s="3241"/>
      <c r="U451" s="3241"/>
      <c r="V451" s="3241"/>
      <c r="W451" s="3241"/>
      <c r="X451" s="3241"/>
      <c r="Y451" s="3241"/>
      <c r="Z451" s="3241"/>
      <c r="AA451" s="3241"/>
      <c r="AB451" s="3241"/>
      <c r="AC451" s="3241"/>
      <c r="AD451" s="3241"/>
      <c r="AE451" s="3241"/>
      <c r="AF451" s="3241"/>
      <c r="AG451" s="3241"/>
      <c r="AH451" s="53">
        <f t="shared" si="84"/>
        <v>0</v>
      </c>
    </row>
    <row r="452" spans="1:34" ht="15">
      <c r="A452" s="30" t="s">
        <v>80</v>
      </c>
      <c r="B452" s="114">
        <f t="shared" si="82"/>
        <v>0</v>
      </c>
      <c r="C452" s="49"/>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53">
        <f t="shared" si="84"/>
        <v>0</v>
      </c>
    </row>
    <row r="453" spans="1:34" ht="15">
      <c r="A453" s="30" t="s">
        <v>81</v>
      </c>
      <c r="B453" s="1287">
        <f t="shared" si="82"/>
        <v>0</v>
      </c>
      <c r="C453" s="49"/>
      <c r="D453" s="53"/>
      <c r="E453" s="53"/>
      <c r="F453" s="53"/>
      <c r="G453" s="18"/>
      <c r="H453" s="18"/>
      <c r="I453" s="18"/>
      <c r="J453" s="57"/>
      <c r="K453" s="57"/>
      <c r="L453" s="53"/>
      <c r="M453" s="53"/>
      <c r="N453" s="53"/>
      <c r="O453" s="53"/>
      <c r="P453" s="53"/>
      <c r="Q453" s="53"/>
      <c r="R453" s="53"/>
      <c r="S453" s="53"/>
      <c r="T453" s="53"/>
      <c r="U453" s="53"/>
      <c r="V453" s="53"/>
      <c r="W453" s="1002" t="s">
        <v>112</v>
      </c>
      <c r="X453" s="1002" t="s">
        <v>112</v>
      </c>
      <c r="Y453" s="1002" t="s">
        <v>112</v>
      </c>
      <c r="Z453" s="1002" t="s">
        <v>112</v>
      </c>
      <c r="AA453" s="1002" t="s">
        <v>112</v>
      </c>
      <c r="AB453" s="1002" t="s">
        <v>112</v>
      </c>
      <c r="AC453" s="1002" t="s">
        <v>112</v>
      </c>
      <c r="AD453" s="1002" t="s">
        <v>112</v>
      </c>
      <c r="AE453" s="1002" t="s">
        <v>112</v>
      </c>
      <c r="AF453" s="1002" t="s">
        <v>112</v>
      </c>
      <c r="AG453" s="1002" t="s">
        <v>112</v>
      </c>
      <c r="AH453" s="53">
        <f t="shared" si="84"/>
        <v>0</v>
      </c>
    </row>
    <row r="454" spans="1:34" ht="15">
      <c r="A454" s="30" t="s">
        <v>82</v>
      </c>
      <c r="B454" s="1287">
        <f t="shared" si="82"/>
        <v>0</v>
      </c>
      <c r="C454" s="1002" t="s">
        <v>112</v>
      </c>
      <c r="D454" s="1002" t="s">
        <v>112</v>
      </c>
      <c r="E454" s="1002" t="s">
        <v>112</v>
      </c>
      <c r="F454" s="1002" t="s">
        <v>112</v>
      </c>
      <c r="G454" s="1002" t="s">
        <v>112</v>
      </c>
      <c r="H454" s="1002" t="s">
        <v>112</v>
      </c>
      <c r="I454" s="1002" t="s">
        <v>112</v>
      </c>
      <c r="J454" s="1002" t="s">
        <v>112</v>
      </c>
      <c r="K454" s="1002" t="s">
        <v>112</v>
      </c>
      <c r="L454" s="1002" t="s">
        <v>112</v>
      </c>
      <c r="M454" s="1002" t="s">
        <v>112</v>
      </c>
      <c r="N454" s="1002" t="s">
        <v>112</v>
      </c>
      <c r="O454" s="1002" t="s">
        <v>112</v>
      </c>
      <c r="P454" s="1002" t="s">
        <v>112</v>
      </c>
      <c r="Q454" s="1002" t="s">
        <v>112</v>
      </c>
      <c r="R454" s="1002" t="s">
        <v>112</v>
      </c>
      <c r="S454" s="1002" t="s">
        <v>112</v>
      </c>
      <c r="T454" s="1002" t="s">
        <v>112</v>
      </c>
      <c r="U454" s="1002" t="s">
        <v>112</v>
      </c>
      <c r="V454" s="1002" t="s">
        <v>112</v>
      </c>
      <c r="W454" s="1002" t="s">
        <v>112</v>
      </c>
      <c r="X454" s="1002" t="s">
        <v>112</v>
      </c>
      <c r="Y454" s="1002" t="s">
        <v>112</v>
      </c>
      <c r="Z454" s="1002" t="s">
        <v>112</v>
      </c>
      <c r="AA454" s="1002" t="s">
        <v>112</v>
      </c>
      <c r="AB454" s="1002" t="s">
        <v>112</v>
      </c>
      <c r="AC454" s="1002" t="s">
        <v>112</v>
      </c>
      <c r="AD454" s="1002" t="s">
        <v>112</v>
      </c>
      <c r="AE454" s="1002" t="s">
        <v>112</v>
      </c>
      <c r="AF454" s="1002" t="s">
        <v>112</v>
      </c>
      <c r="AG454" s="1002" t="s">
        <v>112</v>
      </c>
      <c r="AH454" s="53">
        <f t="shared" si="84"/>
        <v>0</v>
      </c>
    </row>
    <row r="455" spans="1:34" ht="15">
      <c r="A455" s="30" t="s">
        <v>83</v>
      </c>
      <c r="B455" s="1287">
        <f t="shared" si="82"/>
        <v>0</v>
      </c>
      <c r="C455" s="46"/>
      <c r="D455" s="53"/>
      <c r="E455" s="53"/>
      <c r="F455" s="53"/>
      <c r="G455" s="53"/>
      <c r="H455" s="53"/>
      <c r="I455" s="53"/>
      <c r="J455" s="57"/>
      <c r="K455" s="57"/>
      <c r="L455" s="18"/>
      <c r="M455" s="18"/>
      <c r="N455" s="18"/>
      <c r="O455" s="18"/>
      <c r="P455" s="18"/>
      <c r="Q455" s="1002" t="s">
        <v>112</v>
      </c>
      <c r="R455" s="1002" t="s">
        <v>112</v>
      </c>
      <c r="S455" s="1002" t="s">
        <v>112</v>
      </c>
      <c r="T455" s="1002" t="s">
        <v>112</v>
      </c>
      <c r="U455" s="1002" t="s">
        <v>112</v>
      </c>
      <c r="V455" s="1002" t="s">
        <v>112</v>
      </c>
      <c r="W455" s="1002" t="s">
        <v>112</v>
      </c>
      <c r="X455" s="1002" t="s">
        <v>112</v>
      </c>
      <c r="Y455" s="1002" t="s">
        <v>112</v>
      </c>
      <c r="Z455" s="1002" t="s">
        <v>112</v>
      </c>
      <c r="AA455" s="1002" t="s">
        <v>112</v>
      </c>
      <c r="AB455" s="1002" t="s">
        <v>112</v>
      </c>
      <c r="AC455" s="1002" t="s">
        <v>112</v>
      </c>
      <c r="AD455" s="1002" t="s">
        <v>112</v>
      </c>
      <c r="AE455" s="1002" t="s">
        <v>112</v>
      </c>
      <c r="AF455" s="1002" t="s">
        <v>112</v>
      </c>
      <c r="AG455" s="1002" t="s">
        <v>112</v>
      </c>
      <c r="AH455" s="53">
        <f t="shared" si="84"/>
        <v>0</v>
      </c>
    </row>
    <row r="456" spans="1:34" ht="15">
      <c r="A456" s="30" t="s">
        <v>84</v>
      </c>
      <c r="B456" s="1287">
        <f t="shared" si="82"/>
        <v>0</v>
      </c>
      <c r="C456" s="49"/>
      <c r="D456" s="1002" t="s">
        <v>112</v>
      </c>
      <c r="E456" s="1002" t="s">
        <v>112</v>
      </c>
      <c r="F456" s="1002" t="s">
        <v>112</v>
      </c>
      <c r="G456" s="1002" t="s">
        <v>112</v>
      </c>
      <c r="H456" s="1002" t="s">
        <v>112</v>
      </c>
      <c r="I456" s="1002" t="s">
        <v>112</v>
      </c>
      <c r="J456" s="1002" t="s">
        <v>112</v>
      </c>
      <c r="K456" s="1002" t="s">
        <v>112</v>
      </c>
      <c r="L456" s="1002" t="s">
        <v>112</v>
      </c>
      <c r="M456" s="1002" t="s">
        <v>112</v>
      </c>
      <c r="N456" s="1002" t="s">
        <v>112</v>
      </c>
      <c r="O456" s="1002" t="s">
        <v>112</v>
      </c>
      <c r="P456" s="1002" t="s">
        <v>112</v>
      </c>
      <c r="Q456" s="1002" t="s">
        <v>112</v>
      </c>
      <c r="R456" s="1002" t="s">
        <v>112</v>
      </c>
      <c r="S456" s="1002" t="s">
        <v>112</v>
      </c>
      <c r="T456" s="1002" t="s">
        <v>112</v>
      </c>
      <c r="U456" s="1002" t="s">
        <v>112</v>
      </c>
      <c r="V456" s="1002" t="s">
        <v>112</v>
      </c>
      <c r="W456" s="1002" t="s">
        <v>112</v>
      </c>
      <c r="X456" s="1002" t="s">
        <v>112</v>
      </c>
      <c r="Y456" s="1002" t="s">
        <v>112</v>
      </c>
      <c r="Z456" s="1002" t="s">
        <v>112</v>
      </c>
      <c r="AA456" s="1002" t="s">
        <v>112</v>
      </c>
      <c r="AB456" s="1002" t="s">
        <v>112</v>
      </c>
      <c r="AC456" s="1002" t="s">
        <v>112</v>
      </c>
      <c r="AD456" s="1002" t="s">
        <v>112</v>
      </c>
      <c r="AE456" s="1002" t="s">
        <v>112</v>
      </c>
      <c r="AF456" s="1002" t="s">
        <v>112</v>
      </c>
      <c r="AG456" s="1002" t="s">
        <v>112</v>
      </c>
      <c r="AH456" s="53">
        <f t="shared" si="84"/>
        <v>0</v>
      </c>
    </row>
    <row r="457" spans="1:34" ht="15">
      <c r="A457" s="30" t="s">
        <v>85</v>
      </c>
      <c r="B457" s="1287">
        <f t="shared" si="82"/>
        <v>9.77</v>
      </c>
      <c r="C457" s="81" t="s">
        <v>112</v>
      </c>
      <c r="D457" s="81" t="s">
        <v>112</v>
      </c>
      <c r="E457" s="81" t="s">
        <v>112</v>
      </c>
      <c r="F457" s="81" t="s">
        <v>112</v>
      </c>
      <c r="G457" s="81" t="s">
        <v>112</v>
      </c>
      <c r="H457" s="81" t="s">
        <v>112</v>
      </c>
      <c r="I457" s="81" t="s">
        <v>112</v>
      </c>
      <c r="J457" s="81" t="s">
        <v>112</v>
      </c>
      <c r="K457" s="81" t="s">
        <v>112</v>
      </c>
      <c r="L457" s="81" t="s">
        <v>112</v>
      </c>
      <c r="M457" s="81" t="s">
        <v>112</v>
      </c>
      <c r="N457" s="81" t="s">
        <v>112</v>
      </c>
      <c r="O457" s="81" t="s">
        <v>112</v>
      </c>
      <c r="P457" s="81" t="s">
        <v>112</v>
      </c>
      <c r="Q457" s="81" t="s">
        <v>112</v>
      </c>
      <c r="R457" s="18"/>
      <c r="S457" s="18"/>
      <c r="T457" s="18"/>
      <c r="U457" s="18"/>
      <c r="V457" s="18"/>
      <c r="W457" s="18"/>
      <c r="X457" s="18"/>
      <c r="Y457" s="11"/>
      <c r="Z457" s="18"/>
      <c r="AA457" s="18"/>
      <c r="AB457" s="18"/>
      <c r="AC457" s="18"/>
      <c r="AD457" s="18">
        <v>9.77</v>
      </c>
      <c r="AE457" s="53"/>
      <c r="AF457" s="18"/>
      <c r="AG457" s="53"/>
      <c r="AH457" s="53">
        <f t="shared" si="84"/>
        <v>9.77</v>
      </c>
    </row>
    <row r="458" spans="1:34" ht="15">
      <c r="A458" s="30" t="s">
        <v>86</v>
      </c>
      <c r="B458" s="1287">
        <f t="shared" si="82"/>
        <v>0</v>
      </c>
      <c r="C458" s="49"/>
      <c r="D458" s="18"/>
      <c r="E458" s="18"/>
      <c r="F458" s="18" t="s">
        <v>1294</v>
      </c>
      <c r="G458" s="18" t="s">
        <v>1295</v>
      </c>
      <c r="H458" s="18"/>
      <c r="I458" s="18"/>
      <c r="J458" s="18"/>
      <c r="K458" s="18"/>
      <c r="L458" s="18"/>
      <c r="M458" s="18" t="s">
        <v>1296</v>
      </c>
      <c r="N458" s="18"/>
      <c r="O458" s="18"/>
      <c r="P458" s="18"/>
      <c r="Q458" s="18"/>
      <c r="R458" s="18"/>
      <c r="S458" s="18"/>
      <c r="T458" s="18"/>
      <c r="U458" s="18"/>
      <c r="V458" s="18"/>
      <c r="W458" s="18"/>
      <c r="X458" s="18"/>
      <c r="Y458" s="18"/>
      <c r="Z458" s="18"/>
      <c r="AA458" s="18"/>
      <c r="AB458" s="18"/>
      <c r="AC458" s="18"/>
      <c r="AD458" s="18"/>
      <c r="AE458" s="53"/>
      <c r="AF458" s="18"/>
      <c r="AG458" s="53"/>
      <c r="AH458" s="53">
        <f t="shared" si="84"/>
        <v>0</v>
      </c>
    </row>
    <row r="459" spans="1:34" ht="15">
      <c r="A459" s="88" t="s">
        <v>74</v>
      </c>
      <c r="B459" s="92">
        <f>SUM(B447:B458)</f>
        <v>9.77</v>
      </c>
      <c r="C459" s="46">
        <f>SUM(C447:C457)</f>
        <v>0</v>
      </c>
      <c r="D459" s="53">
        <f>SUM(D447:D457)</f>
        <v>0</v>
      </c>
      <c r="E459" s="53">
        <v>0</v>
      </c>
      <c r="F459" s="53">
        <f t="shared" ref="F459:AC459" si="85">SUM(F447:F457)</f>
        <v>0</v>
      </c>
      <c r="G459" s="53">
        <f t="shared" si="85"/>
        <v>0</v>
      </c>
      <c r="H459" s="53">
        <f t="shared" si="85"/>
        <v>0</v>
      </c>
      <c r="I459" s="53">
        <f t="shared" si="85"/>
        <v>0</v>
      </c>
      <c r="J459" s="53">
        <f t="shared" si="85"/>
        <v>0</v>
      </c>
      <c r="K459" s="53">
        <f t="shared" si="85"/>
        <v>0</v>
      </c>
      <c r="L459" s="53">
        <f t="shared" si="85"/>
        <v>0</v>
      </c>
      <c r="M459" s="53">
        <f t="shared" si="85"/>
        <v>0</v>
      </c>
      <c r="N459" s="53">
        <f t="shared" si="85"/>
        <v>0</v>
      </c>
      <c r="O459" s="53">
        <f t="shared" si="85"/>
        <v>0</v>
      </c>
      <c r="P459" s="53">
        <f t="shared" si="85"/>
        <v>0</v>
      </c>
      <c r="Q459" s="53">
        <f t="shared" si="85"/>
        <v>0</v>
      </c>
      <c r="R459" s="53">
        <f t="shared" si="85"/>
        <v>0</v>
      </c>
      <c r="S459" s="53">
        <f t="shared" si="85"/>
        <v>0</v>
      </c>
      <c r="T459" s="53">
        <f t="shared" si="85"/>
        <v>0</v>
      </c>
      <c r="U459" s="53">
        <f t="shared" si="85"/>
        <v>0</v>
      </c>
      <c r="V459" s="53">
        <f t="shared" si="85"/>
        <v>0</v>
      </c>
      <c r="W459" s="53">
        <f t="shared" si="85"/>
        <v>0</v>
      </c>
      <c r="X459" s="53">
        <f t="shared" si="85"/>
        <v>0</v>
      </c>
      <c r="Y459" s="53">
        <f t="shared" si="85"/>
        <v>0</v>
      </c>
      <c r="Z459" s="53">
        <f t="shared" si="85"/>
        <v>0</v>
      </c>
      <c r="AA459" s="53">
        <f t="shared" si="85"/>
        <v>0</v>
      </c>
      <c r="AB459" s="53">
        <f t="shared" si="85"/>
        <v>0</v>
      </c>
      <c r="AC459" s="53">
        <f t="shared" si="85"/>
        <v>0</v>
      </c>
      <c r="AD459" s="53">
        <v>0</v>
      </c>
      <c r="AE459" s="53">
        <f>SUM(AE447:AE457)</f>
        <v>0</v>
      </c>
      <c r="AF459" s="53">
        <f>SUM(AF447:AF457)</f>
        <v>0</v>
      </c>
      <c r="AG459" s="53">
        <f>SUM(AG447:AG457)</f>
        <v>0</v>
      </c>
      <c r="AH459" s="46">
        <f>SUM(AH447:AH457)</f>
        <v>9.77</v>
      </c>
    </row>
    <row r="460" spans="1:34" ht="15">
      <c r="A460" s="1918"/>
      <c r="B460" s="1922"/>
      <c r="C460" s="1923"/>
      <c r="D460" s="1923"/>
      <c r="E460" s="1923"/>
      <c r="F460" s="1923"/>
      <c r="G460" s="52"/>
      <c r="H460" s="52"/>
      <c r="I460" s="52"/>
      <c r="J460" s="52"/>
      <c r="K460" s="52"/>
      <c r="L460" s="52"/>
      <c r="M460" s="52"/>
      <c r="N460" s="52"/>
      <c r="O460" s="52"/>
      <c r="P460" s="52"/>
      <c r="Q460" s="52"/>
      <c r="R460" s="52"/>
      <c r="S460" s="52"/>
      <c r="T460" s="52"/>
      <c r="U460" s="52"/>
      <c r="V460" s="52"/>
      <c r="W460" s="52"/>
      <c r="X460" s="52"/>
      <c r="Y460" s="52"/>
      <c r="Z460" s="52"/>
      <c r="AA460" s="52"/>
      <c r="AB460" s="52"/>
      <c r="AC460" s="52"/>
      <c r="AD460" s="52"/>
      <c r="AE460" s="52"/>
      <c r="AF460" s="52"/>
      <c r="AG460" s="52"/>
      <c r="AH460" s="13"/>
    </row>
    <row r="461" spans="1:34" ht="15">
      <c r="A461" s="3585" t="s">
        <v>597</v>
      </c>
      <c r="B461" s="3586"/>
      <c r="C461" s="3586"/>
      <c r="D461" s="3586"/>
      <c r="E461" s="3586"/>
      <c r="F461" s="3586"/>
      <c r="G461" s="3586"/>
      <c r="H461" s="3587"/>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row>
    <row r="462" spans="1:34" ht="15">
      <c r="A462" s="5" t="s">
        <v>72</v>
      </c>
      <c r="B462" s="5" t="s">
        <v>73</v>
      </c>
      <c r="C462" s="1249">
        <v>1</v>
      </c>
      <c r="D462" s="30">
        <v>2</v>
      </c>
      <c r="E462" s="30">
        <v>3</v>
      </c>
      <c r="F462" s="30">
        <v>4</v>
      </c>
      <c r="G462" s="30">
        <v>5</v>
      </c>
      <c r="H462" s="30">
        <v>6</v>
      </c>
      <c r="I462" s="30">
        <v>7</v>
      </c>
      <c r="J462" s="30">
        <v>8</v>
      </c>
      <c r="K462" s="30">
        <v>9</v>
      </c>
      <c r="L462" s="30">
        <v>10</v>
      </c>
      <c r="M462" s="30">
        <v>11</v>
      </c>
      <c r="N462" s="30">
        <v>12</v>
      </c>
      <c r="O462" s="30">
        <v>13</v>
      </c>
      <c r="P462" s="30">
        <v>14</v>
      </c>
      <c r="Q462" s="30">
        <v>15</v>
      </c>
      <c r="R462" s="30">
        <v>16</v>
      </c>
      <c r="S462" s="30">
        <v>17</v>
      </c>
      <c r="T462" s="30">
        <v>18</v>
      </c>
      <c r="U462" s="30">
        <v>19</v>
      </c>
      <c r="V462" s="30">
        <v>20</v>
      </c>
      <c r="W462" s="30">
        <v>21</v>
      </c>
      <c r="X462" s="30">
        <v>22</v>
      </c>
      <c r="Y462" s="30">
        <v>23</v>
      </c>
      <c r="Z462" s="30">
        <v>24</v>
      </c>
      <c r="AA462" s="30">
        <v>25</v>
      </c>
      <c r="AB462" s="30">
        <v>26</v>
      </c>
      <c r="AC462" s="30">
        <v>27</v>
      </c>
      <c r="AD462" s="30">
        <v>28</v>
      </c>
      <c r="AE462" s="30">
        <v>29</v>
      </c>
      <c r="AF462" s="30">
        <v>30</v>
      </c>
      <c r="AG462" s="30">
        <v>31</v>
      </c>
      <c r="AH462" s="39" t="s">
        <v>74</v>
      </c>
    </row>
    <row r="463" spans="1:34" ht="15">
      <c r="A463" s="30" t="s">
        <v>75</v>
      </c>
      <c r="B463" s="114">
        <f t="shared" ref="B463:B465" si="86">+AH463</f>
        <v>0</v>
      </c>
      <c r="C463" s="1930"/>
      <c r="D463" s="1930"/>
      <c r="E463" s="1930"/>
      <c r="F463" s="1930"/>
      <c r="G463" s="1930"/>
      <c r="H463" s="1930"/>
      <c r="I463" s="1930"/>
      <c r="J463" s="1930"/>
      <c r="K463" s="1930"/>
      <c r="L463" s="1930"/>
      <c r="M463" s="1930"/>
      <c r="N463" s="1930"/>
      <c r="O463" s="1930"/>
      <c r="P463" s="1930"/>
      <c r="Q463" s="1930"/>
      <c r="R463" s="1930"/>
      <c r="S463" s="1930"/>
      <c r="T463" s="1930"/>
      <c r="U463" s="1930"/>
      <c r="V463" s="1930"/>
      <c r="W463" s="1930"/>
      <c r="X463" s="1930"/>
      <c r="Y463" s="1930"/>
      <c r="Z463" s="1930"/>
      <c r="AA463" s="1930"/>
      <c r="AB463" s="1287"/>
      <c r="AC463" s="1930"/>
      <c r="AD463" s="1930"/>
      <c r="AE463" s="1930"/>
      <c r="AF463" s="1930"/>
      <c r="AG463" s="1930"/>
      <c r="AH463" s="53">
        <f t="shared" ref="AH463:AH464" si="87">SUM(C463:AG463)</f>
        <v>0</v>
      </c>
    </row>
    <row r="464" spans="1:34" ht="15">
      <c r="A464" s="30" t="s">
        <v>76</v>
      </c>
      <c r="B464" s="114">
        <f t="shared" si="86"/>
        <v>0</v>
      </c>
      <c r="C464" s="1930"/>
      <c r="D464" s="1930"/>
      <c r="E464" s="1930"/>
      <c r="F464" s="1930"/>
      <c r="G464" s="1930"/>
      <c r="H464" s="1930"/>
      <c r="I464" s="1930"/>
      <c r="J464" s="1930"/>
      <c r="K464" s="1930"/>
      <c r="L464" s="1930"/>
      <c r="M464" s="1930"/>
      <c r="N464" s="1930"/>
      <c r="O464" s="1930"/>
      <c r="P464" s="1930"/>
      <c r="Q464" s="1930" t="s">
        <v>1299</v>
      </c>
      <c r="R464" s="1930"/>
      <c r="S464" s="1930"/>
      <c r="T464" s="1930"/>
      <c r="U464" s="1930"/>
      <c r="V464" s="1930"/>
      <c r="W464" s="1930"/>
      <c r="X464" s="1930"/>
      <c r="Y464" s="1930"/>
      <c r="Z464" s="1930"/>
      <c r="AA464" s="1930"/>
      <c r="AB464" s="1930"/>
      <c r="AC464" s="1930"/>
      <c r="AD464" s="1930"/>
      <c r="AE464" s="1930"/>
      <c r="AF464" s="1930"/>
      <c r="AG464" s="1930"/>
      <c r="AH464" s="53">
        <f t="shared" si="87"/>
        <v>0</v>
      </c>
    </row>
    <row r="465" spans="1:34" ht="15">
      <c r="A465" s="30" t="s">
        <v>77</v>
      </c>
      <c r="B465" s="114">
        <f t="shared" si="86"/>
        <v>0</v>
      </c>
      <c r="C465" s="1930"/>
      <c r="D465" s="1930"/>
      <c r="E465" s="1930"/>
      <c r="F465" s="1930"/>
      <c r="G465" s="1930"/>
      <c r="H465" s="1287"/>
      <c r="I465" s="1287"/>
      <c r="J465" s="1287"/>
      <c r="K465" s="1287"/>
      <c r="L465" s="1287"/>
      <c r="M465" s="1287"/>
      <c r="N465" s="1287"/>
      <c r="O465" s="1287"/>
      <c r="P465" s="1287"/>
      <c r="Q465" s="1280"/>
      <c r="R465" s="1280"/>
      <c r="S465" s="1280"/>
      <c r="T465" s="1280"/>
      <c r="U465" s="1280"/>
      <c r="V465" s="1280"/>
      <c r="W465" s="1280"/>
      <c r="X465" s="1280"/>
      <c r="Y465" s="1280"/>
      <c r="Z465" s="1280"/>
      <c r="AA465" s="1280"/>
      <c r="AB465" s="1280"/>
      <c r="AC465" s="1280"/>
      <c r="AD465" s="1280"/>
      <c r="AE465" s="1280"/>
      <c r="AF465" s="1280"/>
      <c r="AG465" s="1280"/>
      <c r="AH465" s="53">
        <f>SUM(C465:AG465)</f>
        <v>0</v>
      </c>
    </row>
    <row r="466" spans="1:34" ht="15">
      <c r="A466" s="30" t="s">
        <v>78</v>
      </c>
      <c r="B466" s="114">
        <f>+AH466</f>
        <v>0</v>
      </c>
      <c r="C466" s="1280"/>
      <c r="D466" s="1280"/>
      <c r="E466" s="1280"/>
      <c r="F466" s="1280"/>
      <c r="G466" s="1280"/>
      <c r="H466" s="1280"/>
      <c r="I466" s="1280"/>
      <c r="J466" s="1280"/>
      <c r="K466" s="1280"/>
      <c r="L466" s="1280"/>
      <c r="M466" s="1280"/>
      <c r="N466" s="1280"/>
      <c r="O466" s="1280"/>
      <c r="P466" s="1280"/>
      <c r="Q466" s="1280"/>
      <c r="R466" s="1280"/>
      <c r="S466" s="1280"/>
      <c r="T466" s="1280"/>
      <c r="U466" s="1280"/>
      <c r="V466" s="1280"/>
      <c r="W466" s="1280"/>
      <c r="X466" s="1280"/>
      <c r="Y466" s="1280"/>
      <c r="Z466" s="1280"/>
      <c r="AA466" s="1280"/>
      <c r="AB466" s="1280"/>
      <c r="AC466" s="1280"/>
      <c r="AD466" s="1280"/>
      <c r="AE466" s="1280"/>
      <c r="AF466" s="1280" t="s">
        <v>112</v>
      </c>
      <c r="AG466" s="1280" t="s">
        <v>112</v>
      </c>
      <c r="AH466" s="53">
        <f t="shared" ref="AH466:AH474" si="88">SUM(C466:AG466)</f>
        <v>0</v>
      </c>
    </row>
    <row r="467" spans="1:34" ht="15">
      <c r="A467" s="30" t="s">
        <v>79</v>
      </c>
      <c r="B467" s="114">
        <f t="shared" ref="B467:B474" si="89">+AH467</f>
        <v>0</v>
      </c>
      <c r="C467" s="1280" t="s">
        <v>112</v>
      </c>
      <c r="D467" s="1280" t="s">
        <v>112</v>
      </c>
      <c r="E467" s="1280" t="s">
        <v>112</v>
      </c>
      <c r="F467" s="1280" t="s">
        <v>112</v>
      </c>
      <c r="G467" s="1280" t="s">
        <v>112</v>
      </c>
      <c r="H467" s="1280" t="s">
        <v>112</v>
      </c>
      <c r="I467" s="1280" t="s">
        <v>112</v>
      </c>
      <c r="J467" s="1280" t="s">
        <v>112</v>
      </c>
      <c r="K467" s="1280" t="s">
        <v>112</v>
      </c>
      <c r="L467" s="1280" t="s">
        <v>112</v>
      </c>
      <c r="M467" s="1280" t="s">
        <v>112</v>
      </c>
      <c r="N467" s="1280" t="s">
        <v>112</v>
      </c>
      <c r="O467" s="1280" t="s">
        <v>112</v>
      </c>
      <c r="P467" s="1280" t="s">
        <v>112</v>
      </c>
      <c r="Q467" s="1280" t="s">
        <v>112</v>
      </c>
      <c r="R467" s="3241"/>
      <c r="S467" s="3241"/>
      <c r="T467" s="3241"/>
      <c r="U467" s="3241"/>
      <c r="V467" s="3241"/>
      <c r="W467" s="3241"/>
      <c r="X467" s="3241"/>
      <c r="Y467" s="3241"/>
      <c r="Z467" s="3241"/>
      <c r="AA467" s="3241"/>
      <c r="AB467" s="3241"/>
      <c r="AC467" s="3241"/>
      <c r="AD467" s="3241"/>
      <c r="AE467" s="3241"/>
      <c r="AF467" s="3241"/>
      <c r="AG467" s="3241"/>
      <c r="AH467" s="53">
        <f t="shared" si="88"/>
        <v>0</v>
      </c>
    </row>
    <row r="468" spans="1:34" ht="15">
      <c r="A468" s="30" t="s">
        <v>80</v>
      </c>
      <c r="B468" s="114">
        <f t="shared" si="89"/>
        <v>0</v>
      </c>
      <c r="C468" s="49"/>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53">
        <f t="shared" si="88"/>
        <v>0</v>
      </c>
    </row>
    <row r="469" spans="1:34" ht="15">
      <c r="A469" s="30" t="s">
        <v>81</v>
      </c>
      <c r="B469" s="1287">
        <f t="shared" si="89"/>
        <v>0</v>
      </c>
      <c r="C469" s="49"/>
      <c r="D469" s="53"/>
      <c r="E469" s="53"/>
      <c r="F469" s="53"/>
      <c r="G469" s="18"/>
      <c r="H469" s="18"/>
      <c r="I469" s="18"/>
      <c r="J469" s="57"/>
      <c r="K469" s="57"/>
      <c r="L469" s="53"/>
      <c r="M469" s="53"/>
      <c r="N469" s="53"/>
      <c r="O469" s="53"/>
      <c r="P469" s="53"/>
      <c r="Q469" s="53"/>
      <c r="R469" s="53"/>
      <c r="S469" s="53"/>
      <c r="T469" s="53"/>
      <c r="U469" s="53"/>
      <c r="V469" s="53"/>
      <c r="W469" s="1002" t="s">
        <v>112</v>
      </c>
      <c r="X469" s="1002" t="s">
        <v>112</v>
      </c>
      <c r="Y469" s="1002" t="s">
        <v>112</v>
      </c>
      <c r="Z469" s="1002" t="s">
        <v>112</v>
      </c>
      <c r="AA469" s="1002" t="s">
        <v>112</v>
      </c>
      <c r="AB469" s="1002" t="s">
        <v>112</v>
      </c>
      <c r="AC469" s="1002" t="s">
        <v>112</v>
      </c>
      <c r="AD469" s="1002" t="s">
        <v>112</v>
      </c>
      <c r="AE469" s="1002" t="s">
        <v>112</v>
      </c>
      <c r="AF469" s="1002" t="s">
        <v>112</v>
      </c>
      <c r="AG469" s="1002" t="s">
        <v>112</v>
      </c>
      <c r="AH469" s="53">
        <f t="shared" si="88"/>
        <v>0</v>
      </c>
    </row>
    <row r="470" spans="1:34" ht="15">
      <c r="A470" s="30" t="s">
        <v>82</v>
      </c>
      <c r="B470" s="1287">
        <f t="shared" si="89"/>
        <v>0</v>
      </c>
      <c r="C470" s="1002" t="s">
        <v>112</v>
      </c>
      <c r="D470" s="1002" t="s">
        <v>112</v>
      </c>
      <c r="E470" s="1002" t="s">
        <v>112</v>
      </c>
      <c r="F470" s="1002" t="s">
        <v>112</v>
      </c>
      <c r="G470" s="1002" t="s">
        <v>112</v>
      </c>
      <c r="H470" s="1002" t="s">
        <v>112</v>
      </c>
      <c r="I470" s="1002" t="s">
        <v>112</v>
      </c>
      <c r="J470" s="1002" t="s">
        <v>112</v>
      </c>
      <c r="K470" s="1002" t="s">
        <v>112</v>
      </c>
      <c r="L470" s="1002" t="s">
        <v>112</v>
      </c>
      <c r="M470" s="1002" t="s">
        <v>112</v>
      </c>
      <c r="N470" s="1002" t="s">
        <v>112</v>
      </c>
      <c r="O470" s="1002" t="s">
        <v>112</v>
      </c>
      <c r="P470" s="1002" t="s">
        <v>112</v>
      </c>
      <c r="Q470" s="1002" t="s">
        <v>112</v>
      </c>
      <c r="R470" s="1002" t="s">
        <v>112</v>
      </c>
      <c r="S470" s="1002" t="s">
        <v>112</v>
      </c>
      <c r="T470" s="1002" t="s">
        <v>112</v>
      </c>
      <c r="U470" s="1002" t="s">
        <v>112</v>
      </c>
      <c r="V470" s="1002" t="s">
        <v>112</v>
      </c>
      <c r="W470" s="1002" t="s">
        <v>112</v>
      </c>
      <c r="X470" s="1002" t="s">
        <v>112</v>
      </c>
      <c r="Y470" s="1002" t="s">
        <v>112</v>
      </c>
      <c r="Z470" s="1002" t="s">
        <v>112</v>
      </c>
      <c r="AA470" s="1002" t="s">
        <v>112</v>
      </c>
      <c r="AB470" s="1002" t="s">
        <v>112</v>
      </c>
      <c r="AC470" s="1002" t="s">
        <v>112</v>
      </c>
      <c r="AD470" s="1002" t="s">
        <v>112</v>
      </c>
      <c r="AE470" s="1002" t="s">
        <v>112</v>
      </c>
      <c r="AF470" s="1002" t="s">
        <v>112</v>
      </c>
      <c r="AG470" s="1002" t="s">
        <v>112</v>
      </c>
      <c r="AH470" s="53">
        <f t="shared" si="88"/>
        <v>0</v>
      </c>
    </row>
    <row r="471" spans="1:34" ht="15">
      <c r="A471" s="30" t="s">
        <v>83</v>
      </c>
      <c r="B471" s="1287">
        <f t="shared" si="89"/>
        <v>0</v>
      </c>
      <c r="C471" s="46"/>
      <c r="D471" s="53"/>
      <c r="E471" s="53">
        <v>0</v>
      </c>
      <c r="F471" s="53"/>
      <c r="G471" s="53"/>
      <c r="H471" s="53"/>
      <c r="I471" s="53"/>
      <c r="J471" s="57"/>
      <c r="K471" s="57"/>
      <c r="L471" s="18"/>
      <c r="M471" s="18"/>
      <c r="N471" s="18"/>
      <c r="O471" s="18"/>
      <c r="P471" s="18"/>
      <c r="Q471" s="1002" t="s">
        <v>112</v>
      </c>
      <c r="R471" s="1002" t="s">
        <v>112</v>
      </c>
      <c r="S471" s="1002" t="s">
        <v>112</v>
      </c>
      <c r="T471" s="1002" t="s">
        <v>112</v>
      </c>
      <c r="U471" s="1002" t="s">
        <v>112</v>
      </c>
      <c r="V471" s="1002" t="s">
        <v>112</v>
      </c>
      <c r="W471" s="1002" t="s">
        <v>112</v>
      </c>
      <c r="X471" s="1002" t="s">
        <v>112</v>
      </c>
      <c r="Y471" s="1002" t="s">
        <v>112</v>
      </c>
      <c r="Z471" s="1002" t="s">
        <v>112</v>
      </c>
      <c r="AA471" s="1002" t="s">
        <v>112</v>
      </c>
      <c r="AB471" s="1002" t="s">
        <v>112</v>
      </c>
      <c r="AC471" s="1002" t="s">
        <v>112</v>
      </c>
      <c r="AD471" s="1002" t="s">
        <v>112</v>
      </c>
      <c r="AE471" s="1002" t="s">
        <v>112</v>
      </c>
      <c r="AF471" s="1002" t="s">
        <v>112</v>
      </c>
      <c r="AG471" s="1002" t="s">
        <v>112</v>
      </c>
      <c r="AH471" s="53">
        <f t="shared" si="88"/>
        <v>0</v>
      </c>
    </row>
    <row r="472" spans="1:34" ht="15">
      <c r="A472" s="30" t="s">
        <v>84</v>
      </c>
      <c r="B472" s="1287">
        <f t="shared" si="89"/>
        <v>0</v>
      </c>
      <c r="C472" s="49"/>
      <c r="D472" s="1002" t="s">
        <v>112</v>
      </c>
      <c r="E472" s="1002" t="s">
        <v>112</v>
      </c>
      <c r="F472" s="1002" t="s">
        <v>112</v>
      </c>
      <c r="G472" s="1002" t="s">
        <v>112</v>
      </c>
      <c r="H472" s="1002" t="s">
        <v>112</v>
      </c>
      <c r="I472" s="1002" t="s">
        <v>112</v>
      </c>
      <c r="J472" s="1002" t="s">
        <v>112</v>
      </c>
      <c r="K472" s="1002" t="s">
        <v>112</v>
      </c>
      <c r="L472" s="1002" t="s">
        <v>112</v>
      </c>
      <c r="M472" s="1002" t="s">
        <v>112</v>
      </c>
      <c r="N472" s="1002" t="s">
        <v>112</v>
      </c>
      <c r="O472" s="1002" t="s">
        <v>112</v>
      </c>
      <c r="P472" s="1002" t="s">
        <v>112</v>
      </c>
      <c r="Q472" s="1002" t="s">
        <v>112</v>
      </c>
      <c r="R472" s="1002" t="s">
        <v>112</v>
      </c>
      <c r="S472" s="1002" t="s">
        <v>112</v>
      </c>
      <c r="T472" s="1002" t="s">
        <v>112</v>
      </c>
      <c r="U472" s="1002" t="s">
        <v>112</v>
      </c>
      <c r="V472" s="1002" t="s">
        <v>112</v>
      </c>
      <c r="W472" s="1002" t="s">
        <v>112</v>
      </c>
      <c r="X472" s="1002" t="s">
        <v>112</v>
      </c>
      <c r="Y472" s="1002" t="s">
        <v>112</v>
      </c>
      <c r="Z472" s="1002" t="s">
        <v>112</v>
      </c>
      <c r="AA472" s="1002" t="s">
        <v>112</v>
      </c>
      <c r="AB472" s="1002" t="s">
        <v>112</v>
      </c>
      <c r="AC472" s="1002" t="s">
        <v>112</v>
      </c>
      <c r="AD472" s="1002" t="s">
        <v>112</v>
      </c>
      <c r="AE472" s="1002" t="s">
        <v>112</v>
      </c>
      <c r="AF472" s="1002" t="s">
        <v>112</v>
      </c>
      <c r="AG472" s="1002" t="s">
        <v>112</v>
      </c>
      <c r="AH472" s="53">
        <f t="shared" si="88"/>
        <v>0</v>
      </c>
    </row>
    <row r="473" spans="1:34" ht="15">
      <c r="A473" s="30" t="s">
        <v>85</v>
      </c>
      <c r="B473" s="1287">
        <f t="shared" si="89"/>
        <v>9.9239999999999995</v>
      </c>
      <c r="C473" s="81" t="s">
        <v>112</v>
      </c>
      <c r="D473" s="81" t="s">
        <v>112</v>
      </c>
      <c r="E473" s="81" t="s">
        <v>112</v>
      </c>
      <c r="F473" s="81" t="s">
        <v>112</v>
      </c>
      <c r="G473" s="81" t="s">
        <v>112</v>
      </c>
      <c r="H473" s="81" t="s">
        <v>112</v>
      </c>
      <c r="I473" s="81" t="s">
        <v>112</v>
      </c>
      <c r="J473" s="81" t="s">
        <v>112</v>
      </c>
      <c r="K473" s="81" t="s">
        <v>112</v>
      </c>
      <c r="L473" s="81" t="s">
        <v>112</v>
      </c>
      <c r="M473" s="81" t="s">
        <v>112</v>
      </c>
      <c r="N473" s="81" t="s">
        <v>112</v>
      </c>
      <c r="O473" s="81" t="s">
        <v>112</v>
      </c>
      <c r="P473" s="81" t="s">
        <v>112</v>
      </c>
      <c r="Q473" s="81" t="s">
        <v>112</v>
      </c>
      <c r="R473" s="18"/>
      <c r="S473" s="18"/>
      <c r="T473" s="18"/>
      <c r="U473" s="18"/>
      <c r="V473" s="18"/>
      <c r="W473" s="18"/>
      <c r="X473" s="18"/>
      <c r="Y473" s="11"/>
      <c r="Z473" s="18"/>
      <c r="AA473" s="18"/>
      <c r="AB473" s="18"/>
      <c r="AC473" s="18"/>
      <c r="AD473" s="18">
        <v>9.9239999999999995</v>
      </c>
      <c r="AE473" s="53"/>
      <c r="AF473" s="18"/>
      <c r="AG473" s="53"/>
      <c r="AH473" s="53">
        <f t="shared" si="88"/>
        <v>9.9239999999999995</v>
      </c>
    </row>
    <row r="474" spans="1:34" ht="15">
      <c r="A474" s="30" t="s">
        <v>86</v>
      </c>
      <c r="B474" s="1287">
        <f t="shared" si="89"/>
        <v>0</v>
      </c>
      <c r="C474" s="49"/>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53"/>
      <c r="AF474" s="18"/>
      <c r="AG474" s="53"/>
      <c r="AH474" s="53">
        <f t="shared" si="88"/>
        <v>0</v>
      </c>
    </row>
    <row r="475" spans="1:34" ht="15">
      <c r="A475" s="88" t="s">
        <v>74</v>
      </c>
      <c r="B475" s="92">
        <f>SUM(B463:B474)</f>
        <v>9.9239999999999995</v>
      </c>
      <c r="C475" s="46">
        <f>SUM(C463:C473)</f>
        <v>0</v>
      </c>
      <c r="D475" s="53">
        <f>SUM(D463:D473)</f>
        <v>0</v>
      </c>
      <c r="E475" s="53">
        <v>0</v>
      </c>
      <c r="F475" s="53">
        <f t="shared" ref="F475:AC475" si="90">SUM(F463:F473)</f>
        <v>0</v>
      </c>
      <c r="G475" s="53">
        <f t="shared" si="90"/>
        <v>0</v>
      </c>
      <c r="H475" s="53">
        <f t="shared" si="90"/>
        <v>0</v>
      </c>
      <c r="I475" s="53">
        <f t="shared" si="90"/>
        <v>0</v>
      </c>
      <c r="J475" s="53">
        <f t="shared" si="90"/>
        <v>0</v>
      </c>
      <c r="K475" s="53">
        <f t="shared" si="90"/>
        <v>0</v>
      </c>
      <c r="L475" s="53">
        <f t="shared" si="90"/>
        <v>0</v>
      </c>
      <c r="M475" s="53">
        <f t="shared" si="90"/>
        <v>0</v>
      </c>
      <c r="N475" s="53">
        <f t="shared" si="90"/>
        <v>0</v>
      </c>
      <c r="O475" s="53">
        <f t="shared" si="90"/>
        <v>0</v>
      </c>
      <c r="P475" s="53">
        <f t="shared" si="90"/>
        <v>0</v>
      </c>
      <c r="Q475" s="53">
        <f t="shared" si="90"/>
        <v>0</v>
      </c>
      <c r="R475" s="53">
        <f t="shared" si="90"/>
        <v>0</v>
      </c>
      <c r="S475" s="53">
        <f t="shared" si="90"/>
        <v>0</v>
      </c>
      <c r="T475" s="53">
        <f t="shared" si="90"/>
        <v>0</v>
      </c>
      <c r="U475" s="53">
        <f t="shared" si="90"/>
        <v>0</v>
      </c>
      <c r="V475" s="53">
        <f t="shared" si="90"/>
        <v>0</v>
      </c>
      <c r="W475" s="53">
        <f t="shared" si="90"/>
        <v>0</v>
      </c>
      <c r="X475" s="53">
        <f t="shared" si="90"/>
        <v>0</v>
      </c>
      <c r="Y475" s="53">
        <f t="shared" si="90"/>
        <v>0</v>
      </c>
      <c r="Z475" s="53">
        <f t="shared" si="90"/>
        <v>0</v>
      </c>
      <c r="AA475" s="53">
        <f t="shared" si="90"/>
        <v>0</v>
      </c>
      <c r="AB475" s="53">
        <f t="shared" si="90"/>
        <v>0</v>
      </c>
      <c r="AC475" s="53">
        <f t="shared" si="90"/>
        <v>0</v>
      </c>
      <c r="AD475" s="53">
        <v>0</v>
      </c>
      <c r="AE475" s="53">
        <f>SUM(AE463:AE473)</f>
        <v>0</v>
      </c>
      <c r="AF475" s="53">
        <f>SUM(AF463:AF473)</f>
        <v>0</v>
      </c>
      <c r="AG475" s="53">
        <f>SUM(AG463:AG473)</f>
        <v>0</v>
      </c>
      <c r="AH475" s="46">
        <f>SUM(AH463:AH473)</f>
        <v>9.9239999999999995</v>
      </c>
    </row>
    <row r="476" spans="1:34" ht="15">
      <c r="A476" s="1918"/>
      <c r="B476" s="1922"/>
      <c r="C476" s="1923"/>
      <c r="D476" s="1923"/>
      <c r="E476" s="1923"/>
      <c r="F476" s="1923"/>
      <c r="G476" s="52"/>
      <c r="H476" s="52"/>
      <c r="I476" s="52"/>
      <c r="J476" s="52"/>
      <c r="K476" s="52"/>
      <c r="L476" s="52"/>
      <c r="M476" s="52"/>
      <c r="N476" s="52"/>
      <c r="O476" s="52"/>
      <c r="P476" s="52"/>
      <c r="Q476" s="52"/>
      <c r="R476" s="52"/>
      <c r="S476" s="52"/>
      <c r="T476" s="52"/>
      <c r="U476" s="52"/>
      <c r="V476" s="52"/>
      <c r="W476" s="52"/>
      <c r="X476" s="52"/>
      <c r="Y476" s="52"/>
      <c r="Z476" s="52"/>
      <c r="AA476" s="52"/>
      <c r="AB476" s="52"/>
      <c r="AC476" s="52"/>
      <c r="AD476" s="52"/>
      <c r="AE476" s="52"/>
      <c r="AF476" s="52"/>
      <c r="AG476" s="52"/>
      <c r="AH476" s="13"/>
    </row>
    <row r="477" spans="1:34" ht="15">
      <c r="A477" s="3585" t="s">
        <v>63</v>
      </c>
      <c r="B477" s="3586"/>
      <c r="C477" s="3586"/>
      <c r="D477" s="3586"/>
      <c r="E477" s="3586"/>
      <c r="F477" s="3586"/>
      <c r="G477" s="3586"/>
      <c r="H477" s="3587"/>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row>
    <row r="478" spans="1:34" ht="15">
      <c r="A478" s="5" t="s">
        <v>72</v>
      </c>
      <c r="B478" s="5" t="s">
        <v>73</v>
      </c>
      <c r="C478" s="3242">
        <v>1</v>
      </c>
      <c r="D478" s="30">
        <v>2</v>
      </c>
      <c r="E478" s="30">
        <v>3</v>
      </c>
      <c r="F478" s="30">
        <v>4</v>
      </c>
      <c r="G478" s="30">
        <v>5</v>
      </c>
      <c r="H478" s="30">
        <v>6</v>
      </c>
      <c r="I478" s="30">
        <v>7</v>
      </c>
      <c r="J478" s="30">
        <v>8</v>
      </c>
      <c r="K478" s="30">
        <v>9</v>
      </c>
      <c r="L478" s="30">
        <v>10</v>
      </c>
      <c r="M478" s="30">
        <v>11</v>
      </c>
      <c r="N478" s="30">
        <v>12</v>
      </c>
      <c r="O478" s="30">
        <v>13</v>
      </c>
      <c r="P478" s="30">
        <v>14</v>
      </c>
      <c r="Q478" s="30">
        <v>15</v>
      </c>
      <c r="R478" s="30">
        <v>16</v>
      </c>
      <c r="S478" s="30">
        <v>17</v>
      </c>
      <c r="T478" s="30">
        <v>18</v>
      </c>
      <c r="U478" s="30">
        <v>19</v>
      </c>
      <c r="V478" s="30">
        <v>20</v>
      </c>
      <c r="W478" s="30">
        <v>21</v>
      </c>
      <c r="X478" s="30">
        <v>22</v>
      </c>
      <c r="Y478" s="30">
        <v>23</v>
      </c>
      <c r="Z478" s="30">
        <v>24</v>
      </c>
      <c r="AA478" s="30">
        <v>25</v>
      </c>
      <c r="AB478" s="30">
        <v>26</v>
      </c>
      <c r="AC478" s="30">
        <v>27</v>
      </c>
      <c r="AD478" s="30">
        <v>28</v>
      </c>
      <c r="AE478" s="30">
        <v>29</v>
      </c>
      <c r="AF478" s="30">
        <v>30</v>
      </c>
      <c r="AG478" s="30">
        <v>31</v>
      </c>
      <c r="AH478" s="39" t="s">
        <v>74</v>
      </c>
    </row>
    <row r="479" spans="1:34" ht="15">
      <c r="A479" s="30" t="s">
        <v>75</v>
      </c>
      <c r="B479" s="114">
        <f t="shared" ref="B479:B490" si="91">+AH479</f>
        <v>0</v>
      </c>
      <c r="C479" s="1930"/>
      <c r="D479" s="1930"/>
      <c r="E479" s="1930"/>
      <c r="F479" s="1930"/>
      <c r="G479" s="1930"/>
      <c r="H479" s="1930"/>
      <c r="I479" s="1930"/>
      <c r="J479" s="1930"/>
      <c r="K479" s="1930"/>
      <c r="L479" s="1930"/>
      <c r="M479" s="1930"/>
      <c r="N479" s="1930"/>
      <c r="O479" s="1930"/>
      <c r="P479" s="1930"/>
      <c r="Q479" s="1930"/>
      <c r="R479" s="1930"/>
      <c r="S479" s="1930"/>
      <c r="T479" s="1930"/>
      <c r="U479" s="1930"/>
      <c r="V479" s="1930"/>
      <c r="W479" s="1930"/>
      <c r="X479" s="1930"/>
      <c r="Y479" s="1930"/>
      <c r="Z479" s="1930"/>
      <c r="AA479" s="1930"/>
      <c r="AB479" s="1287"/>
      <c r="AC479" s="1930"/>
      <c r="AD479" s="1930"/>
      <c r="AE479" s="1930"/>
      <c r="AF479" s="1930"/>
      <c r="AG479" s="1930"/>
      <c r="AH479" s="53">
        <f>SUM(C479:AG479)</f>
        <v>0</v>
      </c>
    </row>
    <row r="480" spans="1:34" ht="15">
      <c r="A480" s="30" t="s">
        <v>76</v>
      </c>
      <c r="B480" s="114">
        <f t="shared" si="91"/>
        <v>1.1779999999999999</v>
      </c>
      <c r="C480" s="1930"/>
      <c r="D480" s="1930"/>
      <c r="E480" s="1930"/>
      <c r="F480" s="1930"/>
      <c r="G480" s="1930"/>
      <c r="H480" s="1930"/>
      <c r="I480" s="1930"/>
      <c r="J480" s="1930"/>
      <c r="K480" s="1930"/>
      <c r="L480" s="1930"/>
      <c r="M480" s="1815">
        <v>1.1779999999999999</v>
      </c>
      <c r="N480" s="1930"/>
      <c r="O480" s="1930"/>
      <c r="P480" s="1930"/>
      <c r="Q480" s="1930"/>
      <c r="R480" s="1930"/>
      <c r="S480" s="1930"/>
      <c r="T480" s="1930"/>
      <c r="U480" s="1930"/>
      <c r="V480" s="1930"/>
      <c r="W480" s="1930"/>
      <c r="X480" s="1930"/>
      <c r="Y480" s="1930" t="s">
        <v>1300</v>
      </c>
      <c r="Z480" s="1930"/>
      <c r="AA480" s="1930"/>
      <c r="AB480" s="1930"/>
      <c r="AC480" s="1930"/>
      <c r="AD480" s="1930"/>
      <c r="AE480" s="1930"/>
      <c r="AF480" s="1930"/>
      <c r="AG480" s="1930"/>
      <c r="AH480" s="53">
        <f t="shared" ref="AH480:AH490" si="92">SUM(C480:AG480)</f>
        <v>1.1779999999999999</v>
      </c>
    </row>
    <row r="481" spans="1:34" ht="15">
      <c r="A481" s="30" t="s">
        <v>77</v>
      </c>
      <c r="B481" s="114">
        <f t="shared" si="91"/>
        <v>0</v>
      </c>
      <c r="C481" s="1930"/>
      <c r="D481" s="1930"/>
      <c r="E481" s="1930"/>
      <c r="F481" s="1930"/>
      <c r="G481" s="1930"/>
      <c r="H481" s="1287"/>
      <c r="I481" s="1287" t="s">
        <v>1301</v>
      </c>
      <c r="J481" s="1287"/>
      <c r="K481" s="1287"/>
      <c r="L481" s="1287"/>
      <c r="M481" s="1287"/>
      <c r="N481" s="1287"/>
      <c r="O481" s="1287"/>
      <c r="P481" s="1287"/>
      <c r="Q481" s="1280"/>
      <c r="R481" s="1280"/>
      <c r="S481" s="1280"/>
      <c r="T481" s="1280"/>
      <c r="U481" s="1280"/>
      <c r="V481" s="1280"/>
      <c r="W481" s="1280" t="s">
        <v>1302</v>
      </c>
      <c r="X481" s="1280"/>
      <c r="Y481" s="1280"/>
      <c r="Z481" s="1280"/>
      <c r="AA481" s="1280"/>
      <c r="AB481" s="1280"/>
      <c r="AC481" s="1280"/>
      <c r="AD481" s="1280"/>
      <c r="AE481" s="1280"/>
      <c r="AF481" s="1280"/>
      <c r="AG481" s="1280"/>
      <c r="AH481" s="53">
        <f t="shared" si="92"/>
        <v>0</v>
      </c>
    </row>
    <row r="482" spans="1:34" ht="15">
      <c r="A482" s="30" t="s">
        <v>78</v>
      </c>
      <c r="B482" s="259">
        <f t="shared" si="91"/>
        <v>0</v>
      </c>
      <c r="C482" s="1280"/>
      <c r="D482" s="1280"/>
      <c r="E482" s="1280"/>
      <c r="F482" s="1280"/>
      <c r="G482" s="1280"/>
      <c r="H482" s="1280"/>
      <c r="I482" s="1280"/>
      <c r="J482" s="1280"/>
      <c r="K482" s="1280"/>
      <c r="L482" s="1280"/>
      <c r="M482" s="1280"/>
      <c r="N482" s="1280"/>
      <c r="O482" s="1280"/>
      <c r="P482" s="1280"/>
      <c r="Q482" s="1280"/>
      <c r="R482" s="1280"/>
      <c r="S482" s="1280"/>
      <c r="T482" s="1280"/>
      <c r="U482" s="1280"/>
      <c r="V482" s="1280"/>
      <c r="W482" s="1280"/>
      <c r="X482" s="1280"/>
      <c r="Y482" s="1280"/>
      <c r="Z482" s="1280"/>
      <c r="AA482" s="1280"/>
      <c r="AB482" s="1280"/>
      <c r="AC482" s="1280"/>
      <c r="AD482" s="1280"/>
      <c r="AE482" s="1280"/>
      <c r="AF482" s="1280" t="s">
        <v>112</v>
      </c>
      <c r="AG482" s="1280" t="s">
        <v>112</v>
      </c>
      <c r="AH482" s="123">
        <f t="shared" si="92"/>
        <v>0</v>
      </c>
    </row>
    <row r="483" spans="1:34" ht="15">
      <c r="A483" s="30" t="s">
        <v>79</v>
      </c>
      <c r="B483" s="259">
        <f t="shared" si="91"/>
        <v>0</v>
      </c>
      <c r="C483" s="1280" t="s">
        <v>112</v>
      </c>
      <c r="D483" s="1280" t="s">
        <v>112</v>
      </c>
      <c r="E483" s="1280" t="s">
        <v>112</v>
      </c>
      <c r="F483" s="1280" t="s">
        <v>112</v>
      </c>
      <c r="G483" s="1280" t="s">
        <v>112</v>
      </c>
      <c r="H483" s="1280" t="s">
        <v>112</v>
      </c>
      <c r="I483" s="1280" t="s">
        <v>112</v>
      </c>
      <c r="J483" s="1280" t="s">
        <v>112</v>
      </c>
      <c r="K483" s="1280" t="s">
        <v>112</v>
      </c>
      <c r="L483" s="1280" t="s">
        <v>112</v>
      </c>
      <c r="M483" s="1280" t="s">
        <v>112</v>
      </c>
      <c r="N483" s="1280" t="s">
        <v>112</v>
      </c>
      <c r="O483" s="1280" t="s">
        <v>112</v>
      </c>
      <c r="P483" s="1280" t="s">
        <v>112</v>
      </c>
      <c r="Q483" s="1280" t="s">
        <v>112</v>
      </c>
      <c r="R483" s="3241"/>
      <c r="S483" s="3241"/>
      <c r="T483" s="3241"/>
      <c r="U483" s="3241"/>
      <c r="V483" s="3241"/>
      <c r="W483" s="3241"/>
      <c r="X483" s="3241"/>
      <c r="Y483" s="3241"/>
      <c r="Z483" s="3241"/>
      <c r="AA483" s="3241"/>
      <c r="AB483" s="3241"/>
      <c r="AC483" s="3241"/>
      <c r="AD483" s="3241"/>
      <c r="AE483" s="3241"/>
      <c r="AF483" s="3241"/>
      <c r="AG483" s="3241"/>
      <c r="AH483" s="53">
        <f t="shared" si="92"/>
        <v>0</v>
      </c>
    </row>
    <row r="484" spans="1:34" ht="15">
      <c r="A484" s="30" t="s">
        <v>80</v>
      </c>
      <c r="B484" s="259">
        <f t="shared" si="91"/>
        <v>0</v>
      </c>
      <c r="C484" s="49"/>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53">
        <f t="shared" si="92"/>
        <v>0</v>
      </c>
    </row>
    <row r="485" spans="1:34" ht="15">
      <c r="A485" s="30" t="s">
        <v>81</v>
      </c>
      <c r="B485" s="124">
        <f t="shared" si="91"/>
        <v>0</v>
      </c>
      <c r="C485" s="49"/>
      <c r="D485" s="53"/>
      <c r="E485" s="53"/>
      <c r="F485" s="53"/>
      <c r="G485" s="18"/>
      <c r="H485" s="18"/>
      <c r="I485" s="18"/>
      <c r="J485" s="57"/>
      <c r="K485" s="57"/>
      <c r="L485" s="53"/>
      <c r="M485" s="53"/>
      <c r="N485" s="53"/>
      <c r="O485" s="53"/>
      <c r="P485" s="53"/>
      <c r="Q485" s="53"/>
      <c r="R485" s="53"/>
      <c r="S485" s="53"/>
      <c r="T485" s="53"/>
      <c r="U485" s="53"/>
      <c r="V485" s="53"/>
      <c r="W485" s="1002" t="s">
        <v>112</v>
      </c>
      <c r="X485" s="1002" t="s">
        <v>112</v>
      </c>
      <c r="Y485" s="1002" t="s">
        <v>112</v>
      </c>
      <c r="Z485" s="1002" t="s">
        <v>112</v>
      </c>
      <c r="AA485" s="1002" t="s">
        <v>112</v>
      </c>
      <c r="AB485" s="1002" t="s">
        <v>112</v>
      </c>
      <c r="AC485" s="1002" t="s">
        <v>112</v>
      </c>
      <c r="AD485" s="1002" t="s">
        <v>112</v>
      </c>
      <c r="AE485" s="1002" t="s">
        <v>112</v>
      </c>
      <c r="AF485" s="1002" t="s">
        <v>112</v>
      </c>
      <c r="AG485" s="1002" t="s">
        <v>112</v>
      </c>
      <c r="AH485" s="53">
        <f t="shared" si="92"/>
        <v>0</v>
      </c>
    </row>
    <row r="486" spans="1:34" ht="15">
      <c r="A486" s="30" t="s">
        <v>82</v>
      </c>
      <c r="B486" s="124">
        <f t="shared" si="91"/>
        <v>0</v>
      </c>
      <c r="C486" s="1002" t="s">
        <v>112</v>
      </c>
      <c r="D486" s="1002" t="s">
        <v>112</v>
      </c>
      <c r="E486" s="1002" t="s">
        <v>112</v>
      </c>
      <c r="F486" s="1002" t="s">
        <v>112</v>
      </c>
      <c r="G486" s="1002" t="s">
        <v>112</v>
      </c>
      <c r="H486" s="1002" t="s">
        <v>112</v>
      </c>
      <c r="I486" s="1002" t="s">
        <v>112</v>
      </c>
      <c r="J486" s="1002" t="s">
        <v>112</v>
      </c>
      <c r="K486" s="1002" t="s">
        <v>112</v>
      </c>
      <c r="L486" s="1002" t="s">
        <v>112</v>
      </c>
      <c r="M486" s="1002" t="s">
        <v>112</v>
      </c>
      <c r="N486" s="1002" t="s">
        <v>112</v>
      </c>
      <c r="O486" s="1002" t="s">
        <v>112</v>
      </c>
      <c r="P486" s="1002" t="s">
        <v>112</v>
      </c>
      <c r="Q486" s="1002" t="s">
        <v>112</v>
      </c>
      <c r="R486" s="1002" t="s">
        <v>112</v>
      </c>
      <c r="S486" s="1002" t="s">
        <v>112</v>
      </c>
      <c r="T486" s="1002" t="s">
        <v>112</v>
      </c>
      <c r="U486" s="1002" t="s">
        <v>112</v>
      </c>
      <c r="V486" s="1002" t="s">
        <v>112</v>
      </c>
      <c r="W486" s="1002" t="s">
        <v>112</v>
      </c>
      <c r="X486" s="1002" t="s">
        <v>112</v>
      </c>
      <c r="Y486" s="1002" t="s">
        <v>112</v>
      </c>
      <c r="Z486" s="1002" t="s">
        <v>112</v>
      </c>
      <c r="AA486" s="1002" t="s">
        <v>112</v>
      </c>
      <c r="AB486" s="1002" t="s">
        <v>112</v>
      </c>
      <c r="AC486" s="1002" t="s">
        <v>112</v>
      </c>
      <c r="AD486" s="1002" t="s">
        <v>112</v>
      </c>
      <c r="AE486" s="1002" t="s">
        <v>112</v>
      </c>
      <c r="AF486" s="1002" t="s">
        <v>112</v>
      </c>
      <c r="AG486" s="1002" t="s">
        <v>112</v>
      </c>
      <c r="AH486" s="53">
        <f t="shared" si="92"/>
        <v>0</v>
      </c>
    </row>
    <row r="487" spans="1:34" ht="15">
      <c r="A487" s="30" t="s">
        <v>83</v>
      </c>
      <c r="B487" s="124">
        <f t="shared" si="91"/>
        <v>0</v>
      </c>
      <c r="C487" s="46"/>
      <c r="D487" s="53"/>
      <c r="E487" s="53">
        <v>0</v>
      </c>
      <c r="F487" s="53"/>
      <c r="G487" s="53"/>
      <c r="H487" s="53"/>
      <c r="I487" s="53"/>
      <c r="J487" s="57"/>
      <c r="K487" s="57"/>
      <c r="L487" s="18"/>
      <c r="M487" s="18"/>
      <c r="N487" s="18"/>
      <c r="O487" s="18"/>
      <c r="P487" s="18"/>
      <c r="Q487" s="1002" t="s">
        <v>112</v>
      </c>
      <c r="R487" s="1002" t="s">
        <v>112</v>
      </c>
      <c r="S487" s="1002" t="s">
        <v>112</v>
      </c>
      <c r="T487" s="1002" t="s">
        <v>112</v>
      </c>
      <c r="U487" s="1002" t="s">
        <v>112</v>
      </c>
      <c r="V487" s="1002" t="s">
        <v>112</v>
      </c>
      <c r="W487" s="1002" t="s">
        <v>112</v>
      </c>
      <c r="X487" s="1002" t="s">
        <v>112</v>
      </c>
      <c r="Y487" s="1002" t="s">
        <v>112</v>
      </c>
      <c r="Z487" s="1002" t="s">
        <v>112</v>
      </c>
      <c r="AA487" s="1002" t="s">
        <v>112</v>
      </c>
      <c r="AB487" s="1002" t="s">
        <v>112</v>
      </c>
      <c r="AC487" s="1002" t="s">
        <v>112</v>
      </c>
      <c r="AD487" s="1002" t="s">
        <v>112</v>
      </c>
      <c r="AE487" s="1002" t="s">
        <v>112</v>
      </c>
      <c r="AF487" s="1002" t="s">
        <v>112</v>
      </c>
      <c r="AG487" s="1002" t="s">
        <v>112</v>
      </c>
      <c r="AH487" s="53">
        <f t="shared" si="92"/>
        <v>0</v>
      </c>
    </row>
    <row r="488" spans="1:34" ht="15">
      <c r="A488" s="30" t="s">
        <v>84</v>
      </c>
      <c r="B488" s="124">
        <f t="shared" si="91"/>
        <v>0</v>
      </c>
      <c r="C488" s="49"/>
      <c r="D488" s="1002" t="s">
        <v>112</v>
      </c>
      <c r="E488" s="1002" t="s">
        <v>112</v>
      </c>
      <c r="F488" s="1002" t="s">
        <v>112</v>
      </c>
      <c r="G488" s="1002" t="s">
        <v>112</v>
      </c>
      <c r="H488" s="1002" t="s">
        <v>112</v>
      </c>
      <c r="I488" s="1002" t="s">
        <v>112</v>
      </c>
      <c r="J488" s="1002" t="s">
        <v>112</v>
      </c>
      <c r="K488" s="1002" t="s">
        <v>112</v>
      </c>
      <c r="L488" s="1002" t="s">
        <v>112</v>
      </c>
      <c r="M488" s="1002" t="s">
        <v>112</v>
      </c>
      <c r="N488" s="1002" t="s">
        <v>112</v>
      </c>
      <c r="O488" s="1002" t="s">
        <v>112</v>
      </c>
      <c r="P488" s="1002" t="s">
        <v>112</v>
      </c>
      <c r="Q488" s="1002" t="s">
        <v>112</v>
      </c>
      <c r="R488" s="1002" t="s">
        <v>112</v>
      </c>
      <c r="S488" s="1002" t="s">
        <v>112</v>
      </c>
      <c r="T488" s="1002" t="s">
        <v>112</v>
      </c>
      <c r="U488" s="1002" t="s">
        <v>112</v>
      </c>
      <c r="V488" s="1002" t="s">
        <v>112</v>
      </c>
      <c r="W488" s="1002" t="s">
        <v>112</v>
      </c>
      <c r="X488" s="1002" t="s">
        <v>112</v>
      </c>
      <c r="Y488" s="1002" t="s">
        <v>112</v>
      </c>
      <c r="Z488" s="1002" t="s">
        <v>112</v>
      </c>
      <c r="AA488" s="1002" t="s">
        <v>112</v>
      </c>
      <c r="AB488" s="1002" t="s">
        <v>112</v>
      </c>
      <c r="AC488" s="1002" t="s">
        <v>112</v>
      </c>
      <c r="AD488" s="1002" t="s">
        <v>112</v>
      </c>
      <c r="AE488" s="1002" t="s">
        <v>112</v>
      </c>
      <c r="AF488" s="1002" t="s">
        <v>112</v>
      </c>
      <c r="AG488" s="1002" t="s">
        <v>112</v>
      </c>
      <c r="AH488" s="53">
        <f t="shared" si="92"/>
        <v>0</v>
      </c>
    </row>
    <row r="489" spans="1:34" ht="15">
      <c r="A489" s="30" t="s">
        <v>85</v>
      </c>
      <c r="B489" s="124">
        <f t="shared" si="91"/>
        <v>0</v>
      </c>
      <c r="C489" s="81" t="s">
        <v>112</v>
      </c>
      <c r="D489" s="81" t="s">
        <v>112</v>
      </c>
      <c r="E489" s="81" t="s">
        <v>112</v>
      </c>
      <c r="F489" s="81" t="s">
        <v>112</v>
      </c>
      <c r="G489" s="81" t="s">
        <v>112</v>
      </c>
      <c r="H489" s="81" t="s">
        <v>112</v>
      </c>
      <c r="I489" s="81" t="s">
        <v>112</v>
      </c>
      <c r="J489" s="81" t="s">
        <v>112</v>
      </c>
      <c r="K489" s="81" t="s">
        <v>112</v>
      </c>
      <c r="L489" s="81" t="s">
        <v>112</v>
      </c>
      <c r="M489" s="81" t="s">
        <v>112</v>
      </c>
      <c r="N489" s="81" t="s">
        <v>112</v>
      </c>
      <c r="O489" s="81" t="s">
        <v>112</v>
      </c>
      <c r="P489" s="81" t="s">
        <v>112</v>
      </c>
      <c r="Q489" s="81" t="s">
        <v>112</v>
      </c>
      <c r="R489" s="18"/>
      <c r="S489" s="18"/>
      <c r="T489" s="18"/>
      <c r="U489" s="18"/>
      <c r="V489" s="18"/>
      <c r="W489" s="18"/>
      <c r="X489" s="18"/>
      <c r="Y489" s="11"/>
      <c r="Z489" s="18"/>
      <c r="AA489" s="18"/>
      <c r="AB489" s="18"/>
      <c r="AC489" s="18"/>
      <c r="AD489" s="18"/>
      <c r="AE489" s="53"/>
      <c r="AF489" s="18"/>
      <c r="AG489" s="53"/>
      <c r="AH489" s="53">
        <f t="shared" si="92"/>
        <v>0</v>
      </c>
    </row>
    <row r="490" spans="1:34" ht="15">
      <c r="A490" s="30" t="s">
        <v>86</v>
      </c>
      <c r="B490" s="124">
        <f t="shared" si="91"/>
        <v>0</v>
      </c>
      <c r="C490" s="49"/>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53"/>
      <c r="AF490" s="18"/>
      <c r="AG490" s="53"/>
      <c r="AH490" s="53">
        <f t="shared" si="92"/>
        <v>0</v>
      </c>
    </row>
    <row r="491" spans="1:34" ht="15">
      <c r="A491" s="88" t="s">
        <v>74</v>
      </c>
      <c r="B491" s="92">
        <f>SUM(B479:B490)</f>
        <v>1.1779999999999999</v>
      </c>
      <c r="C491" s="46">
        <f>SUM(C479:C489)</f>
        <v>0</v>
      </c>
      <c r="D491" s="53">
        <f>SUM(D479:D489)</f>
        <v>0</v>
      </c>
      <c r="E491" s="53">
        <v>0</v>
      </c>
      <c r="F491" s="53">
        <f t="shared" ref="F491:AC491" si="93">SUM(F479:F489)</f>
        <v>0</v>
      </c>
      <c r="G491" s="53">
        <f t="shared" si="93"/>
        <v>0</v>
      </c>
      <c r="H491" s="53">
        <f>SUM(H479:H490)</f>
        <v>0</v>
      </c>
      <c r="I491" s="53">
        <f t="shared" si="93"/>
        <v>0</v>
      </c>
      <c r="J491" s="53">
        <f t="shared" si="93"/>
        <v>0</v>
      </c>
      <c r="K491" s="53">
        <f t="shared" si="93"/>
        <v>0</v>
      </c>
      <c r="L491" s="53">
        <f t="shared" si="93"/>
        <v>0</v>
      </c>
      <c r="M491" s="53">
        <f t="shared" si="93"/>
        <v>1.1779999999999999</v>
      </c>
      <c r="N491" s="53">
        <f t="shared" si="93"/>
        <v>0</v>
      </c>
      <c r="O491" s="53">
        <f t="shared" si="93"/>
        <v>0</v>
      </c>
      <c r="P491" s="53">
        <f t="shared" si="93"/>
        <v>0</v>
      </c>
      <c r="Q491" s="53">
        <f t="shared" si="93"/>
        <v>0</v>
      </c>
      <c r="R491" s="53">
        <f t="shared" si="93"/>
        <v>0</v>
      </c>
      <c r="S491" s="53">
        <f t="shared" si="93"/>
        <v>0</v>
      </c>
      <c r="T491" s="53">
        <f t="shared" si="93"/>
        <v>0</v>
      </c>
      <c r="U491" s="53">
        <f t="shared" si="93"/>
        <v>0</v>
      </c>
      <c r="V491" s="53">
        <f t="shared" si="93"/>
        <v>0</v>
      </c>
      <c r="W491" s="53">
        <f t="shared" si="93"/>
        <v>0</v>
      </c>
      <c r="X491" s="53">
        <f t="shared" si="93"/>
        <v>0</v>
      </c>
      <c r="Y491" s="53">
        <f t="shared" si="93"/>
        <v>0</v>
      </c>
      <c r="Z491" s="53">
        <f t="shared" si="93"/>
        <v>0</v>
      </c>
      <c r="AA491" s="53">
        <f t="shared" si="93"/>
        <v>0</v>
      </c>
      <c r="AB491" s="53">
        <f t="shared" si="93"/>
        <v>0</v>
      </c>
      <c r="AC491" s="53">
        <f t="shared" si="93"/>
        <v>0</v>
      </c>
      <c r="AD491" s="53">
        <v>0</v>
      </c>
      <c r="AE491" s="53">
        <f>SUM(AE479:AE489)</f>
        <v>0</v>
      </c>
      <c r="AF491" s="53">
        <f>SUM(AF479:AF489)</f>
        <v>0</v>
      </c>
      <c r="AG491" s="53">
        <f>SUM(AG479:AG489)</f>
        <v>0</v>
      </c>
      <c r="AH491" s="46">
        <f>SUM(AH479:AH489)</f>
        <v>1.1779999999999999</v>
      </c>
    </row>
    <row r="492" spans="1:34" ht="5.0999999999999996" customHeight="1">
      <c r="A492" s="14"/>
      <c r="B492" s="14"/>
      <c r="C492" s="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
    </row>
    <row r="493" spans="1:34" ht="15">
      <c r="A493" s="3582" t="s">
        <v>64</v>
      </c>
      <c r="B493" s="3583"/>
      <c r="C493" s="3583"/>
      <c r="D493" s="3583"/>
      <c r="E493" s="3583"/>
      <c r="F493" s="3583"/>
      <c r="G493" s="3583"/>
      <c r="H493" s="3584"/>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row>
    <row r="494" spans="1:34" ht="15">
      <c r="A494" s="5" t="s">
        <v>72</v>
      </c>
      <c r="B494" s="5" t="s">
        <v>73</v>
      </c>
      <c r="C494" s="3242">
        <v>1</v>
      </c>
      <c r="D494" s="30">
        <v>2</v>
      </c>
      <c r="E494" s="30">
        <v>3</v>
      </c>
      <c r="F494" s="30">
        <v>4</v>
      </c>
      <c r="G494" s="30">
        <v>5</v>
      </c>
      <c r="H494" s="30">
        <v>6</v>
      </c>
      <c r="I494" s="30">
        <v>7</v>
      </c>
      <c r="J494" s="30">
        <v>8</v>
      </c>
      <c r="K494" s="30">
        <v>9</v>
      </c>
      <c r="L494" s="30">
        <v>10</v>
      </c>
      <c r="M494" s="30">
        <v>11</v>
      </c>
      <c r="N494" s="30">
        <v>12</v>
      </c>
      <c r="O494" s="30">
        <v>13</v>
      </c>
      <c r="P494" s="30">
        <v>14</v>
      </c>
      <c r="Q494" s="30">
        <v>15</v>
      </c>
      <c r="R494" s="30">
        <v>16</v>
      </c>
      <c r="S494" s="30">
        <v>17</v>
      </c>
      <c r="T494" s="30">
        <v>18</v>
      </c>
      <c r="U494" s="30">
        <v>19</v>
      </c>
      <c r="V494" s="30">
        <v>20</v>
      </c>
      <c r="W494" s="30">
        <v>21</v>
      </c>
      <c r="X494" s="30">
        <v>22</v>
      </c>
      <c r="Y494" s="30">
        <v>23</v>
      </c>
      <c r="Z494" s="30">
        <v>24</v>
      </c>
      <c r="AA494" s="30">
        <v>25</v>
      </c>
      <c r="AB494" s="30">
        <v>26</v>
      </c>
      <c r="AC494" s="30">
        <v>27</v>
      </c>
      <c r="AD494" s="30">
        <v>28</v>
      </c>
      <c r="AE494" s="30">
        <v>29</v>
      </c>
      <c r="AF494" s="30">
        <v>30</v>
      </c>
      <c r="AG494" s="30">
        <v>31</v>
      </c>
      <c r="AH494" s="39" t="s">
        <v>74</v>
      </c>
    </row>
    <row r="495" spans="1:34" ht="15">
      <c r="A495" s="30" t="s">
        <v>75</v>
      </c>
      <c r="B495" s="114">
        <f t="shared" ref="B495:B506" si="94">+AH495</f>
        <v>0</v>
      </c>
      <c r="C495" s="1930"/>
      <c r="D495" s="1930"/>
      <c r="E495" s="1930"/>
      <c r="F495" s="1930"/>
      <c r="G495" s="1930"/>
      <c r="H495" s="1930"/>
      <c r="I495" s="1930"/>
      <c r="J495" s="1930"/>
      <c r="K495" s="1930"/>
      <c r="L495" s="1930"/>
      <c r="M495" s="1930"/>
      <c r="N495" s="1930"/>
      <c r="O495" s="1930"/>
      <c r="P495" s="1930"/>
      <c r="Q495" s="1930"/>
      <c r="R495" s="1930"/>
      <c r="S495" s="1930"/>
      <c r="T495" s="1930"/>
      <c r="U495" s="1930"/>
      <c r="V495" s="1930"/>
      <c r="W495" s="1930"/>
      <c r="X495" s="1930"/>
      <c r="Y495" s="1930"/>
      <c r="Z495" s="1930"/>
      <c r="AA495" s="1930"/>
      <c r="AB495" s="1287"/>
      <c r="AC495" s="1930"/>
      <c r="AD495" s="1930"/>
      <c r="AE495" s="1930"/>
      <c r="AF495" s="1930"/>
      <c r="AG495" s="1930"/>
      <c r="AH495" s="53">
        <f t="shared" ref="AH495:AH506" si="95">SUM(C495:AG495)</f>
        <v>0</v>
      </c>
    </row>
    <row r="496" spans="1:34" ht="15">
      <c r="A496" s="30" t="s">
        <v>76</v>
      </c>
      <c r="B496" s="114">
        <f t="shared" si="94"/>
        <v>0</v>
      </c>
      <c r="C496" s="1930"/>
      <c r="D496" s="1930"/>
      <c r="E496" s="1930"/>
      <c r="F496" s="1930"/>
      <c r="G496" s="1930"/>
      <c r="H496" s="1930"/>
      <c r="I496" s="1930"/>
      <c r="J496" s="1930"/>
      <c r="K496" s="1930"/>
      <c r="L496" s="1930"/>
      <c r="M496" s="1930"/>
      <c r="N496" s="1930"/>
      <c r="O496" s="1930"/>
      <c r="P496" s="1930"/>
      <c r="Q496" s="1930"/>
      <c r="R496" s="1930"/>
      <c r="S496" s="1930"/>
      <c r="T496" s="1930"/>
      <c r="U496" s="1930"/>
      <c r="V496" s="1930"/>
      <c r="W496" s="1930"/>
      <c r="X496" s="1930"/>
      <c r="Y496" s="1930"/>
      <c r="Z496" s="1930"/>
      <c r="AA496" s="1930"/>
      <c r="AB496" s="1930"/>
      <c r="AC496" s="1930"/>
      <c r="AD496" s="1930"/>
      <c r="AE496" s="1930"/>
      <c r="AF496" s="1930"/>
      <c r="AG496" s="1930"/>
      <c r="AH496" s="53">
        <f t="shared" si="95"/>
        <v>0</v>
      </c>
    </row>
    <row r="497" spans="1:34" s="83" customFormat="1" ht="15">
      <c r="A497" s="30" t="s">
        <v>77</v>
      </c>
      <c r="B497" s="114">
        <f t="shared" si="94"/>
        <v>0</v>
      </c>
      <c r="C497" s="1930"/>
      <c r="D497" s="1930"/>
      <c r="E497" s="1930"/>
      <c r="F497" s="1930"/>
      <c r="G497" s="1930"/>
      <c r="H497" s="1287"/>
      <c r="I497" s="1287"/>
      <c r="J497" s="1287"/>
      <c r="K497" s="1287"/>
      <c r="L497" s="1287"/>
      <c r="M497" s="1287"/>
      <c r="N497" s="1287"/>
      <c r="O497" s="1287"/>
      <c r="P497" s="1287"/>
      <c r="Q497" s="1280"/>
      <c r="R497" s="1280"/>
      <c r="S497" s="1280"/>
      <c r="T497" s="1280"/>
      <c r="U497" s="1280"/>
      <c r="V497" s="1280"/>
      <c r="W497" s="1280"/>
      <c r="X497" s="1280"/>
      <c r="Y497" s="1280"/>
      <c r="Z497" s="1280"/>
      <c r="AA497" s="1280"/>
      <c r="AB497" s="1280"/>
      <c r="AC497" s="1280"/>
      <c r="AD497" s="1280"/>
      <c r="AE497" s="1280"/>
      <c r="AF497" s="1280"/>
      <c r="AG497" s="1280"/>
      <c r="AH497" s="53">
        <f t="shared" si="95"/>
        <v>0</v>
      </c>
    </row>
    <row r="498" spans="1:34" s="260" customFormat="1" ht="15">
      <c r="A498" s="67" t="s">
        <v>78</v>
      </c>
      <c r="B498" s="259">
        <f t="shared" si="94"/>
        <v>0</v>
      </c>
      <c r="C498" s="1280"/>
      <c r="D498" s="1280"/>
      <c r="E498" s="1280"/>
      <c r="F498" s="1280"/>
      <c r="G498" s="1280"/>
      <c r="H498" s="1280"/>
      <c r="I498" s="1280"/>
      <c r="J498" s="1280"/>
      <c r="K498" s="1280"/>
      <c r="L498" s="1280"/>
      <c r="M498" s="1280"/>
      <c r="N498" s="1280"/>
      <c r="O498" s="1280"/>
      <c r="P498" s="1280"/>
      <c r="Q498" s="1280"/>
      <c r="R498" s="1280"/>
      <c r="S498" s="1280"/>
      <c r="T498" s="1280"/>
      <c r="U498" s="1280"/>
      <c r="V498" s="1280"/>
      <c r="W498" s="1280"/>
      <c r="X498" s="1280"/>
      <c r="Y498" s="1280"/>
      <c r="Z498" s="1280"/>
      <c r="AA498" s="1280"/>
      <c r="AB498" s="1280"/>
      <c r="AC498" s="1280"/>
      <c r="AD498" s="1280"/>
      <c r="AE498" s="1280"/>
      <c r="AF498" s="1280" t="s">
        <v>112</v>
      </c>
      <c r="AG498" s="1280" t="s">
        <v>112</v>
      </c>
      <c r="AH498" s="123">
        <f t="shared" si="95"/>
        <v>0</v>
      </c>
    </row>
    <row r="499" spans="1:34" ht="15">
      <c r="A499" s="30" t="s">
        <v>79</v>
      </c>
      <c r="B499" s="114">
        <f t="shared" si="94"/>
        <v>0</v>
      </c>
      <c r="C499" s="1280" t="s">
        <v>112</v>
      </c>
      <c r="D499" s="1280" t="s">
        <v>112</v>
      </c>
      <c r="E499" s="1280" t="s">
        <v>112</v>
      </c>
      <c r="F499" s="1280" t="s">
        <v>112</v>
      </c>
      <c r="G499" s="1280" t="s">
        <v>112</v>
      </c>
      <c r="H499" s="1280" t="s">
        <v>112</v>
      </c>
      <c r="I499" s="1280" t="s">
        <v>112</v>
      </c>
      <c r="J499" s="1280" t="s">
        <v>112</v>
      </c>
      <c r="K499" s="1280" t="s">
        <v>112</v>
      </c>
      <c r="L499" s="1280" t="s">
        <v>112</v>
      </c>
      <c r="M499" s="1280" t="s">
        <v>112</v>
      </c>
      <c r="N499" s="1280" t="s">
        <v>112</v>
      </c>
      <c r="O499" s="1280" t="s">
        <v>112</v>
      </c>
      <c r="P499" s="1280" t="s">
        <v>112</v>
      </c>
      <c r="Q499" s="1280" t="s">
        <v>112</v>
      </c>
      <c r="R499" s="3241"/>
      <c r="S499" s="3241"/>
      <c r="T499" s="3241"/>
      <c r="U499" s="3241"/>
      <c r="V499" s="3241"/>
      <c r="W499" s="3241"/>
      <c r="X499" s="3241"/>
      <c r="Y499" s="3241"/>
      <c r="Z499" s="3241"/>
      <c r="AA499" s="3241"/>
      <c r="AB499" s="3241"/>
      <c r="AC499" s="3241"/>
      <c r="AD499" s="3241"/>
      <c r="AE499" s="3241"/>
      <c r="AF499" s="3241"/>
      <c r="AG499" s="3241"/>
      <c r="AH499" s="53">
        <f t="shared" si="95"/>
        <v>0</v>
      </c>
    </row>
    <row r="500" spans="1:34" ht="15">
      <c r="A500" s="30" t="s">
        <v>80</v>
      </c>
      <c r="B500" s="114">
        <f t="shared" si="94"/>
        <v>0</v>
      </c>
      <c r="C500" s="49"/>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53">
        <f t="shared" si="95"/>
        <v>0</v>
      </c>
    </row>
    <row r="501" spans="1:34" s="83" customFormat="1" ht="15">
      <c r="A501" s="30" t="s">
        <v>81</v>
      </c>
      <c r="B501" s="112">
        <f t="shared" si="94"/>
        <v>0</v>
      </c>
      <c r="C501" s="49"/>
      <c r="D501" s="53"/>
      <c r="E501" s="53"/>
      <c r="F501" s="53"/>
      <c r="G501" s="18"/>
      <c r="H501" s="18"/>
      <c r="I501" s="18"/>
      <c r="J501" s="57"/>
      <c r="K501" s="57"/>
      <c r="L501" s="53"/>
      <c r="M501" s="53"/>
      <c r="N501" s="53"/>
      <c r="O501" s="53"/>
      <c r="P501" s="53"/>
      <c r="Q501" s="53"/>
      <c r="R501" s="53"/>
      <c r="S501" s="53"/>
      <c r="T501" s="53"/>
      <c r="U501" s="53"/>
      <c r="V501" s="53"/>
      <c r="W501" s="1002" t="s">
        <v>112</v>
      </c>
      <c r="X501" s="1002" t="s">
        <v>112</v>
      </c>
      <c r="Y501" s="1002" t="s">
        <v>112</v>
      </c>
      <c r="Z501" s="1002" t="s">
        <v>112</v>
      </c>
      <c r="AA501" s="1002" t="s">
        <v>112</v>
      </c>
      <c r="AB501" s="1002" t="s">
        <v>112</v>
      </c>
      <c r="AC501" s="1002" t="s">
        <v>112</v>
      </c>
      <c r="AD501" s="1002" t="s">
        <v>112</v>
      </c>
      <c r="AE501" s="1002" t="s">
        <v>112</v>
      </c>
      <c r="AF501" s="1002" t="s">
        <v>112</v>
      </c>
      <c r="AG501" s="1002" t="s">
        <v>112</v>
      </c>
      <c r="AH501" s="53">
        <f t="shared" si="95"/>
        <v>0</v>
      </c>
    </row>
    <row r="502" spans="1:34" ht="15">
      <c r="A502" s="30" t="s">
        <v>82</v>
      </c>
      <c r="B502" s="112">
        <f t="shared" si="94"/>
        <v>0</v>
      </c>
      <c r="C502" s="1002" t="s">
        <v>112</v>
      </c>
      <c r="D502" s="1002" t="s">
        <v>112</v>
      </c>
      <c r="E502" s="1002" t="s">
        <v>112</v>
      </c>
      <c r="F502" s="1002" t="s">
        <v>112</v>
      </c>
      <c r="G502" s="1002" t="s">
        <v>112</v>
      </c>
      <c r="H502" s="1002" t="s">
        <v>112</v>
      </c>
      <c r="I502" s="1002" t="s">
        <v>112</v>
      </c>
      <c r="J502" s="1002" t="s">
        <v>112</v>
      </c>
      <c r="K502" s="1002" t="s">
        <v>112</v>
      </c>
      <c r="L502" s="1002" t="s">
        <v>112</v>
      </c>
      <c r="M502" s="1002" t="s">
        <v>112</v>
      </c>
      <c r="N502" s="1002" t="s">
        <v>112</v>
      </c>
      <c r="O502" s="1002" t="s">
        <v>112</v>
      </c>
      <c r="P502" s="1002" t="s">
        <v>112</v>
      </c>
      <c r="Q502" s="1002" t="s">
        <v>112</v>
      </c>
      <c r="R502" s="1002" t="s">
        <v>112</v>
      </c>
      <c r="S502" s="1002" t="s">
        <v>112</v>
      </c>
      <c r="T502" s="1002" t="s">
        <v>112</v>
      </c>
      <c r="U502" s="1002" t="s">
        <v>112</v>
      </c>
      <c r="V502" s="1002" t="s">
        <v>112</v>
      </c>
      <c r="W502" s="1002" t="s">
        <v>112</v>
      </c>
      <c r="X502" s="1002" t="s">
        <v>112</v>
      </c>
      <c r="Y502" s="1002" t="s">
        <v>112</v>
      </c>
      <c r="Z502" s="1002" t="s">
        <v>112</v>
      </c>
      <c r="AA502" s="1002" t="s">
        <v>112</v>
      </c>
      <c r="AB502" s="1002" t="s">
        <v>112</v>
      </c>
      <c r="AC502" s="1002" t="s">
        <v>112</v>
      </c>
      <c r="AD502" s="1002" t="s">
        <v>112</v>
      </c>
      <c r="AE502" s="1002" t="s">
        <v>112</v>
      </c>
      <c r="AF502" s="1002" t="s">
        <v>112</v>
      </c>
      <c r="AG502" s="1002" t="s">
        <v>112</v>
      </c>
      <c r="AH502" s="53">
        <f t="shared" si="95"/>
        <v>0</v>
      </c>
    </row>
    <row r="503" spans="1:34" ht="15">
      <c r="A503" s="30" t="s">
        <v>83</v>
      </c>
      <c r="B503" s="112">
        <f t="shared" si="94"/>
        <v>0</v>
      </c>
      <c r="C503" s="46"/>
      <c r="D503" s="53"/>
      <c r="E503" s="53"/>
      <c r="F503" s="53"/>
      <c r="G503" s="53"/>
      <c r="H503" s="53"/>
      <c r="I503" s="53"/>
      <c r="J503" s="57"/>
      <c r="K503" s="57"/>
      <c r="L503" s="18"/>
      <c r="M503" s="18"/>
      <c r="N503" s="18"/>
      <c r="O503" s="18"/>
      <c r="P503" s="18"/>
      <c r="Q503" s="1002" t="s">
        <v>112</v>
      </c>
      <c r="R503" s="1002" t="s">
        <v>112</v>
      </c>
      <c r="S503" s="1002" t="s">
        <v>112</v>
      </c>
      <c r="T503" s="1002" t="s">
        <v>112</v>
      </c>
      <c r="U503" s="1002" t="s">
        <v>112</v>
      </c>
      <c r="V503" s="1002" t="s">
        <v>112</v>
      </c>
      <c r="W503" s="1002" t="s">
        <v>112</v>
      </c>
      <c r="X503" s="1002" t="s">
        <v>112</v>
      </c>
      <c r="Y503" s="1002" t="s">
        <v>112</v>
      </c>
      <c r="Z503" s="1002" t="s">
        <v>112</v>
      </c>
      <c r="AA503" s="1002" t="s">
        <v>112</v>
      </c>
      <c r="AB503" s="1002" t="s">
        <v>112</v>
      </c>
      <c r="AC503" s="1002" t="s">
        <v>112</v>
      </c>
      <c r="AD503" s="1002" t="s">
        <v>112</v>
      </c>
      <c r="AE503" s="1002" t="s">
        <v>112</v>
      </c>
      <c r="AF503" s="1002" t="s">
        <v>112</v>
      </c>
      <c r="AG503" s="1002" t="s">
        <v>112</v>
      </c>
      <c r="AH503" s="53">
        <f t="shared" si="95"/>
        <v>0</v>
      </c>
    </row>
    <row r="504" spans="1:34" ht="15">
      <c r="A504" s="30" t="s">
        <v>84</v>
      </c>
      <c r="B504" s="18">
        <f t="shared" si="94"/>
        <v>3.3000000000000003</v>
      </c>
      <c r="C504" s="49"/>
      <c r="D504" s="1002" t="s">
        <v>112</v>
      </c>
      <c r="E504" s="1002" t="s">
        <v>112</v>
      </c>
      <c r="F504" s="1002" t="s">
        <v>112</v>
      </c>
      <c r="G504" s="1002" t="s">
        <v>112</v>
      </c>
      <c r="H504" s="1002" t="s">
        <v>112</v>
      </c>
      <c r="I504" s="3256">
        <v>3</v>
      </c>
      <c r="J504" s="1002" t="s">
        <v>112</v>
      </c>
      <c r="K504" s="1002" t="s">
        <v>112</v>
      </c>
      <c r="L504" s="1002" t="s">
        <v>112</v>
      </c>
      <c r="M504" s="3256">
        <v>0.2</v>
      </c>
      <c r="N504" s="1002" t="s">
        <v>112</v>
      </c>
      <c r="O504" s="1002" t="s">
        <v>112</v>
      </c>
      <c r="P504" s="1002" t="s">
        <v>112</v>
      </c>
      <c r="Q504" s="1002" t="s">
        <v>112</v>
      </c>
      <c r="R504" s="1002" t="s">
        <v>112</v>
      </c>
      <c r="S504" s="1002">
        <v>0.1</v>
      </c>
      <c r="T504" s="1002" t="s">
        <v>112</v>
      </c>
      <c r="U504" s="1002" t="s">
        <v>112</v>
      </c>
      <c r="V504" s="1002" t="s">
        <v>112</v>
      </c>
      <c r="W504" s="1002" t="s">
        <v>112</v>
      </c>
      <c r="X504" s="1002" t="s">
        <v>112</v>
      </c>
      <c r="Y504" s="1002" t="s">
        <v>112</v>
      </c>
      <c r="Z504" s="1002" t="s">
        <v>112</v>
      </c>
      <c r="AA504" s="1002" t="s">
        <v>112</v>
      </c>
      <c r="AB504" s="1002" t="s">
        <v>112</v>
      </c>
      <c r="AC504" s="1002" t="s">
        <v>112</v>
      </c>
      <c r="AD504" s="1002" t="s">
        <v>112</v>
      </c>
      <c r="AE504" s="1002" t="s">
        <v>112</v>
      </c>
      <c r="AF504" s="1002" t="s">
        <v>112</v>
      </c>
      <c r="AG504" s="1002" t="s">
        <v>112</v>
      </c>
      <c r="AH504" s="53">
        <f t="shared" si="95"/>
        <v>3.3000000000000003</v>
      </c>
    </row>
    <row r="505" spans="1:34" ht="15">
      <c r="A505" s="30" t="s">
        <v>85</v>
      </c>
      <c r="B505" s="18">
        <f t="shared" si="94"/>
        <v>0</v>
      </c>
      <c r="C505" s="81" t="s">
        <v>112</v>
      </c>
      <c r="D505" s="81" t="s">
        <v>112</v>
      </c>
      <c r="E505" s="81" t="s">
        <v>112</v>
      </c>
      <c r="F505" s="81" t="s">
        <v>112</v>
      </c>
      <c r="G505" s="81" t="s">
        <v>112</v>
      </c>
      <c r="H505" s="81" t="s">
        <v>112</v>
      </c>
      <c r="I505" s="81" t="s">
        <v>112</v>
      </c>
      <c r="J505" s="81" t="s">
        <v>112</v>
      </c>
      <c r="K505" s="81" t="s">
        <v>112</v>
      </c>
      <c r="L505" s="81" t="s">
        <v>112</v>
      </c>
      <c r="M505" s="81" t="s">
        <v>112</v>
      </c>
      <c r="N505" s="81" t="s">
        <v>112</v>
      </c>
      <c r="O505" s="81" t="s">
        <v>112</v>
      </c>
      <c r="P505" s="81" t="s">
        <v>112</v>
      </c>
      <c r="Q505" s="81" t="s">
        <v>112</v>
      </c>
      <c r="R505" s="18"/>
      <c r="S505" s="18"/>
      <c r="T505" s="18"/>
      <c r="U505" s="18"/>
      <c r="V505" s="18"/>
      <c r="W505" s="18"/>
      <c r="X505" s="18" t="s">
        <v>1303</v>
      </c>
      <c r="Y505" s="11"/>
      <c r="Z505" s="18"/>
      <c r="AA505" s="18"/>
      <c r="AB505" s="18"/>
      <c r="AC505" s="18"/>
      <c r="AD505" s="18"/>
      <c r="AE505" s="53"/>
      <c r="AF505" s="18" t="s">
        <v>1304</v>
      </c>
      <c r="AG505" s="53"/>
      <c r="AH505" s="53">
        <f t="shared" si="95"/>
        <v>0</v>
      </c>
    </row>
    <row r="506" spans="1:34" ht="15">
      <c r="A506" s="30" t="s">
        <v>86</v>
      </c>
      <c r="B506" s="18">
        <f t="shared" si="94"/>
        <v>0</v>
      </c>
      <c r="C506" s="49"/>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53"/>
      <c r="AF506" s="18"/>
      <c r="AG506" s="53"/>
      <c r="AH506" s="53">
        <f t="shared" si="95"/>
        <v>0</v>
      </c>
    </row>
    <row r="507" spans="1:34" ht="15">
      <c r="A507" s="88" t="s">
        <v>74</v>
      </c>
      <c r="B507" s="92">
        <f>SUM(B495:B506)</f>
        <v>3.3000000000000003</v>
      </c>
      <c r="C507" s="46">
        <f>SUM(C495:C505)</f>
        <v>0</v>
      </c>
      <c r="D507" s="53">
        <f>SUM(D495:D505)</f>
        <v>0</v>
      </c>
      <c r="E507" s="53">
        <v>0</v>
      </c>
      <c r="F507" s="53">
        <f t="shared" ref="F507:AC507" si="96">SUM(F495:F505)</f>
        <v>0</v>
      </c>
      <c r="G507" s="53">
        <f t="shared" si="96"/>
        <v>0</v>
      </c>
      <c r="H507" s="53">
        <f t="shared" si="96"/>
        <v>0</v>
      </c>
      <c r="I507" s="53">
        <f t="shared" si="96"/>
        <v>3</v>
      </c>
      <c r="J507" s="53">
        <f t="shared" si="96"/>
        <v>0</v>
      </c>
      <c r="K507" s="53">
        <f t="shared" si="96"/>
        <v>0</v>
      </c>
      <c r="L507" s="53">
        <f t="shared" si="96"/>
        <v>0</v>
      </c>
      <c r="M507" s="53">
        <f t="shared" si="96"/>
        <v>0.2</v>
      </c>
      <c r="N507" s="53">
        <f t="shared" si="96"/>
        <v>0</v>
      </c>
      <c r="O507" s="53">
        <f t="shared" si="96"/>
        <v>0</v>
      </c>
      <c r="P507" s="53">
        <f t="shared" si="96"/>
        <v>0</v>
      </c>
      <c r="Q507" s="53">
        <f t="shared" si="96"/>
        <v>0</v>
      </c>
      <c r="R507" s="53">
        <f t="shared" si="96"/>
        <v>0</v>
      </c>
      <c r="S507" s="53">
        <f t="shared" si="96"/>
        <v>0.1</v>
      </c>
      <c r="T507" s="53">
        <f t="shared" si="96"/>
        <v>0</v>
      </c>
      <c r="U507" s="53">
        <f t="shared" si="96"/>
        <v>0</v>
      </c>
      <c r="V507" s="53">
        <f t="shared" si="96"/>
        <v>0</v>
      </c>
      <c r="W507" s="53">
        <f t="shared" si="96"/>
        <v>0</v>
      </c>
      <c r="X507" s="53">
        <f t="shared" si="96"/>
        <v>0</v>
      </c>
      <c r="Y507" s="53">
        <f t="shared" si="96"/>
        <v>0</v>
      </c>
      <c r="Z507" s="53">
        <f t="shared" si="96"/>
        <v>0</v>
      </c>
      <c r="AA507" s="53">
        <f t="shared" si="96"/>
        <v>0</v>
      </c>
      <c r="AB507" s="53">
        <f t="shared" si="96"/>
        <v>0</v>
      </c>
      <c r="AC507" s="53">
        <f t="shared" si="96"/>
        <v>0</v>
      </c>
      <c r="AD507" s="53">
        <v>0</v>
      </c>
      <c r="AE507" s="53">
        <f>SUM(AE495:AE505)</f>
        <v>0</v>
      </c>
      <c r="AF507" s="53">
        <f>SUM(AF495:AF505)</f>
        <v>0</v>
      </c>
      <c r="AG507" s="53">
        <f>SUM(AG495:AG505)</f>
        <v>0</v>
      </c>
      <c r="AH507" s="46">
        <f>SUM(AH495:AH505)</f>
        <v>3.3000000000000003</v>
      </c>
    </row>
    <row r="508" spans="1:34" ht="5.0999999999999996" customHeight="1">
      <c r="A508" s="14"/>
      <c r="B508" s="14"/>
      <c r="C508" s="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
    </row>
    <row r="509" spans="1:34" ht="17.25">
      <c r="A509" s="3588" t="s">
        <v>65</v>
      </c>
      <c r="B509" s="3589"/>
      <c r="C509" s="3589"/>
      <c r="D509" s="3589"/>
      <c r="E509" s="3589"/>
      <c r="F509" s="3589"/>
      <c r="G509" s="3589"/>
      <c r="H509" s="3590"/>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row>
    <row r="510" spans="1:34" ht="15">
      <c r="A510" s="5" t="s">
        <v>72</v>
      </c>
      <c r="B510" s="5" t="s">
        <v>73</v>
      </c>
      <c r="C510" s="3242">
        <v>1</v>
      </c>
      <c r="D510" s="30">
        <v>2</v>
      </c>
      <c r="E510" s="30">
        <v>3</v>
      </c>
      <c r="F510" s="30">
        <v>4</v>
      </c>
      <c r="G510" s="30">
        <v>5</v>
      </c>
      <c r="H510" s="30">
        <v>6</v>
      </c>
      <c r="I510" s="30">
        <v>7</v>
      </c>
      <c r="J510" s="30">
        <v>8</v>
      </c>
      <c r="K510" s="30">
        <v>9</v>
      </c>
      <c r="L510" s="30">
        <v>10</v>
      </c>
      <c r="M510" s="30">
        <v>11</v>
      </c>
      <c r="N510" s="30">
        <v>12</v>
      </c>
      <c r="O510" s="30">
        <v>13</v>
      </c>
      <c r="P510" s="30">
        <v>14</v>
      </c>
      <c r="Q510" s="30">
        <v>15</v>
      </c>
      <c r="R510" s="30">
        <v>16</v>
      </c>
      <c r="S510" s="30">
        <v>17</v>
      </c>
      <c r="T510" s="30">
        <v>18</v>
      </c>
      <c r="U510" s="30">
        <v>19</v>
      </c>
      <c r="V510" s="30">
        <v>20</v>
      </c>
      <c r="W510" s="30">
        <v>21</v>
      </c>
      <c r="X510" s="30">
        <v>22</v>
      </c>
      <c r="Y510" s="30">
        <v>23</v>
      </c>
      <c r="Z510" s="30">
        <v>24</v>
      </c>
      <c r="AA510" s="30">
        <v>25</v>
      </c>
      <c r="AB510" s="30">
        <v>26</v>
      </c>
      <c r="AC510" s="30">
        <v>27</v>
      </c>
      <c r="AD510" s="30">
        <v>28</v>
      </c>
      <c r="AE510" s="30">
        <v>29</v>
      </c>
      <c r="AF510" s="30">
        <v>30</v>
      </c>
      <c r="AG510" s="30">
        <v>31</v>
      </c>
      <c r="AH510" s="39" t="s">
        <v>74</v>
      </c>
    </row>
    <row r="511" spans="1:34" ht="15">
      <c r="A511" s="30" t="s">
        <v>75</v>
      </c>
      <c r="B511" s="114">
        <f t="shared" ref="B511:B522" si="97">+AH511</f>
        <v>0</v>
      </c>
      <c r="C511" s="1930"/>
      <c r="D511" s="1930"/>
      <c r="E511" s="1930"/>
      <c r="F511" s="1930"/>
      <c r="G511" s="1930"/>
      <c r="H511" s="1930"/>
      <c r="I511" s="1930"/>
      <c r="J511" s="1930"/>
      <c r="K511" s="1930"/>
      <c r="L511" s="1930"/>
      <c r="M511" s="1930"/>
      <c r="N511" s="1930"/>
      <c r="O511" s="1930"/>
      <c r="P511" s="1930"/>
      <c r="Q511" s="1930"/>
      <c r="R511" s="1930"/>
      <c r="S511" s="1930"/>
      <c r="T511" s="1930"/>
      <c r="U511" s="1930"/>
      <c r="V511" s="1930"/>
      <c r="W511" s="1930"/>
      <c r="X511" s="1930"/>
      <c r="Y511" s="1930"/>
      <c r="Z511" s="1930"/>
      <c r="AA511" s="1930"/>
      <c r="AB511" s="1287"/>
      <c r="AC511" s="1930"/>
      <c r="AD511" s="1930"/>
      <c r="AE511" s="1930"/>
      <c r="AF511" s="1930"/>
      <c r="AG511" s="1930"/>
      <c r="AH511" s="53">
        <f>SUM(C511:AG511)</f>
        <v>0</v>
      </c>
    </row>
    <row r="512" spans="1:34" ht="15">
      <c r="A512" s="30" t="s">
        <v>76</v>
      </c>
      <c r="B512" s="114">
        <f t="shared" si="97"/>
        <v>0</v>
      </c>
      <c r="C512" s="1930"/>
      <c r="D512" s="1930"/>
      <c r="E512" s="1930"/>
      <c r="F512" s="1930"/>
      <c r="G512" s="1930"/>
      <c r="H512" s="1930"/>
      <c r="I512" s="1930"/>
      <c r="J512" s="1930"/>
      <c r="K512" s="1930"/>
      <c r="L512" s="1930"/>
      <c r="M512" s="1930"/>
      <c r="N512" s="1930"/>
      <c r="O512" s="1930"/>
      <c r="P512" s="1930"/>
      <c r="Q512" s="1930"/>
      <c r="R512" s="1930"/>
      <c r="S512" s="1930"/>
      <c r="T512" s="1930"/>
      <c r="U512" s="1930"/>
      <c r="V512" s="1930"/>
      <c r="W512" s="1930"/>
      <c r="X512" s="1930"/>
      <c r="Y512" s="1930"/>
      <c r="Z512" s="1930"/>
      <c r="AA512" s="1930"/>
      <c r="AB512" s="1930"/>
      <c r="AC512" s="1930"/>
      <c r="AD512" s="1930"/>
      <c r="AE512" s="1930"/>
      <c r="AF512" s="1930"/>
      <c r="AG512" s="1930"/>
      <c r="AH512" s="53">
        <f t="shared" ref="AH512:AH522" si="98">SUM(C512:AG512)</f>
        <v>0</v>
      </c>
    </row>
    <row r="513" spans="1:34" ht="15">
      <c r="A513" s="30" t="s">
        <v>77</v>
      </c>
      <c r="B513" s="114">
        <f t="shared" si="97"/>
        <v>0</v>
      </c>
      <c r="C513" s="1930"/>
      <c r="D513" s="1930"/>
      <c r="E513" s="1930"/>
      <c r="F513" s="1930"/>
      <c r="G513" s="1930"/>
      <c r="H513" s="1287"/>
      <c r="I513" s="1287"/>
      <c r="J513" s="1287"/>
      <c r="K513" s="1287"/>
      <c r="L513" s="1287"/>
      <c r="M513" s="1287"/>
      <c r="N513" s="1287"/>
      <c r="O513" s="1287"/>
      <c r="P513" s="1287"/>
      <c r="Q513" s="1280"/>
      <c r="R513" s="1280"/>
      <c r="S513" s="1280"/>
      <c r="T513" s="1280"/>
      <c r="U513" s="1280"/>
      <c r="V513" s="1280"/>
      <c r="W513" s="1280"/>
      <c r="X513" s="1280"/>
      <c r="Y513" s="1280"/>
      <c r="Z513" s="1280"/>
      <c r="AA513" s="1280"/>
      <c r="AB513" s="1280"/>
      <c r="AC513" s="1280"/>
      <c r="AD513" s="1280"/>
      <c r="AE513" s="1280"/>
      <c r="AF513" s="1280"/>
      <c r="AG513" s="1280"/>
      <c r="AH513" s="53">
        <f t="shared" si="98"/>
        <v>0</v>
      </c>
    </row>
    <row r="514" spans="1:34" ht="15">
      <c r="A514" s="30" t="s">
        <v>78</v>
      </c>
      <c r="B514" s="114">
        <f t="shared" si="97"/>
        <v>0</v>
      </c>
      <c r="C514" s="1280"/>
      <c r="D514" s="1280"/>
      <c r="E514" s="1280"/>
      <c r="F514" s="1280"/>
      <c r="G514" s="1280"/>
      <c r="H514" s="1280"/>
      <c r="I514" s="1280"/>
      <c r="J514" s="1280"/>
      <c r="K514" s="1280"/>
      <c r="L514" s="1280"/>
      <c r="M514" s="1280"/>
      <c r="N514" s="1280"/>
      <c r="O514" s="1280"/>
      <c r="P514" s="1280"/>
      <c r="Q514" s="1280"/>
      <c r="R514" s="1280"/>
      <c r="S514" s="1280"/>
      <c r="T514" s="1280"/>
      <c r="U514" s="1280"/>
      <c r="V514" s="1280"/>
      <c r="W514" s="1280"/>
      <c r="X514" s="1280"/>
      <c r="Y514" s="1280"/>
      <c r="Z514" s="1280"/>
      <c r="AA514" s="1280"/>
      <c r="AB514" s="1280"/>
      <c r="AC514" s="1280"/>
      <c r="AD514" s="1280"/>
      <c r="AE514" s="1280"/>
      <c r="AF514" s="1280" t="s">
        <v>112</v>
      </c>
      <c r="AG514" s="1280" t="s">
        <v>112</v>
      </c>
      <c r="AH514" s="53">
        <f t="shared" si="98"/>
        <v>0</v>
      </c>
    </row>
    <row r="515" spans="1:34" ht="15">
      <c r="A515" s="30" t="s">
        <v>79</v>
      </c>
      <c r="B515" s="114">
        <f t="shared" si="97"/>
        <v>0</v>
      </c>
      <c r="C515" s="1280" t="s">
        <v>112</v>
      </c>
      <c r="D515" s="1280" t="s">
        <v>112</v>
      </c>
      <c r="E515" s="1280" t="s">
        <v>112</v>
      </c>
      <c r="F515" s="1280" t="s">
        <v>112</v>
      </c>
      <c r="G515" s="1280" t="s">
        <v>112</v>
      </c>
      <c r="H515" s="1280" t="s">
        <v>112</v>
      </c>
      <c r="I515" s="1280" t="s">
        <v>112</v>
      </c>
      <c r="J515" s="1280" t="s">
        <v>112</v>
      </c>
      <c r="K515" s="1280" t="s">
        <v>112</v>
      </c>
      <c r="L515" s="1280" t="s">
        <v>112</v>
      </c>
      <c r="M515" s="1280" t="s">
        <v>112</v>
      </c>
      <c r="N515" s="1280" t="s">
        <v>112</v>
      </c>
      <c r="O515" s="1280" t="s">
        <v>112</v>
      </c>
      <c r="P515" s="1280" t="s">
        <v>112</v>
      </c>
      <c r="Q515" s="1280" t="s">
        <v>112</v>
      </c>
      <c r="R515" s="3241"/>
      <c r="S515" s="3241"/>
      <c r="T515" s="3241"/>
      <c r="U515" s="3241"/>
      <c r="V515" s="3241"/>
      <c r="W515" s="3241"/>
      <c r="X515" s="3241"/>
      <c r="Y515" s="3241"/>
      <c r="Z515" s="3241"/>
      <c r="AA515" s="3241"/>
      <c r="AB515" s="3241"/>
      <c r="AC515" s="3241"/>
      <c r="AD515" s="3241"/>
      <c r="AE515" s="3241"/>
      <c r="AF515" s="3241"/>
      <c r="AG515" s="3241"/>
      <c r="AH515" s="53">
        <f t="shared" si="98"/>
        <v>0</v>
      </c>
    </row>
    <row r="516" spans="1:34" ht="15">
      <c r="A516" s="30" t="s">
        <v>80</v>
      </c>
      <c r="B516" s="114">
        <f t="shared" si="97"/>
        <v>0</v>
      </c>
      <c r="C516" s="49"/>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53">
        <f t="shared" si="98"/>
        <v>0</v>
      </c>
    </row>
    <row r="517" spans="1:34" ht="15">
      <c r="A517" s="30" t="s">
        <v>81</v>
      </c>
      <c r="B517" s="112">
        <f t="shared" si="97"/>
        <v>0</v>
      </c>
      <c r="C517" s="49"/>
      <c r="D517" s="53"/>
      <c r="E517" s="53"/>
      <c r="F517" s="53"/>
      <c r="G517" s="18"/>
      <c r="H517" s="18"/>
      <c r="I517" s="18"/>
      <c r="J517" s="57"/>
      <c r="K517" s="57"/>
      <c r="L517" s="53"/>
      <c r="M517" s="53"/>
      <c r="N517" s="53"/>
      <c r="O517" s="53"/>
      <c r="P517" s="53"/>
      <c r="Q517" s="53"/>
      <c r="R517" s="53"/>
      <c r="S517" s="53"/>
      <c r="T517" s="53"/>
      <c r="U517" s="53"/>
      <c r="V517" s="53"/>
      <c r="W517" s="1002" t="s">
        <v>112</v>
      </c>
      <c r="X517" s="1002" t="s">
        <v>112</v>
      </c>
      <c r="Y517" s="1002" t="s">
        <v>112</v>
      </c>
      <c r="Z517" s="1002" t="s">
        <v>112</v>
      </c>
      <c r="AA517" s="1002" t="s">
        <v>112</v>
      </c>
      <c r="AB517" s="1002" t="s">
        <v>112</v>
      </c>
      <c r="AC517" s="1002" t="s">
        <v>112</v>
      </c>
      <c r="AD517" s="1002" t="s">
        <v>112</v>
      </c>
      <c r="AE517" s="1002" t="s">
        <v>112</v>
      </c>
      <c r="AF517" s="1002" t="s">
        <v>112</v>
      </c>
      <c r="AG517" s="1002" t="s">
        <v>112</v>
      </c>
      <c r="AH517" s="53">
        <f t="shared" si="98"/>
        <v>0</v>
      </c>
    </row>
    <row r="518" spans="1:34" ht="15">
      <c r="A518" s="30" t="s">
        <v>82</v>
      </c>
      <c r="B518" s="112">
        <f t="shared" si="97"/>
        <v>0</v>
      </c>
      <c r="C518" s="1002" t="s">
        <v>112</v>
      </c>
      <c r="D518" s="1002" t="s">
        <v>112</v>
      </c>
      <c r="E518" s="1002" t="s">
        <v>112</v>
      </c>
      <c r="F518" s="1002" t="s">
        <v>112</v>
      </c>
      <c r="G518" s="1002" t="s">
        <v>112</v>
      </c>
      <c r="H518" s="1002" t="s">
        <v>112</v>
      </c>
      <c r="I518" s="1002" t="s">
        <v>112</v>
      </c>
      <c r="J518" s="1002" t="s">
        <v>112</v>
      </c>
      <c r="K518" s="1002" t="s">
        <v>112</v>
      </c>
      <c r="L518" s="1002" t="s">
        <v>112</v>
      </c>
      <c r="M518" s="1002" t="s">
        <v>112</v>
      </c>
      <c r="N518" s="1002" t="s">
        <v>112</v>
      </c>
      <c r="O518" s="1002" t="s">
        <v>112</v>
      </c>
      <c r="P518" s="1002" t="s">
        <v>112</v>
      </c>
      <c r="Q518" s="1002" t="s">
        <v>112</v>
      </c>
      <c r="R518" s="1002" t="s">
        <v>112</v>
      </c>
      <c r="S518" s="1002" t="s">
        <v>112</v>
      </c>
      <c r="T518" s="1002" t="s">
        <v>112</v>
      </c>
      <c r="U518" s="1002" t="s">
        <v>112</v>
      </c>
      <c r="V518" s="1002" t="s">
        <v>112</v>
      </c>
      <c r="W518" s="1002" t="s">
        <v>112</v>
      </c>
      <c r="X518" s="1002" t="s">
        <v>112</v>
      </c>
      <c r="Y518" s="1002" t="s">
        <v>112</v>
      </c>
      <c r="Z518" s="1002" t="s">
        <v>112</v>
      </c>
      <c r="AA518" s="1002" t="s">
        <v>112</v>
      </c>
      <c r="AB518" s="1002" t="s">
        <v>112</v>
      </c>
      <c r="AC518" s="1002" t="s">
        <v>112</v>
      </c>
      <c r="AD518" s="1002" t="s">
        <v>112</v>
      </c>
      <c r="AE518" s="1002" t="s">
        <v>112</v>
      </c>
      <c r="AF518" s="1002" t="s">
        <v>112</v>
      </c>
      <c r="AG518" s="1002" t="s">
        <v>112</v>
      </c>
      <c r="AH518" s="53">
        <f t="shared" si="98"/>
        <v>0</v>
      </c>
    </row>
    <row r="519" spans="1:34" ht="15">
      <c r="A519" s="30" t="s">
        <v>83</v>
      </c>
      <c r="B519" s="18">
        <f t="shared" si="97"/>
        <v>0</v>
      </c>
      <c r="C519" s="46"/>
      <c r="D519" s="53"/>
      <c r="E519" s="53"/>
      <c r="F519" s="53"/>
      <c r="G519" s="53"/>
      <c r="H519" s="53"/>
      <c r="I519" s="53"/>
      <c r="J519" s="57"/>
      <c r="K519" s="57"/>
      <c r="L519" s="18"/>
      <c r="M519" s="18"/>
      <c r="N519" s="18"/>
      <c r="O519" s="18"/>
      <c r="P519" s="18"/>
      <c r="Q519" s="1002" t="s">
        <v>112</v>
      </c>
      <c r="R519" s="1002" t="s">
        <v>112</v>
      </c>
      <c r="S519" s="1002" t="s">
        <v>112</v>
      </c>
      <c r="T519" s="1002" t="s">
        <v>112</v>
      </c>
      <c r="U519" s="1002" t="s">
        <v>112</v>
      </c>
      <c r="V519" s="1002" t="s">
        <v>112</v>
      </c>
      <c r="W519" s="1002" t="s">
        <v>112</v>
      </c>
      <c r="X519" s="1002" t="s">
        <v>112</v>
      </c>
      <c r="Y519" s="1002" t="s">
        <v>112</v>
      </c>
      <c r="Z519" s="1002" t="s">
        <v>112</v>
      </c>
      <c r="AA519" s="1002" t="s">
        <v>112</v>
      </c>
      <c r="AB519" s="1002" t="s">
        <v>112</v>
      </c>
      <c r="AC519" s="1002" t="s">
        <v>112</v>
      </c>
      <c r="AD519" s="1002" t="s">
        <v>112</v>
      </c>
      <c r="AE519" s="1002" t="s">
        <v>112</v>
      </c>
      <c r="AF519" s="1002" t="s">
        <v>112</v>
      </c>
      <c r="AG519" s="1002" t="s">
        <v>112</v>
      </c>
      <c r="AH519" s="53">
        <f t="shared" si="98"/>
        <v>0</v>
      </c>
    </row>
    <row r="520" spans="1:34" ht="15">
      <c r="A520" s="30" t="s">
        <v>84</v>
      </c>
      <c r="B520" s="18">
        <f t="shared" si="97"/>
        <v>0</v>
      </c>
      <c r="C520" s="49"/>
      <c r="D520" s="1002" t="s">
        <v>112</v>
      </c>
      <c r="E520" s="1002" t="s">
        <v>112</v>
      </c>
      <c r="F520" s="1002" t="s">
        <v>112</v>
      </c>
      <c r="G520" s="1002" t="s">
        <v>112</v>
      </c>
      <c r="H520" s="1002" t="s">
        <v>112</v>
      </c>
      <c r="I520" s="1002" t="s">
        <v>112</v>
      </c>
      <c r="J520" s="1002" t="s">
        <v>112</v>
      </c>
      <c r="K520" s="1002" t="s">
        <v>112</v>
      </c>
      <c r="L520" s="1002" t="s">
        <v>112</v>
      </c>
      <c r="M520" s="1002" t="s">
        <v>112</v>
      </c>
      <c r="N520" s="1002" t="s">
        <v>112</v>
      </c>
      <c r="O520" s="1002" t="s">
        <v>112</v>
      </c>
      <c r="P520" s="1002" t="s">
        <v>112</v>
      </c>
      <c r="Q520" s="1002" t="s">
        <v>112</v>
      </c>
      <c r="R520" s="1002" t="s">
        <v>112</v>
      </c>
      <c r="S520" s="1002" t="s">
        <v>112</v>
      </c>
      <c r="T520" s="1002" t="s">
        <v>112</v>
      </c>
      <c r="U520" s="1002" t="s">
        <v>112</v>
      </c>
      <c r="V520" s="1002" t="s">
        <v>112</v>
      </c>
      <c r="W520" s="1002" t="s">
        <v>112</v>
      </c>
      <c r="X520" s="1002" t="s">
        <v>112</v>
      </c>
      <c r="Y520" s="1002" t="s">
        <v>112</v>
      </c>
      <c r="Z520" s="1002" t="s">
        <v>112</v>
      </c>
      <c r="AA520" s="1002" t="s">
        <v>112</v>
      </c>
      <c r="AB520" s="1002" t="s">
        <v>112</v>
      </c>
      <c r="AC520" s="1002" t="s">
        <v>112</v>
      </c>
      <c r="AD520" s="1002" t="s">
        <v>112</v>
      </c>
      <c r="AE520" s="1002" t="s">
        <v>112</v>
      </c>
      <c r="AF520" s="1002" t="s">
        <v>112</v>
      </c>
      <c r="AG520" s="1002" t="s">
        <v>112</v>
      </c>
      <c r="AH520" s="53">
        <f t="shared" si="98"/>
        <v>0</v>
      </c>
    </row>
    <row r="521" spans="1:34" ht="15">
      <c r="A521" s="30" t="s">
        <v>85</v>
      </c>
      <c r="B521" s="18">
        <f t="shared" si="97"/>
        <v>0</v>
      </c>
      <c r="C521" s="81" t="s">
        <v>112</v>
      </c>
      <c r="D521" s="81" t="s">
        <v>112</v>
      </c>
      <c r="E521" s="81" t="s">
        <v>112</v>
      </c>
      <c r="F521" s="81" t="s">
        <v>112</v>
      </c>
      <c r="G521" s="81" t="s">
        <v>112</v>
      </c>
      <c r="H521" s="81" t="s">
        <v>112</v>
      </c>
      <c r="I521" s="81" t="s">
        <v>112</v>
      </c>
      <c r="J521" s="81" t="s">
        <v>112</v>
      </c>
      <c r="K521" s="81" t="s">
        <v>112</v>
      </c>
      <c r="L521" s="81" t="s">
        <v>112</v>
      </c>
      <c r="M521" s="81" t="s">
        <v>112</v>
      </c>
      <c r="N521" s="81" t="s">
        <v>112</v>
      </c>
      <c r="O521" s="81" t="s">
        <v>112</v>
      </c>
      <c r="P521" s="81" t="s">
        <v>112</v>
      </c>
      <c r="Q521" s="81" t="s">
        <v>112</v>
      </c>
      <c r="R521" s="18"/>
      <c r="S521" s="18"/>
      <c r="T521" s="18"/>
      <c r="U521" s="18"/>
      <c r="V521" s="18"/>
      <c r="W521" s="18"/>
      <c r="X521" s="18"/>
      <c r="Y521" s="11"/>
      <c r="Z521" s="18"/>
      <c r="AA521" s="18"/>
      <c r="AB521" s="18"/>
      <c r="AC521" s="18"/>
      <c r="AD521" s="18"/>
      <c r="AE521" s="53"/>
      <c r="AF521" s="18"/>
      <c r="AG521" s="53"/>
      <c r="AH521" s="53">
        <f t="shared" si="98"/>
        <v>0</v>
      </c>
    </row>
    <row r="522" spans="1:34" ht="15">
      <c r="A522" s="30" t="s">
        <v>86</v>
      </c>
      <c r="B522" s="18">
        <f t="shared" si="97"/>
        <v>0</v>
      </c>
      <c r="C522" s="49"/>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53"/>
      <c r="AF522" s="18"/>
      <c r="AG522" s="53"/>
      <c r="AH522" s="53">
        <f t="shared" si="98"/>
        <v>0</v>
      </c>
    </row>
    <row r="523" spans="1:34" ht="15">
      <c r="A523" s="88" t="s">
        <v>74</v>
      </c>
      <c r="B523" s="89">
        <f>SUM(B511:B522)</f>
        <v>0</v>
      </c>
      <c r="C523" s="46">
        <f>SUM(C511:C521)</f>
        <v>0</v>
      </c>
      <c r="D523" s="53">
        <f>SUM(D511:D521)</f>
        <v>0</v>
      </c>
      <c r="E523" s="53">
        <v>0</v>
      </c>
      <c r="F523" s="53">
        <f t="shared" ref="F523:AC523" si="99">SUM(F511:F521)</f>
        <v>0</v>
      </c>
      <c r="G523" s="53">
        <f t="shared" si="99"/>
        <v>0</v>
      </c>
      <c r="H523" s="53">
        <f t="shared" si="99"/>
        <v>0</v>
      </c>
      <c r="I523" s="53">
        <f t="shared" si="99"/>
        <v>0</v>
      </c>
      <c r="J523" s="53">
        <f t="shared" si="99"/>
        <v>0</v>
      </c>
      <c r="K523" s="53">
        <f t="shared" si="99"/>
        <v>0</v>
      </c>
      <c r="L523" s="53">
        <f t="shared" si="99"/>
        <v>0</v>
      </c>
      <c r="M523" s="53">
        <f t="shared" si="99"/>
        <v>0</v>
      </c>
      <c r="N523" s="53">
        <f t="shared" si="99"/>
        <v>0</v>
      </c>
      <c r="O523" s="53">
        <f t="shared" si="99"/>
        <v>0</v>
      </c>
      <c r="P523" s="53">
        <f t="shared" si="99"/>
        <v>0</v>
      </c>
      <c r="Q523" s="53">
        <f t="shared" si="99"/>
        <v>0</v>
      </c>
      <c r="R523" s="53">
        <f t="shared" si="99"/>
        <v>0</v>
      </c>
      <c r="S523" s="53">
        <f t="shared" si="99"/>
        <v>0</v>
      </c>
      <c r="T523" s="53">
        <f t="shared" si="99"/>
        <v>0</v>
      </c>
      <c r="U523" s="53">
        <f t="shared" si="99"/>
        <v>0</v>
      </c>
      <c r="V523" s="53">
        <f t="shared" si="99"/>
        <v>0</v>
      </c>
      <c r="W523" s="53">
        <f t="shared" si="99"/>
        <v>0</v>
      </c>
      <c r="X523" s="53">
        <f t="shared" si="99"/>
        <v>0</v>
      </c>
      <c r="Y523" s="53">
        <f t="shared" si="99"/>
        <v>0</v>
      </c>
      <c r="Z523" s="53">
        <f t="shared" si="99"/>
        <v>0</v>
      </c>
      <c r="AA523" s="53">
        <f t="shared" si="99"/>
        <v>0</v>
      </c>
      <c r="AB523" s="53">
        <f t="shared" si="99"/>
        <v>0</v>
      </c>
      <c r="AC523" s="53">
        <f t="shared" si="99"/>
        <v>0</v>
      </c>
      <c r="AD523" s="53">
        <v>0</v>
      </c>
      <c r="AE523" s="53">
        <f>SUM(AE511:AE521)</f>
        <v>0</v>
      </c>
      <c r="AF523" s="53">
        <f>SUM(AF511:AF521)</f>
        <v>0</v>
      </c>
      <c r="AG523" s="53">
        <f>SUM(AG511:AG521)</f>
        <v>0</v>
      </c>
      <c r="AH523" s="46">
        <f>SUM(AH511:AH521)</f>
        <v>0</v>
      </c>
    </row>
    <row r="524" spans="1:34" ht="5.0999999999999996" customHeight="1">
      <c r="A524" s="14"/>
      <c r="B524" s="14"/>
      <c r="C524" s="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
    </row>
    <row r="525" spans="1:34" ht="17.25">
      <c r="A525" s="3588" t="s">
        <v>530</v>
      </c>
      <c r="B525" s="3589"/>
      <c r="C525" s="3594"/>
      <c r="D525" s="3589"/>
      <c r="E525" s="3589"/>
      <c r="F525" s="3589"/>
      <c r="G525" s="3589"/>
      <c r="H525" s="3590"/>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row>
    <row r="526" spans="1:34" ht="15">
      <c r="A526" s="5" t="s">
        <v>72</v>
      </c>
      <c r="B526" s="894" t="s">
        <v>73</v>
      </c>
      <c r="C526" s="3242">
        <v>1</v>
      </c>
      <c r="D526" s="895">
        <v>2</v>
      </c>
      <c r="E526" s="30">
        <v>3</v>
      </c>
      <c r="F526" s="30">
        <v>4</v>
      </c>
      <c r="G526" s="30">
        <v>5</v>
      </c>
      <c r="H526" s="30">
        <v>6</v>
      </c>
      <c r="I526" s="30">
        <v>7</v>
      </c>
      <c r="J526" s="30">
        <v>8</v>
      </c>
      <c r="K526" s="30">
        <v>9</v>
      </c>
      <c r="L526" s="30">
        <v>10</v>
      </c>
      <c r="M526" s="30">
        <v>11</v>
      </c>
      <c r="N526" s="30">
        <v>12</v>
      </c>
      <c r="O526" s="30">
        <v>13</v>
      </c>
      <c r="P526" s="30">
        <v>14</v>
      </c>
      <c r="Q526" s="30">
        <v>15</v>
      </c>
      <c r="R526" s="30">
        <v>16</v>
      </c>
      <c r="S526" s="30">
        <v>17</v>
      </c>
      <c r="T526" s="30">
        <v>18</v>
      </c>
      <c r="U526" s="30">
        <v>19</v>
      </c>
      <c r="V526" s="30">
        <v>20</v>
      </c>
      <c r="W526" s="30">
        <v>21</v>
      </c>
      <c r="X526" s="30">
        <v>22</v>
      </c>
      <c r="Y526" s="30">
        <v>23</v>
      </c>
      <c r="Z526" s="30">
        <v>24</v>
      </c>
      <c r="AA526" s="30">
        <v>25</v>
      </c>
      <c r="AB526" s="30">
        <v>26</v>
      </c>
      <c r="AC526" s="30">
        <v>27</v>
      </c>
      <c r="AD526" s="30">
        <v>28</v>
      </c>
      <c r="AE526" s="30">
        <v>29</v>
      </c>
      <c r="AF526" s="30">
        <v>30</v>
      </c>
      <c r="AG526" s="30">
        <v>31</v>
      </c>
      <c r="AH526" s="39" t="s">
        <v>74</v>
      </c>
    </row>
    <row r="527" spans="1:34" ht="15">
      <c r="A527" s="30" t="s">
        <v>75</v>
      </c>
      <c r="B527" s="114">
        <f t="shared" ref="B527:B538" si="100">+AH527</f>
        <v>0</v>
      </c>
      <c r="C527" s="1930"/>
      <c r="D527" s="1930"/>
      <c r="E527" s="1930"/>
      <c r="F527" s="1930"/>
      <c r="G527" s="1930"/>
      <c r="H527" s="1930"/>
      <c r="I527" s="1930"/>
      <c r="J527" s="1930"/>
      <c r="K527" s="1930"/>
      <c r="L527" s="1930"/>
      <c r="M527" s="1930"/>
      <c r="N527" s="1930"/>
      <c r="O527" s="1930"/>
      <c r="P527" s="1930"/>
      <c r="Q527" s="1930"/>
      <c r="R527" s="1930"/>
      <c r="S527" s="1930"/>
      <c r="T527" s="1930"/>
      <c r="U527" s="1930"/>
      <c r="V527" s="1930"/>
      <c r="W527" s="1930"/>
      <c r="X527" s="1930"/>
      <c r="Y527" s="1930"/>
      <c r="Z527" s="1930"/>
      <c r="AA527" s="1930"/>
      <c r="AB527" s="1287"/>
      <c r="AC527" s="1930"/>
      <c r="AD527" s="1930"/>
      <c r="AE527" s="1930"/>
      <c r="AF527" s="1930"/>
      <c r="AG527" s="1930"/>
      <c r="AH527" s="53">
        <f>SUM(C527:AG527)</f>
        <v>0</v>
      </c>
    </row>
    <row r="528" spans="1:34" ht="15">
      <c r="A528" s="30" t="s">
        <v>76</v>
      </c>
      <c r="B528" s="114">
        <f t="shared" si="100"/>
        <v>0</v>
      </c>
      <c r="C528" s="1930"/>
      <c r="D528" s="1930"/>
      <c r="E528" s="1930"/>
      <c r="F528" s="1930"/>
      <c r="G528" s="1930"/>
      <c r="H528" s="1930"/>
      <c r="I528" s="1930"/>
      <c r="J528" s="1930"/>
      <c r="K528" s="1930"/>
      <c r="L528" s="1930"/>
      <c r="M528" s="1930"/>
      <c r="N528" s="1930"/>
      <c r="O528" s="1930"/>
      <c r="P528" s="1930"/>
      <c r="Q528" s="1930"/>
      <c r="R528" s="1930"/>
      <c r="S528" s="1930"/>
      <c r="T528" s="1930"/>
      <c r="U528" s="1930"/>
      <c r="V528" s="1930"/>
      <c r="W528" s="1930"/>
      <c r="X528" s="1930"/>
      <c r="Y528" s="1930"/>
      <c r="Z528" s="1930"/>
      <c r="AA528" s="1930"/>
      <c r="AB528" s="1930"/>
      <c r="AC528" s="1930"/>
      <c r="AD528" s="1930"/>
      <c r="AE528" s="1930"/>
      <c r="AF528" s="1930"/>
      <c r="AG528" s="1930"/>
      <c r="AH528" s="53">
        <f t="shared" ref="AH528:AH538" si="101">SUM(C528:AG528)</f>
        <v>0</v>
      </c>
    </row>
    <row r="529" spans="1:34" ht="15">
      <c r="A529" s="30" t="s">
        <v>77</v>
      </c>
      <c r="B529" s="114">
        <f t="shared" si="100"/>
        <v>0</v>
      </c>
      <c r="C529" s="1930"/>
      <c r="D529" s="1930"/>
      <c r="E529" s="1930"/>
      <c r="F529" s="1930"/>
      <c r="G529" s="1930"/>
      <c r="H529" s="1287"/>
      <c r="I529" s="1287"/>
      <c r="J529" s="1287"/>
      <c r="K529" s="1287"/>
      <c r="L529" s="1287"/>
      <c r="M529" s="1287"/>
      <c r="N529" s="1287"/>
      <c r="O529" s="1287"/>
      <c r="P529" s="1287"/>
      <c r="Q529" s="1280"/>
      <c r="R529" s="1280"/>
      <c r="S529" s="1280"/>
      <c r="T529" s="1280"/>
      <c r="U529" s="1280"/>
      <c r="V529" s="1280"/>
      <c r="W529" s="1280"/>
      <c r="X529" s="1280"/>
      <c r="Y529" s="1280"/>
      <c r="Z529" s="1280"/>
      <c r="AA529" s="1280"/>
      <c r="AB529" s="1280"/>
      <c r="AC529" s="1280"/>
      <c r="AD529" s="1280"/>
      <c r="AE529" s="1280"/>
      <c r="AF529" s="1280"/>
      <c r="AG529" s="1280"/>
      <c r="AH529" s="53">
        <f t="shared" si="101"/>
        <v>0</v>
      </c>
    </row>
    <row r="530" spans="1:34" ht="15">
      <c r="A530" s="30" t="s">
        <v>78</v>
      </c>
      <c r="B530" s="114">
        <f t="shared" si="100"/>
        <v>0</v>
      </c>
      <c r="C530" s="1280"/>
      <c r="D530" s="1280"/>
      <c r="E530" s="1280"/>
      <c r="F530" s="1280"/>
      <c r="G530" s="1280"/>
      <c r="H530" s="1280"/>
      <c r="I530" s="1280"/>
      <c r="J530" s="1280"/>
      <c r="K530" s="1280"/>
      <c r="L530" s="1280"/>
      <c r="M530" s="1280"/>
      <c r="N530" s="1280"/>
      <c r="O530" s="1280"/>
      <c r="P530" s="1280"/>
      <c r="Q530" s="1280"/>
      <c r="R530" s="1280"/>
      <c r="S530" s="1280"/>
      <c r="T530" s="1280"/>
      <c r="U530" s="1280"/>
      <c r="V530" s="1280"/>
      <c r="W530" s="1280"/>
      <c r="X530" s="1280"/>
      <c r="Y530" s="1280"/>
      <c r="Z530" s="1280"/>
      <c r="AA530" s="1280"/>
      <c r="AB530" s="1280"/>
      <c r="AC530" s="1280"/>
      <c r="AD530" s="1280"/>
      <c r="AE530" s="1280"/>
      <c r="AF530" s="1280" t="s">
        <v>112</v>
      </c>
      <c r="AG530" s="1280" t="s">
        <v>112</v>
      </c>
      <c r="AH530" s="53">
        <f t="shared" si="101"/>
        <v>0</v>
      </c>
    </row>
    <row r="531" spans="1:34" ht="15">
      <c r="A531" s="30" t="s">
        <v>79</v>
      </c>
      <c r="B531" s="114">
        <f t="shared" si="100"/>
        <v>0</v>
      </c>
      <c r="C531" s="1280" t="s">
        <v>112</v>
      </c>
      <c r="D531" s="1280" t="s">
        <v>112</v>
      </c>
      <c r="E531" s="1280" t="s">
        <v>112</v>
      </c>
      <c r="F531" s="1280" t="s">
        <v>112</v>
      </c>
      <c r="G531" s="1280" t="s">
        <v>112</v>
      </c>
      <c r="H531" s="1280" t="s">
        <v>112</v>
      </c>
      <c r="I531" s="1280" t="s">
        <v>112</v>
      </c>
      <c r="J531" s="1280" t="s">
        <v>112</v>
      </c>
      <c r="K531" s="1280" t="s">
        <v>112</v>
      </c>
      <c r="L531" s="1280" t="s">
        <v>112</v>
      </c>
      <c r="M531" s="1280" t="s">
        <v>112</v>
      </c>
      <c r="N531" s="1280" t="s">
        <v>112</v>
      </c>
      <c r="O531" s="1280" t="s">
        <v>112</v>
      </c>
      <c r="P531" s="1280" t="s">
        <v>112</v>
      </c>
      <c r="Q531" s="1280" t="s">
        <v>112</v>
      </c>
      <c r="R531" s="3241"/>
      <c r="S531" s="3241"/>
      <c r="T531" s="3241"/>
      <c r="U531" s="3241"/>
      <c r="V531" s="3241"/>
      <c r="W531" s="3241"/>
      <c r="X531" s="3241"/>
      <c r="Y531" s="3241"/>
      <c r="Z531" s="3241"/>
      <c r="AA531" s="3241"/>
      <c r="AB531" s="3241"/>
      <c r="AC531" s="3241"/>
      <c r="AD531" s="3241"/>
      <c r="AE531" s="3241"/>
      <c r="AF531" s="3241"/>
      <c r="AG531" s="3241"/>
      <c r="AH531" s="53">
        <f t="shared" si="101"/>
        <v>0</v>
      </c>
    </row>
    <row r="532" spans="1:34" ht="15">
      <c r="A532" s="30" t="s">
        <v>80</v>
      </c>
      <c r="B532" s="114">
        <f t="shared" si="100"/>
        <v>0</v>
      </c>
      <c r="C532" s="49"/>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53">
        <f t="shared" si="101"/>
        <v>0</v>
      </c>
    </row>
    <row r="533" spans="1:34" ht="15">
      <c r="A533" s="30" t="s">
        <v>81</v>
      </c>
      <c r="B533" s="112">
        <f t="shared" si="100"/>
        <v>0</v>
      </c>
      <c r="C533" s="49"/>
      <c r="D533" s="53"/>
      <c r="E533" s="53"/>
      <c r="F533" s="53"/>
      <c r="G533" s="18"/>
      <c r="H533" s="18"/>
      <c r="I533" s="18"/>
      <c r="J533" s="57"/>
      <c r="K533" s="57"/>
      <c r="L533" s="53"/>
      <c r="M533" s="53"/>
      <c r="N533" s="53"/>
      <c r="O533" s="53"/>
      <c r="P533" s="53"/>
      <c r="Q533" s="53"/>
      <c r="R533" s="53"/>
      <c r="S533" s="53"/>
      <c r="T533" s="53"/>
      <c r="U533" s="53"/>
      <c r="V533" s="53"/>
      <c r="W533" s="1002" t="s">
        <v>112</v>
      </c>
      <c r="X533" s="1002" t="s">
        <v>112</v>
      </c>
      <c r="Y533" s="1002" t="s">
        <v>112</v>
      </c>
      <c r="Z533" s="1002" t="s">
        <v>112</v>
      </c>
      <c r="AA533" s="1002" t="s">
        <v>112</v>
      </c>
      <c r="AB533" s="1002" t="s">
        <v>112</v>
      </c>
      <c r="AC533" s="1002" t="s">
        <v>112</v>
      </c>
      <c r="AD533" s="1002" t="s">
        <v>112</v>
      </c>
      <c r="AE533" s="1002" t="s">
        <v>112</v>
      </c>
      <c r="AF533" s="1002" t="s">
        <v>112</v>
      </c>
      <c r="AG533" s="1002" t="s">
        <v>112</v>
      </c>
      <c r="AH533" s="53">
        <f t="shared" si="101"/>
        <v>0</v>
      </c>
    </row>
    <row r="534" spans="1:34" ht="15">
      <c r="A534" s="30" t="s">
        <v>82</v>
      </c>
      <c r="B534" s="112">
        <f t="shared" si="100"/>
        <v>0</v>
      </c>
      <c r="C534" s="1002" t="s">
        <v>112</v>
      </c>
      <c r="D534" s="1002" t="s">
        <v>112</v>
      </c>
      <c r="E534" s="1002" t="s">
        <v>112</v>
      </c>
      <c r="F534" s="1002" t="s">
        <v>112</v>
      </c>
      <c r="G534" s="1002" t="s">
        <v>112</v>
      </c>
      <c r="H534" s="1002" t="s">
        <v>112</v>
      </c>
      <c r="I534" s="1002" t="s">
        <v>112</v>
      </c>
      <c r="J534" s="1002" t="s">
        <v>112</v>
      </c>
      <c r="K534" s="1002" t="s">
        <v>112</v>
      </c>
      <c r="L534" s="1002" t="s">
        <v>112</v>
      </c>
      <c r="M534" s="1002" t="s">
        <v>112</v>
      </c>
      <c r="N534" s="1002" t="s">
        <v>112</v>
      </c>
      <c r="O534" s="1002" t="s">
        <v>112</v>
      </c>
      <c r="P534" s="1002" t="s">
        <v>112</v>
      </c>
      <c r="Q534" s="1002" t="s">
        <v>112</v>
      </c>
      <c r="R534" s="1002" t="s">
        <v>112</v>
      </c>
      <c r="S534" s="1002" t="s">
        <v>112</v>
      </c>
      <c r="T534" s="1002" t="s">
        <v>112</v>
      </c>
      <c r="U534" s="1002" t="s">
        <v>112</v>
      </c>
      <c r="V534" s="1002" t="s">
        <v>112</v>
      </c>
      <c r="W534" s="1002" t="s">
        <v>112</v>
      </c>
      <c r="X534" s="1002" t="s">
        <v>112</v>
      </c>
      <c r="Y534" s="1002" t="s">
        <v>112</v>
      </c>
      <c r="Z534" s="1002" t="s">
        <v>112</v>
      </c>
      <c r="AA534" s="1002" t="s">
        <v>112</v>
      </c>
      <c r="AB534" s="1002" t="s">
        <v>112</v>
      </c>
      <c r="AC534" s="1002" t="s">
        <v>112</v>
      </c>
      <c r="AD534" s="1002" t="s">
        <v>112</v>
      </c>
      <c r="AE534" s="1002" t="s">
        <v>112</v>
      </c>
      <c r="AF534" s="1002" t="s">
        <v>112</v>
      </c>
      <c r="AG534" s="1002" t="s">
        <v>112</v>
      </c>
      <c r="AH534" s="53">
        <f t="shared" si="101"/>
        <v>0</v>
      </c>
    </row>
    <row r="535" spans="1:34" ht="15">
      <c r="A535" s="30" t="s">
        <v>83</v>
      </c>
      <c r="B535" s="112">
        <f t="shared" si="100"/>
        <v>0</v>
      </c>
      <c r="C535" s="46"/>
      <c r="D535" s="53"/>
      <c r="E535" s="53"/>
      <c r="F535" s="53"/>
      <c r="G535" s="53"/>
      <c r="H535" s="53"/>
      <c r="I535" s="53"/>
      <c r="J535" s="57"/>
      <c r="K535" s="57"/>
      <c r="L535" s="18"/>
      <c r="M535" s="18"/>
      <c r="N535" s="18"/>
      <c r="O535" s="18"/>
      <c r="P535" s="18"/>
      <c r="Q535" s="1002" t="s">
        <v>112</v>
      </c>
      <c r="R535" s="1002" t="s">
        <v>112</v>
      </c>
      <c r="S535" s="1002" t="s">
        <v>112</v>
      </c>
      <c r="T535" s="1002" t="s">
        <v>112</v>
      </c>
      <c r="U535" s="1002" t="s">
        <v>112</v>
      </c>
      <c r="V535" s="1002" t="s">
        <v>112</v>
      </c>
      <c r="W535" s="1002" t="s">
        <v>112</v>
      </c>
      <c r="X535" s="1002" t="s">
        <v>112</v>
      </c>
      <c r="Y535" s="1002" t="s">
        <v>112</v>
      </c>
      <c r="Z535" s="1002" t="s">
        <v>112</v>
      </c>
      <c r="AA535" s="1002" t="s">
        <v>112</v>
      </c>
      <c r="AB535" s="1002" t="s">
        <v>112</v>
      </c>
      <c r="AC535" s="1002" t="s">
        <v>112</v>
      </c>
      <c r="AD535" s="1002" t="s">
        <v>112</v>
      </c>
      <c r="AE535" s="1002" t="s">
        <v>112</v>
      </c>
      <c r="AF535" s="1002" t="s">
        <v>112</v>
      </c>
      <c r="AG535" s="1002" t="s">
        <v>112</v>
      </c>
      <c r="AH535" s="53">
        <f t="shared" si="101"/>
        <v>0</v>
      </c>
    </row>
    <row r="536" spans="1:34" ht="15">
      <c r="A536" s="30" t="s">
        <v>84</v>
      </c>
      <c r="B536" s="18">
        <f t="shared" si="100"/>
        <v>0</v>
      </c>
      <c r="C536" s="49"/>
      <c r="D536" s="1002" t="s">
        <v>112</v>
      </c>
      <c r="E536" s="1002" t="s">
        <v>112</v>
      </c>
      <c r="F536" s="1002" t="s">
        <v>112</v>
      </c>
      <c r="G536" s="1002" t="s">
        <v>112</v>
      </c>
      <c r="H536" s="1002" t="s">
        <v>112</v>
      </c>
      <c r="I536" s="1002" t="s">
        <v>112</v>
      </c>
      <c r="J536" s="1002" t="s">
        <v>112</v>
      </c>
      <c r="K536" s="1002" t="s">
        <v>112</v>
      </c>
      <c r="L536" s="1002" t="s">
        <v>112</v>
      </c>
      <c r="M536" s="1002" t="s">
        <v>112</v>
      </c>
      <c r="N536" s="1002" t="s">
        <v>112</v>
      </c>
      <c r="O536" s="1002" t="s">
        <v>112</v>
      </c>
      <c r="P536" s="1002" t="s">
        <v>112</v>
      </c>
      <c r="Q536" s="1002" t="s">
        <v>112</v>
      </c>
      <c r="R536" s="1002" t="s">
        <v>112</v>
      </c>
      <c r="S536" s="1002" t="s">
        <v>112</v>
      </c>
      <c r="T536" s="1002" t="s">
        <v>112</v>
      </c>
      <c r="U536" s="1002" t="s">
        <v>112</v>
      </c>
      <c r="V536" s="1002" t="s">
        <v>112</v>
      </c>
      <c r="W536" s="1002" t="s">
        <v>112</v>
      </c>
      <c r="X536" s="1002" t="s">
        <v>112</v>
      </c>
      <c r="Y536" s="1002" t="s">
        <v>112</v>
      </c>
      <c r="Z536" s="1002" t="s">
        <v>112</v>
      </c>
      <c r="AA536" s="1002" t="s">
        <v>112</v>
      </c>
      <c r="AB536" s="1002" t="s">
        <v>112</v>
      </c>
      <c r="AC536" s="1002" t="s">
        <v>112</v>
      </c>
      <c r="AD536" s="1002" t="s">
        <v>112</v>
      </c>
      <c r="AE536" s="1002" t="s">
        <v>112</v>
      </c>
      <c r="AF536" s="1002" t="s">
        <v>112</v>
      </c>
      <c r="AG536" s="1002" t="s">
        <v>112</v>
      </c>
      <c r="AH536" s="53">
        <f t="shared" si="101"/>
        <v>0</v>
      </c>
    </row>
    <row r="537" spans="1:34" ht="15">
      <c r="A537" s="30" t="s">
        <v>85</v>
      </c>
      <c r="B537" s="18">
        <f t="shared" si="100"/>
        <v>0</v>
      </c>
      <c r="C537" s="81" t="s">
        <v>112</v>
      </c>
      <c r="D537" s="81" t="s">
        <v>112</v>
      </c>
      <c r="E537" s="81" t="s">
        <v>112</v>
      </c>
      <c r="F537" s="81" t="s">
        <v>112</v>
      </c>
      <c r="G537" s="81" t="s">
        <v>112</v>
      </c>
      <c r="H537" s="81" t="s">
        <v>112</v>
      </c>
      <c r="I537" s="81" t="s">
        <v>112</v>
      </c>
      <c r="J537" s="81" t="s">
        <v>112</v>
      </c>
      <c r="K537" s="81" t="s">
        <v>112</v>
      </c>
      <c r="L537" s="81" t="s">
        <v>112</v>
      </c>
      <c r="M537" s="81" t="s">
        <v>112</v>
      </c>
      <c r="N537" s="81" t="s">
        <v>112</v>
      </c>
      <c r="O537" s="81" t="s">
        <v>112</v>
      </c>
      <c r="P537" s="81" t="s">
        <v>112</v>
      </c>
      <c r="Q537" s="81" t="s">
        <v>112</v>
      </c>
      <c r="R537" s="18"/>
      <c r="S537" s="18"/>
      <c r="T537" s="18"/>
      <c r="U537" s="18"/>
      <c r="V537" s="18"/>
      <c r="W537" s="18"/>
      <c r="X537" s="18"/>
      <c r="Y537" s="11"/>
      <c r="Z537" s="18"/>
      <c r="AA537" s="18"/>
      <c r="AB537" s="18"/>
      <c r="AC537" s="18"/>
      <c r="AD537" s="18"/>
      <c r="AE537" s="53"/>
      <c r="AF537" s="18"/>
      <c r="AG537" s="53"/>
      <c r="AH537" s="53">
        <f t="shared" si="101"/>
        <v>0</v>
      </c>
    </row>
    <row r="538" spans="1:34" ht="15">
      <c r="A538" s="30" t="s">
        <v>86</v>
      </c>
      <c r="B538" s="18">
        <f t="shared" si="100"/>
        <v>0</v>
      </c>
      <c r="C538" s="49"/>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53"/>
      <c r="AF538" s="18"/>
      <c r="AG538" s="53"/>
      <c r="AH538" s="53">
        <f t="shared" si="101"/>
        <v>0</v>
      </c>
    </row>
    <row r="539" spans="1:34" ht="15">
      <c r="A539" s="88" t="s">
        <v>74</v>
      </c>
      <c r="B539" s="89">
        <f>SUM(B527:B538)</f>
        <v>0</v>
      </c>
      <c r="C539" s="46">
        <f>SUM(C527:C537)</f>
        <v>0</v>
      </c>
      <c r="D539" s="53">
        <f>SUM(D527:D537)</f>
        <v>0</v>
      </c>
      <c r="E539" s="53">
        <v>0</v>
      </c>
      <c r="F539" s="53">
        <f t="shared" ref="F539:AC539" si="102">SUM(F527:F537)</f>
        <v>0</v>
      </c>
      <c r="G539" s="53">
        <f t="shared" si="102"/>
        <v>0</v>
      </c>
      <c r="H539" s="53">
        <f t="shared" si="102"/>
        <v>0</v>
      </c>
      <c r="I539" s="53">
        <f t="shared" si="102"/>
        <v>0</v>
      </c>
      <c r="J539" s="53">
        <f t="shared" si="102"/>
        <v>0</v>
      </c>
      <c r="K539" s="53">
        <f t="shared" si="102"/>
        <v>0</v>
      </c>
      <c r="L539" s="53">
        <f t="shared" si="102"/>
        <v>0</v>
      </c>
      <c r="M539" s="53">
        <f t="shared" si="102"/>
        <v>0</v>
      </c>
      <c r="N539" s="53">
        <f t="shared" si="102"/>
        <v>0</v>
      </c>
      <c r="O539" s="53">
        <f t="shared" si="102"/>
        <v>0</v>
      </c>
      <c r="P539" s="53">
        <f t="shared" si="102"/>
        <v>0</v>
      </c>
      <c r="Q539" s="53">
        <f t="shared" si="102"/>
        <v>0</v>
      </c>
      <c r="R539" s="53">
        <f t="shared" si="102"/>
        <v>0</v>
      </c>
      <c r="S539" s="53">
        <f t="shared" si="102"/>
        <v>0</v>
      </c>
      <c r="T539" s="53">
        <f t="shared" si="102"/>
        <v>0</v>
      </c>
      <c r="U539" s="53">
        <f t="shared" si="102"/>
        <v>0</v>
      </c>
      <c r="V539" s="53">
        <f t="shared" si="102"/>
        <v>0</v>
      </c>
      <c r="W539" s="53">
        <f t="shared" si="102"/>
        <v>0</v>
      </c>
      <c r="X539" s="53">
        <f t="shared" si="102"/>
        <v>0</v>
      </c>
      <c r="Y539" s="53">
        <f t="shared" si="102"/>
        <v>0</v>
      </c>
      <c r="Z539" s="53">
        <f t="shared" si="102"/>
        <v>0</v>
      </c>
      <c r="AA539" s="53">
        <f t="shared" si="102"/>
        <v>0</v>
      </c>
      <c r="AB539" s="53">
        <f t="shared" si="102"/>
        <v>0</v>
      </c>
      <c r="AC539" s="53">
        <f t="shared" si="102"/>
        <v>0</v>
      </c>
      <c r="AD539" s="53">
        <v>0</v>
      </c>
      <c r="AE539" s="53">
        <f>SUM(AE527:AE537)</f>
        <v>0</v>
      </c>
      <c r="AF539" s="53">
        <f>SUM(AF527:AF537)</f>
        <v>0</v>
      </c>
      <c r="AG539" s="53">
        <f>SUM(AG527:AG537)</f>
        <v>0</v>
      </c>
      <c r="AH539" s="46">
        <f>SUM(AH527:AH537)</f>
        <v>0</v>
      </c>
    </row>
    <row r="540" spans="1:34" ht="5.0999999999999996" customHeight="1">
      <c r="A540" s="14"/>
      <c r="B540" s="14"/>
      <c r="C540" s="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
    </row>
    <row r="541" spans="1:34" ht="17.25">
      <c r="A541" s="3588" t="s">
        <v>60</v>
      </c>
      <c r="B541" s="3589"/>
      <c r="C541" s="3589"/>
      <c r="D541" s="3589"/>
      <c r="E541" s="3589"/>
      <c r="F541" s="3589"/>
      <c r="G541" s="3589"/>
      <c r="H541" s="3590"/>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row>
    <row r="542" spans="1:34" ht="15">
      <c r="A542" s="5" t="s">
        <v>72</v>
      </c>
      <c r="B542" s="5" t="s">
        <v>73</v>
      </c>
      <c r="C542" s="3242">
        <v>1</v>
      </c>
      <c r="D542" s="30">
        <v>2</v>
      </c>
      <c r="E542" s="30">
        <v>3</v>
      </c>
      <c r="F542" s="30">
        <v>4</v>
      </c>
      <c r="G542" s="30">
        <v>5</v>
      </c>
      <c r="H542" s="30">
        <v>6</v>
      </c>
      <c r="I542" s="30">
        <v>7</v>
      </c>
      <c r="J542" s="30">
        <v>8</v>
      </c>
      <c r="K542" s="30">
        <v>9</v>
      </c>
      <c r="L542" s="30">
        <v>10</v>
      </c>
      <c r="M542" s="30">
        <v>11</v>
      </c>
      <c r="N542" s="30">
        <v>12</v>
      </c>
      <c r="O542" s="30">
        <v>13</v>
      </c>
      <c r="P542" s="30">
        <v>14</v>
      </c>
      <c r="Q542" s="30">
        <v>15</v>
      </c>
      <c r="R542" s="30">
        <v>16</v>
      </c>
      <c r="S542" s="30">
        <v>17</v>
      </c>
      <c r="T542" s="30">
        <v>18</v>
      </c>
      <c r="U542" s="30">
        <v>19</v>
      </c>
      <c r="V542" s="30">
        <v>20</v>
      </c>
      <c r="W542" s="30">
        <v>21</v>
      </c>
      <c r="X542" s="30">
        <v>22</v>
      </c>
      <c r="Y542" s="30">
        <v>23</v>
      </c>
      <c r="Z542" s="30">
        <v>24</v>
      </c>
      <c r="AA542" s="30">
        <v>25</v>
      </c>
      <c r="AB542" s="30">
        <v>26</v>
      </c>
      <c r="AC542" s="30">
        <v>27</v>
      </c>
      <c r="AD542" s="30">
        <v>28</v>
      </c>
      <c r="AE542" s="30">
        <v>29</v>
      </c>
      <c r="AF542" s="30">
        <v>30</v>
      </c>
      <c r="AG542" s="30">
        <v>31</v>
      </c>
      <c r="AH542" s="39" t="s">
        <v>74</v>
      </c>
    </row>
    <row r="543" spans="1:34" ht="15">
      <c r="A543" s="30" t="s">
        <v>75</v>
      </c>
      <c r="B543" s="114">
        <f t="shared" ref="B543:B554" si="103">+AH543</f>
        <v>0</v>
      </c>
      <c r="C543" s="1930"/>
      <c r="D543" s="1930"/>
      <c r="E543" s="1930"/>
      <c r="F543" s="1930"/>
      <c r="G543" s="1930"/>
      <c r="H543" s="1930"/>
      <c r="I543" s="1930"/>
      <c r="J543" s="1930"/>
      <c r="K543" s="1930"/>
      <c r="L543" s="1930"/>
      <c r="M543" s="1930"/>
      <c r="N543" s="1930"/>
      <c r="O543" s="1930"/>
      <c r="P543" s="1930"/>
      <c r="Q543" s="1930"/>
      <c r="R543" s="1930"/>
      <c r="S543" s="1930"/>
      <c r="T543" s="1930"/>
      <c r="U543" s="1930"/>
      <c r="V543" s="1930"/>
      <c r="W543" s="1930"/>
      <c r="X543" s="1930"/>
      <c r="Y543" s="1930"/>
      <c r="Z543" s="1930"/>
      <c r="AA543" s="1930"/>
      <c r="AB543" s="1287"/>
      <c r="AC543" s="1930"/>
      <c r="AD543" s="1930"/>
      <c r="AE543" s="1930"/>
      <c r="AF543" s="1930"/>
      <c r="AG543" s="1930"/>
      <c r="AH543" s="53">
        <f>SUM(C543:AG543)</f>
        <v>0</v>
      </c>
    </row>
    <row r="544" spans="1:34" ht="15">
      <c r="A544" s="30" t="s">
        <v>76</v>
      </c>
      <c r="B544" s="114">
        <f t="shared" si="103"/>
        <v>5.4499999999999993</v>
      </c>
      <c r="C544" s="1930">
        <v>2</v>
      </c>
      <c r="D544" s="1930"/>
      <c r="E544" s="1930"/>
      <c r="F544" s="1930"/>
      <c r="G544" s="1930"/>
      <c r="H544" s="1930"/>
      <c r="I544" s="1930"/>
      <c r="J544" s="1930"/>
      <c r="K544" s="1930"/>
      <c r="L544" s="1930"/>
      <c r="M544" s="1930">
        <v>2.1</v>
      </c>
      <c r="N544" s="1930"/>
      <c r="O544" s="1930"/>
      <c r="P544" s="1930">
        <v>0.3</v>
      </c>
      <c r="Q544" s="1930"/>
      <c r="R544" s="1930"/>
      <c r="S544" s="1930"/>
      <c r="T544" s="1930"/>
      <c r="U544" s="1930"/>
      <c r="V544" s="1930">
        <v>1.05</v>
      </c>
      <c r="W544" s="1930"/>
      <c r="X544" s="1930"/>
      <c r="Y544" s="1930"/>
      <c r="Z544" s="1930"/>
      <c r="AA544" s="1930"/>
      <c r="AB544" s="1930"/>
      <c r="AC544" s="1930"/>
      <c r="AD544" s="1930"/>
      <c r="AE544" s="1930"/>
      <c r="AF544" s="1930"/>
      <c r="AG544" s="1930"/>
      <c r="AH544" s="53">
        <f t="shared" ref="AH544:AH554" si="104">SUM(C544:AG544)</f>
        <v>5.4499999999999993</v>
      </c>
    </row>
    <row r="545" spans="1:34" ht="15">
      <c r="A545" s="30" t="s">
        <v>77</v>
      </c>
      <c r="B545" s="114">
        <f t="shared" si="103"/>
        <v>0.52</v>
      </c>
      <c r="C545" s="1930"/>
      <c r="D545" s="1930"/>
      <c r="E545" s="1930"/>
      <c r="F545" s="1930"/>
      <c r="G545" s="1930"/>
      <c r="H545" s="1287"/>
      <c r="I545" s="1287"/>
      <c r="J545" s="1287"/>
      <c r="K545" s="1287"/>
      <c r="L545" s="1287"/>
      <c r="M545" s="1287">
        <v>0.1</v>
      </c>
      <c r="N545" s="1287"/>
      <c r="O545" s="1287">
        <v>0.17</v>
      </c>
      <c r="P545" s="1287">
        <v>0.25</v>
      </c>
      <c r="Q545" s="1280" t="s">
        <v>112</v>
      </c>
      <c r="R545" s="1280" t="s">
        <v>112</v>
      </c>
      <c r="S545" s="1280" t="s">
        <v>112</v>
      </c>
      <c r="T545" s="1280" t="s">
        <v>112</v>
      </c>
      <c r="U545" s="1280" t="s">
        <v>112</v>
      </c>
      <c r="V545" s="1280" t="s">
        <v>112</v>
      </c>
      <c r="W545" s="1280" t="s">
        <v>112</v>
      </c>
      <c r="X545" s="1280" t="s">
        <v>112</v>
      </c>
      <c r="Y545" s="1280" t="s">
        <v>112</v>
      </c>
      <c r="Z545" s="1280" t="s">
        <v>112</v>
      </c>
      <c r="AA545" s="1280" t="s">
        <v>112</v>
      </c>
      <c r="AB545" s="1280" t="s">
        <v>112</v>
      </c>
      <c r="AC545" s="1280" t="s">
        <v>112</v>
      </c>
      <c r="AD545" s="1280" t="s">
        <v>112</v>
      </c>
      <c r="AE545" s="1280" t="s">
        <v>112</v>
      </c>
      <c r="AF545" s="1280" t="s">
        <v>112</v>
      </c>
      <c r="AG545" s="1280" t="s">
        <v>112</v>
      </c>
      <c r="AH545" s="53">
        <f t="shared" si="104"/>
        <v>0.52</v>
      </c>
    </row>
    <row r="546" spans="1:34" ht="15">
      <c r="A546" s="30" t="s">
        <v>78</v>
      </c>
      <c r="B546" s="114">
        <f t="shared" si="103"/>
        <v>0</v>
      </c>
      <c r="C546" s="1280" t="s">
        <v>112</v>
      </c>
      <c r="D546" s="1280" t="s">
        <v>112</v>
      </c>
      <c r="E546" s="1280" t="s">
        <v>112</v>
      </c>
      <c r="F546" s="1280" t="s">
        <v>112</v>
      </c>
      <c r="G546" s="1280" t="s">
        <v>112</v>
      </c>
      <c r="H546" s="1280" t="s">
        <v>112</v>
      </c>
      <c r="I546" s="1280" t="s">
        <v>112</v>
      </c>
      <c r="J546" s="1280" t="s">
        <v>112</v>
      </c>
      <c r="K546" s="1280" t="s">
        <v>112</v>
      </c>
      <c r="L546" s="1280" t="s">
        <v>112</v>
      </c>
      <c r="M546" s="1280" t="s">
        <v>112</v>
      </c>
      <c r="N546" s="1280" t="s">
        <v>112</v>
      </c>
      <c r="O546" s="1280" t="s">
        <v>112</v>
      </c>
      <c r="P546" s="1280" t="s">
        <v>112</v>
      </c>
      <c r="Q546" s="1280" t="s">
        <v>112</v>
      </c>
      <c r="R546" s="1280" t="s">
        <v>112</v>
      </c>
      <c r="S546" s="1280" t="s">
        <v>112</v>
      </c>
      <c r="T546" s="1280" t="s">
        <v>112</v>
      </c>
      <c r="U546" s="1280" t="s">
        <v>112</v>
      </c>
      <c r="V546" s="1280" t="s">
        <v>112</v>
      </c>
      <c r="W546" s="1280" t="s">
        <v>112</v>
      </c>
      <c r="X546" s="1280" t="s">
        <v>112</v>
      </c>
      <c r="Y546" s="1280" t="s">
        <v>112</v>
      </c>
      <c r="Z546" s="1280" t="s">
        <v>112</v>
      </c>
      <c r="AA546" s="1280" t="s">
        <v>112</v>
      </c>
      <c r="AB546" s="1280" t="s">
        <v>112</v>
      </c>
      <c r="AC546" s="1280" t="s">
        <v>112</v>
      </c>
      <c r="AD546" s="1280" t="s">
        <v>112</v>
      </c>
      <c r="AE546" s="1280" t="s">
        <v>112</v>
      </c>
      <c r="AF546" s="1280" t="s">
        <v>112</v>
      </c>
      <c r="AG546" s="1280" t="s">
        <v>112</v>
      </c>
      <c r="AH546" s="53">
        <f t="shared" si="104"/>
        <v>0</v>
      </c>
    </row>
    <row r="547" spans="1:34" ht="15">
      <c r="A547" s="30" t="s">
        <v>79</v>
      </c>
      <c r="B547" s="114">
        <f t="shared" si="103"/>
        <v>0.19</v>
      </c>
      <c r="C547" s="1280" t="s">
        <v>112</v>
      </c>
      <c r="D547" s="1280" t="s">
        <v>112</v>
      </c>
      <c r="E547" s="1280" t="s">
        <v>112</v>
      </c>
      <c r="F547" s="1280" t="s">
        <v>112</v>
      </c>
      <c r="G547" s="1280" t="s">
        <v>112</v>
      </c>
      <c r="H547" s="1280" t="s">
        <v>112</v>
      </c>
      <c r="I547" s="1280" t="s">
        <v>112</v>
      </c>
      <c r="J547" s="1280" t="s">
        <v>112</v>
      </c>
      <c r="K547" s="1280" t="s">
        <v>112</v>
      </c>
      <c r="L547" s="1280" t="s">
        <v>112</v>
      </c>
      <c r="M547" s="1280" t="s">
        <v>112</v>
      </c>
      <c r="N547" s="1280" t="s">
        <v>112</v>
      </c>
      <c r="O547" s="1280" t="s">
        <v>112</v>
      </c>
      <c r="P547" s="1280" t="s">
        <v>112</v>
      </c>
      <c r="Q547" s="1280" t="s">
        <v>112</v>
      </c>
      <c r="R547" s="3241"/>
      <c r="S547" s="3241"/>
      <c r="T547" s="3241"/>
      <c r="U547" s="3241"/>
      <c r="V547" s="3241">
        <v>0.19</v>
      </c>
      <c r="W547" s="3241"/>
      <c r="X547" s="3241"/>
      <c r="Y547" s="3241"/>
      <c r="Z547" s="3241"/>
      <c r="AA547" s="3241"/>
      <c r="AB547" s="3241"/>
      <c r="AC547" s="3241"/>
      <c r="AD547" s="3241"/>
      <c r="AE547" s="3241"/>
      <c r="AF547" s="3241"/>
      <c r="AG547" s="3241"/>
      <c r="AH547" s="53">
        <f t="shared" si="104"/>
        <v>0.19</v>
      </c>
    </row>
    <row r="548" spans="1:34" ht="15">
      <c r="A548" s="30" t="s">
        <v>80</v>
      </c>
      <c r="B548" s="114">
        <f t="shared" si="103"/>
        <v>4.7859999999999996</v>
      </c>
      <c r="C548" s="49"/>
      <c r="D548" s="18"/>
      <c r="E548" s="18"/>
      <c r="F548" s="18"/>
      <c r="G548" s="18"/>
      <c r="H548" s="18"/>
      <c r="I548" s="18"/>
      <c r="J548" s="18"/>
      <c r="K548" s="18"/>
      <c r="L548" s="18"/>
      <c r="M548" s="18"/>
      <c r="N548" s="18"/>
      <c r="O548" s="18">
        <v>0.86599999999999999</v>
      </c>
      <c r="P548" s="18">
        <f>1.779+1.847</f>
        <v>3.6259999999999999</v>
      </c>
      <c r="Q548" s="18"/>
      <c r="R548" s="18"/>
      <c r="S548" s="18">
        <f>0.044+0.25</f>
        <v>0.29399999999999998</v>
      </c>
      <c r="T548" s="18"/>
      <c r="U548" s="18"/>
      <c r="V548" s="18"/>
      <c r="W548" s="18"/>
      <c r="X548" s="18"/>
      <c r="Y548" s="18"/>
      <c r="Z548" s="18"/>
      <c r="AA548" s="18"/>
      <c r="AB548" s="18"/>
      <c r="AC548" s="18"/>
      <c r="AD548" s="18"/>
      <c r="AE548" s="18"/>
      <c r="AF548" s="18"/>
      <c r="AG548" s="18"/>
      <c r="AH548" s="53">
        <f t="shared" si="104"/>
        <v>4.7859999999999996</v>
      </c>
    </row>
    <row r="549" spans="1:34" ht="15">
      <c r="A549" s="30" t="s">
        <v>81</v>
      </c>
      <c r="B549" s="112">
        <f t="shared" si="103"/>
        <v>0.104</v>
      </c>
      <c r="C549" s="49"/>
      <c r="D549" s="53"/>
      <c r="E549" s="53"/>
      <c r="F549" s="53"/>
      <c r="G549" s="18"/>
      <c r="H549" s="18"/>
      <c r="I549" s="18"/>
      <c r="J549" s="57"/>
      <c r="K549" s="57"/>
      <c r="L549" s="53"/>
      <c r="M549" s="53"/>
      <c r="N549" s="53"/>
      <c r="O549" s="53"/>
      <c r="P549" s="53"/>
      <c r="Q549" s="53"/>
      <c r="R549" s="53"/>
      <c r="S549" s="53"/>
      <c r="T549" s="53"/>
      <c r="U549" s="53"/>
      <c r="V549" s="53"/>
      <c r="W549" s="1002" t="s">
        <v>112</v>
      </c>
      <c r="X549" s="1002" t="s">
        <v>112</v>
      </c>
      <c r="Y549" s="1002" t="s">
        <v>112</v>
      </c>
      <c r="Z549" s="3256">
        <v>0.104</v>
      </c>
      <c r="AA549" s="1002" t="s">
        <v>112</v>
      </c>
      <c r="AB549" s="1002" t="s">
        <v>112</v>
      </c>
      <c r="AC549" s="1002" t="s">
        <v>112</v>
      </c>
      <c r="AD549" s="1002" t="s">
        <v>112</v>
      </c>
      <c r="AE549" s="1002" t="s">
        <v>112</v>
      </c>
      <c r="AF549" s="1002" t="s">
        <v>112</v>
      </c>
      <c r="AG549" s="1002" t="s">
        <v>112</v>
      </c>
      <c r="AH549" s="53">
        <f t="shared" si="104"/>
        <v>0.104</v>
      </c>
    </row>
    <row r="550" spans="1:34" ht="15">
      <c r="A550" s="30" t="s">
        <v>82</v>
      </c>
      <c r="B550" s="112">
        <f t="shared" si="103"/>
        <v>0.3</v>
      </c>
      <c r="C550" s="1002" t="s">
        <v>112</v>
      </c>
      <c r="D550" s="1002" t="s">
        <v>112</v>
      </c>
      <c r="E550" s="1002" t="s">
        <v>112</v>
      </c>
      <c r="F550" s="1002" t="s">
        <v>112</v>
      </c>
      <c r="G550" s="1002" t="s">
        <v>112</v>
      </c>
      <c r="H550" s="1002" t="s">
        <v>112</v>
      </c>
      <c r="I550" s="1002" t="s">
        <v>112</v>
      </c>
      <c r="J550" s="1002" t="s">
        <v>112</v>
      </c>
      <c r="K550" s="1002" t="s">
        <v>112</v>
      </c>
      <c r="L550" s="1002" t="s">
        <v>112</v>
      </c>
      <c r="M550" s="1002" t="s">
        <v>112</v>
      </c>
      <c r="N550" s="1002" t="s">
        <v>112</v>
      </c>
      <c r="O550" s="1002" t="s">
        <v>112</v>
      </c>
      <c r="P550" s="1002" t="s">
        <v>112</v>
      </c>
      <c r="Q550" s="1002" t="s">
        <v>112</v>
      </c>
      <c r="R550" s="1002" t="s">
        <v>112</v>
      </c>
      <c r="S550" s="1002" t="s">
        <v>112</v>
      </c>
      <c r="T550" s="1002" t="s">
        <v>112</v>
      </c>
      <c r="U550" s="1002" t="s">
        <v>112</v>
      </c>
      <c r="V550" s="1002" t="s">
        <v>112</v>
      </c>
      <c r="W550" s="1002" t="s">
        <v>112</v>
      </c>
      <c r="X550" s="1002" t="s">
        <v>112</v>
      </c>
      <c r="Y550" s="3256">
        <v>0.3</v>
      </c>
      <c r="Z550" s="1002" t="s">
        <v>112</v>
      </c>
      <c r="AA550" s="1002" t="s">
        <v>112</v>
      </c>
      <c r="AB550" s="1002" t="s">
        <v>112</v>
      </c>
      <c r="AC550" s="1002" t="s">
        <v>112</v>
      </c>
      <c r="AD550" s="1002" t="s">
        <v>112</v>
      </c>
      <c r="AE550" s="1002" t="s">
        <v>112</v>
      </c>
      <c r="AF550" s="1002" t="s">
        <v>112</v>
      </c>
      <c r="AG550" s="1002" t="s">
        <v>112</v>
      </c>
      <c r="AH550" s="53">
        <f t="shared" si="104"/>
        <v>0.3</v>
      </c>
    </row>
    <row r="551" spans="1:34" ht="15">
      <c r="A551" s="30" t="s">
        <v>83</v>
      </c>
      <c r="B551" s="112">
        <f t="shared" si="103"/>
        <v>0</v>
      </c>
      <c r="C551" s="46"/>
      <c r="D551" s="53"/>
      <c r="E551" s="53">
        <v>0</v>
      </c>
      <c r="F551" s="53"/>
      <c r="G551" s="53"/>
      <c r="H551" s="53"/>
      <c r="I551" s="53"/>
      <c r="J551" s="57"/>
      <c r="K551" s="57"/>
      <c r="L551" s="18"/>
      <c r="M551" s="18"/>
      <c r="N551" s="18"/>
      <c r="O551" s="18"/>
      <c r="P551" s="18"/>
      <c r="Q551" s="1002" t="s">
        <v>112</v>
      </c>
      <c r="R551" s="1002" t="s">
        <v>112</v>
      </c>
      <c r="S551" s="1002" t="s">
        <v>112</v>
      </c>
      <c r="T551" s="1002" t="s">
        <v>112</v>
      </c>
      <c r="U551" s="1002" t="s">
        <v>112</v>
      </c>
      <c r="V551" s="1002" t="s">
        <v>112</v>
      </c>
      <c r="W551" s="1002" t="s">
        <v>112</v>
      </c>
      <c r="X551" s="1002" t="s">
        <v>112</v>
      </c>
      <c r="Y551" s="1002" t="s">
        <v>112</v>
      </c>
      <c r="Z551" s="1002" t="s">
        <v>112</v>
      </c>
      <c r="AA551" s="1002" t="s">
        <v>112</v>
      </c>
      <c r="AB551" s="1002" t="s">
        <v>112</v>
      </c>
      <c r="AC551" s="1002" t="s">
        <v>112</v>
      </c>
      <c r="AD551" s="1002" t="s">
        <v>112</v>
      </c>
      <c r="AE551" s="1002" t="s">
        <v>112</v>
      </c>
      <c r="AF551" s="1002" t="s">
        <v>112</v>
      </c>
      <c r="AG551" s="1002" t="s">
        <v>112</v>
      </c>
      <c r="AH551" s="53">
        <f t="shared" si="104"/>
        <v>0</v>
      </c>
    </row>
    <row r="552" spans="1:34" ht="15">
      <c r="A552" s="30" t="s">
        <v>84</v>
      </c>
      <c r="B552" s="112">
        <f t="shared" si="103"/>
        <v>1</v>
      </c>
      <c r="C552" s="49"/>
      <c r="D552" s="1002" t="s">
        <v>112</v>
      </c>
      <c r="E552" s="1002" t="s">
        <v>112</v>
      </c>
      <c r="F552" s="1002" t="s">
        <v>112</v>
      </c>
      <c r="G552" s="1002" t="s">
        <v>112</v>
      </c>
      <c r="H552" s="1002" t="s">
        <v>112</v>
      </c>
      <c r="I552" s="1002" t="s">
        <v>112</v>
      </c>
      <c r="J552" s="1002" t="s">
        <v>112</v>
      </c>
      <c r="K552" s="1002" t="s">
        <v>112</v>
      </c>
      <c r="L552" s="1002" t="s">
        <v>112</v>
      </c>
      <c r="M552" s="1002" t="s">
        <v>112</v>
      </c>
      <c r="N552" s="1002" t="s">
        <v>112</v>
      </c>
      <c r="O552" s="1002" t="s">
        <v>112</v>
      </c>
      <c r="P552" s="1002" t="s">
        <v>112</v>
      </c>
      <c r="Q552" s="1002" t="s">
        <v>112</v>
      </c>
      <c r="R552" s="1002" t="s">
        <v>112</v>
      </c>
      <c r="S552" s="1002" t="s">
        <v>112</v>
      </c>
      <c r="T552" s="1002" t="s">
        <v>112</v>
      </c>
      <c r="U552" s="1002" t="s">
        <v>112</v>
      </c>
      <c r="V552" s="1002" t="s">
        <v>112</v>
      </c>
      <c r="W552" s="1002" t="s">
        <v>112</v>
      </c>
      <c r="X552" s="1002" t="s">
        <v>112</v>
      </c>
      <c r="Y552" s="1002" t="s">
        <v>112</v>
      </c>
      <c r="Z552" s="1002" t="s">
        <v>112</v>
      </c>
      <c r="AA552" s="1002" t="s">
        <v>112</v>
      </c>
      <c r="AB552" s="1002" t="s">
        <v>112</v>
      </c>
      <c r="AC552" s="1002" t="s">
        <v>112</v>
      </c>
      <c r="AD552" s="1002" t="s">
        <v>112</v>
      </c>
      <c r="AE552" s="1002" t="s">
        <v>112</v>
      </c>
      <c r="AF552" s="1002">
        <v>1</v>
      </c>
      <c r="AG552" s="1002" t="s">
        <v>112</v>
      </c>
      <c r="AH552" s="53">
        <f t="shared" si="104"/>
        <v>1</v>
      </c>
    </row>
    <row r="553" spans="1:34" ht="15">
      <c r="A553" s="30" t="s">
        <v>85</v>
      </c>
      <c r="B553" s="112">
        <f t="shared" si="103"/>
        <v>0</v>
      </c>
      <c r="C553" s="81" t="s">
        <v>112</v>
      </c>
      <c r="D553" s="81" t="s">
        <v>112</v>
      </c>
      <c r="E553" s="81" t="s">
        <v>112</v>
      </c>
      <c r="F553" s="81" t="s">
        <v>112</v>
      </c>
      <c r="G553" s="81" t="s">
        <v>112</v>
      </c>
      <c r="H553" s="81" t="s">
        <v>112</v>
      </c>
      <c r="I553" s="81" t="s">
        <v>112</v>
      </c>
      <c r="J553" s="81" t="s">
        <v>112</v>
      </c>
      <c r="K553" s="81" t="s">
        <v>112</v>
      </c>
      <c r="L553" s="81" t="s">
        <v>112</v>
      </c>
      <c r="M553" s="81" t="s">
        <v>112</v>
      </c>
      <c r="N553" s="81" t="s">
        <v>112</v>
      </c>
      <c r="O553" s="81" t="s">
        <v>112</v>
      </c>
      <c r="P553" s="81" t="s">
        <v>112</v>
      </c>
      <c r="Q553" s="81" t="s">
        <v>112</v>
      </c>
      <c r="R553" s="18"/>
      <c r="S553" s="18"/>
      <c r="T553" s="18"/>
      <c r="U553" s="18"/>
      <c r="V553" s="18"/>
      <c r="W553" s="18"/>
      <c r="X553" s="18"/>
      <c r="Y553" s="11"/>
      <c r="Z553" s="18"/>
      <c r="AA553" s="18"/>
      <c r="AB553" s="18"/>
      <c r="AC553" s="18"/>
      <c r="AD553" s="18"/>
      <c r="AE553" s="53"/>
      <c r="AF553" s="18"/>
      <c r="AG553" s="53"/>
      <c r="AH553" s="53">
        <f t="shared" si="104"/>
        <v>0</v>
      </c>
    </row>
    <row r="554" spans="1:34" ht="15">
      <c r="A554" s="30" t="s">
        <v>86</v>
      </c>
      <c r="B554" s="18">
        <f t="shared" si="103"/>
        <v>3.19</v>
      </c>
      <c r="C554" s="49"/>
      <c r="D554" s="18"/>
      <c r="E554" s="18"/>
      <c r="F554" s="18"/>
      <c r="G554" s="18"/>
      <c r="H554" s="18">
        <v>0.69</v>
      </c>
      <c r="I554" s="18"/>
      <c r="J554" s="18"/>
      <c r="K554" s="18"/>
      <c r="L554" s="18"/>
      <c r="M554" s="18"/>
      <c r="N554" s="18"/>
      <c r="O554" s="18"/>
      <c r="P554" s="18"/>
      <c r="Q554" s="18"/>
      <c r="R554" s="18"/>
      <c r="S554" s="18"/>
      <c r="T554" s="18"/>
      <c r="U554" s="18"/>
      <c r="V554" s="18"/>
      <c r="W554" s="18"/>
      <c r="X554" s="18"/>
      <c r="Y554" s="18"/>
      <c r="Z554" s="18"/>
      <c r="AA554" s="18"/>
      <c r="AB554" s="18"/>
      <c r="AC554" s="18"/>
      <c r="AD554" s="18"/>
      <c r="AE554" s="53">
        <v>2.5</v>
      </c>
      <c r="AF554" s="18"/>
      <c r="AG554" s="53"/>
      <c r="AH554" s="53">
        <f t="shared" si="104"/>
        <v>3.19</v>
      </c>
    </row>
    <row r="555" spans="1:34" ht="15">
      <c r="A555" s="88" t="s">
        <v>74</v>
      </c>
      <c r="B555" s="92">
        <f>SUM(B543:B554)</f>
        <v>15.539999999999997</v>
      </c>
      <c r="C555" s="46">
        <f>SUM(C543:C553)</f>
        <v>2</v>
      </c>
      <c r="D555" s="53">
        <f>SUM(D543:D553)</f>
        <v>0</v>
      </c>
      <c r="E555" s="53">
        <v>0</v>
      </c>
      <c r="F555" s="53">
        <f t="shared" ref="F555:AC555" si="105">SUM(F543:F553)</f>
        <v>0</v>
      </c>
      <c r="G555" s="53">
        <f t="shared" si="105"/>
        <v>0</v>
      </c>
      <c r="H555" s="53">
        <f t="shared" si="105"/>
        <v>0</v>
      </c>
      <c r="I555" s="53">
        <f t="shared" si="105"/>
        <v>0</v>
      </c>
      <c r="J555" s="53">
        <f t="shared" si="105"/>
        <v>0</v>
      </c>
      <c r="K555" s="53">
        <f t="shared" si="105"/>
        <v>0</v>
      </c>
      <c r="L555" s="53">
        <f t="shared" si="105"/>
        <v>0</v>
      </c>
      <c r="M555" s="53">
        <f t="shared" si="105"/>
        <v>2.2000000000000002</v>
      </c>
      <c r="N555" s="53">
        <f t="shared" si="105"/>
        <v>0</v>
      </c>
      <c r="O555" s="53">
        <f t="shared" si="105"/>
        <v>1.036</v>
      </c>
      <c r="P555" s="53">
        <f t="shared" si="105"/>
        <v>4.1760000000000002</v>
      </c>
      <c r="Q555" s="53">
        <f t="shared" si="105"/>
        <v>0</v>
      </c>
      <c r="R555" s="53">
        <f t="shared" si="105"/>
        <v>0</v>
      </c>
      <c r="S555" s="53">
        <f t="shared" si="105"/>
        <v>0.29399999999999998</v>
      </c>
      <c r="T555" s="53">
        <f t="shared" si="105"/>
        <v>0</v>
      </c>
      <c r="U555" s="53">
        <f t="shared" si="105"/>
        <v>0</v>
      </c>
      <c r="V555" s="53">
        <f t="shared" si="105"/>
        <v>1.24</v>
      </c>
      <c r="W555" s="53">
        <f t="shared" si="105"/>
        <v>0</v>
      </c>
      <c r="X555" s="53">
        <f t="shared" si="105"/>
        <v>0</v>
      </c>
      <c r="Y555" s="53">
        <f t="shared" si="105"/>
        <v>0.3</v>
      </c>
      <c r="Z555" s="53">
        <f t="shared" si="105"/>
        <v>0.104</v>
      </c>
      <c r="AA555" s="53">
        <f t="shared" si="105"/>
        <v>0</v>
      </c>
      <c r="AB555" s="53">
        <f t="shared" si="105"/>
        <v>0</v>
      </c>
      <c r="AC555" s="53">
        <f t="shared" si="105"/>
        <v>0</v>
      </c>
      <c r="AD555" s="53">
        <v>0</v>
      </c>
      <c r="AE555" s="53">
        <f>SUM(AE543:AE553)</f>
        <v>0</v>
      </c>
      <c r="AF555" s="53">
        <f>SUM(AF543:AF553)</f>
        <v>1</v>
      </c>
      <c r="AG555" s="53">
        <f>SUM(AG543:AG553)</f>
        <v>0</v>
      </c>
      <c r="AH555" s="46">
        <f>SUM(AH543:AH553)</f>
        <v>12.349999999999998</v>
      </c>
    </row>
    <row r="556" spans="1:34" ht="5.0999999999999996" customHeight="1">
      <c r="A556" s="14"/>
      <c r="B556" s="14"/>
      <c r="C556" s="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
    </row>
    <row r="557" spans="1:34" ht="15">
      <c r="A557" s="3582" t="s">
        <v>99</v>
      </c>
      <c r="B557" s="3583"/>
      <c r="C557" s="3583"/>
      <c r="D557" s="3583"/>
      <c r="E557" s="3583"/>
      <c r="F557" s="3583"/>
      <c r="G557" s="3583"/>
      <c r="H557" s="3584"/>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row>
    <row r="558" spans="1:34" ht="15">
      <c r="A558" s="5" t="s">
        <v>72</v>
      </c>
      <c r="B558" s="5" t="s">
        <v>73</v>
      </c>
      <c r="C558" s="3242">
        <v>1</v>
      </c>
      <c r="D558" s="30">
        <v>2</v>
      </c>
      <c r="E558" s="30">
        <v>3</v>
      </c>
      <c r="F558" s="30">
        <v>4</v>
      </c>
      <c r="G558" s="30">
        <v>5</v>
      </c>
      <c r="H558" s="30">
        <v>6</v>
      </c>
      <c r="I558" s="30">
        <v>7</v>
      </c>
      <c r="J558" s="30">
        <v>8</v>
      </c>
      <c r="K558" s="30">
        <v>9</v>
      </c>
      <c r="L558" s="30">
        <v>10</v>
      </c>
      <c r="M558" s="30">
        <v>11</v>
      </c>
      <c r="N558" s="30">
        <v>12</v>
      </c>
      <c r="O558" s="30">
        <v>13</v>
      </c>
      <c r="P558" s="30">
        <v>14</v>
      </c>
      <c r="Q558" s="30">
        <v>15</v>
      </c>
      <c r="R558" s="30">
        <v>16</v>
      </c>
      <c r="S558" s="30">
        <v>17</v>
      </c>
      <c r="T558" s="30">
        <v>18</v>
      </c>
      <c r="U558" s="30">
        <v>19</v>
      </c>
      <c r="V558" s="30">
        <v>20</v>
      </c>
      <c r="W558" s="30">
        <v>21</v>
      </c>
      <c r="X558" s="30">
        <v>22</v>
      </c>
      <c r="Y558" s="30">
        <v>23</v>
      </c>
      <c r="Z558" s="30">
        <v>24</v>
      </c>
      <c r="AA558" s="30">
        <v>25</v>
      </c>
      <c r="AB558" s="30">
        <v>26</v>
      </c>
      <c r="AC558" s="30">
        <v>27</v>
      </c>
      <c r="AD558" s="30">
        <v>28</v>
      </c>
      <c r="AE558" s="30">
        <v>29</v>
      </c>
      <c r="AF558" s="30">
        <v>30</v>
      </c>
      <c r="AG558" s="30">
        <v>31</v>
      </c>
      <c r="AH558" s="39" t="s">
        <v>74</v>
      </c>
    </row>
    <row r="559" spans="1:34" ht="15">
      <c r="A559" s="30" t="s">
        <v>75</v>
      </c>
      <c r="B559" s="114">
        <f t="shared" ref="B559:B570" si="106">+AH559</f>
        <v>0</v>
      </c>
      <c r="C559" s="1930"/>
      <c r="D559" s="1930"/>
      <c r="E559" s="1930"/>
      <c r="F559" s="1930"/>
      <c r="G559" s="1930"/>
      <c r="H559" s="1930"/>
      <c r="I559" s="1930"/>
      <c r="J559" s="1930"/>
      <c r="K559" s="1930"/>
      <c r="L559" s="1930"/>
      <c r="M559" s="1930"/>
      <c r="N559" s="1930"/>
      <c r="O559" s="1930"/>
      <c r="P559" s="1930"/>
      <c r="Q559" s="1930"/>
      <c r="R559" s="1930"/>
      <c r="S559" s="1930"/>
      <c r="T559" s="1930"/>
      <c r="U559" s="1930"/>
      <c r="V559" s="1930"/>
      <c r="W559" s="1930"/>
      <c r="X559" s="1930"/>
      <c r="Y559" s="1930"/>
      <c r="Z559" s="1930"/>
      <c r="AA559" s="1930"/>
      <c r="AB559" s="1287"/>
      <c r="AC559" s="1930"/>
      <c r="AD559" s="1930"/>
      <c r="AE559" s="1930"/>
      <c r="AF559" s="1930"/>
      <c r="AG559" s="1930"/>
      <c r="AH559" s="53">
        <f>SUM(C559:AG559)</f>
        <v>0</v>
      </c>
    </row>
    <row r="560" spans="1:34" ht="15">
      <c r="A560" s="30" t="s">
        <v>76</v>
      </c>
      <c r="B560" s="114">
        <f t="shared" si="106"/>
        <v>0</v>
      </c>
      <c r="C560" s="1930"/>
      <c r="D560" s="1930"/>
      <c r="E560" s="1930"/>
      <c r="F560" s="1930"/>
      <c r="G560" s="1930"/>
      <c r="H560" s="1930"/>
      <c r="I560" s="1930"/>
      <c r="J560" s="1930"/>
      <c r="K560" s="1930"/>
      <c r="L560" s="1930"/>
      <c r="M560" s="1930"/>
      <c r="N560" s="1930"/>
      <c r="O560" s="1930"/>
      <c r="P560" s="1930"/>
      <c r="Q560" s="1930"/>
      <c r="R560" s="1930"/>
      <c r="S560" s="1930"/>
      <c r="T560" s="1930"/>
      <c r="U560" s="1930"/>
      <c r="V560" s="1930"/>
      <c r="W560" s="1930"/>
      <c r="X560" s="1930"/>
      <c r="Y560" s="1930"/>
      <c r="Z560" s="1930"/>
      <c r="AA560" s="1930"/>
      <c r="AB560" s="1930"/>
      <c r="AC560" s="1930"/>
      <c r="AD560" s="1930"/>
      <c r="AE560" s="1930"/>
      <c r="AF560" s="1930"/>
      <c r="AG560" s="1930"/>
      <c r="AH560" s="53">
        <f t="shared" ref="AH560:AH570" si="107">SUM(C560:AG560)</f>
        <v>0</v>
      </c>
    </row>
    <row r="561" spans="1:34" ht="15">
      <c r="A561" s="30" t="s">
        <v>77</v>
      </c>
      <c r="B561" s="114">
        <f t="shared" si="106"/>
        <v>0</v>
      </c>
      <c r="C561" s="1930"/>
      <c r="D561" s="1930"/>
      <c r="E561" s="1930"/>
      <c r="F561" s="1930"/>
      <c r="G561" s="1930"/>
      <c r="H561" s="1287"/>
      <c r="I561" s="1287"/>
      <c r="J561" s="1287"/>
      <c r="K561" s="1287"/>
      <c r="L561" s="1287"/>
      <c r="M561" s="1287"/>
      <c r="N561" s="1287"/>
      <c r="O561" s="1287"/>
      <c r="P561" s="1287"/>
      <c r="Q561" s="1280"/>
      <c r="R561" s="1280"/>
      <c r="S561" s="1280"/>
      <c r="T561" s="1280"/>
      <c r="U561" s="1280"/>
      <c r="V561" s="1280"/>
      <c r="W561" s="1280"/>
      <c r="X561" s="1280"/>
      <c r="Y561" s="1280"/>
      <c r="Z561" s="1280"/>
      <c r="AA561" s="1280"/>
      <c r="AB561" s="1280"/>
      <c r="AC561" s="1280"/>
      <c r="AD561" s="1280"/>
      <c r="AE561" s="1280"/>
      <c r="AF561" s="1280"/>
      <c r="AG561" s="1280"/>
      <c r="AH561" s="53">
        <f t="shared" si="107"/>
        <v>0</v>
      </c>
    </row>
    <row r="562" spans="1:34" ht="15">
      <c r="A562" s="30" t="s">
        <v>78</v>
      </c>
      <c r="B562" s="114">
        <f t="shared" si="106"/>
        <v>0</v>
      </c>
      <c r="C562" s="1280"/>
      <c r="D562" s="1280"/>
      <c r="E562" s="1280"/>
      <c r="F562" s="1280"/>
      <c r="G562" s="1280"/>
      <c r="H562" s="1280"/>
      <c r="I562" s="1280"/>
      <c r="J562" s="1280"/>
      <c r="K562" s="1280"/>
      <c r="L562" s="1280"/>
      <c r="M562" s="1280"/>
      <c r="N562" s="1280"/>
      <c r="O562" s="1280"/>
      <c r="P562" s="1280"/>
      <c r="Q562" s="1280"/>
      <c r="R562" s="1280"/>
      <c r="S562" s="1280"/>
      <c r="T562" s="1280"/>
      <c r="U562" s="1280"/>
      <c r="V562" s="1280"/>
      <c r="W562" s="1280"/>
      <c r="X562" s="1280"/>
      <c r="Y562" s="1280"/>
      <c r="Z562" s="1280"/>
      <c r="AA562" s="1280"/>
      <c r="AB562" s="1280"/>
      <c r="AC562" s="1280"/>
      <c r="AD562" s="1280"/>
      <c r="AE562" s="1280"/>
      <c r="AF562" s="1280" t="s">
        <v>112</v>
      </c>
      <c r="AG562" s="1280" t="s">
        <v>112</v>
      </c>
      <c r="AH562" s="53">
        <f t="shared" si="107"/>
        <v>0</v>
      </c>
    </row>
    <row r="563" spans="1:34" ht="15">
      <c r="A563" s="30" t="s">
        <v>79</v>
      </c>
      <c r="B563" s="114">
        <f t="shared" si="106"/>
        <v>0</v>
      </c>
      <c r="C563" s="1280" t="s">
        <v>112</v>
      </c>
      <c r="D563" s="1280" t="s">
        <v>112</v>
      </c>
      <c r="E563" s="1280" t="s">
        <v>112</v>
      </c>
      <c r="F563" s="1280" t="s">
        <v>112</v>
      </c>
      <c r="G563" s="1280" t="s">
        <v>112</v>
      </c>
      <c r="H563" s="1280" t="s">
        <v>112</v>
      </c>
      <c r="I563" s="1280" t="s">
        <v>112</v>
      </c>
      <c r="J563" s="1280" t="s">
        <v>112</v>
      </c>
      <c r="K563" s="1280" t="s">
        <v>112</v>
      </c>
      <c r="L563" s="1280" t="s">
        <v>112</v>
      </c>
      <c r="M563" s="1280" t="s">
        <v>112</v>
      </c>
      <c r="N563" s="1280" t="s">
        <v>112</v>
      </c>
      <c r="O563" s="1280" t="s">
        <v>112</v>
      </c>
      <c r="P563" s="1280" t="s">
        <v>112</v>
      </c>
      <c r="Q563" s="1280" t="s">
        <v>112</v>
      </c>
      <c r="R563" s="3241"/>
      <c r="S563" s="3241"/>
      <c r="T563" s="3241"/>
      <c r="U563" s="3241"/>
      <c r="V563" s="3241"/>
      <c r="W563" s="3241"/>
      <c r="X563" s="3241"/>
      <c r="Y563" s="3241"/>
      <c r="Z563" s="3241"/>
      <c r="AA563" s="3241"/>
      <c r="AB563" s="3241"/>
      <c r="AC563" s="3241"/>
      <c r="AD563" s="3241"/>
      <c r="AE563" s="3241"/>
      <c r="AF563" s="3241"/>
      <c r="AG563" s="3241"/>
      <c r="AH563" s="53">
        <f t="shared" si="107"/>
        <v>0</v>
      </c>
    </row>
    <row r="564" spans="1:34" ht="15">
      <c r="A564" s="30" t="s">
        <v>80</v>
      </c>
      <c r="B564" s="114">
        <f t="shared" si="106"/>
        <v>0</v>
      </c>
      <c r="C564" s="49"/>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53">
        <f t="shared" si="107"/>
        <v>0</v>
      </c>
    </row>
    <row r="565" spans="1:34" ht="15">
      <c r="A565" s="30" t="s">
        <v>81</v>
      </c>
      <c r="B565" s="112">
        <f t="shared" si="106"/>
        <v>0</v>
      </c>
      <c r="C565" s="49"/>
      <c r="D565" s="53"/>
      <c r="E565" s="53"/>
      <c r="F565" s="53"/>
      <c r="G565" s="18"/>
      <c r="H565" s="18"/>
      <c r="I565" s="18"/>
      <c r="J565" s="57"/>
      <c r="K565" s="57"/>
      <c r="L565" s="53"/>
      <c r="M565" s="53"/>
      <c r="N565" s="53"/>
      <c r="O565" s="53"/>
      <c r="P565" s="53"/>
      <c r="Q565" s="53"/>
      <c r="R565" s="53"/>
      <c r="S565" s="53"/>
      <c r="T565" s="53"/>
      <c r="U565" s="53"/>
      <c r="V565" s="53"/>
      <c r="W565" s="1002" t="s">
        <v>112</v>
      </c>
      <c r="X565" s="1002" t="s">
        <v>112</v>
      </c>
      <c r="Y565" s="1002" t="s">
        <v>112</v>
      </c>
      <c r="Z565" s="1002" t="s">
        <v>112</v>
      </c>
      <c r="AA565" s="1002" t="s">
        <v>112</v>
      </c>
      <c r="AB565" s="1002" t="s">
        <v>112</v>
      </c>
      <c r="AC565" s="1002" t="s">
        <v>112</v>
      </c>
      <c r="AD565" s="1002" t="s">
        <v>112</v>
      </c>
      <c r="AE565" s="1002" t="s">
        <v>112</v>
      </c>
      <c r="AF565" s="1002" t="s">
        <v>112</v>
      </c>
      <c r="AG565" s="1002" t="s">
        <v>112</v>
      </c>
      <c r="AH565" s="53">
        <f t="shared" si="107"/>
        <v>0</v>
      </c>
    </row>
    <row r="566" spans="1:34" ht="15">
      <c r="A566" s="30" t="s">
        <v>82</v>
      </c>
      <c r="B566" s="112">
        <f t="shared" si="106"/>
        <v>0</v>
      </c>
      <c r="C566" s="1002" t="s">
        <v>112</v>
      </c>
      <c r="D566" s="1002" t="s">
        <v>112</v>
      </c>
      <c r="E566" s="1002" t="s">
        <v>112</v>
      </c>
      <c r="F566" s="1002" t="s">
        <v>112</v>
      </c>
      <c r="G566" s="1002" t="s">
        <v>112</v>
      </c>
      <c r="H566" s="1002" t="s">
        <v>112</v>
      </c>
      <c r="I566" s="1002" t="s">
        <v>112</v>
      </c>
      <c r="J566" s="1002" t="s">
        <v>112</v>
      </c>
      <c r="K566" s="1002" t="s">
        <v>112</v>
      </c>
      <c r="L566" s="1002" t="s">
        <v>112</v>
      </c>
      <c r="M566" s="1002" t="s">
        <v>112</v>
      </c>
      <c r="N566" s="1002" t="s">
        <v>112</v>
      </c>
      <c r="O566" s="1002" t="s">
        <v>112</v>
      </c>
      <c r="P566" s="1002" t="s">
        <v>112</v>
      </c>
      <c r="Q566" s="1002" t="s">
        <v>112</v>
      </c>
      <c r="R566" s="1002" t="s">
        <v>112</v>
      </c>
      <c r="S566" s="1002" t="s">
        <v>112</v>
      </c>
      <c r="T566" s="1002" t="s">
        <v>112</v>
      </c>
      <c r="U566" s="1002" t="s">
        <v>112</v>
      </c>
      <c r="V566" s="1002" t="s">
        <v>112</v>
      </c>
      <c r="W566" s="1002" t="s">
        <v>112</v>
      </c>
      <c r="X566" s="1002" t="s">
        <v>112</v>
      </c>
      <c r="Y566" s="1002" t="s">
        <v>112</v>
      </c>
      <c r="Z566" s="1002" t="s">
        <v>112</v>
      </c>
      <c r="AA566" s="1002" t="s">
        <v>112</v>
      </c>
      <c r="AB566" s="1002" t="s">
        <v>112</v>
      </c>
      <c r="AC566" s="1002" t="s">
        <v>112</v>
      </c>
      <c r="AD566" s="1002" t="s">
        <v>112</v>
      </c>
      <c r="AE566" s="1002" t="s">
        <v>112</v>
      </c>
      <c r="AF566" s="1002" t="s">
        <v>112</v>
      </c>
      <c r="AG566" s="1002" t="s">
        <v>112</v>
      </c>
      <c r="AH566" s="53">
        <f t="shared" si="107"/>
        <v>0</v>
      </c>
    </row>
    <row r="567" spans="1:34" ht="15">
      <c r="A567" s="30" t="s">
        <v>83</v>
      </c>
      <c r="B567" s="112">
        <f t="shared" si="106"/>
        <v>0</v>
      </c>
      <c r="C567" s="46"/>
      <c r="D567" s="53"/>
      <c r="E567" s="53"/>
      <c r="F567" s="53"/>
      <c r="G567" s="53"/>
      <c r="H567" s="53"/>
      <c r="I567" s="53"/>
      <c r="J567" s="57"/>
      <c r="K567" s="57"/>
      <c r="L567" s="18"/>
      <c r="M567" s="18"/>
      <c r="N567" s="18"/>
      <c r="O567" s="18"/>
      <c r="P567" s="18"/>
      <c r="Q567" s="1002" t="s">
        <v>112</v>
      </c>
      <c r="R567" s="1002" t="s">
        <v>112</v>
      </c>
      <c r="S567" s="1002" t="s">
        <v>112</v>
      </c>
      <c r="T567" s="1002" t="s">
        <v>112</v>
      </c>
      <c r="U567" s="1002" t="s">
        <v>112</v>
      </c>
      <c r="V567" s="1002" t="s">
        <v>112</v>
      </c>
      <c r="W567" s="1002" t="s">
        <v>112</v>
      </c>
      <c r="X567" s="1002" t="s">
        <v>112</v>
      </c>
      <c r="Y567" s="1002" t="s">
        <v>112</v>
      </c>
      <c r="Z567" s="1002" t="s">
        <v>112</v>
      </c>
      <c r="AA567" s="1002" t="s">
        <v>112</v>
      </c>
      <c r="AB567" s="1002" t="s">
        <v>112</v>
      </c>
      <c r="AC567" s="1002" t="s">
        <v>112</v>
      </c>
      <c r="AD567" s="1002" t="s">
        <v>112</v>
      </c>
      <c r="AE567" s="1002" t="s">
        <v>112</v>
      </c>
      <c r="AF567" s="1002" t="s">
        <v>112</v>
      </c>
      <c r="AG567" s="1002" t="s">
        <v>112</v>
      </c>
      <c r="AH567" s="53">
        <f t="shared" si="107"/>
        <v>0</v>
      </c>
    </row>
    <row r="568" spans="1:34" ht="15">
      <c r="A568" s="30" t="s">
        <v>84</v>
      </c>
      <c r="B568" s="112">
        <f t="shared" si="106"/>
        <v>0</v>
      </c>
      <c r="C568" s="49"/>
      <c r="D568" s="1002" t="s">
        <v>112</v>
      </c>
      <c r="E568" s="1002" t="s">
        <v>112</v>
      </c>
      <c r="F568" s="1002" t="s">
        <v>112</v>
      </c>
      <c r="G568" s="1002" t="s">
        <v>112</v>
      </c>
      <c r="H568" s="1002" t="s">
        <v>112</v>
      </c>
      <c r="I568" s="1002" t="s">
        <v>112</v>
      </c>
      <c r="J568" s="1002" t="s">
        <v>112</v>
      </c>
      <c r="K568" s="1002" t="s">
        <v>112</v>
      </c>
      <c r="L568" s="1002" t="s">
        <v>112</v>
      </c>
      <c r="M568" s="1002" t="s">
        <v>112</v>
      </c>
      <c r="N568" s="1002" t="s">
        <v>112</v>
      </c>
      <c r="O568" s="1002" t="s">
        <v>112</v>
      </c>
      <c r="P568" s="1002" t="s">
        <v>112</v>
      </c>
      <c r="Q568" s="1002" t="s">
        <v>112</v>
      </c>
      <c r="R568" s="1002" t="s">
        <v>112</v>
      </c>
      <c r="S568" s="1002" t="s">
        <v>112</v>
      </c>
      <c r="T568" s="1002" t="s">
        <v>112</v>
      </c>
      <c r="U568" s="1002" t="s">
        <v>112</v>
      </c>
      <c r="V568" s="1002" t="s">
        <v>112</v>
      </c>
      <c r="W568" s="1002" t="s">
        <v>112</v>
      </c>
      <c r="X568" s="1002" t="s">
        <v>112</v>
      </c>
      <c r="Y568" s="1002" t="s">
        <v>112</v>
      </c>
      <c r="Z568" s="1002" t="s">
        <v>112</v>
      </c>
      <c r="AA568" s="1002" t="s">
        <v>112</v>
      </c>
      <c r="AB568" s="1002" t="s">
        <v>112</v>
      </c>
      <c r="AC568" s="1002" t="s">
        <v>112</v>
      </c>
      <c r="AD568" s="1002" t="s">
        <v>112</v>
      </c>
      <c r="AE568" s="1002" t="s">
        <v>112</v>
      </c>
      <c r="AF568" s="1002" t="s">
        <v>112</v>
      </c>
      <c r="AG568" s="1002" t="s">
        <v>112</v>
      </c>
      <c r="AH568" s="53">
        <f t="shared" si="107"/>
        <v>0</v>
      </c>
    </row>
    <row r="569" spans="1:34" ht="15">
      <c r="A569" s="30" t="s">
        <v>85</v>
      </c>
      <c r="B569" s="112">
        <f t="shared" si="106"/>
        <v>0</v>
      </c>
      <c r="C569" s="81" t="s">
        <v>112</v>
      </c>
      <c r="D569" s="81" t="s">
        <v>112</v>
      </c>
      <c r="E569" s="81" t="s">
        <v>112</v>
      </c>
      <c r="F569" s="81" t="s">
        <v>112</v>
      </c>
      <c r="G569" s="81" t="s">
        <v>112</v>
      </c>
      <c r="H569" s="81" t="s">
        <v>112</v>
      </c>
      <c r="I569" s="81" t="s">
        <v>112</v>
      </c>
      <c r="J569" s="81" t="s">
        <v>112</v>
      </c>
      <c r="K569" s="81" t="s">
        <v>112</v>
      </c>
      <c r="L569" s="81" t="s">
        <v>112</v>
      </c>
      <c r="M569" s="81" t="s">
        <v>112</v>
      </c>
      <c r="N569" s="81" t="s">
        <v>112</v>
      </c>
      <c r="O569" s="81" t="s">
        <v>112</v>
      </c>
      <c r="P569" s="81" t="s">
        <v>112</v>
      </c>
      <c r="Q569" s="81" t="s">
        <v>112</v>
      </c>
      <c r="R569" s="18"/>
      <c r="S569" s="18"/>
      <c r="T569" s="18"/>
      <c r="U569" s="18"/>
      <c r="V569" s="18"/>
      <c r="W569" s="18"/>
      <c r="X569" s="18"/>
      <c r="Y569" s="11"/>
      <c r="Z569" s="18"/>
      <c r="AA569" s="18"/>
      <c r="AB569" s="18"/>
      <c r="AC569" s="18"/>
      <c r="AD569" s="18"/>
      <c r="AE569" s="53"/>
      <c r="AF569" s="18"/>
      <c r="AG569" s="53"/>
      <c r="AH569" s="53">
        <f t="shared" si="107"/>
        <v>0</v>
      </c>
    </row>
    <row r="570" spans="1:34" ht="15">
      <c r="A570" s="30" t="s">
        <v>86</v>
      </c>
      <c r="B570" s="18">
        <f t="shared" si="106"/>
        <v>0</v>
      </c>
      <c r="C570" s="49"/>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53"/>
      <c r="AF570" s="18"/>
      <c r="AG570" s="53"/>
      <c r="AH570" s="53">
        <f t="shared" si="107"/>
        <v>0</v>
      </c>
    </row>
    <row r="571" spans="1:34" ht="15">
      <c r="A571" s="88" t="s">
        <v>74</v>
      </c>
      <c r="B571" s="89">
        <f>SUM(B559:B570)</f>
        <v>0</v>
      </c>
      <c r="C571" s="46">
        <f>SUM(C559:C569)</f>
        <v>0</v>
      </c>
      <c r="D571" s="53">
        <f>SUM(D559:D569)</f>
        <v>0</v>
      </c>
      <c r="E571" s="53">
        <v>0</v>
      </c>
      <c r="F571" s="53">
        <f t="shared" ref="F571:AC571" si="108">SUM(F559:F569)</f>
        <v>0</v>
      </c>
      <c r="G571" s="53">
        <f t="shared" si="108"/>
        <v>0</v>
      </c>
      <c r="H571" s="53">
        <f t="shared" si="108"/>
        <v>0</v>
      </c>
      <c r="I571" s="53">
        <f t="shared" si="108"/>
        <v>0</v>
      </c>
      <c r="J571" s="53">
        <f t="shared" si="108"/>
        <v>0</v>
      </c>
      <c r="K571" s="53">
        <f t="shared" si="108"/>
        <v>0</v>
      </c>
      <c r="L571" s="53">
        <f t="shared" si="108"/>
        <v>0</v>
      </c>
      <c r="M571" s="53">
        <f t="shared" si="108"/>
        <v>0</v>
      </c>
      <c r="N571" s="53">
        <f t="shared" si="108"/>
        <v>0</v>
      </c>
      <c r="O571" s="53">
        <f t="shared" si="108"/>
        <v>0</v>
      </c>
      <c r="P571" s="53">
        <f t="shared" si="108"/>
        <v>0</v>
      </c>
      <c r="Q571" s="53">
        <f t="shared" si="108"/>
        <v>0</v>
      </c>
      <c r="R571" s="53">
        <f t="shared" si="108"/>
        <v>0</v>
      </c>
      <c r="S571" s="53">
        <f t="shared" si="108"/>
        <v>0</v>
      </c>
      <c r="T571" s="53">
        <f t="shared" si="108"/>
        <v>0</v>
      </c>
      <c r="U571" s="53">
        <f t="shared" si="108"/>
        <v>0</v>
      </c>
      <c r="V571" s="53">
        <f t="shared" si="108"/>
        <v>0</v>
      </c>
      <c r="W571" s="53">
        <f t="shared" si="108"/>
        <v>0</v>
      </c>
      <c r="X571" s="53">
        <f t="shared" si="108"/>
        <v>0</v>
      </c>
      <c r="Y571" s="53">
        <f t="shared" si="108"/>
        <v>0</v>
      </c>
      <c r="Z571" s="53">
        <f t="shared" si="108"/>
        <v>0</v>
      </c>
      <c r="AA571" s="53">
        <f t="shared" si="108"/>
        <v>0</v>
      </c>
      <c r="AB571" s="53">
        <f t="shared" si="108"/>
        <v>0</v>
      </c>
      <c r="AC571" s="53">
        <f t="shared" si="108"/>
        <v>0</v>
      </c>
      <c r="AD571" s="53">
        <v>0</v>
      </c>
      <c r="AE571" s="53">
        <f>SUM(AE559:AE569)</f>
        <v>0</v>
      </c>
      <c r="AF571" s="53">
        <f>SUM(AF559:AF569)</f>
        <v>0</v>
      </c>
      <c r="AG571" s="53">
        <f>SUM(AG559:AG569)</f>
        <v>0</v>
      </c>
      <c r="AH571" s="46">
        <f>SUM(AH559:AH569)</f>
        <v>0</v>
      </c>
    </row>
    <row r="572" spans="1:34" ht="5.0999999999999996" customHeight="1">
      <c r="A572" s="14"/>
      <c r="B572" s="14"/>
      <c r="C572" s="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
    </row>
    <row r="573" spans="1:34" ht="15">
      <c r="A573" s="3582" t="s">
        <v>100</v>
      </c>
      <c r="B573" s="3583"/>
      <c r="C573" s="3583"/>
      <c r="D573" s="3583"/>
      <c r="E573" s="3583"/>
      <c r="F573" s="3583"/>
      <c r="G573" s="3583"/>
      <c r="H573" s="3584"/>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row>
    <row r="574" spans="1:34" ht="15">
      <c r="A574" s="5" t="s">
        <v>72</v>
      </c>
      <c r="B574" s="5" t="s">
        <v>73</v>
      </c>
      <c r="C574" s="3242">
        <v>1</v>
      </c>
      <c r="D574" s="30">
        <v>2</v>
      </c>
      <c r="E574" s="30">
        <v>3</v>
      </c>
      <c r="F574" s="30">
        <v>4</v>
      </c>
      <c r="G574" s="30">
        <v>5</v>
      </c>
      <c r="H574" s="30">
        <v>6</v>
      </c>
      <c r="I574" s="30">
        <v>7</v>
      </c>
      <c r="J574" s="30">
        <v>8</v>
      </c>
      <c r="K574" s="30">
        <v>9</v>
      </c>
      <c r="L574" s="30">
        <v>10</v>
      </c>
      <c r="M574" s="30">
        <v>11</v>
      </c>
      <c r="N574" s="30">
        <v>12</v>
      </c>
      <c r="O574" s="30">
        <v>13</v>
      </c>
      <c r="P574" s="30">
        <v>14</v>
      </c>
      <c r="Q574" s="30">
        <v>15</v>
      </c>
      <c r="R574" s="30">
        <v>16</v>
      </c>
      <c r="S574" s="30">
        <v>17</v>
      </c>
      <c r="T574" s="30">
        <v>18</v>
      </c>
      <c r="U574" s="30">
        <v>19</v>
      </c>
      <c r="V574" s="30">
        <v>20</v>
      </c>
      <c r="W574" s="30">
        <v>21</v>
      </c>
      <c r="X574" s="30">
        <v>22</v>
      </c>
      <c r="Y574" s="30">
        <v>23</v>
      </c>
      <c r="Z574" s="30">
        <v>24</v>
      </c>
      <c r="AA574" s="30">
        <v>25</v>
      </c>
      <c r="AB574" s="30">
        <v>26</v>
      </c>
      <c r="AC574" s="30">
        <v>27</v>
      </c>
      <c r="AD574" s="30">
        <v>28</v>
      </c>
      <c r="AE574" s="30">
        <v>29</v>
      </c>
      <c r="AF574" s="30">
        <v>30</v>
      </c>
      <c r="AG574" s="30">
        <v>31</v>
      </c>
      <c r="AH574" s="39" t="s">
        <v>74</v>
      </c>
    </row>
    <row r="575" spans="1:34" ht="15">
      <c r="A575" s="30" t="s">
        <v>75</v>
      </c>
      <c r="B575" s="114">
        <f t="shared" ref="B575:B586" si="109">+AH575</f>
        <v>0</v>
      </c>
      <c r="C575" s="1930"/>
      <c r="D575" s="1930"/>
      <c r="E575" s="1930"/>
      <c r="F575" s="1930"/>
      <c r="G575" s="1930"/>
      <c r="H575" s="1930"/>
      <c r="I575" s="1930"/>
      <c r="J575" s="1930"/>
      <c r="K575" s="1930"/>
      <c r="L575" s="1930"/>
      <c r="M575" s="1930"/>
      <c r="N575" s="1930"/>
      <c r="O575" s="1930"/>
      <c r="P575" s="1930"/>
      <c r="Q575" s="1930"/>
      <c r="R575" s="1930"/>
      <c r="S575" s="1930"/>
      <c r="T575" s="1930"/>
      <c r="U575" s="1930"/>
      <c r="V575" s="1930"/>
      <c r="W575" s="1930"/>
      <c r="X575" s="1930"/>
      <c r="Y575" s="1930"/>
      <c r="Z575" s="1930"/>
      <c r="AA575" s="1930"/>
      <c r="AB575" s="1287"/>
      <c r="AC575" s="1930"/>
      <c r="AD575" s="1930"/>
      <c r="AE575" s="1930"/>
      <c r="AF575" s="1930"/>
      <c r="AG575" s="1930"/>
      <c r="AH575" s="53">
        <f>SUM(C575:AG575)</f>
        <v>0</v>
      </c>
    </row>
    <row r="576" spans="1:34" ht="15">
      <c r="A576" s="30" t="s">
        <v>76</v>
      </c>
      <c r="B576" s="114">
        <f t="shared" si="109"/>
        <v>0</v>
      </c>
      <c r="C576" s="1930"/>
      <c r="D576" s="1930"/>
      <c r="E576" s="1930"/>
      <c r="F576" s="1930"/>
      <c r="G576" s="1930"/>
      <c r="H576" s="1930"/>
      <c r="I576" s="1930"/>
      <c r="J576" s="1930"/>
      <c r="K576" s="1930"/>
      <c r="L576" s="1930"/>
      <c r="M576" s="1930"/>
      <c r="N576" s="1930"/>
      <c r="O576" s="1930"/>
      <c r="P576" s="1930"/>
      <c r="Q576" s="1930"/>
      <c r="R576" s="1930"/>
      <c r="S576" s="1930"/>
      <c r="T576" s="1930"/>
      <c r="U576" s="1930"/>
      <c r="V576" s="1930"/>
      <c r="W576" s="1930"/>
      <c r="X576" s="1930"/>
      <c r="Y576" s="1930"/>
      <c r="Z576" s="1930"/>
      <c r="AA576" s="1930"/>
      <c r="AB576" s="1930"/>
      <c r="AC576" s="1930"/>
      <c r="AD576" s="1930"/>
      <c r="AE576" s="1930"/>
      <c r="AF576" s="1930"/>
      <c r="AG576" s="1930"/>
      <c r="AH576" s="53">
        <f t="shared" ref="AH576:AH586" si="110">SUM(C576:AG576)</f>
        <v>0</v>
      </c>
    </row>
    <row r="577" spans="1:34" ht="15">
      <c r="A577" s="30" t="s">
        <v>77</v>
      </c>
      <c r="B577" s="114">
        <f t="shared" si="109"/>
        <v>0</v>
      </c>
      <c r="C577" s="1930"/>
      <c r="D577" s="1930"/>
      <c r="E577" s="1930"/>
      <c r="F577" s="1930"/>
      <c r="G577" s="1930"/>
      <c r="H577" s="1287"/>
      <c r="I577" s="1287"/>
      <c r="J577" s="1287"/>
      <c r="K577" s="1287"/>
      <c r="L577" s="1287"/>
      <c r="M577" s="1287"/>
      <c r="N577" s="1287"/>
      <c r="O577" s="1287"/>
      <c r="P577" s="1287"/>
      <c r="Q577" s="1280"/>
      <c r="R577" s="1280"/>
      <c r="S577" s="1280"/>
      <c r="T577" s="1280"/>
      <c r="U577" s="1280"/>
      <c r="V577" s="1280"/>
      <c r="W577" s="1280"/>
      <c r="X577" s="1280"/>
      <c r="Y577" s="1280"/>
      <c r="Z577" s="1280"/>
      <c r="AA577" s="1280"/>
      <c r="AB577" s="1280"/>
      <c r="AC577" s="1280"/>
      <c r="AD577" s="1280"/>
      <c r="AE577" s="1280"/>
      <c r="AF577" s="1280"/>
      <c r="AG577" s="1280"/>
      <c r="AH577" s="53">
        <f t="shared" si="110"/>
        <v>0</v>
      </c>
    </row>
    <row r="578" spans="1:34" ht="15">
      <c r="A578" s="30" t="s">
        <v>78</v>
      </c>
      <c r="B578" s="114">
        <f t="shared" si="109"/>
        <v>0</v>
      </c>
      <c r="C578" s="1280"/>
      <c r="D578" s="1280"/>
      <c r="E578" s="1280"/>
      <c r="F578" s="1280"/>
      <c r="G578" s="1280"/>
      <c r="H578" s="1280"/>
      <c r="I578" s="1280"/>
      <c r="J578" s="1280"/>
      <c r="K578" s="1280"/>
      <c r="L578" s="1280"/>
      <c r="M578" s="1280"/>
      <c r="N578" s="1280"/>
      <c r="O578" s="1280"/>
      <c r="P578" s="1280"/>
      <c r="Q578" s="1280"/>
      <c r="R578" s="1280"/>
      <c r="S578" s="1280"/>
      <c r="T578" s="1280"/>
      <c r="U578" s="1280"/>
      <c r="V578" s="1280"/>
      <c r="W578" s="1280"/>
      <c r="X578" s="1280"/>
      <c r="Y578" s="1280"/>
      <c r="Z578" s="1280"/>
      <c r="AA578" s="1280"/>
      <c r="AB578" s="1280"/>
      <c r="AC578" s="1280"/>
      <c r="AD578" s="1280"/>
      <c r="AE578" s="1280"/>
      <c r="AF578" s="1280" t="s">
        <v>112</v>
      </c>
      <c r="AG578" s="1280" t="s">
        <v>112</v>
      </c>
      <c r="AH578" s="53">
        <f t="shared" si="110"/>
        <v>0</v>
      </c>
    </row>
    <row r="579" spans="1:34" ht="15">
      <c r="A579" s="30" t="s">
        <v>79</v>
      </c>
      <c r="B579" s="114">
        <f t="shared" si="109"/>
        <v>0</v>
      </c>
      <c r="C579" s="1280" t="s">
        <v>112</v>
      </c>
      <c r="D579" s="1280" t="s">
        <v>112</v>
      </c>
      <c r="E579" s="1280" t="s">
        <v>112</v>
      </c>
      <c r="F579" s="1280" t="s">
        <v>112</v>
      </c>
      <c r="G579" s="1280" t="s">
        <v>112</v>
      </c>
      <c r="H579" s="1280" t="s">
        <v>112</v>
      </c>
      <c r="I579" s="1280" t="s">
        <v>112</v>
      </c>
      <c r="J579" s="1280" t="s">
        <v>112</v>
      </c>
      <c r="K579" s="1280" t="s">
        <v>112</v>
      </c>
      <c r="L579" s="1280" t="s">
        <v>112</v>
      </c>
      <c r="M579" s="1280" t="s">
        <v>112</v>
      </c>
      <c r="N579" s="1280" t="s">
        <v>112</v>
      </c>
      <c r="O579" s="1280" t="s">
        <v>112</v>
      </c>
      <c r="P579" s="1280" t="s">
        <v>112</v>
      </c>
      <c r="Q579" s="1280" t="s">
        <v>112</v>
      </c>
      <c r="R579" s="3241"/>
      <c r="S579" s="3241"/>
      <c r="T579" s="3241"/>
      <c r="U579" s="3241"/>
      <c r="V579" s="3241"/>
      <c r="W579" s="3241"/>
      <c r="X579" s="3241"/>
      <c r="Y579" s="3241"/>
      <c r="Z579" s="3241"/>
      <c r="AA579" s="3241"/>
      <c r="AB579" s="3241"/>
      <c r="AC579" s="3241"/>
      <c r="AD579" s="3241"/>
      <c r="AE579" s="3241"/>
      <c r="AF579" s="3241"/>
      <c r="AG579" s="3241"/>
      <c r="AH579" s="53">
        <f t="shared" si="110"/>
        <v>0</v>
      </c>
    </row>
    <row r="580" spans="1:34" ht="15">
      <c r="A580" s="30" t="s">
        <v>80</v>
      </c>
      <c r="B580" s="114">
        <f t="shared" si="109"/>
        <v>0</v>
      </c>
      <c r="C580" s="49"/>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53">
        <f t="shared" si="110"/>
        <v>0</v>
      </c>
    </row>
    <row r="581" spans="1:34" ht="15">
      <c r="A581" s="30" t="s">
        <v>81</v>
      </c>
      <c r="B581" s="112">
        <f t="shared" si="109"/>
        <v>0</v>
      </c>
      <c r="C581" s="49"/>
      <c r="D581" s="53"/>
      <c r="E581" s="53"/>
      <c r="F581" s="53"/>
      <c r="G581" s="18"/>
      <c r="H581" s="18"/>
      <c r="I581" s="18"/>
      <c r="J581" s="57"/>
      <c r="K581" s="57"/>
      <c r="L581" s="53"/>
      <c r="M581" s="53"/>
      <c r="N581" s="53"/>
      <c r="O581" s="53"/>
      <c r="P581" s="53"/>
      <c r="Q581" s="53"/>
      <c r="R581" s="53"/>
      <c r="S581" s="53"/>
      <c r="T581" s="53"/>
      <c r="U581" s="53"/>
      <c r="V581" s="53"/>
      <c r="W581" s="1002" t="s">
        <v>112</v>
      </c>
      <c r="X581" s="1002" t="s">
        <v>112</v>
      </c>
      <c r="Y581" s="1002" t="s">
        <v>112</v>
      </c>
      <c r="Z581" s="1002" t="s">
        <v>112</v>
      </c>
      <c r="AA581" s="1002" t="s">
        <v>112</v>
      </c>
      <c r="AB581" s="1002" t="s">
        <v>112</v>
      </c>
      <c r="AC581" s="1002" t="s">
        <v>112</v>
      </c>
      <c r="AD581" s="1002" t="s">
        <v>112</v>
      </c>
      <c r="AE581" s="1002" t="s">
        <v>112</v>
      </c>
      <c r="AF581" s="1002" t="s">
        <v>112</v>
      </c>
      <c r="AG581" s="1002" t="s">
        <v>112</v>
      </c>
      <c r="AH581" s="53">
        <f t="shared" si="110"/>
        <v>0</v>
      </c>
    </row>
    <row r="582" spans="1:34" ht="15">
      <c r="A582" s="30" t="s">
        <v>82</v>
      </c>
      <c r="B582" s="112">
        <f t="shared" si="109"/>
        <v>0</v>
      </c>
      <c r="C582" s="1002" t="s">
        <v>112</v>
      </c>
      <c r="D582" s="1002" t="s">
        <v>112</v>
      </c>
      <c r="E582" s="1002" t="s">
        <v>112</v>
      </c>
      <c r="F582" s="1002" t="s">
        <v>112</v>
      </c>
      <c r="G582" s="1002" t="s">
        <v>112</v>
      </c>
      <c r="H582" s="1002" t="s">
        <v>112</v>
      </c>
      <c r="I582" s="1002" t="s">
        <v>112</v>
      </c>
      <c r="J582" s="1002" t="s">
        <v>112</v>
      </c>
      <c r="K582" s="1002" t="s">
        <v>112</v>
      </c>
      <c r="L582" s="1002" t="s">
        <v>112</v>
      </c>
      <c r="M582" s="1002" t="s">
        <v>112</v>
      </c>
      <c r="N582" s="1002" t="s">
        <v>112</v>
      </c>
      <c r="O582" s="1002" t="s">
        <v>112</v>
      </c>
      <c r="P582" s="1002" t="s">
        <v>112</v>
      </c>
      <c r="Q582" s="1002" t="s">
        <v>112</v>
      </c>
      <c r="R582" s="1002" t="s">
        <v>112</v>
      </c>
      <c r="S582" s="1002" t="s">
        <v>112</v>
      </c>
      <c r="T582" s="1002" t="s">
        <v>112</v>
      </c>
      <c r="U582" s="1002" t="s">
        <v>112</v>
      </c>
      <c r="V582" s="1002" t="s">
        <v>112</v>
      </c>
      <c r="W582" s="1002" t="s">
        <v>112</v>
      </c>
      <c r="X582" s="1002" t="s">
        <v>112</v>
      </c>
      <c r="Y582" s="1002" t="s">
        <v>112</v>
      </c>
      <c r="Z582" s="1002" t="s">
        <v>112</v>
      </c>
      <c r="AA582" s="1002" t="s">
        <v>112</v>
      </c>
      <c r="AB582" s="1002" t="s">
        <v>112</v>
      </c>
      <c r="AC582" s="1002" t="s">
        <v>112</v>
      </c>
      <c r="AD582" s="1002" t="s">
        <v>112</v>
      </c>
      <c r="AE582" s="1002" t="s">
        <v>112</v>
      </c>
      <c r="AF582" s="1002" t="s">
        <v>112</v>
      </c>
      <c r="AG582" s="1002" t="s">
        <v>112</v>
      </c>
      <c r="AH582" s="53">
        <f t="shared" si="110"/>
        <v>0</v>
      </c>
    </row>
    <row r="583" spans="1:34" ht="15">
      <c r="A583" s="30" t="s">
        <v>83</v>
      </c>
      <c r="B583" s="112">
        <f t="shared" si="109"/>
        <v>0</v>
      </c>
      <c r="C583" s="46"/>
      <c r="D583" s="53"/>
      <c r="E583" s="53"/>
      <c r="F583" s="53"/>
      <c r="G583" s="53"/>
      <c r="H583" s="53"/>
      <c r="I583" s="53"/>
      <c r="J583" s="57"/>
      <c r="K583" s="57"/>
      <c r="L583" s="18"/>
      <c r="M583" s="18"/>
      <c r="N583" s="18"/>
      <c r="O583" s="18"/>
      <c r="P583" s="18"/>
      <c r="Q583" s="1002" t="s">
        <v>112</v>
      </c>
      <c r="R583" s="1002" t="s">
        <v>112</v>
      </c>
      <c r="S583" s="1002" t="s">
        <v>112</v>
      </c>
      <c r="T583" s="1002" t="s">
        <v>112</v>
      </c>
      <c r="U583" s="1002" t="s">
        <v>112</v>
      </c>
      <c r="V583" s="1002" t="s">
        <v>112</v>
      </c>
      <c r="W583" s="1002" t="s">
        <v>112</v>
      </c>
      <c r="X583" s="1002" t="s">
        <v>112</v>
      </c>
      <c r="Y583" s="1002" t="s">
        <v>112</v>
      </c>
      <c r="Z583" s="1002" t="s">
        <v>112</v>
      </c>
      <c r="AA583" s="1002" t="s">
        <v>112</v>
      </c>
      <c r="AB583" s="1002" t="s">
        <v>112</v>
      </c>
      <c r="AC583" s="1002" t="s">
        <v>112</v>
      </c>
      <c r="AD583" s="1002" t="s">
        <v>112</v>
      </c>
      <c r="AE583" s="1002" t="s">
        <v>112</v>
      </c>
      <c r="AF583" s="1002" t="s">
        <v>112</v>
      </c>
      <c r="AG583" s="1002" t="s">
        <v>112</v>
      </c>
      <c r="AH583" s="53">
        <f t="shared" si="110"/>
        <v>0</v>
      </c>
    </row>
    <row r="584" spans="1:34" ht="15">
      <c r="A584" s="30" t="s">
        <v>84</v>
      </c>
      <c r="B584" s="112">
        <f t="shared" si="109"/>
        <v>0</v>
      </c>
      <c r="C584" s="49"/>
      <c r="D584" s="1002" t="s">
        <v>112</v>
      </c>
      <c r="E584" s="1002" t="s">
        <v>112</v>
      </c>
      <c r="F584" s="1002" t="s">
        <v>112</v>
      </c>
      <c r="G584" s="1002" t="s">
        <v>112</v>
      </c>
      <c r="H584" s="1002" t="s">
        <v>112</v>
      </c>
      <c r="I584" s="1002" t="s">
        <v>112</v>
      </c>
      <c r="J584" s="1002" t="s">
        <v>112</v>
      </c>
      <c r="K584" s="1002" t="s">
        <v>112</v>
      </c>
      <c r="L584" s="1002" t="s">
        <v>112</v>
      </c>
      <c r="M584" s="1002" t="s">
        <v>112</v>
      </c>
      <c r="N584" s="1002" t="s">
        <v>112</v>
      </c>
      <c r="O584" s="1002" t="s">
        <v>112</v>
      </c>
      <c r="P584" s="1002" t="s">
        <v>112</v>
      </c>
      <c r="Q584" s="1002" t="s">
        <v>112</v>
      </c>
      <c r="R584" s="1002" t="s">
        <v>112</v>
      </c>
      <c r="S584" s="1002" t="s">
        <v>112</v>
      </c>
      <c r="T584" s="1002" t="s">
        <v>112</v>
      </c>
      <c r="U584" s="1002" t="s">
        <v>112</v>
      </c>
      <c r="V584" s="1002" t="s">
        <v>112</v>
      </c>
      <c r="W584" s="1002" t="s">
        <v>112</v>
      </c>
      <c r="X584" s="1002" t="s">
        <v>112</v>
      </c>
      <c r="Y584" s="1002" t="s">
        <v>112</v>
      </c>
      <c r="Z584" s="1002" t="s">
        <v>112</v>
      </c>
      <c r="AA584" s="1002" t="s">
        <v>112</v>
      </c>
      <c r="AB584" s="1002" t="s">
        <v>112</v>
      </c>
      <c r="AC584" s="1002" t="s">
        <v>112</v>
      </c>
      <c r="AD584" s="1002" t="s">
        <v>112</v>
      </c>
      <c r="AE584" s="1002" t="s">
        <v>112</v>
      </c>
      <c r="AF584" s="1002" t="s">
        <v>112</v>
      </c>
      <c r="AG584" s="1002" t="s">
        <v>112</v>
      </c>
      <c r="AH584" s="53">
        <f t="shared" si="110"/>
        <v>0</v>
      </c>
    </row>
    <row r="585" spans="1:34" ht="15">
      <c r="A585" s="30" t="s">
        <v>85</v>
      </c>
      <c r="B585" s="112">
        <f t="shared" si="109"/>
        <v>0</v>
      </c>
      <c r="C585" s="81" t="s">
        <v>112</v>
      </c>
      <c r="D585" s="81" t="s">
        <v>112</v>
      </c>
      <c r="E585" s="81" t="s">
        <v>112</v>
      </c>
      <c r="F585" s="81" t="s">
        <v>112</v>
      </c>
      <c r="G585" s="81" t="s">
        <v>112</v>
      </c>
      <c r="H585" s="81" t="s">
        <v>112</v>
      </c>
      <c r="I585" s="81" t="s">
        <v>112</v>
      </c>
      <c r="J585" s="81" t="s">
        <v>112</v>
      </c>
      <c r="K585" s="81" t="s">
        <v>112</v>
      </c>
      <c r="L585" s="81" t="s">
        <v>112</v>
      </c>
      <c r="M585" s="81" t="s">
        <v>112</v>
      </c>
      <c r="N585" s="81" t="s">
        <v>112</v>
      </c>
      <c r="O585" s="81" t="s">
        <v>112</v>
      </c>
      <c r="P585" s="81" t="s">
        <v>112</v>
      </c>
      <c r="Q585" s="81" t="s">
        <v>112</v>
      </c>
      <c r="R585" s="18"/>
      <c r="S585" s="18"/>
      <c r="T585" s="18"/>
      <c r="U585" s="18"/>
      <c r="V585" s="18"/>
      <c r="W585" s="18"/>
      <c r="X585" s="18"/>
      <c r="Y585" s="11"/>
      <c r="Z585" s="18"/>
      <c r="AA585" s="18"/>
      <c r="AB585" s="18"/>
      <c r="AC585" s="18"/>
      <c r="AD585" s="18"/>
      <c r="AE585" s="53"/>
      <c r="AF585" s="18"/>
      <c r="AG585" s="53"/>
      <c r="AH585" s="53">
        <f t="shared" si="110"/>
        <v>0</v>
      </c>
    </row>
    <row r="586" spans="1:34" ht="15">
      <c r="A586" s="30" t="s">
        <v>86</v>
      </c>
      <c r="B586" s="18">
        <f t="shared" si="109"/>
        <v>0</v>
      </c>
      <c r="C586" s="49"/>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53"/>
      <c r="AF586" s="18"/>
      <c r="AG586" s="53"/>
      <c r="AH586" s="53">
        <f t="shared" si="110"/>
        <v>0</v>
      </c>
    </row>
    <row r="587" spans="1:34" ht="15">
      <c r="A587" s="88" t="s">
        <v>74</v>
      </c>
      <c r="B587" s="89">
        <f>SUM(B575:B586)</f>
        <v>0</v>
      </c>
      <c r="C587" s="46">
        <f>SUM(C575:C585)</f>
        <v>0</v>
      </c>
      <c r="D587" s="53">
        <f>SUM(D575:D585)</f>
        <v>0</v>
      </c>
      <c r="E587" s="53">
        <v>0</v>
      </c>
      <c r="F587" s="53">
        <f t="shared" ref="F587:AC587" si="111">SUM(F575:F585)</f>
        <v>0</v>
      </c>
      <c r="G587" s="53">
        <f t="shared" si="111"/>
        <v>0</v>
      </c>
      <c r="H587" s="53">
        <f t="shared" si="111"/>
        <v>0</v>
      </c>
      <c r="I587" s="53">
        <f t="shared" si="111"/>
        <v>0</v>
      </c>
      <c r="J587" s="53">
        <f t="shared" si="111"/>
        <v>0</v>
      </c>
      <c r="K587" s="53">
        <f t="shared" si="111"/>
        <v>0</v>
      </c>
      <c r="L587" s="53">
        <f t="shared" si="111"/>
        <v>0</v>
      </c>
      <c r="M587" s="53">
        <f t="shared" si="111"/>
        <v>0</v>
      </c>
      <c r="N587" s="53">
        <f t="shared" si="111"/>
        <v>0</v>
      </c>
      <c r="O587" s="53">
        <f t="shared" si="111"/>
        <v>0</v>
      </c>
      <c r="P587" s="53">
        <f t="shared" si="111"/>
        <v>0</v>
      </c>
      <c r="Q587" s="53">
        <f t="shared" si="111"/>
        <v>0</v>
      </c>
      <c r="R587" s="53">
        <f t="shared" si="111"/>
        <v>0</v>
      </c>
      <c r="S587" s="53">
        <f t="shared" si="111"/>
        <v>0</v>
      </c>
      <c r="T587" s="53">
        <f t="shared" si="111"/>
        <v>0</v>
      </c>
      <c r="U587" s="53">
        <f t="shared" si="111"/>
        <v>0</v>
      </c>
      <c r="V587" s="53">
        <f t="shared" si="111"/>
        <v>0</v>
      </c>
      <c r="W587" s="53">
        <f t="shared" si="111"/>
        <v>0</v>
      </c>
      <c r="X587" s="53">
        <f t="shared" si="111"/>
        <v>0</v>
      </c>
      <c r="Y587" s="53">
        <f t="shared" si="111"/>
        <v>0</v>
      </c>
      <c r="Z587" s="53">
        <f t="shared" si="111"/>
        <v>0</v>
      </c>
      <c r="AA587" s="53">
        <f t="shared" si="111"/>
        <v>0</v>
      </c>
      <c r="AB587" s="53">
        <f t="shared" si="111"/>
        <v>0</v>
      </c>
      <c r="AC587" s="53">
        <f t="shared" si="111"/>
        <v>0</v>
      </c>
      <c r="AD587" s="53">
        <v>0</v>
      </c>
      <c r="AE587" s="53">
        <f>SUM(AE575:AE585)</f>
        <v>0</v>
      </c>
      <c r="AF587" s="53">
        <f>SUM(AF575:AF585)</f>
        <v>0</v>
      </c>
      <c r="AG587" s="53">
        <f>SUM(AG575:AG585)</f>
        <v>0</v>
      </c>
      <c r="AH587" s="46">
        <f>SUM(AH575:AH585)</f>
        <v>0</v>
      </c>
    </row>
    <row r="589" spans="1:34" ht="15">
      <c r="A589" s="3582" t="s">
        <v>123</v>
      </c>
      <c r="B589" s="3583"/>
      <c r="C589" s="3583"/>
      <c r="D589" s="3583"/>
      <c r="E589" s="3583"/>
      <c r="F589" s="3583"/>
      <c r="G589" s="3583"/>
      <c r="H589" s="3584"/>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row>
    <row r="590" spans="1:34" ht="15">
      <c r="A590" s="5" t="s">
        <v>72</v>
      </c>
      <c r="B590" s="5" t="s">
        <v>73</v>
      </c>
      <c r="C590" s="3242">
        <v>1</v>
      </c>
      <c r="D590" s="30">
        <v>2</v>
      </c>
      <c r="E590" s="30">
        <v>3</v>
      </c>
      <c r="F590" s="30">
        <v>4</v>
      </c>
      <c r="G590" s="30">
        <v>5</v>
      </c>
      <c r="H590" s="30">
        <v>6</v>
      </c>
      <c r="I590" s="30">
        <v>7</v>
      </c>
      <c r="J590" s="30">
        <v>8</v>
      </c>
      <c r="K590" s="30">
        <v>9</v>
      </c>
      <c r="L590" s="30">
        <v>10</v>
      </c>
      <c r="M590" s="30">
        <v>11</v>
      </c>
      <c r="N590" s="30">
        <v>12</v>
      </c>
      <c r="O590" s="30">
        <v>13</v>
      </c>
      <c r="P590" s="30">
        <v>14</v>
      </c>
      <c r="Q590" s="30">
        <v>15</v>
      </c>
      <c r="R590" s="30">
        <v>16</v>
      </c>
      <c r="S590" s="30">
        <v>17</v>
      </c>
      <c r="T590" s="30">
        <v>18</v>
      </c>
      <c r="U590" s="30">
        <v>19</v>
      </c>
      <c r="V590" s="30">
        <v>20</v>
      </c>
      <c r="W590" s="30">
        <v>21</v>
      </c>
      <c r="X590" s="30">
        <v>22</v>
      </c>
      <c r="Y590" s="30">
        <v>23</v>
      </c>
      <c r="Z590" s="30">
        <v>24</v>
      </c>
      <c r="AA590" s="30">
        <v>25</v>
      </c>
      <c r="AB590" s="30">
        <v>26</v>
      </c>
      <c r="AC590" s="30">
        <v>27</v>
      </c>
      <c r="AD590" s="30">
        <v>28</v>
      </c>
      <c r="AE590" s="30">
        <v>29</v>
      </c>
      <c r="AF590" s="30">
        <v>30</v>
      </c>
      <c r="AG590" s="30">
        <v>31</v>
      </c>
      <c r="AH590" s="39" t="s">
        <v>74</v>
      </c>
    </row>
    <row r="591" spans="1:34" ht="15">
      <c r="A591" s="30" t="s">
        <v>75</v>
      </c>
      <c r="B591" s="114">
        <f t="shared" ref="B591:B602" si="112">+AH591</f>
        <v>0</v>
      </c>
      <c r="C591" s="1930"/>
      <c r="D591" s="1930"/>
      <c r="E591" s="1930"/>
      <c r="F591" s="1930"/>
      <c r="G591" s="1930"/>
      <c r="H591" s="1930"/>
      <c r="I591" s="1930"/>
      <c r="J591" s="1930"/>
      <c r="K591" s="1930"/>
      <c r="L591" s="1930"/>
      <c r="M591" s="1930"/>
      <c r="N591" s="1930"/>
      <c r="O591" s="1930"/>
      <c r="P591" s="1930"/>
      <c r="Q591" s="1930"/>
      <c r="R591" s="1930"/>
      <c r="S591" s="1930"/>
      <c r="T591" s="1930"/>
      <c r="U591" s="1930"/>
      <c r="V591" s="1930"/>
      <c r="W591" s="1930"/>
      <c r="X591" s="1930"/>
      <c r="Y591" s="1930"/>
      <c r="Z591" s="1930"/>
      <c r="AA591" s="1930"/>
      <c r="AB591" s="1287"/>
      <c r="AC591" s="1930"/>
      <c r="AD591" s="1930"/>
      <c r="AE591" s="1930"/>
      <c r="AF591" s="1930"/>
      <c r="AG591" s="1930"/>
      <c r="AH591" s="53">
        <f>SUM(C591:AG591)</f>
        <v>0</v>
      </c>
    </row>
    <row r="592" spans="1:34" ht="15">
      <c r="A592" s="30" t="s">
        <v>76</v>
      </c>
      <c r="B592" s="114">
        <f t="shared" si="112"/>
        <v>0</v>
      </c>
      <c r="C592" s="1930"/>
      <c r="D592" s="1930"/>
      <c r="E592" s="1930"/>
      <c r="F592" s="1930"/>
      <c r="G592" s="1930"/>
      <c r="H592" s="1930"/>
      <c r="I592" s="1930"/>
      <c r="J592" s="1930"/>
      <c r="K592" s="1930"/>
      <c r="L592" s="1930"/>
      <c r="M592" s="1930"/>
      <c r="N592" s="1930"/>
      <c r="O592" s="1930"/>
      <c r="P592" s="1930"/>
      <c r="Q592" s="1930"/>
      <c r="R592" s="1930"/>
      <c r="S592" s="1930"/>
      <c r="T592" s="1930"/>
      <c r="U592" s="1930"/>
      <c r="V592" s="1930"/>
      <c r="W592" s="1930"/>
      <c r="X592" s="1930"/>
      <c r="Y592" s="1930"/>
      <c r="Z592" s="1930"/>
      <c r="AA592" s="1930"/>
      <c r="AB592" s="1930"/>
      <c r="AC592" s="1930"/>
      <c r="AD592" s="1930"/>
      <c r="AE592" s="1930"/>
      <c r="AF592" s="1930"/>
      <c r="AG592" s="1930"/>
      <c r="AH592" s="53">
        <f t="shared" ref="AH592:AH602" si="113">SUM(C592:AG592)</f>
        <v>0</v>
      </c>
    </row>
    <row r="593" spans="1:34" ht="15">
      <c r="A593" s="30" t="s">
        <v>77</v>
      </c>
      <c r="B593" s="114">
        <f t="shared" si="112"/>
        <v>0</v>
      </c>
      <c r="C593" s="1930"/>
      <c r="D593" s="1930"/>
      <c r="E593" s="1930"/>
      <c r="F593" s="1930"/>
      <c r="G593" s="1930"/>
      <c r="H593" s="1287"/>
      <c r="I593" s="1287"/>
      <c r="J593" s="1287"/>
      <c r="K593" s="1287"/>
      <c r="L593" s="1287"/>
      <c r="M593" s="1287"/>
      <c r="N593" s="1287"/>
      <c r="O593" s="1287"/>
      <c r="P593" s="1287"/>
      <c r="Q593" s="1280"/>
      <c r="R593" s="1280"/>
      <c r="S593" s="1280"/>
      <c r="T593" s="1280"/>
      <c r="U593" s="1280"/>
      <c r="V593" s="1280"/>
      <c r="W593" s="1280"/>
      <c r="X593" s="1280"/>
      <c r="Y593" s="1280"/>
      <c r="Z593" s="1280"/>
      <c r="AA593" s="1280"/>
      <c r="AB593" s="1280"/>
      <c r="AC593" s="1280"/>
      <c r="AD593" s="1280"/>
      <c r="AE593" s="1280"/>
      <c r="AF593" s="1280"/>
      <c r="AG593" s="1280"/>
      <c r="AH593" s="53">
        <f t="shared" si="113"/>
        <v>0</v>
      </c>
    </row>
    <row r="594" spans="1:34" ht="15">
      <c r="A594" s="30" t="s">
        <v>78</v>
      </c>
      <c r="B594" s="114">
        <f t="shared" si="112"/>
        <v>0</v>
      </c>
      <c r="C594" s="1280"/>
      <c r="D594" s="1280"/>
      <c r="E594" s="1280"/>
      <c r="F594" s="1280"/>
      <c r="G594" s="1280"/>
      <c r="H594" s="1280"/>
      <c r="I594" s="1280"/>
      <c r="J594" s="1280"/>
      <c r="K594" s="1280"/>
      <c r="L594" s="1280"/>
      <c r="M594" s="1280"/>
      <c r="N594" s="1280"/>
      <c r="O594" s="1280"/>
      <c r="P594" s="1280"/>
      <c r="Q594" s="1280"/>
      <c r="R594" s="1280"/>
      <c r="S594" s="1280"/>
      <c r="T594" s="1280"/>
      <c r="U594" s="1280"/>
      <c r="V594" s="1280"/>
      <c r="W594" s="1280"/>
      <c r="X594" s="1280"/>
      <c r="Y594" s="1280"/>
      <c r="Z594" s="1280"/>
      <c r="AA594" s="1280"/>
      <c r="AB594" s="1280"/>
      <c r="AC594" s="1280"/>
      <c r="AD594" s="1280"/>
      <c r="AE594" s="1280"/>
      <c r="AF594" s="1280" t="s">
        <v>112</v>
      </c>
      <c r="AG594" s="1280" t="s">
        <v>112</v>
      </c>
      <c r="AH594" s="53">
        <f t="shared" si="113"/>
        <v>0</v>
      </c>
    </row>
    <row r="595" spans="1:34" ht="15">
      <c r="A595" s="30" t="s">
        <v>79</v>
      </c>
      <c r="B595" s="114">
        <f t="shared" si="112"/>
        <v>0</v>
      </c>
      <c r="C595" s="1280" t="s">
        <v>112</v>
      </c>
      <c r="D595" s="1280" t="s">
        <v>112</v>
      </c>
      <c r="E595" s="1280" t="s">
        <v>112</v>
      </c>
      <c r="F595" s="1280" t="s">
        <v>112</v>
      </c>
      <c r="G595" s="1280" t="s">
        <v>112</v>
      </c>
      <c r="H595" s="1280" t="s">
        <v>112</v>
      </c>
      <c r="I595" s="1280" t="s">
        <v>112</v>
      </c>
      <c r="J595" s="1280" t="s">
        <v>112</v>
      </c>
      <c r="K595" s="1280" t="s">
        <v>112</v>
      </c>
      <c r="L595" s="1280" t="s">
        <v>112</v>
      </c>
      <c r="M595" s="1280" t="s">
        <v>112</v>
      </c>
      <c r="N595" s="1280" t="s">
        <v>112</v>
      </c>
      <c r="O595" s="1280" t="s">
        <v>112</v>
      </c>
      <c r="P595" s="1280" t="s">
        <v>112</v>
      </c>
      <c r="Q595" s="1280" t="s">
        <v>112</v>
      </c>
      <c r="R595" s="3241"/>
      <c r="S595" s="3241"/>
      <c r="T595" s="3241"/>
      <c r="U595" s="3241"/>
      <c r="V595" s="3241"/>
      <c r="W595" s="3241"/>
      <c r="X595" s="3241"/>
      <c r="Y595" s="3241"/>
      <c r="Z595" s="3241"/>
      <c r="AA595" s="3241"/>
      <c r="AB595" s="3241"/>
      <c r="AC595" s="3241"/>
      <c r="AD595" s="3241"/>
      <c r="AE595" s="3241"/>
      <c r="AF595" s="3241"/>
      <c r="AG595" s="3241"/>
      <c r="AH595" s="53">
        <f t="shared" si="113"/>
        <v>0</v>
      </c>
    </row>
    <row r="596" spans="1:34" ht="15">
      <c r="A596" s="30" t="s">
        <v>80</v>
      </c>
      <c r="B596" s="114">
        <f t="shared" si="112"/>
        <v>0</v>
      </c>
      <c r="C596" s="49"/>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53">
        <f t="shared" si="113"/>
        <v>0</v>
      </c>
    </row>
    <row r="597" spans="1:34" ht="15">
      <c r="A597" s="30" t="s">
        <v>81</v>
      </c>
      <c r="B597" s="112">
        <f t="shared" si="112"/>
        <v>0</v>
      </c>
      <c r="C597" s="49"/>
      <c r="D597" s="53"/>
      <c r="E597" s="53"/>
      <c r="F597" s="53"/>
      <c r="G597" s="18"/>
      <c r="H597" s="18"/>
      <c r="I597" s="18"/>
      <c r="J597" s="57"/>
      <c r="K597" s="57"/>
      <c r="L597" s="53"/>
      <c r="M597" s="53"/>
      <c r="N597" s="53"/>
      <c r="O597" s="53"/>
      <c r="P597" s="53"/>
      <c r="Q597" s="53"/>
      <c r="R597" s="53"/>
      <c r="S597" s="53"/>
      <c r="T597" s="53"/>
      <c r="U597" s="53"/>
      <c r="V597" s="53"/>
      <c r="W597" s="1002" t="s">
        <v>112</v>
      </c>
      <c r="X597" s="1002" t="s">
        <v>112</v>
      </c>
      <c r="Y597" s="1002" t="s">
        <v>112</v>
      </c>
      <c r="Z597" s="1002" t="s">
        <v>112</v>
      </c>
      <c r="AA597" s="1002" t="s">
        <v>112</v>
      </c>
      <c r="AB597" s="1002" t="s">
        <v>112</v>
      </c>
      <c r="AC597" s="1002" t="s">
        <v>112</v>
      </c>
      <c r="AD597" s="1002" t="s">
        <v>112</v>
      </c>
      <c r="AE597" s="1002" t="s">
        <v>112</v>
      </c>
      <c r="AF597" s="1002" t="s">
        <v>112</v>
      </c>
      <c r="AG597" s="1002" t="s">
        <v>112</v>
      </c>
      <c r="AH597" s="53">
        <f t="shared" si="113"/>
        <v>0</v>
      </c>
    </row>
    <row r="598" spans="1:34" ht="15">
      <c r="A598" s="30" t="s">
        <v>82</v>
      </c>
      <c r="B598" s="112">
        <f t="shared" si="112"/>
        <v>0</v>
      </c>
      <c r="C598" s="1002" t="s">
        <v>112</v>
      </c>
      <c r="D598" s="1002" t="s">
        <v>112</v>
      </c>
      <c r="E598" s="1002" t="s">
        <v>112</v>
      </c>
      <c r="F598" s="1002" t="s">
        <v>112</v>
      </c>
      <c r="G598" s="1002" t="s">
        <v>112</v>
      </c>
      <c r="H598" s="1002" t="s">
        <v>112</v>
      </c>
      <c r="I598" s="1002" t="s">
        <v>112</v>
      </c>
      <c r="J598" s="1002" t="s">
        <v>112</v>
      </c>
      <c r="K598" s="1002" t="s">
        <v>112</v>
      </c>
      <c r="L598" s="1002" t="s">
        <v>112</v>
      </c>
      <c r="M598" s="1002" t="s">
        <v>112</v>
      </c>
      <c r="N598" s="1002" t="s">
        <v>112</v>
      </c>
      <c r="O598" s="1002" t="s">
        <v>112</v>
      </c>
      <c r="P598" s="1002" t="s">
        <v>112</v>
      </c>
      <c r="Q598" s="1002" t="s">
        <v>112</v>
      </c>
      <c r="R598" s="1002" t="s">
        <v>112</v>
      </c>
      <c r="S598" s="1002" t="s">
        <v>112</v>
      </c>
      <c r="T598" s="1002" t="s">
        <v>112</v>
      </c>
      <c r="U598" s="1002" t="s">
        <v>112</v>
      </c>
      <c r="V598" s="1002" t="s">
        <v>112</v>
      </c>
      <c r="W598" s="1002" t="s">
        <v>112</v>
      </c>
      <c r="X598" s="1002" t="s">
        <v>112</v>
      </c>
      <c r="Y598" s="1002" t="s">
        <v>112</v>
      </c>
      <c r="Z598" s="1002" t="s">
        <v>112</v>
      </c>
      <c r="AA598" s="1002" t="s">
        <v>112</v>
      </c>
      <c r="AB598" s="1002" t="s">
        <v>112</v>
      </c>
      <c r="AC598" s="1002" t="s">
        <v>112</v>
      </c>
      <c r="AD598" s="1002" t="s">
        <v>112</v>
      </c>
      <c r="AE598" s="1002" t="s">
        <v>112</v>
      </c>
      <c r="AF598" s="1002" t="s">
        <v>112</v>
      </c>
      <c r="AG598" s="1002" t="s">
        <v>112</v>
      </c>
      <c r="AH598" s="53">
        <f t="shared" si="113"/>
        <v>0</v>
      </c>
    </row>
    <row r="599" spans="1:34" ht="15">
      <c r="A599" s="30" t="s">
        <v>83</v>
      </c>
      <c r="B599" s="112">
        <f t="shared" si="112"/>
        <v>0</v>
      </c>
      <c r="C599" s="46"/>
      <c r="D599" s="53"/>
      <c r="E599" s="53"/>
      <c r="F599" s="53"/>
      <c r="G599" s="53"/>
      <c r="H599" s="53" t="s">
        <v>1306</v>
      </c>
      <c r="I599" s="53"/>
      <c r="J599" s="57"/>
      <c r="K599" s="57"/>
      <c r="L599" s="18"/>
      <c r="M599" s="18"/>
      <c r="N599" s="18"/>
      <c r="O599" s="18"/>
      <c r="P599" s="18"/>
      <c r="Q599" s="1002" t="s">
        <v>112</v>
      </c>
      <c r="R599" s="1002" t="s">
        <v>112</v>
      </c>
      <c r="S599" s="1002" t="s">
        <v>112</v>
      </c>
      <c r="T599" s="1002" t="s">
        <v>112</v>
      </c>
      <c r="U599" s="1002" t="s">
        <v>112</v>
      </c>
      <c r="V599" s="1002" t="s">
        <v>112</v>
      </c>
      <c r="W599" s="1002" t="s">
        <v>112</v>
      </c>
      <c r="X599" s="1002" t="s">
        <v>112</v>
      </c>
      <c r="Y599" s="1002" t="s">
        <v>112</v>
      </c>
      <c r="Z599" s="1002" t="s">
        <v>112</v>
      </c>
      <c r="AA599" s="1002" t="s">
        <v>112</v>
      </c>
      <c r="AB599" s="1002" t="s">
        <v>112</v>
      </c>
      <c r="AC599" s="1002" t="s">
        <v>112</v>
      </c>
      <c r="AD599" s="1002" t="s">
        <v>112</v>
      </c>
      <c r="AE599" s="1002" t="s">
        <v>112</v>
      </c>
      <c r="AF599" s="1002" t="s">
        <v>112</v>
      </c>
      <c r="AG599" s="1002" t="s">
        <v>112</v>
      </c>
      <c r="AH599" s="53">
        <f t="shared" si="113"/>
        <v>0</v>
      </c>
    </row>
    <row r="600" spans="1:34" ht="15">
      <c r="A600" s="30" t="s">
        <v>84</v>
      </c>
      <c r="B600" s="112">
        <f t="shared" si="112"/>
        <v>0</v>
      </c>
      <c r="C600" s="49"/>
      <c r="D600" s="1002" t="s">
        <v>112</v>
      </c>
      <c r="E600" s="1002" t="s">
        <v>112</v>
      </c>
      <c r="F600" s="1002" t="s">
        <v>112</v>
      </c>
      <c r="G600" s="1002" t="s">
        <v>112</v>
      </c>
      <c r="H600" s="1002" t="s">
        <v>112</v>
      </c>
      <c r="I600" s="1002" t="s">
        <v>112</v>
      </c>
      <c r="J600" s="1002" t="s">
        <v>112</v>
      </c>
      <c r="K600" s="1002" t="s">
        <v>112</v>
      </c>
      <c r="L600" s="1002" t="s">
        <v>112</v>
      </c>
      <c r="M600" s="1002" t="s">
        <v>112</v>
      </c>
      <c r="N600" s="1002" t="s">
        <v>112</v>
      </c>
      <c r="O600" s="1002" t="s">
        <v>112</v>
      </c>
      <c r="P600" s="1002" t="s">
        <v>112</v>
      </c>
      <c r="Q600" s="1002" t="s">
        <v>112</v>
      </c>
      <c r="R600" s="1002" t="s">
        <v>112</v>
      </c>
      <c r="S600" s="1002" t="s">
        <v>112</v>
      </c>
      <c r="T600" s="1002" t="s">
        <v>112</v>
      </c>
      <c r="U600" s="1002" t="s">
        <v>112</v>
      </c>
      <c r="V600" s="1002" t="s">
        <v>112</v>
      </c>
      <c r="W600" s="1002" t="s">
        <v>112</v>
      </c>
      <c r="X600" s="1002" t="s">
        <v>112</v>
      </c>
      <c r="Y600" s="1002" t="s">
        <v>112</v>
      </c>
      <c r="Z600" s="1002" t="s">
        <v>112</v>
      </c>
      <c r="AA600" s="1002" t="s">
        <v>112</v>
      </c>
      <c r="AB600" s="1002" t="s">
        <v>112</v>
      </c>
      <c r="AC600" s="1002" t="s">
        <v>112</v>
      </c>
      <c r="AD600" s="1002" t="s">
        <v>112</v>
      </c>
      <c r="AE600" s="1002" t="s">
        <v>112</v>
      </c>
      <c r="AF600" s="1002" t="s">
        <v>112</v>
      </c>
      <c r="AG600" s="1002" t="s">
        <v>112</v>
      </c>
      <c r="AH600" s="53">
        <f t="shared" si="113"/>
        <v>0</v>
      </c>
    </row>
    <row r="601" spans="1:34" ht="15">
      <c r="A601" s="30" t="s">
        <v>85</v>
      </c>
      <c r="B601" s="18">
        <f t="shared" si="112"/>
        <v>8.3569999999999993</v>
      </c>
      <c r="C601" s="81" t="s">
        <v>112</v>
      </c>
      <c r="D601" s="81" t="s">
        <v>112</v>
      </c>
      <c r="E601" s="81" t="s">
        <v>112</v>
      </c>
      <c r="F601" s="81" t="s">
        <v>112</v>
      </c>
      <c r="G601" s="81" t="s">
        <v>112</v>
      </c>
      <c r="H601" s="81" t="s">
        <v>112</v>
      </c>
      <c r="I601" s="81" t="s">
        <v>112</v>
      </c>
      <c r="J601" s="81" t="s">
        <v>112</v>
      </c>
      <c r="K601" s="81" t="s">
        <v>112</v>
      </c>
      <c r="L601" s="81" t="s">
        <v>112</v>
      </c>
      <c r="M601" s="81" t="s">
        <v>112</v>
      </c>
      <c r="N601" s="81" t="s">
        <v>112</v>
      </c>
      <c r="O601" s="81" t="s">
        <v>112</v>
      </c>
      <c r="P601" s="81" t="s">
        <v>112</v>
      </c>
      <c r="Q601" s="81" t="s">
        <v>112</v>
      </c>
      <c r="R601" s="18"/>
      <c r="S601" s="18"/>
      <c r="T601" s="18"/>
      <c r="U601" s="18"/>
      <c r="V601" s="18"/>
      <c r="W601" s="18"/>
      <c r="X601" s="18"/>
      <c r="Y601" s="11"/>
      <c r="Z601" s="18"/>
      <c r="AA601" s="18"/>
      <c r="AB601" s="18"/>
      <c r="AC601" s="18"/>
      <c r="AD601" s="18"/>
      <c r="AE601" s="53">
        <v>8.3569999999999993</v>
      </c>
      <c r="AF601" s="18"/>
      <c r="AG601" s="53"/>
      <c r="AH601" s="53">
        <f t="shared" si="113"/>
        <v>8.3569999999999993</v>
      </c>
    </row>
    <row r="602" spans="1:34" ht="15">
      <c r="A602" s="30" t="s">
        <v>86</v>
      </c>
      <c r="B602" s="18">
        <f t="shared" si="112"/>
        <v>412.5</v>
      </c>
      <c r="C602" s="49"/>
      <c r="D602" s="18"/>
      <c r="E602" s="18"/>
      <c r="F602" s="18"/>
      <c r="G602" s="18"/>
      <c r="H602" s="18" t="s">
        <v>1305</v>
      </c>
      <c r="I602" s="18"/>
      <c r="J602" s="18">
        <v>12</v>
      </c>
      <c r="K602" s="18"/>
      <c r="L602" s="18">
        <v>12</v>
      </c>
      <c r="M602" s="18"/>
      <c r="N602" s="18">
        <v>24</v>
      </c>
      <c r="O602" s="18"/>
      <c r="P602" s="18">
        <v>26.3</v>
      </c>
      <c r="Q602" s="18"/>
      <c r="R602" s="18">
        <v>28</v>
      </c>
      <c r="S602" s="18">
        <v>16</v>
      </c>
      <c r="T602" s="18">
        <v>28.9</v>
      </c>
      <c r="U602" s="18">
        <f>16+15+12.5</f>
        <v>43.5</v>
      </c>
      <c r="V602" s="18"/>
      <c r="W602" s="18">
        <f>16+17.5</f>
        <v>33.5</v>
      </c>
      <c r="X602" s="18">
        <v>15</v>
      </c>
      <c r="Y602" s="18">
        <f>16.4+12.8</f>
        <v>29.2</v>
      </c>
      <c r="Z602" s="18">
        <v>15.3</v>
      </c>
      <c r="AA602" s="18">
        <f>16.7+15</f>
        <v>31.7</v>
      </c>
      <c r="AB602" s="18">
        <f>17.5+15.6</f>
        <v>33.1</v>
      </c>
      <c r="AC602" s="18">
        <v>22</v>
      </c>
      <c r="AD602" s="18">
        <v>20.5</v>
      </c>
      <c r="AE602" s="53">
        <v>21.5</v>
      </c>
      <c r="AF602" s="18"/>
      <c r="AG602" s="53"/>
      <c r="AH602" s="53">
        <f t="shared" si="113"/>
        <v>412.5</v>
      </c>
    </row>
    <row r="603" spans="1:34" ht="15">
      <c r="A603" s="88" t="s">
        <v>74</v>
      </c>
      <c r="B603" s="89">
        <f>SUM(B591:B602)</f>
        <v>420.85699999999997</v>
      </c>
      <c r="C603" s="46">
        <f>SUM(C591:C601)</f>
        <v>0</v>
      </c>
      <c r="D603" s="53">
        <f>SUM(D591:D601)</f>
        <v>0</v>
      </c>
      <c r="E603" s="53">
        <v>0</v>
      </c>
      <c r="F603" s="53">
        <f t="shared" ref="F603:AC603" si="114">SUM(F591:F601)</f>
        <v>0</v>
      </c>
      <c r="G603" s="53">
        <f t="shared" si="114"/>
        <v>0</v>
      </c>
      <c r="H603" s="53">
        <f t="shared" si="114"/>
        <v>0</v>
      </c>
      <c r="I603" s="53">
        <f t="shared" si="114"/>
        <v>0</v>
      </c>
      <c r="J603" s="53">
        <f t="shared" si="114"/>
        <v>0</v>
      </c>
      <c r="K603" s="53">
        <f t="shared" si="114"/>
        <v>0</v>
      </c>
      <c r="L603" s="53">
        <f t="shared" si="114"/>
        <v>0</v>
      </c>
      <c r="M603" s="53">
        <f t="shared" si="114"/>
        <v>0</v>
      </c>
      <c r="N603" s="53">
        <f t="shared" si="114"/>
        <v>0</v>
      </c>
      <c r="O603" s="53">
        <f t="shared" si="114"/>
        <v>0</v>
      </c>
      <c r="P603" s="53">
        <f t="shared" si="114"/>
        <v>0</v>
      </c>
      <c r="Q603" s="53">
        <f t="shared" si="114"/>
        <v>0</v>
      </c>
      <c r="R603" s="53">
        <f t="shared" si="114"/>
        <v>0</v>
      </c>
      <c r="S603" s="53">
        <f t="shared" si="114"/>
        <v>0</v>
      </c>
      <c r="T603" s="53">
        <f t="shared" si="114"/>
        <v>0</v>
      </c>
      <c r="U603" s="53">
        <v>15</v>
      </c>
      <c r="V603" s="53">
        <f t="shared" si="114"/>
        <v>0</v>
      </c>
      <c r="W603" s="53">
        <f t="shared" si="114"/>
        <v>0</v>
      </c>
      <c r="X603" s="53">
        <f t="shared" si="114"/>
        <v>0</v>
      </c>
      <c r="Y603" s="53">
        <f t="shared" si="114"/>
        <v>0</v>
      </c>
      <c r="Z603" s="53">
        <f t="shared" si="114"/>
        <v>0</v>
      </c>
      <c r="AA603" s="53">
        <f t="shared" si="114"/>
        <v>0</v>
      </c>
      <c r="AB603" s="53">
        <f t="shared" si="114"/>
        <v>0</v>
      </c>
      <c r="AC603" s="53">
        <f t="shared" si="114"/>
        <v>0</v>
      </c>
      <c r="AD603" s="53">
        <v>0</v>
      </c>
      <c r="AE603" s="53">
        <f>SUM(AE591:AE601)</f>
        <v>8.3569999999999993</v>
      </c>
      <c r="AF603" s="53">
        <f>SUM(AF591:AF601)</f>
        <v>0</v>
      </c>
      <c r="AG603" s="53">
        <f>SUM(AG591:AG601)</f>
        <v>0</v>
      </c>
      <c r="AH603" s="46">
        <f>SUM(AH591:AH601)</f>
        <v>8.3569999999999993</v>
      </c>
    </row>
  </sheetData>
  <mergeCells count="44">
    <mergeCell ref="A2:T2"/>
    <mergeCell ref="A137:R137"/>
    <mergeCell ref="A72:H72"/>
    <mergeCell ref="A56:H56"/>
    <mergeCell ref="A54:R54"/>
    <mergeCell ref="A6:H6"/>
    <mergeCell ref="A22:H22"/>
    <mergeCell ref="A38:H38"/>
    <mergeCell ref="A4:R4"/>
    <mergeCell ref="A89:I89"/>
    <mergeCell ref="A121:C121"/>
    <mergeCell ref="A105:I105"/>
    <mergeCell ref="A203:H203"/>
    <mergeCell ref="A219:H219"/>
    <mergeCell ref="A187:H187"/>
    <mergeCell ref="A589:H589"/>
    <mergeCell ref="A411:R411"/>
    <mergeCell ref="A413:H413"/>
    <mergeCell ref="A299:H299"/>
    <mergeCell ref="A315:H315"/>
    <mergeCell ref="A429:H429"/>
    <mergeCell ref="A461:H461"/>
    <mergeCell ref="A283:H283"/>
    <mergeCell ref="A573:H573"/>
    <mergeCell ref="A557:H557"/>
    <mergeCell ref="A541:H541"/>
    <mergeCell ref="A525:H525"/>
    <mergeCell ref="A509:H509"/>
    <mergeCell ref="V3:AC3"/>
    <mergeCell ref="A267:H267"/>
    <mergeCell ref="A88:R88"/>
    <mergeCell ref="A493:H493"/>
    <mergeCell ref="A477:H477"/>
    <mergeCell ref="A445:H445"/>
    <mergeCell ref="A395:H395"/>
    <mergeCell ref="A331:H331"/>
    <mergeCell ref="A347:H347"/>
    <mergeCell ref="A363:H363"/>
    <mergeCell ref="A379:H379"/>
    <mergeCell ref="A251:H251"/>
    <mergeCell ref="A139:H139"/>
    <mergeCell ref="A235:H235"/>
    <mergeCell ref="A171:H171"/>
    <mergeCell ref="A155:H155"/>
  </mergeCells>
  <phoneticPr fontId="0" type="noConversion"/>
  <pageMargins left="0.75" right="0.75" top="1" bottom="1" header="0" footer="0"/>
  <pageSetup paperSize="9" orientation="portrait" r:id="rId1"/>
  <headerFooter alignWithMargins="0"/>
  <legacyDrawing r:id="rId2"/>
</worksheet>
</file>

<file path=xl/worksheets/sheet6.xml><?xml version="1.0" encoding="utf-8"?>
<worksheet xmlns="http://schemas.openxmlformats.org/spreadsheetml/2006/main" xmlns:r="http://schemas.openxmlformats.org/officeDocument/2006/relationships">
  <sheetPr>
    <tabColor theme="8" tint="-0.249977111117893"/>
  </sheetPr>
  <dimension ref="A2:IV183"/>
  <sheetViews>
    <sheetView workbookViewId="0"/>
  </sheetViews>
  <sheetFormatPr baseColWidth="10" defaultRowHeight="11.25"/>
  <cols>
    <col min="1" max="1" width="11.42578125" style="167"/>
    <col min="2" max="2" width="11.42578125" style="700"/>
    <col min="3" max="12" width="6.5703125" style="655" customWidth="1"/>
    <col min="13" max="14" width="7.140625" style="655" bestFit="1" customWidth="1"/>
    <col min="15" max="15" width="7.85546875" style="655" bestFit="1" customWidth="1"/>
    <col min="16" max="16" width="7.140625" style="655" customWidth="1"/>
    <col min="17" max="17" width="7.140625" style="655" bestFit="1" customWidth="1"/>
    <col min="18" max="18" width="6.5703125" style="655" customWidth="1"/>
    <col min="19" max="19" width="7.42578125" style="655" bestFit="1" customWidth="1"/>
    <col min="20" max="20" width="6.5703125" style="655" customWidth="1"/>
    <col min="21" max="21" width="7.42578125" style="655" bestFit="1" customWidth="1"/>
    <col min="22" max="22" width="8.7109375" style="655" bestFit="1" customWidth="1"/>
    <col min="23" max="25" width="7.140625" style="655" bestFit="1" customWidth="1"/>
    <col min="26" max="26" width="7.42578125" style="655" bestFit="1" customWidth="1"/>
    <col min="27" max="27" width="7" style="655" bestFit="1" customWidth="1"/>
    <col min="28" max="28" width="6.5703125" style="655" customWidth="1"/>
    <col min="29" max="29" width="5.85546875" style="655" bestFit="1" customWidth="1"/>
    <col min="30" max="30" width="7.140625" style="655" bestFit="1" customWidth="1"/>
    <col min="31" max="31" width="6.5703125" style="655" customWidth="1"/>
    <col min="32" max="32" width="7.28515625" style="655" customWidth="1"/>
    <col min="33" max="33" width="6.5703125" style="655" customWidth="1"/>
    <col min="34" max="34" width="9.140625" style="655" bestFit="1" customWidth="1"/>
    <col min="35" max="35" width="3.140625" style="655" customWidth="1"/>
    <col min="36" max="36" width="23.140625" style="655" bestFit="1" customWidth="1"/>
    <col min="37" max="37" width="3.140625" style="655" customWidth="1"/>
    <col min="38" max="38" width="19.5703125" style="655" customWidth="1"/>
    <col min="39" max="39" width="11.42578125" style="655"/>
    <col min="40" max="42" width="6.5703125" style="655" bestFit="1" customWidth="1"/>
    <col min="43" max="43" width="5.140625" style="655" bestFit="1" customWidth="1"/>
    <col min="44" max="44" width="5.7109375" style="655" bestFit="1" customWidth="1"/>
    <col min="45" max="45" width="5.140625" style="655" bestFit="1" customWidth="1"/>
    <col min="46" max="50" width="5.7109375" style="655" bestFit="1" customWidth="1"/>
    <col min="51" max="63" width="5.140625" style="655" bestFit="1" customWidth="1"/>
    <col min="64" max="67" width="5.7109375" style="655" bestFit="1" customWidth="1"/>
    <col min="68" max="68" width="5.140625" style="655" bestFit="1" customWidth="1"/>
    <col min="69" max="69" width="5.7109375" style="655" bestFit="1" customWidth="1"/>
    <col min="70" max="70" width="5.140625" style="655" bestFit="1" customWidth="1"/>
    <col min="71" max="71" width="7.85546875" style="655" bestFit="1" customWidth="1"/>
    <col min="72" max="237" width="11.42578125" style="655"/>
    <col min="238" max="256" width="11.42578125" style="346"/>
    <col min="257" max="16384" width="11.42578125" style="167"/>
  </cols>
  <sheetData>
    <row r="2" spans="1:256" ht="12.75">
      <c r="A2" s="3605" t="s">
        <v>563</v>
      </c>
      <c r="B2" s="3606"/>
      <c r="C2" s="3606"/>
      <c r="D2" s="3606"/>
      <c r="E2" s="3606"/>
      <c r="F2" s="3606"/>
      <c r="G2" s="3606"/>
      <c r="H2" s="3606"/>
      <c r="I2" s="3606"/>
      <c r="J2" s="3606"/>
      <c r="K2" s="3606"/>
      <c r="L2" s="3606"/>
      <c r="M2" s="3606"/>
      <c r="N2" s="3606"/>
      <c r="O2" s="3606"/>
      <c r="P2" s="3606"/>
      <c r="Q2" s="3606"/>
      <c r="R2" s="3606"/>
      <c r="S2" s="3606"/>
      <c r="T2" s="3607"/>
      <c r="U2" s="193"/>
      <c r="V2" s="193"/>
      <c r="W2" s="193"/>
      <c r="X2" s="193"/>
      <c r="Y2" s="193"/>
      <c r="Z2" s="193"/>
      <c r="AA2" s="193"/>
      <c r="AB2" s="193"/>
      <c r="AC2" s="193"/>
      <c r="AD2" s="193"/>
      <c r="AE2" s="193"/>
      <c r="AF2" s="193"/>
      <c r="AG2" s="193"/>
      <c r="AH2" s="654"/>
      <c r="AI2" s="654"/>
      <c r="AJ2" s="654"/>
    </row>
    <row r="3" spans="1:256" s="660" customFormat="1" ht="12.75">
      <c r="A3" s="656"/>
      <c r="B3" s="657"/>
      <c r="C3" s="657"/>
      <c r="D3" s="657"/>
      <c r="E3" s="657"/>
      <c r="F3" s="657"/>
      <c r="G3" s="657"/>
      <c r="H3" s="657"/>
      <c r="I3" s="657"/>
      <c r="J3" s="657"/>
      <c r="K3" s="657"/>
      <c r="L3" s="657"/>
      <c r="M3" s="657"/>
      <c r="N3" s="657"/>
      <c r="O3" s="657"/>
      <c r="P3" s="657"/>
      <c r="Q3" s="657"/>
      <c r="R3" s="657"/>
      <c r="S3" s="657"/>
      <c r="T3" s="657"/>
      <c r="U3" s="193"/>
      <c r="V3" s="193"/>
      <c r="W3" s="193"/>
      <c r="X3" s="193"/>
      <c r="Y3" s="193"/>
      <c r="Z3" s="193"/>
      <c r="AA3" s="193"/>
      <c r="AB3" s="193"/>
      <c r="AC3" s="193"/>
      <c r="AD3" s="193"/>
      <c r="AE3" s="193"/>
      <c r="AF3" s="193"/>
      <c r="AG3" s="193"/>
      <c r="AH3" s="193"/>
      <c r="AI3" s="193"/>
      <c r="AJ3" s="193"/>
      <c r="AK3" s="658"/>
      <c r="AL3" s="658"/>
      <c r="AM3" s="658"/>
      <c r="AN3" s="658"/>
      <c r="AO3" s="658"/>
      <c r="AP3" s="658"/>
      <c r="AQ3" s="658"/>
      <c r="AR3" s="658"/>
      <c r="AS3" s="658"/>
      <c r="AT3" s="658"/>
      <c r="AU3" s="658"/>
      <c r="AV3" s="658"/>
      <c r="AW3" s="658"/>
      <c r="AX3" s="658"/>
      <c r="AY3" s="658"/>
      <c r="AZ3" s="658"/>
      <c r="BA3" s="658"/>
      <c r="BB3" s="658"/>
      <c r="BC3" s="658"/>
      <c r="BD3" s="658"/>
      <c r="BE3" s="658"/>
      <c r="BF3" s="658"/>
      <c r="BG3" s="658"/>
      <c r="BH3" s="658"/>
      <c r="BI3" s="658"/>
      <c r="BJ3" s="658"/>
      <c r="BK3" s="658"/>
      <c r="BL3" s="658"/>
      <c r="BM3" s="658"/>
      <c r="BN3" s="658"/>
      <c r="BO3" s="658"/>
      <c r="BP3" s="658"/>
      <c r="BQ3" s="658"/>
      <c r="BR3" s="658"/>
      <c r="BS3" s="658"/>
      <c r="BT3" s="658"/>
      <c r="BU3" s="658"/>
      <c r="BV3" s="658"/>
      <c r="BW3" s="658"/>
      <c r="BX3" s="658"/>
      <c r="BY3" s="658"/>
      <c r="BZ3" s="658"/>
      <c r="CA3" s="658"/>
      <c r="CB3" s="658"/>
      <c r="CC3" s="658"/>
      <c r="CD3" s="658"/>
      <c r="CE3" s="658"/>
      <c r="CF3" s="658"/>
      <c r="CG3" s="658"/>
      <c r="CH3" s="658"/>
      <c r="CI3" s="658"/>
      <c r="CJ3" s="658"/>
      <c r="CK3" s="658"/>
      <c r="CL3" s="658"/>
      <c r="CM3" s="658"/>
      <c r="CN3" s="658"/>
      <c r="CO3" s="658"/>
      <c r="CP3" s="658"/>
      <c r="CQ3" s="658"/>
      <c r="CR3" s="658"/>
      <c r="CS3" s="658"/>
      <c r="CT3" s="658"/>
      <c r="CU3" s="658"/>
      <c r="CV3" s="658"/>
      <c r="CW3" s="658"/>
      <c r="CX3" s="658"/>
      <c r="CY3" s="658"/>
      <c r="CZ3" s="658"/>
      <c r="DA3" s="658"/>
      <c r="DB3" s="658"/>
      <c r="DC3" s="658"/>
      <c r="DD3" s="658"/>
      <c r="DE3" s="658"/>
      <c r="DF3" s="658"/>
      <c r="DG3" s="658"/>
      <c r="DH3" s="658"/>
      <c r="DI3" s="658"/>
      <c r="DJ3" s="658"/>
      <c r="DK3" s="658"/>
      <c r="DL3" s="658"/>
      <c r="DM3" s="658"/>
      <c r="DN3" s="658"/>
      <c r="DO3" s="658"/>
      <c r="DP3" s="658"/>
      <c r="DQ3" s="658"/>
      <c r="DR3" s="658"/>
      <c r="DS3" s="658"/>
      <c r="DT3" s="658"/>
      <c r="DU3" s="658"/>
      <c r="DV3" s="658"/>
      <c r="DW3" s="658"/>
      <c r="DX3" s="658"/>
      <c r="DY3" s="658"/>
      <c r="DZ3" s="658"/>
      <c r="EA3" s="658"/>
      <c r="EB3" s="658"/>
      <c r="EC3" s="658"/>
      <c r="ED3" s="658"/>
      <c r="EE3" s="658"/>
      <c r="EF3" s="658"/>
      <c r="EG3" s="658"/>
      <c r="EH3" s="658"/>
      <c r="EI3" s="658"/>
      <c r="EJ3" s="658"/>
      <c r="EK3" s="658"/>
      <c r="EL3" s="658"/>
      <c r="EM3" s="658"/>
      <c r="EN3" s="658"/>
      <c r="EO3" s="658"/>
      <c r="EP3" s="658"/>
      <c r="EQ3" s="658"/>
      <c r="ER3" s="658"/>
      <c r="ES3" s="658"/>
      <c r="ET3" s="658"/>
      <c r="EU3" s="658"/>
      <c r="EV3" s="658"/>
      <c r="EW3" s="658"/>
      <c r="EX3" s="658"/>
      <c r="EY3" s="658"/>
      <c r="EZ3" s="658"/>
      <c r="FA3" s="658"/>
      <c r="FB3" s="658"/>
      <c r="FC3" s="658"/>
      <c r="FD3" s="658"/>
      <c r="FE3" s="658"/>
      <c r="FF3" s="658"/>
      <c r="FG3" s="658"/>
      <c r="FH3" s="658"/>
      <c r="FI3" s="658"/>
      <c r="FJ3" s="658"/>
      <c r="FK3" s="658"/>
      <c r="FL3" s="658"/>
      <c r="FM3" s="658"/>
      <c r="FN3" s="658"/>
      <c r="FO3" s="658"/>
      <c r="FP3" s="658"/>
      <c r="FQ3" s="658"/>
      <c r="FR3" s="658"/>
      <c r="FS3" s="658"/>
      <c r="FT3" s="658"/>
      <c r="FU3" s="658"/>
      <c r="FV3" s="658"/>
      <c r="FW3" s="658"/>
      <c r="FX3" s="658"/>
      <c r="FY3" s="658"/>
      <c r="FZ3" s="658"/>
      <c r="GA3" s="658"/>
      <c r="GB3" s="658"/>
      <c r="GC3" s="658"/>
      <c r="GD3" s="658"/>
      <c r="GE3" s="658"/>
      <c r="GF3" s="658"/>
      <c r="GG3" s="658"/>
      <c r="GH3" s="658"/>
      <c r="GI3" s="658"/>
      <c r="GJ3" s="658"/>
      <c r="GK3" s="658"/>
      <c r="GL3" s="658"/>
      <c r="GM3" s="658"/>
      <c r="GN3" s="658"/>
      <c r="GO3" s="658"/>
      <c r="GP3" s="658"/>
      <c r="GQ3" s="658"/>
      <c r="GR3" s="658"/>
      <c r="GS3" s="658"/>
      <c r="GT3" s="658"/>
      <c r="GU3" s="658"/>
      <c r="GV3" s="658"/>
      <c r="GW3" s="658"/>
      <c r="GX3" s="658"/>
      <c r="GY3" s="658"/>
      <c r="GZ3" s="658"/>
      <c r="HA3" s="658"/>
      <c r="HB3" s="658"/>
      <c r="HC3" s="658"/>
      <c r="HD3" s="658"/>
      <c r="HE3" s="658"/>
      <c r="HF3" s="658"/>
      <c r="HG3" s="658"/>
      <c r="HH3" s="658"/>
      <c r="HI3" s="658"/>
      <c r="HJ3" s="658"/>
      <c r="HK3" s="658"/>
      <c r="HL3" s="658"/>
      <c r="HM3" s="658"/>
      <c r="HN3" s="658"/>
      <c r="HO3" s="658"/>
      <c r="HP3" s="658"/>
      <c r="HQ3" s="658"/>
      <c r="HR3" s="658"/>
      <c r="HS3" s="658"/>
      <c r="HT3" s="658"/>
      <c r="HU3" s="658"/>
      <c r="HV3" s="658"/>
      <c r="HW3" s="658"/>
      <c r="HX3" s="658"/>
      <c r="HY3" s="658"/>
      <c r="HZ3" s="658"/>
      <c r="IA3" s="658"/>
      <c r="IB3" s="658"/>
      <c r="IC3" s="658"/>
      <c r="ID3" s="659"/>
      <c r="IE3" s="659"/>
      <c r="IF3" s="659"/>
      <c r="IG3" s="659"/>
      <c r="IH3" s="659"/>
      <c r="II3" s="659"/>
      <c r="IJ3" s="659"/>
      <c r="IK3" s="659"/>
      <c r="IL3" s="659"/>
      <c r="IM3" s="659"/>
      <c r="IN3" s="659"/>
      <c r="IO3" s="659"/>
      <c r="IP3" s="659"/>
      <c r="IQ3" s="659"/>
      <c r="IR3" s="659"/>
      <c r="IS3" s="659"/>
      <c r="IT3" s="659"/>
      <c r="IU3" s="659"/>
      <c r="IV3" s="659"/>
    </row>
    <row r="4" spans="1:256" ht="12.75">
      <c r="A4" s="177"/>
      <c r="B4" s="661"/>
      <c r="C4" s="654"/>
      <c r="D4" s="193"/>
      <c r="E4" s="193"/>
      <c r="F4" s="193"/>
      <c r="G4" s="193"/>
      <c r="H4" s="193"/>
      <c r="I4" s="193"/>
      <c r="J4" s="193"/>
      <c r="K4" s="193"/>
      <c r="L4" s="193"/>
      <c r="M4" s="193"/>
      <c r="N4" s="193"/>
      <c r="O4" s="193"/>
      <c r="P4" s="193"/>
      <c r="Q4" s="193"/>
      <c r="R4" s="193"/>
      <c r="S4" s="193"/>
      <c r="T4" s="193"/>
      <c r="U4" s="193"/>
      <c r="V4" s="193"/>
      <c r="W4" s="193"/>
      <c r="X4" s="193"/>
      <c r="Y4" s="193"/>
      <c r="Z4" s="193"/>
      <c r="AA4" s="193"/>
      <c r="AB4" s="193"/>
      <c r="AC4" s="193"/>
      <c r="AD4" s="193"/>
      <c r="AE4" s="193"/>
      <c r="AF4" s="193"/>
      <c r="AG4" s="193"/>
      <c r="AH4" s="654"/>
      <c r="AI4" s="654"/>
      <c r="AJ4" s="654"/>
      <c r="AM4" s="3322">
        <v>41570</v>
      </c>
    </row>
    <row r="5" spans="1:256" ht="12.75">
      <c r="A5" s="3605" t="s">
        <v>71</v>
      </c>
      <c r="B5" s="3606"/>
      <c r="C5" s="3607"/>
      <c r="D5" s="193"/>
      <c r="E5" s="193"/>
      <c r="F5" s="193"/>
      <c r="G5" s="193"/>
      <c r="H5" s="193"/>
      <c r="I5" s="193"/>
      <c r="J5" s="193"/>
      <c r="K5" s="193"/>
      <c r="L5" s="193"/>
      <c r="M5" s="193"/>
      <c r="N5" s="193"/>
      <c r="O5" s="193"/>
      <c r="P5" s="193"/>
      <c r="Q5" s="193"/>
      <c r="R5" s="193"/>
      <c r="S5" s="193"/>
      <c r="T5" s="193"/>
      <c r="U5" s="193"/>
      <c r="V5" s="193"/>
      <c r="W5" s="193"/>
      <c r="X5" s="193"/>
      <c r="Y5" s="193"/>
      <c r="Z5" s="193"/>
      <c r="AA5" s="193"/>
      <c r="AB5" s="193"/>
      <c r="AC5" s="193"/>
      <c r="AD5" s="193"/>
      <c r="AE5" s="193"/>
      <c r="AF5" s="193"/>
      <c r="AG5" s="193"/>
      <c r="AH5" s="654"/>
      <c r="AI5" s="654"/>
      <c r="AL5" s="3602" t="s">
        <v>1164</v>
      </c>
      <c r="AM5" s="3603"/>
      <c r="AN5" s="3604"/>
      <c r="AO5" s="193"/>
      <c r="AP5" s="193"/>
      <c r="AQ5" s="193"/>
      <c r="AR5" s="193"/>
      <c r="AS5" s="193"/>
      <c r="AT5" s="193"/>
      <c r="AU5" s="193"/>
      <c r="AV5" s="193"/>
      <c r="AW5" s="193"/>
      <c r="AX5" s="193"/>
      <c r="AY5" s="193"/>
      <c r="AZ5" s="193"/>
      <c r="BA5" s="193"/>
      <c r="BB5" s="193"/>
      <c r="BC5" s="193"/>
      <c r="BD5" s="193"/>
      <c r="BE5" s="193"/>
      <c r="BF5" s="193"/>
      <c r="BG5" s="193"/>
      <c r="BH5" s="193"/>
      <c r="BI5" s="193"/>
      <c r="BJ5" s="193"/>
      <c r="BK5" s="193"/>
      <c r="BL5" s="193"/>
      <c r="BM5" s="193"/>
      <c r="BN5" s="193"/>
      <c r="BO5" s="193"/>
      <c r="BP5" s="193"/>
      <c r="BQ5" s="193"/>
      <c r="BR5" s="193"/>
      <c r="BS5" s="654"/>
    </row>
    <row r="6" spans="1:256" ht="12.75">
      <c r="A6" s="1268" t="s">
        <v>72</v>
      </c>
      <c r="B6" s="189" t="s">
        <v>73</v>
      </c>
      <c r="C6" s="662">
        <v>1</v>
      </c>
      <c r="D6" s="663">
        <v>2</v>
      </c>
      <c r="E6" s="663">
        <v>3</v>
      </c>
      <c r="F6" s="663">
        <v>4</v>
      </c>
      <c r="G6" s="663">
        <v>5</v>
      </c>
      <c r="H6" s="663">
        <v>6</v>
      </c>
      <c r="I6" s="663">
        <v>7</v>
      </c>
      <c r="J6" s="663">
        <v>8</v>
      </c>
      <c r="K6" s="663">
        <v>9</v>
      </c>
      <c r="L6" s="663">
        <v>10</v>
      </c>
      <c r="M6" s="663">
        <v>11</v>
      </c>
      <c r="N6" s="663">
        <v>12</v>
      </c>
      <c r="O6" s="663">
        <v>13</v>
      </c>
      <c r="P6" s="663">
        <v>14</v>
      </c>
      <c r="Q6" s="663">
        <v>15</v>
      </c>
      <c r="R6" s="663">
        <v>16</v>
      </c>
      <c r="S6" s="663">
        <v>17</v>
      </c>
      <c r="T6" s="663">
        <v>18</v>
      </c>
      <c r="U6" s="663">
        <v>19</v>
      </c>
      <c r="V6" s="663">
        <v>20</v>
      </c>
      <c r="W6" s="663">
        <v>21</v>
      </c>
      <c r="X6" s="663">
        <v>22</v>
      </c>
      <c r="Y6" s="663">
        <v>23</v>
      </c>
      <c r="Z6" s="663">
        <v>24</v>
      </c>
      <c r="AA6" s="663">
        <v>25</v>
      </c>
      <c r="AB6" s="663">
        <v>26</v>
      </c>
      <c r="AC6" s="663">
        <v>27</v>
      </c>
      <c r="AD6" s="663">
        <v>28</v>
      </c>
      <c r="AE6" s="663">
        <v>29</v>
      </c>
      <c r="AF6" s="663">
        <v>30</v>
      </c>
      <c r="AG6" s="663">
        <v>31</v>
      </c>
      <c r="AH6" s="189" t="s">
        <v>74</v>
      </c>
      <c r="AI6" s="693"/>
      <c r="AJ6" s="654" t="s">
        <v>1165</v>
      </c>
      <c r="AL6" s="1268" t="s">
        <v>72</v>
      </c>
      <c r="AM6" s="189" t="s">
        <v>73</v>
      </c>
      <c r="AN6" s="662">
        <v>1</v>
      </c>
      <c r="AO6" s="663">
        <v>2</v>
      </c>
      <c r="AP6" s="663">
        <v>3</v>
      </c>
      <c r="AQ6" s="663">
        <v>4</v>
      </c>
      <c r="AR6" s="663">
        <v>5</v>
      </c>
      <c r="AS6" s="663">
        <v>6</v>
      </c>
      <c r="AT6" s="663">
        <v>7</v>
      </c>
      <c r="AU6" s="663">
        <v>8</v>
      </c>
      <c r="AV6" s="663">
        <v>9</v>
      </c>
      <c r="AW6" s="663">
        <v>10</v>
      </c>
      <c r="AX6" s="663">
        <v>11</v>
      </c>
      <c r="AY6" s="663">
        <v>12</v>
      </c>
      <c r="AZ6" s="663">
        <v>13</v>
      </c>
      <c r="BA6" s="663">
        <v>14</v>
      </c>
      <c r="BB6" s="663">
        <v>15</v>
      </c>
      <c r="BC6" s="663">
        <v>16</v>
      </c>
      <c r="BD6" s="663">
        <v>17</v>
      </c>
      <c r="BE6" s="663">
        <v>18</v>
      </c>
      <c r="BF6" s="663">
        <v>19</v>
      </c>
      <c r="BG6" s="663">
        <v>20</v>
      </c>
      <c r="BH6" s="663">
        <v>21</v>
      </c>
      <c r="BI6" s="663">
        <v>22</v>
      </c>
      <c r="BJ6" s="663">
        <v>23</v>
      </c>
      <c r="BK6" s="663">
        <v>24</v>
      </c>
      <c r="BL6" s="663">
        <v>25</v>
      </c>
      <c r="BM6" s="663">
        <v>26</v>
      </c>
      <c r="BN6" s="663">
        <v>27</v>
      </c>
      <c r="BO6" s="663">
        <v>28</v>
      </c>
      <c r="BP6" s="663">
        <v>29</v>
      </c>
      <c r="BQ6" s="663">
        <v>30</v>
      </c>
      <c r="BR6" s="663">
        <v>31</v>
      </c>
      <c r="BS6" s="189" t="s">
        <v>74</v>
      </c>
    </row>
    <row r="7" spans="1:256" ht="12.75">
      <c r="A7" s="1999" t="s">
        <v>75</v>
      </c>
      <c r="B7" s="190">
        <f>+AH7</f>
        <v>20380.568000000003</v>
      </c>
      <c r="C7" s="664">
        <v>0</v>
      </c>
      <c r="D7" s="664">
        <v>646.96500000000003</v>
      </c>
      <c r="E7" s="664">
        <v>957.14</v>
      </c>
      <c r="F7" s="664">
        <v>850.96</v>
      </c>
      <c r="G7" s="664">
        <v>400.87</v>
      </c>
      <c r="H7" s="664">
        <v>0</v>
      </c>
      <c r="I7" s="664">
        <v>522.55499999999995</v>
      </c>
      <c r="J7" s="664">
        <v>93.62</v>
      </c>
      <c r="K7" s="664">
        <v>708.67</v>
      </c>
      <c r="L7" s="664">
        <v>55.57</v>
      </c>
      <c r="M7" s="664">
        <v>1166.7950000000001</v>
      </c>
      <c r="N7" s="664">
        <v>671.05</v>
      </c>
      <c r="O7" s="664">
        <v>0</v>
      </c>
      <c r="P7" s="664">
        <v>586.45299999999997</v>
      </c>
      <c r="Q7" s="664">
        <v>234.916</v>
      </c>
      <c r="R7" s="664">
        <v>828.62799999999993</v>
      </c>
      <c r="S7" s="664">
        <v>1198.6089999999999</v>
      </c>
      <c r="T7" s="664">
        <v>887.24700000000007</v>
      </c>
      <c r="U7" s="664">
        <v>210.869</v>
      </c>
      <c r="V7" s="664">
        <v>0</v>
      </c>
      <c r="W7" s="664">
        <v>1340.4360000000001</v>
      </c>
      <c r="X7" s="664">
        <v>1403.2049999999999</v>
      </c>
      <c r="Y7" s="664">
        <v>666.40499999999997</v>
      </c>
      <c r="Z7" s="664">
        <v>1298.1500000000001</v>
      </c>
      <c r="AA7" s="664">
        <v>1031.905</v>
      </c>
      <c r="AB7" s="664">
        <v>899.43499999999995</v>
      </c>
      <c r="AC7" s="664">
        <v>0</v>
      </c>
      <c r="AD7" s="664">
        <v>1489.4549999999999</v>
      </c>
      <c r="AE7" s="664">
        <v>574.66499999999996</v>
      </c>
      <c r="AF7" s="664">
        <v>775.01</v>
      </c>
      <c r="AG7" s="664">
        <v>880.98500000000001</v>
      </c>
      <c r="AH7" s="189">
        <f>SUM(C7:AG7)</f>
        <v>20380.568000000003</v>
      </c>
      <c r="AI7" s="693"/>
      <c r="AJ7" s="693">
        <f t="shared" ref="AJ7:AJ19" si="0">+B7+AM7</f>
        <v>20380.568000000003</v>
      </c>
      <c r="AL7" s="1999" t="s">
        <v>75</v>
      </c>
      <c r="AM7" s="190">
        <f>+BS7</f>
        <v>0</v>
      </c>
      <c r="AN7" s="664"/>
      <c r="AO7" s="664"/>
      <c r="AP7" s="664"/>
      <c r="AQ7" s="664"/>
      <c r="AR7" s="664"/>
      <c r="AS7" s="664"/>
      <c r="AT7" s="664"/>
      <c r="AU7" s="664"/>
      <c r="AV7" s="664"/>
      <c r="AW7" s="664"/>
      <c r="AX7" s="664"/>
      <c r="AY7" s="664"/>
      <c r="AZ7" s="664"/>
      <c r="BA7" s="664"/>
      <c r="BB7" s="664"/>
      <c r="BC7" s="664"/>
      <c r="BD7" s="664"/>
      <c r="BE7" s="664"/>
      <c r="BF7" s="664"/>
      <c r="BG7" s="664"/>
      <c r="BH7" s="664"/>
      <c r="BI7" s="664"/>
      <c r="BJ7" s="664"/>
      <c r="BK7" s="664"/>
      <c r="BL7" s="664"/>
      <c r="BM7" s="664"/>
      <c r="BN7" s="664"/>
      <c r="BO7" s="664"/>
      <c r="BP7" s="664"/>
      <c r="BQ7" s="664"/>
      <c r="BR7" s="664"/>
      <c r="BS7" s="189">
        <f>SUM(AN7:BR7)</f>
        <v>0</v>
      </c>
    </row>
    <row r="8" spans="1:256" ht="12.75">
      <c r="A8" s="1999" t="s">
        <v>76</v>
      </c>
      <c r="B8" s="190">
        <f t="shared" ref="B8:B18" si="1">+AH8</f>
        <v>13834.984000000002</v>
      </c>
      <c r="C8" s="664">
        <v>673.73</v>
      </c>
      <c r="D8" s="664">
        <v>539.42999999999995</v>
      </c>
      <c r="E8" s="664">
        <v>0</v>
      </c>
      <c r="F8" s="664">
        <v>894.29</v>
      </c>
      <c r="G8" s="664">
        <v>220.50899999999999</v>
      </c>
      <c r="H8" s="664">
        <v>320.33</v>
      </c>
      <c r="I8" s="664">
        <v>312.12599999999998</v>
      </c>
      <c r="J8" s="664">
        <v>1315.864</v>
      </c>
      <c r="K8" s="664">
        <v>426.601</v>
      </c>
      <c r="L8" s="664">
        <v>0</v>
      </c>
      <c r="M8" s="664">
        <v>789.79700000000003</v>
      </c>
      <c r="N8" s="664">
        <v>826.86500000000001</v>
      </c>
      <c r="O8" s="664">
        <v>677.47</v>
      </c>
      <c r="P8" s="664">
        <v>335.45400000000001</v>
      </c>
      <c r="Q8" s="664">
        <v>196.416</v>
      </c>
      <c r="R8" s="664">
        <v>513.42899999999997</v>
      </c>
      <c r="S8" s="664">
        <v>0</v>
      </c>
      <c r="T8" s="664">
        <v>1222.9829999999999</v>
      </c>
      <c r="U8" s="664">
        <v>369.27499999999998</v>
      </c>
      <c r="V8" s="664">
        <v>435.16500000000002</v>
      </c>
      <c r="W8" s="664">
        <v>174.255</v>
      </c>
      <c r="X8" s="664">
        <v>213.97499999999999</v>
      </c>
      <c r="Y8" s="664">
        <v>256.065</v>
      </c>
      <c r="Z8" s="664">
        <v>0</v>
      </c>
      <c r="AA8" s="664">
        <v>1216.8150000000001</v>
      </c>
      <c r="AB8" s="664">
        <v>691.36</v>
      </c>
      <c r="AC8" s="664">
        <v>670.79499999999996</v>
      </c>
      <c r="AD8" s="664">
        <v>541.98500000000001</v>
      </c>
      <c r="AE8" s="664">
        <v>0</v>
      </c>
      <c r="AF8" s="664">
        <v>0</v>
      </c>
      <c r="AG8" s="664">
        <v>0</v>
      </c>
      <c r="AH8" s="189">
        <f t="shared" ref="AH8:AH18" si="2">SUM(C8:AG8)</f>
        <v>13834.984000000002</v>
      </c>
      <c r="AI8" s="693"/>
      <c r="AJ8" s="693">
        <f t="shared" si="0"/>
        <v>13834.984000000002</v>
      </c>
      <c r="AL8" s="1999" t="s">
        <v>76</v>
      </c>
      <c r="AM8" s="190">
        <f t="shared" ref="AM8:AM18" si="3">+BS8</f>
        <v>0</v>
      </c>
      <c r="AN8" s="664"/>
      <c r="AO8" s="664"/>
      <c r="AP8" s="664"/>
      <c r="AQ8" s="664"/>
      <c r="AR8" s="664"/>
      <c r="AS8" s="664"/>
      <c r="AT8" s="664"/>
      <c r="AU8" s="664"/>
      <c r="AV8" s="664"/>
      <c r="AW8" s="664"/>
      <c r="AX8" s="664"/>
      <c r="AY8" s="664"/>
      <c r="AZ8" s="664"/>
      <c r="BA8" s="664"/>
      <c r="BB8" s="664"/>
      <c r="BC8" s="664"/>
      <c r="BD8" s="664"/>
      <c r="BE8" s="664"/>
      <c r="BF8" s="664"/>
      <c r="BG8" s="664"/>
      <c r="BH8" s="664"/>
      <c r="BI8" s="664"/>
      <c r="BJ8" s="664"/>
      <c r="BK8" s="664"/>
      <c r="BL8" s="664"/>
      <c r="BM8" s="664"/>
      <c r="BN8" s="664"/>
      <c r="BO8" s="664"/>
      <c r="BP8" s="664"/>
      <c r="BQ8" s="664"/>
      <c r="BR8" s="664"/>
      <c r="BS8" s="189">
        <f t="shared" ref="BS8:BS18" si="4">SUM(AN8:BR8)</f>
        <v>0</v>
      </c>
    </row>
    <row r="9" spans="1:256" ht="12.75">
      <c r="A9" s="1999" t="s">
        <v>77</v>
      </c>
      <c r="B9" s="190">
        <f t="shared" si="1"/>
        <v>8680.2680000000018</v>
      </c>
      <c r="C9" s="664">
        <v>359.27499999999998</v>
      </c>
      <c r="D9" s="664">
        <v>812.31</v>
      </c>
      <c r="E9" s="664">
        <v>0</v>
      </c>
      <c r="F9" s="664">
        <v>66.98</v>
      </c>
      <c r="G9" s="664">
        <v>333.97500000000002</v>
      </c>
      <c r="H9" s="664">
        <v>407.37</v>
      </c>
      <c r="I9" s="664">
        <v>164.02500000000001</v>
      </c>
      <c r="J9" s="664">
        <v>709.70500000000004</v>
      </c>
      <c r="K9" s="664">
        <v>0</v>
      </c>
      <c r="L9" s="664">
        <v>0</v>
      </c>
      <c r="M9" s="664">
        <v>1107.3599999999999</v>
      </c>
      <c r="N9" s="664">
        <v>652.58000000000004</v>
      </c>
      <c r="O9" s="664">
        <v>315.51499999999999</v>
      </c>
      <c r="P9" s="664">
        <v>24.21</v>
      </c>
      <c r="Q9" s="664">
        <v>178.82</v>
      </c>
      <c r="R9" s="664">
        <v>0</v>
      </c>
      <c r="S9" s="664">
        <v>0</v>
      </c>
      <c r="T9" s="664">
        <v>0</v>
      </c>
      <c r="U9" s="664">
        <v>405.64</v>
      </c>
      <c r="V9" s="664">
        <v>769.39</v>
      </c>
      <c r="W9" s="664">
        <v>397.38799999999998</v>
      </c>
      <c r="X9" s="664">
        <v>257.52999999999997</v>
      </c>
      <c r="Y9" s="664">
        <v>0</v>
      </c>
      <c r="Z9" s="664">
        <v>0</v>
      </c>
      <c r="AA9" s="664">
        <v>575.71500000000003</v>
      </c>
      <c r="AB9" s="664">
        <v>277.97000000000003</v>
      </c>
      <c r="AC9" s="664">
        <v>581.72</v>
      </c>
      <c r="AD9" s="664">
        <v>282.79000000000002</v>
      </c>
      <c r="AE9" s="664">
        <v>0</v>
      </c>
      <c r="AF9" s="664">
        <v>0</v>
      </c>
      <c r="AG9" s="664">
        <v>0</v>
      </c>
      <c r="AH9" s="189">
        <f t="shared" si="2"/>
        <v>8680.2680000000018</v>
      </c>
      <c r="AI9" s="693"/>
      <c r="AJ9" s="693">
        <f t="shared" si="0"/>
        <v>8680.2680000000018</v>
      </c>
      <c r="AL9" s="1999" t="s">
        <v>77</v>
      </c>
      <c r="AM9" s="190">
        <f t="shared" si="3"/>
        <v>0</v>
      </c>
      <c r="AN9" s="664"/>
      <c r="AO9" s="664"/>
      <c r="AP9" s="664"/>
      <c r="AQ9" s="664"/>
      <c r="AR9" s="664"/>
      <c r="AS9" s="664"/>
      <c r="AT9" s="664"/>
      <c r="AU9" s="664"/>
      <c r="AV9" s="664"/>
      <c r="AW9" s="664"/>
      <c r="AX9" s="664"/>
      <c r="AY9" s="664"/>
      <c r="AZ9" s="664"/>
      <c r="BA9" s="664"/>
      <c r="BB9" s="664"/>
      <c r="BC9" s="664"/>
      <c r="BD9" s="664"/>
      <c r="BE9" s="664"/>
      <c r="BF9" s="664"/>
      <c r="BG9" s="664"/>
      <c r="BH9" s="664"/>
      <c r="BI9" s="664"/>
      <c r="BJ9" s="664"/>
      <c r="BK9" s="664"/>
      <c r="BL9" s="664"/>
      <c r="BM9" s="664"/>
      <c r="BN9" s="664"/>
      <c r="BO9" s="664"/>
      <c r="BP9" s="664"/>
      <c r="BQ9" s="664"/>
      <c r="BR9" s="664"/>
      <c r="BS9" s="189">
        <f t="shared" si="4"/>
        <v>0</v>
      </c>
    </row>
    <row r="10" spans="1:256" ht="12.75">
      <c r="A10" s="1999" t="s">
        <v>78</v>
      </c>
      <c r="B10" s="190">
        <f t="shared" si="1"/>
        <v>14658.072999999999</v>
      </c>
      <c r="C10" s="664">
        <v>1191.44</v>
      </c>
      <c r="D10" s="664">
        <v>0</v>
      </c>
      <c r="E10" s="664">
        <v>617.48</v>
      </c>
      <c r="F10" s="664">
        <v>998.80499999999995</v>
      </c>
      <c r="G10" s="664">
        <v>794.61</v>
      </c>
      <c r="H10" s="664">
        <v>230.80500000000001</v>
      </c>
      <c r="I10" s="664">
        <v>0</v>
      </c>
      <c r="J10" s="664">
        <v>1537.5350000000001</v>
      </c>
      <c r="K10" s="664">
        <v>1540.4449999999999</v>
      </c>
      <c r="L10" s="664">
        <v>0</v>
      </c>
      <c r="M10" s="664">
        <v>0</v>
      </c>
      <c r="N10" s="664">
        <v>1363.3</v>
      </c>
      <c r="O10" s="664">
        <v>0</v>
      </c>
      <c r="P10" s="664">
        <v>0</v>
      </c>
      <c r="Q10" s="664">
        <v>0</v>
      </c>
      <c r="R10" s="664">
        <v>1125.03</v>
      </c>
      <c r="S10" s="664">
        <v>1258.125</v>
      </c>
      <c r="T10" s="664">
        <v>0</v>
      </c>
      <c r="U10" s="664">
        <v>566.16</v>
      </c>
      <c r="V10" s="664">
        <v>75.864999999999995</v>
      </c>
      <c r="W10" s="664">
        <v>0</v>
      </c>
      <c r="X10" s="664">
        <v>0</v>
      </c>
      <c r="Y10" s="664">
        <v>1061.645</v>
      </c>
      <c r="Z10" s="664">
        <v>1092.7829999999999</v>
      </c>
      <c r="AA10" s="664">
        <v>270.64</v>
      </c>
      <c r="AB10" s="664">
        <v>367.89</v>
      </c>
      <c r="AC10" s="664">
        <v>0</v>
      </c>
      <c r="AD10" s="664">
        <v>0</v>
      </c>
      <c r="AE10" s="664">
        <v>565.51499999999999</v>
      </c>
      <c r="AF10" s="664">
        <v>0</v>
      </c>
      <c r="AG10" s="664">
        <v>0</v>
      </c>
      <c r="AH10" s="189">
        <f t="shared" si="2"/>
        <v>14658.072999999999</v>
      </c>
      <c r="AI10" s="693"/>
      <c r="AJ10" s="693">
        <f t="shared" si="0"/>
        <v>14658.072999999999</v>
      </c>
      <c r="AL10" s="1999" t="s">
        <v>78</v>
      </c>
      <c r="AM10" s="190">
        <f t="shared" si="3"/>
        <v>0</v>
      </c>
      <c r="AN10" s="664"/>
      <c r="AO10" s="664"/>
      <c r="AP10" s="664"/>
      <c r="AQ10" s="664"/>
      <c r="AR10" s="664"/>
      <c r="AS10" s="664"/>
      <c r="AT10" s="664"/>
      <c r="AU10" s="664"/>
      <c r="AV10" s="664"/>
      <c r="AW10" s="664"/>
      <c r="AX10" s="664"/>
      <c r="AY10" s="664"/>
      <c r="AZ10" s="664"/>
      <c r="BA10" s="664"/>
      <c r="BB10" s="664"/>
      <c r="BC10" s="664"/>
      <c r="BD10" s="664"/>
      <c r="BE10" s="664"/>
      <c r="BF10" s="664"/>
      <c r="BG10" s="664"/>
      <c r="BH10" s="664"/>
      <c r="BI10" s="664"/>
      <c r="BJ10" s="664"/>
      <c r="BK10" s="664"/>
      <c r="BL10" s="664"/>
      <c r="BM10" s="664"/>
      <c r="BN10" s="664"/>
      <c r="BO10" s="664"/>
      <c r="BP10" s="664"/>
      <c r="BQ10" s="664"/>
      <c r="BR10" s="664"/>
      <c r="BS10" s="189">
        <f t="shared" si="4"/>
        <v>0</v>
      </c>
    </row>
    <row r="11" spans="1:256" ht="12.75">
      <c r="A11" s="1999" t="s">
        <v>79</v>
      </c>
      <c r="B11" s="190">
        <f t="shared" si="1"/>
        <v>6739.3379999999997</v>
      </c>
      <c r="C11" s="664">
        <v>0</v>
      </c>
      <c r="D11" s="664">
        <v>248.97800000000001</v>
      </c>
      <c r="E11" s="664">
        <v>1039.0150000000001</v>
      </c>
      <c r="F11" s="664">
        <v>603.93899999999996</v>
      </c>
      <c r="G11" s="664">
        <v>270.02999999999997</v>
      </c>
      <c r="H11" s="664">
        <v>372.56700000000001</v>
      </c>
      <c r="I11" s="664">
        <v>264.97000000000003</v>
      </c>
      <c r="J11" s="664">
        <v>414.87599999999998</v>
      </c>
      <c r="K11" s="664">
        <v>801.0200000000001</v>
      </c>
      <c r="L11" s="3233">
        <v>0</v>
      </c>
      <c r="M11" s="664">
        <v>379.1</v>
      </c>
      <c r="N11" s="664">
        <v>0</v>
      </c>
      <c r="O11" s="664">
        <v>226.965</v>
      </c>
      <c r="P11" s="664">
        <v>226.32499999999999</v>
      </c>
      <c r="Q11" s="664">
        <v>3.1949999999999998</v>
      </c>
      <c r="R11" s="664">
        <v>0</v>
      </c>
      <c r="S11" s="664">
        <v>0</v>
      </c>
      <c r="T11" s="664">
        <v>100.12</v>
      </c>
      <c r="U11" s="664">
        <v>44.53</v>
      </c>
      <c r="V11" s="664">
        <v>514</v>
      </c>
      <c r="W11" s="664">
        <v>0</v>
      </c>
      <c r="X11" s="664">
        <v>0</v>
      </c>
      <c r="Y11" s="664">
        <v>0</v>
      </c>
      <c r="Z11" s="664">
        <v>0</v>
      </c>
      <c r="AA11" s="664">
        <v>0.5</v>
      </c>
      <c r="AB11" s="664">
        <v>0</v>
      </c>
      <c r="AC11" s="664">
        <v>874.21400000000006</v>
      </c>
      <c r="AD11" s="664">
        <v>0</v>
      </c>
      <c r="AE11" s="664">
        <v>354.99400000000003</v>
      </c>
      <c r="AF11" s="664">
        <v>0</v>
      </c>
      <c r="AG11" s="664">
        <v>0</v>
      </c>
      <c r="AH11" s="189">
        <f t="shared" si="2"/>
        <v>6739.3379999999997</v>
      </c>
      <c r="AI11" s="693"/>
      <c r="AJ11" s="693">
        <f t="shared" si="0"/>
        <v>6739.3379999999997</v>
      </c>
      <c r="AL11" s="1999" t="s">
        <v>79</v>
      </c>
      <c r="AM11" s="190">
        <f t="shared" si="3"/>
        <v>0</v>
      </c>
      <c r="AN11" s="664"/>
      <c r="AO11" s="664"/>
      <c r="AP11" s="664"/>
      <c r="AQ11" s="664"/>
      <c r="AR11" s="664"/>
      <c r="AS11" s="664"/>
      <c r="AT11" s="664"/>
      <c r="AU11" s="664"/>
      <c r="AV11" s="664"/>
      <c r="AW11" s="3233"/>
      <c r="AX11" s="664"/>
      <c r="AY11" s="664"/>
      <c r="AZ11" s="664"/>
      <c r="BA11" s="664"/>
      <c r="BB11" s="664"/>
      <c r="BC11" s="664"/>
      <c r="BD11" s="664"/>
      <c r="BE11" s="664"/>
      <c r="BF11" s="664"/>
      <c r="BG11" s="664"/>
      <c r="BH11" s="664"/>
      <c r="BI11" s="664"/>
      <c r="BJ11" s="664"/>
      <c r="BK11" s="664"/>
      <c r="BL11" s="664"/>
      <c r="BM11" s="664"/>
      <c r="BN11" s="664"/>
      <c r="BO11" s="664"/>
      <c r="BP11" s="664"/>
      <c r="BQ11" s="664"/>
      <c r="BR11" s="664"/>
      <c r="BS11" s="189">
        <f t="shared" si="4"/>
        <v>0</v>
      </c>
    </row>
    <row r="12" spans="1:256" ht="12.75">
      <c r="A12" s="1999" t="s">
        <v>80</v>
      </c>
      <c r="B12" s="190">
        <f t="shared" si="1"/>
        <v>1535.5200000000002</v>
      </c>
      <c r="C12" s="277">
        <v>397.45499999999998</v>
      </c>
      <c r="D12" s="277">
        <v>0</v>
      </c>
      <c r="E12" s="277">
        <v>0</v>
      </c>
      <c r="F12" s="277">
        <v>2.423</v>
      </c>
      <c r="G12" s="277">
        <v>0</v>
      </c>
      <c r="H12" s="277">
        <v>0</v>
      </c>
      <c r="I12" s="277">
        <v>0</v>
      </c>
      <c r="J12" s="277">
        <v>0</v>
      </c>
      <c r="K12" s="277">
        <v>0</v>
      </c>
      <c r="L12" s="277">
        <v>261.85000000000002</v>
      </c>
      <c r="M12" s="277">
        <v>169.85900000000001</v>
      </c>
      <c r="N12" s="277">
        <v>97.4</v>
      </c>
      <c r="O12" s="277">
        <v>0</v>
      </c>
      <c r="P12" s="277">
        <v>26.713000000000001</v>
      </c>
      <c r="Q12" s="277">
        <v>0</v>
      </c>
      <c r="R12" s="277">
        <v>0</v>
      </c>
      <c r="S12" s="277">
        <v>0</v>
      </c>
      <c r="T12" s="277">
        <v>42.835000000000001</v>
      </c>
      <c r="U12" s="277">
        <v>192.786</v>
      </c>
      <c r="V12" s="277">
        <v>127.093</v>
      </c>
      <c r="W12" s="277">
        <v>109.575</v>
      </c>
      <c r="X12" s="277">
        <v>8.0250000000000004</v>
      </c>
      <c r="Y12" s="277">
        <v>0</v>
      </c>
      <c r="Z12" s="277">
        <v>32.820999999999998</v>
      </c>
      <c r="AA12" s="277">
        <v>0</v>
      </c>
      <c r="AB12" s="277">
        <v>66.685000000000002</v>
      </c>
      <c r="AC12" s="277">
        <v>0</v>
      </c>
      <c r="AD12" s="277">
        <v>0</v>
      </c>
      <c r="AE12" s="277">
        <v>0</v>
      </c>
      <c r="AF12" s="277">
        <v>0</v>
      </c>
      <c r="AG12" s="277">
        <v>0</v>
      </c>
      <c r="AH12" s="189">
        <f t="shared" si="2"/>
        <v>1535.5200000000002</v>
      </c>
      <c r="AI12" s="693"/>
      <c r="AJ12" s="693">
        <f t="shared" si="0"/>
        <v>1535.5200000000002</v>
      </c>
      <c r="AL12" s="1999" t="s">
        <v>80</v>
      </c>
      <c r="AM12" s="190">
        <f t="shared" si="3"/>
        <v>0</v>
      </c>
      <c r="AN12" s="277"/>
      <c r="AO12" s="277"/>
      <c r="AP12" s="277"/>
      <c r="AQ12" s="277"/>
      <c r="AR12" s="277"/>
      <c r="AS12" s="277"/>
      <c r="AT12" s="277"/>
      <c r="AU12" s="277"/>
      <c r="AV12" s="277"/>
      <c r="AW12" s="277"/>
      <c r="AX12" s="277"/>
      <c r="AY12" s="277"/>
      <c r="AZ12" s="277"/>
      <c r="BA12" s="277"/>
      <c r="BB12" s="277"/>
      <c r="BC12" s="277"/>
      <c r="BD12" s="277"/>
      <c r="BE12" s="277"/>
      <c r="BF12" s="277"/>
      <c r="BG12" s="277"/>
      <c r="BH12" s="277"/>
      <c r="BI12" s="277"/>
      <c r="BJ12" s="277"/>
      <c r="BK12" s="277"/>
      <c r="BL12" s="277"/>
      <c r="BM12" s="277"/>
      <c r="BN12" s="277"/>
      <c r="BO12" s="277"/>
      <c r="BP12" s="277"/>
      <c r="BQ12" s="277"/>
      <c r="BR12" s="277"/>
      <c r="BS12" s="189">
        <f t="shared" si="4"/>
        <v>0</v>
      </c>
    </row>
    <row r="13" spans="1:256" ht="12.75">
      <c r="A13" s="1740" t="s">
        <v>81</v>
      </c>
      <c r="B13" s="190">
        <f t="shared" si="1"/>
        <v>7906.170000000001</v>
      </c>
      <c r="C13" s="231">
        <v>0</v>
      </c>
      <c r="D13" s="231">
        <v>0</v>
      </c>
      <c r="E13" s="231">
        <v>0</v>
      </c>
      <c r="F13" s="231">
        <v>2.423</v>
      </c>
      <c r="G13" s="231">
        <v>0</v>
      </c>
      <c r="H13" s="231">
        <v>0</v>
      </c>
      <c r="I13" s="231">
        <v>0</v>
      </c>
      <c r="J13" s="231">
        <v>0</v>
      </c>
      <c r="K13" s="231">
        <v>0</v>
      </c>
      <c r="L13" s="231">
        <v>0</v>
      </c>
      <c r="M13" s="231">
        <v>117.39</v>
      </c>
      <c r="N13" s="231">
        <v>344.80099999999999</v>
      </c>
      <c r="O13" s="231">
        <v>405.84100000000001</v>
      </c>
      <c r="P13" s="231">
        <v>109.654</v>
      </c>
      <c r="Q13" s="231">
        <v>95.74</v>
      </c>
      <c r="R13" s="231">
        <v>0</v>
      </c>
      <c r="S13" s="231">
        <v>65.709000000000003</v>
      </c>
      <c r="T13" s="231">
        <v>669.76499999999999</v>
      </c>
      <c r="U13" s="231">
        <v>384.072</v>
      </c>
      <c r="V13" s="231">
        <v>890.40700000000004</v>
      </c>
      <c r="W13" s="231">
        <v>377.66500000000002</v>
      </c>
      <c r="X13" s="231">
        <v>168.75299999999999</v>
      </c>
      <c r="Y13" s="231">
        <v>509.01499999999999</v>
      </c>
      <c r="Z13" s="231">
        <v>326.39400000000001</v>
      </c>
      <c r="AA13" s="231">
        <v>792.69999999999993</v>
      </c>
      <c r="AB13" s="231">
        <v>345.40600000000001</v>
      </c>
      <c r="AC13" s="231">
        <v>70.453000000000003</v>
      </c>
      <c r="AD13" s="231">
        <v>11.99</v>
      </c>
      <c r="AE13" s="231">
        <v>203.46</v>
      </c>
      <c r="AF13" s="231">
        <v>1056.665</v>
      </c>
      <c r="AG13" s="231">
        <v>957.86700000000008</v>
      </c>
      <c r="AH13" s="189">
        <f t="shared" si="2"/>
        <v>7906.170000000001</v>
      </c>
      <c r="AI13" s="693"/>
      <c r="AJ13" s="693">
        <f t="shared" si="0"/>
        <v>7906.170000000001</v>
      </c>
      <c r="AL13" s="1740" t="s">
        <v>81</v>
      </c>
      <c r="AM13" s="190">
        <f t="shared" si="3"/>
        <v>0</v>
      </c>
      <c r="AN13" s="231"/>
      <c r="AO13" s="231"/>
      <c r="AP13" s="231"/>
      <c r="AQ13" s="231"/>
      <c r="AR13" s="231"/>
      <c r="AS13" s="231"/>
      <c r="AT13" s="231"/>
      <c r="AU13" s="231"/>
      <c r="AV13" s="231"/>
      <c r="AW13" s="231"/>
      <c r="AX13" s="231"/>
      <c r="AY13" s="231"/>
      <c r="AZ13" s="231"/>
      <c r="BA13" s="231"/>
      <c r="BB13" s="231"/>
      <c r="BC13" s="231"/>
      <c r="BD13" s="231"/>
      <c r="BE13" s="231"/>
      <c r="BF13" s="231"/>
      <c r="BG13" s="231"/>
      <c r="BH13" s="231"/>
      <c r="BI13" s="231"/>
      <c r="BJ13" s="231"/>
      <c r="BK13" s="231"/>
      <c r="BL13" s="231"/>
      <c r="BM13" s="231"/>
      <c r="BN13" s="231"/>
      <c r="BO13" s="231"/>
      <c r="BP13" s="231"/>
      <c r="BQ13" s="231"/>
      <c r="BR13" s="231"/>
      <c r="BS13" s="189">
        <f t="shared" si="4"/>
        <v>0</v>
      </c>
    </row>
    <row r="14" spans="1:256" ht="12.75">
      <c r="A14" s="1740" t="s">
        <v>82</v>
      </c>
      <c r="B14" s="190">
        <f t="shared" si="1"/>
        <v>2495.0389999999998</v>
      </c>
      <c r="C14" s="3240">
        <v>714.92600000000004</v>
      </c>
      <c r="D14" s="3240">
        <v>619.62300000000005</v>
      </c>
      <c r="E14" s="3240">
        <v>789.11500000000001</v>
      </c>
      <c r="F14" s="688">
        <v>371.375</v>
      </c>
      <c r="G14" s="688">
        <v>0</v>
      </c>
      <c r="H14" s="688">
        <v>0</v>
      </c>
      <c r="I14" s="688">
        <v>0</v>
      </c>
      <c r="J14" s="688">
        <v>0</v>
      </c>
      <c r="K14" s="688">
        <v>0</v>
      </c>
      <c r="L14" s="688">
        <v>0</v>
      </c>
      <c r="M14" s="688">
        <v>0</v>
      </c>
      <c r="N14" s="688">
        <v>0</v>
      </c>
      <c r="O14" s="688">
        <v>0</v>
      </c>
      <c r="P14" s="688">
        <v>0</v>
      </c>
      <c r="Q14" s="688">
        <v>0</v>
      </c>
      <c r="R14" s="688">
        <v>0</v>
      </c>
      <c r="S14" s="688">
        <v>0</v>
      </c>
      <c r="T14" s="688">
        <v>0</v>
      </c>
      <c r="U14" s="688">
        <v>0</v>
      </c>
      <c r="V14" s="688">
        <v>0</v>
      </c>
      <c r="W14" s="688">
        <v>0</v>
      </c>
      <c r="X14" s="688">
        <v>0</v>
      </c>
      <c r="Y14" s="688">
        <v>0</v>
      </c>
      <c r="Z14" s="688">
        <v>0</v>
      </c>
      <c r="AA14" s="688">
        <v>0</v>
      </c>
      <c r="AB14" s="688">
        <v>0</v>
      </c>
      <c r="AC14" s="688">
        <v>0</v>
      </c>
      <c r="AD14" s="688">
        <v>0</v>
      </c>
      <c r="AE14" s="688">
        <v>0</v>
      </c>
      <c r="AF14" s="688">
        <v>0</v>
      </c>
      <c r="AG14" s="688">
        <v>0</v>
      </c>
      <c r="AH14" s="189">
        <f t="shared" si="2"/>
        <v>2495.0389999999998</v>
      </c>
      <c r="AI14" s="693"/>
      <c r="AJ14" s="693">
        <f t="shared" si="0"/>
        <v>2495.0389999999998</v>
      </c>
      <c r="AK14" s="1479"/>
      <c r="AL14" s="1740" t="s">
        <v>82</v>
      </c>
      <c r="AM14" s="190">
        <f t="shared" si="3"/>
        <v>0</v>
      </c>
      <c r="AN14" s="3240"/>
      <c r="AO14" s="3240"/>
      <c r="AP14" s="3240"/>
      <c r="AQ14" s="688"/>
      <c r="AR14" s="688"/>
      <c r="AS14" s="688"/>
      <c r="AT14" s="688"/>
      <c r="AU14" s="688"/>
      <c r="AV14" s="688"/>
      <c r="AW14" s="688"/>
      <c r="AX14" s="688"/>
      <c r="AY14" s="688"/>
      <c r="AZ14" s="688"/>
      <c r="BA14" s="688"/>
      <c r="BB14" s="688"/>
      <c r="BC14" s="688"/>
      <c r="BD14" s="688"/>
      <c r="BE14" s="688"/>
      <c r="BF14" s="688"/>
      <c r="BG14" s="688"/>
      <c r="BH14" s="688"/>
      <c r="BI14" s="688"/>
      <c r="BJ14" s="688"/>
      <c r="BK14" s="688"/>
      <c r="BL14" s="688"/>
      <c r="BM14" s="688"/>
      <c r="BN14" s="688"/>
      <c r="BO14" s="688"/>
      <c r="BP14" s="688"/>
      <c r="BQ14" s="688"/>
      <c r="BR14" s="688"/>
      <c r="BS14" s="189">
        <f t="shared" si="4"/>
        <v>0</v>
      </c>
    </row>
    <row r="15" spans="1:256" ht="12.75">
      <c r="A15" s="1740" t="s">
        <v>83</v>
      </c>
      <c r="B15" s="190">
        <f t="shared" si="1"/>
        <v>7536.52</v>
      </c>
      <c r="C15" s="688">
        <v>0</v>
      </c>
      <c r="D15" s="688">
        <v>0</v>
      </c>
      <c r="E15" s="688">
        <v>0</v>
      </c>
      <c r="F15" s="688">
        <v>0</v>
      </c>
      <c r="G15" s="688">
        <v>0</v>
      </c>
      <c r="H15" s="688">
        <v>0</v>
      </c>
      <c r="I15" s="688">
        <v>0</v>
      </c>
      <c r="J15" s="688">
        <v>0</v>
      </c>
      <c r="K15" s="688">
        <v>0</v>
      </c>
      <c r="L15" s="688">
        <v>0</v>
      </c>
      <c r="M15" s="688">
        <v>0</v>
      </c>
      <c r="N15" s="688">
        <v>0</v>
      </c>
      <c r="O15" s="688">
        <v>0</v>
      </c>
      <c r="P15" s="688">
        <v>0</v>
      </c>
      <c r="Q15" s="688">
        <v>0</v>
      </c>
      <c r="R15" s="688">
        <v>0</v>
      </c>
      <c r="S15" s="688">
        <v>0</v>
      </c>
      <c r="T15" s="688">
        <v>0</v>
      </c>
      <c r="U15" s="688">
        <v>0</v>
      </c>
      <c r="V15" s="688">
        <v>0</v>
      </c>
      <c r="W15" s="688">
        <v>0</v>
      </c>
      <c r="X15" s="688">
        <v>0</v>
      </c>
      <c r="Y15" s="688">
        <v>0</v>
      </c>
      <c r="Z15" s="688">
        <v>841.42499999999995</v>
      </c>
      <c r="AA15" s="688">
        <v>1296.9849999999999</v>
      </c>
      <c r="AB15" s="688">
        <v>1196.2049999999999</v>
      </c>
      <c r="AC15" s="688">
        <v>1372.895</v>
      </c>
      <c r="AD15" s="688">
        <v>1265.5550000000001</v>
      </c>
      <c r="AE15" s="688">
        <v>0</v>
      </c>
      <c r="AF15" s="688">
        <v>1563.4549999999999</v>
      </c>
      <c r="AG15" s="688">
        <v>0</v>
      </c>
      <c r="AH15" s="189">
        <f t="shared" si="2"/>
        <v>7536.52</v>
      </c>
      <c r="AI15" s="693"/>
      <c r="AJ15" s="693">
        <f t="shared" si="0"/>
        <v>7536.52</v>
      </c>
      <c r="AK15" s="1479"/>
      <c r="AL15" s="1740" t="s">
        <v>83</v>
      </c>
      <c r="AM15" s="190">
        <f t="shared" si="3"/>
        <v>0</v>
      </c>
      <c r="AN15" s="688"/>
      <c r="AO15" s="688"/>
      <c r="AP15" s="688"/>
      <c r="AQ15" s="688"/>
      <c r="AR15" s="688"/>
      <c r="AS15" s="688"/>
      <c r="AT15" s="688"/>
      <c r="AU15" s="688"/>
      <c r="AV15" s="688"/>
      <c r="AW15" s="688"/>
      <c r="AX15" s="688"/>
      <c r="AY15" s="688"/>
      <c r="AZ15" s="688"/>
      <c r="BA15" s="688"/>
      <c r="BB15" s="688"/>
      <c r="BC15" s="688"/>
      <c r="BD15" s="688"/>
      <c r="BE15" s="688"/>
      <c r="BF15" s="688"/>
      <c r="BG15" s="688"/>
      <c r="BH15" s="688"/>
      <c r="BI15" s="688"/>
      <c r="BJ15" s="688"/>
      <c r="BK15" s="688"/>
      <c r="BL15" s="688"/>
      <c r="BM15" s="688"/>
      <c r="BN15" s="688"/>
      <c r="BO15" s="688"/>
      <c r="BP15" s="688"/>
      <c r="BQ15" s="688"/>
      <c r="BR15" s="688"/>
      <c r="BS15" s="189">
        <f t="shared" si="4"/>
        <v>0</v>
      </c>
    </row>
    <row r="16" spans="1:256" ht="12.75">
      <c r="A16" s="1740" t="s">
        <v>84</v>
      </c>
      <c r="B16" s="190">
        <f t="shared" si="1"/>
        <v>236.23</v>
      </c>
      <c r="C16" s="688">
        <v>236.23</v>
      </c>
      <c r="D16" s="688">
        <v>0</v>
      </c>
      <c r="E16" s="688">
        <v>0</v>
      </c>
      <c r="F16" s="688">
        <v>0</v>
      </c>
      <c r="G16" s="688"/>
      <c r="H16" s="688"/>
      <c r="I16" s="688"/>
      <c r="J16" s="688"/>
      <c r="K16" s="688">
        <v>0</v>
      </c>
      <c r="L16" s="688">
        <v>0</v>
      </c>
      <c r="M16" s="688">
        <v>0</v>
      </c>
      <c r="N16" s="688">
        <v>0</v>
      </c>
      <c r="O16" s="688">
        <v>0</v>
      </c>
      <c r="P16" s="688">
        <v>0</v>
      </c>
      <c r="Q16" s="688">
        <v>0</v>
      </c>
      <c r="R16" s="688">
        <v>0</v>
      </c>
      <c r="S16" s="688">
        <v>0</v>
      </c>
      <c r="T16" s="688">
        <v>0</v>
      </c>
      <c r="U16" s="688">
        <v>0</v>
      </c>
      <c r="V16" s="688">
        <v>0</v>
      </c>
      <c r="W16" s="688">
        <v>0</v>
      </c>
      <c r="X16" s="688">
        <v>0</v>
      </c>
      <c r="Y16" s="688">
        <v>0</v>
      </c>
      <c r="Z16" s="688">
        <v>0</v>
      </c>
      <c r="AA16" s="688">
        <v>0</v>
      </c>
      <c r="AB16" s="688">
        <v>0</v>
      </c>
      <c r="AC16" s="688">
        <v>0</v>
      </c>
      <c r="AD16" s="688">
        <v>0</v>
      </c>
      <c r="AE16" s="688">
        <v>0</v>
      </c>
      <c r="AF16" s="688">
        <v>0</v>
      </c>
      <c r="AG16" s="688">
        <v>0</v>
      </c>
      <c r="AH16" s="189">
        <f t="shared" si="2"/>
        <v>236.23</v>
      </c>
      <c r="AI16" s="693"/>
      <c r="AJ16" s="693">
        <f t="shared" si="0"/>
        <v>7563.0849999999991</v>
      </c>
      <c r="AK16" s="1479"/>
      <c r="AL16" s="1740" t="s">
        <v>84</v>
      </c>
      <c r="AM16" s="190">
        <f t="shared" si="3"/>
        <v>7326.8549999999996</v>
      </c>
      <c r="AN16" s="688">
        <v>236.23</v>
      </c>
      <c r="AO16" s="688">
        <v>0</v>
      </c>
      <c r="AP16" s="688">
        <v>0</v>
      </c>
      <c r="AQ16" s="688">
        <v>0</v>
      </c>
      <c r="AR16" s="688">
        <v>1613.9449999999999</v>
      </c>
      <c r="AS16" s="688">
        <v>557.36500000000001</v>
      </c>
      <c r="AT16" s="688">
        <v>1414.44</v>
      </c>
      <c r="AU16" s="688">
        <v>1173.2149999999999</v>
      </c>
      <c r="AV16" s="3264">
        <v>1283.7</v>
      </c>
      <c r="AW16" s="688">
        <v>1047.96</v>
      </c>
      <c r="AX16" s="688"/>
      <c r="AY16" s="688">
        <v>0</v>
      </c>
      <c r="AZ16" s="688">
        <v>0</v>
      </c>
      <c r="BA16" s="688">
        <v>0</v>
      </c>
      <c r="BB16" s="688">
        <v>0</v>
      </c>
      <c r="BC16" s="688">
        <v>0</v>
      </c>
      <c r="BD16" s="688">
        <v>0</v>
      </c>
      <c r="BE16" s="688">
        <v>0</v>
      </c>
      <c r="BF16" s="688">
        <v>0</v>
      </c>
      <c r="BG16" s="688">
        <v>0</v>
      </c>
      <c r="BH16" s="688">
        <v>0</v>
      </c>
      <c r="BI16" s="688">
        <v>0</v>
      </c>
      <c r="BJ16" s="688">
        <v>0</v>
      </c>
      <c r="BK16" s="688">
        <v>0</v>
      </c>
      <c r="BL16" s="688">
        <v>0</v>
      </c>
      <c r="BM16" s="688">
        <v>0</v>
      </c>
      <c r="BN16" s="688">
        <v>0</v>
      </c>
      <c r="BO16" s="688">
        <v>0</v>
      </c>
      <c r="BP16" s="688">
        <v>0</v>
      </c>
      <c r="BQ16" s="688">
        <v>0</v>
      </c>
      <c r="BR16" s="688">
        <v>0</v>
      </c>
      <c r="BS16" s="189">
        <f t="shared" si="4"/>
        <v>7326.8549999999996</v>
      </c>
    </row>
    <row r="17" spans="1:71" ht="12.75">
      <c r="A17" s="1740" t="s">
        <v>85</v>
      </c>
      <c r="B17" s="190">
        <f t="shared" si="1"/>
        <v>253.66499999999999</v>
      </c>
      <c r="C17" s="688" t="s">
        <v>111</v>
      </c>
      <c r="D17" s="688" t="s">
        <v>111</v>
      </c>
      <c r="E17" s="688" t="s">
        <v>111</v>
      </c>
      <c r="F17" s="688" t="s">
        <v>111</v>
      </c>
      <c r="G17" s="688" t="s">
        <v>111</v>
      </c>
      <c r="H17" s="688" t="s">
        <v>111</v>
      </c>
      <c r="I17" s="688" t="s">
        <v>111</v>
      </c>
      <c r="J17" s="688" t="s">
        <v>111</v>
      </c>
      <c r="K17" s="688" t="s">
        <v>111</v>
      </c>
      <c r="L17" s="688" t="s">
        <v>111</v>
      </c>
      <c r="M17" s="688" t="s">
        <v>111</v>
      </c>
      <c r="N17" s="688" t="s">
        <v>111</v>
      </c>
      <c r="O17" s="688" t="s">
        <v>111</v>
      </c>
      <c r="P17" s="688" t="s">
        <v>111</v>
      </c>
      <c r="Q17" s="688" t="s">
        <v>111</v>
      </c>
      <c r="R17" s="688" t="s">
        <v>111</v>
      </c>
      <c r="S17" s="688" t="s">
        <v>111</v>
      </c>
      <c r="T17" s="688" t="s">
        <v>111</v>
      </c>
      <c r="U17" s="688" t="s">
        <v>111</v>
      </c>
      <c r="V17" s="688" t="s">
        <v>111</v>
      </c>
      <c r="W17" s="688" t="s">
        <v>111</v>
      </c>
      <c r="X17" s="688" t="s">
        <v>111</v>
      </c>
      <c r="Y17" s="688" t="s">
        <v>111</v>
      </c>
      <c r="Z17" s="688" t="s">
        <v>111</v>
      </c>
      <c r="AA17" s="688" t="s">
        <v>111</v>
      </c>
      <c r="AB17" s="688" t="s">
        <v>111</v>
      </c>
      <c r="AC17" s="688" t="s">
        <v>111</v>
      </c>
      <c r="AD17" s="688" t="s">
        <v>111</v>
      </c>
      <c r="AE17" s="688" t="s">
        <v>111</v>
      </c>
      <c r="AF17" s="688">
        <v>253.66499999999999</v>
      </c>
      <c r="AG17" s="688" t="s">
        <v>111</v>
      </c>
      <c r="AH17" s="189">
        <f t="shared" si="2"/>
        <v>253.66499999999999</v>
      </c>
      <c r="AI17" s="693"/>
      <c r="AJ17" s="693">
        <f t="shared" si="0"/>
        <v>253.66499999999999</v>
      </c>
      <c r="AK17" s="1479"/>
      <c r="AL17" s="1740" t="s">
        <v>85</v>
      </c>
      <c r="AM17" s="190">
        <f t="shared" si="3"/>
        <v>0</v>
      </c>
      <c r="AN17" s="688" t="s">
        <v>111</v>
      </c>
      <c r="AO17" s="688" t="s">
        <v>111</v>
      </c>
      <c r="AP17" s="688" t="s">
        <v>111</v>
      </c>
      <c r="AQ17" s="688" t="s">
        <v>111</v>
      </c>
      <c r="AR17" s="688" t="s">
        <v>111</v>
      </c>
      <c r="AS17" s="688" t="s">
        <v>111</v>
      </c>
      <c r="AT17" s="688" t="s">
        <v>111</v>
      </c>
      <c r="AU17" s="688" t="s">
        <v>111</v>
      </c>
      <c r="AV17" s="688" t="s">
        <v>111</v>
      </c>
      <c r="AW17" s="688" t="s">
        <v>111</v>
      </c>
      <c r="AX17" s="688" t="s">
        <v>111</v>
      </c>
      <c r="AY17" s="688" t="s">
        <v>111</v>
      </c>
      <c r="AZ17" s="688" t="s">
        <v>111</v>
      </c>
      <c r="BA17" s="688" t="s">
        <v>111</v>
      </c>
      <c r="BB17" s="688" t="s">
        <v>111</v>
      </c>
      <c r="BC17" s="688" t="s">
        <v>111</v>
      </c>
      <c r="BD17" s="688" t="s">
        <v>111</v>
      </c>
      <c r="BE17" s="688" t="s">
        <v>111</v>
      </c>
      <c r="BF17" s="688" t="s">
        <v>111</v>
      </c>
      <c r="BG17" s="688" t="s">
        <v>111</v>
      </c>
      <c r="BH17" s="688" t="s">
        <v>111</v>
      </c>
      <c r="BI17" s="688" t="s">
        <v>111</v>
      </c>
      <c r="BJ17" s="688" t="s">
        <v>111</v>
      </c>
      <c r="BK17" s="688" t="s">
        <v>111</v>
      </c>
      <c r="BL17" s="688" t="s">
        <v>111</v>
      </c>
      <c r="BM17" s="688" t="s">
        <v>111</v>
      </c>
      <c r="BN17" s="688" t="s">
        <v>111</v>
      </c>
      <c r="BO17" s="688" t="s">
        <v>111</v>
      </c>
      <c r="BP17" s="688" t="s">
        <v>111</v>
      </c>
      <c r="BQ17" s="688" t="s">
        <v>111</v>
      </c>
      <c r="BR17" s="688" t="s">
        <v>111</v>
      </c>
      <c r="BS17" s="189">
        <f t="shared" si="4"/>
        <v>0</v>
      </c>
    </row>
    <row r="18" spans="1:71" ht="12.75">
      <c r="A18" s="1740" t="s">
        <v>86</v>
      </c>
      <c r="B18" s="190">
        <f t="shared" si="1"/>
        <v>873.4559999999999</v>
      </c>
      <c r="C18" s="688" t="s">
        <v>111</v>
      </c>
      <c r="D18" s="688">
        <v>34.549999999999997</v>
      </c>
      <c r="E18" s="688">
        <v>491.61599999999999</v>
      </c>
      <c r="F18" s="688">
        <v>268.60000000000002</v>
      </c>
      <c r="G18" s="688" t="s">
        <v>111</v>
      </c>
      <c r="H18" s="688" t="s">
        <v>111</v>
      </c>
      <c r="I18" s="688" t="s">
        <v>111</v>
      </c>
      <c r="J18" s="688" t="s">
        <v>111</v>
      </c>
      <c r="K18" s="688">
        <v>74.650000000000006</v>
      </c>
      <c r="L18" s="688">
        <v>3.92</v>
      </c>
      <c r="M18" s="688" t="s">
        <v>111</v>
      </c>
      <c r="N18" s="688" t="s">
        <v>111</v>
      </c>
      <c r="O18" s="688" t="s">
        <v>111</v>
      </c>
      <c r="P18" s="688" t="s">
        <v>111</v>
      </c>
      <c r="Q18" s="688" t="s">
        <v>111</v>
      </c>
      <c r="R18" s="688" t="s">
        <v>111</v>
      </c>
      <c r="S18" s="688">
        <v>0.12</v>
      </c>
      <c r="T18" s="688" t="s">
        <v>111</v>
      </c>
      <c r="U18" s="688" t="s">
        <v>111</v>
      </c>
      <c r="V18" s="688"/>
      <c r="W18" s="688" t="s">
        <v>111</v>
      </c>
      <c r="X18" s="688" t="s">
        <v>111</v>
      </c>
      <c r="Y18" s="688" t="s">
        <v>111</v>
      </c>
      <c r="Z18" s="688" t="s">
        <v>111</v>
      </c>
      <c r="AA18" s="688" t="s">
        <v>111</v>
      </c>
      <c r="AB18" s="688" t="s">
        <v>111</v>
      </c>
      <c r="AC18" s="688" t="s">
        <v>111</v>
      </c>
      <c r="AD18" s="688" t="s">
        <v>111</v>
      </c>
      <c r="AE18" s="688" t="s">
        <v>111</v>
      </c>
      <c r="AF18" s="688" t="s">
        <v>111</v>
      </c>
      <c r="AG18" s="688" t="s">
        <v>111</v>
      </c>
      <c r="AH18" s="189">
        <f t="shared" si="2"/>
        <v>873.4559999999999</v>
      </c>
      <c r="AI18" s="693"/>
      <c r="AJ18" s="693">
        <f t="shared" si="0"/>
        <v>873.4559999999999</v>
      </c>
      <c r="AK18" s="1479"/>
      <c r="AL18" s="1740" t="s">
        <v>86</v>
      </c>
      <c r="AM18" s="190">
        <f t="shared" si="3"/>
        <v>0</v>
      </c>
      <c r="AN18" s="688" t="s">
        <v>111</v>
      </c>
      <c r="AO18" s="688" t="s">
        <v>111</v>
      </c>
      <c r="AP18" s="688" t="s">
        <v>111</v>
      </c>
      <c r="AQ18" s="688" t="s">
        <v>111</v>
      </c>
      <c r="AR18" s="688" t="s">
        <v>111</v>
      </c>
      <c r="AS18" s="688" t="s">
        <v>111</v>
      </c>
      <c r="AT18" s="688" t="s">
        <v>111</v>
      </c>
      <c r="AU18" s="688" t="s">
        <v>111</v>
      </c>
      <c r="AV18" s="688" t="s">
        <v>111</v>
      </c>
      <c r="AW18" s="688" t="s">
        <v>111</v>
      </c>
      <c r="AX18" s="688" t="s">
        <v>111</v>
      </c>
      <c r="AY18" s="688" t="s">
        <v>111</v>
      </c>
      <c r="AZ18" s="688" t="s">
        <v>111</v>
      </c>
      <c r="BA18" s="688" t="s">
        <v>111</v>
      </c>
      <c r="BB18" s="688" t="s">
        <v>111</v>
      </c>
      <c r="BC18" s="688" t="s">
        <v>111</v>
      </c>
      <c r="BD18" s="688" t="s">
        <v>111</v>
      </c>
      <c r="BE18" s="688" t="s">
        <v>111</v>
      </c>
      <c r="BF18" s="688" t="s">
        <v>111</v>
      </c>
      <c r="BG18" s="688" t="s">
        <v>111</v>
      </c>
      <c r="BH18" s="688" t="s">
        <v>111</v>
      </c>
      <c r="BI18" s="688" t="s">
        <v>111</v>
      </c>
      <c r="BJ18" s="688" t="s">
        <v>111</v>
      </c>
      <c r="BK18" s="688" t="s">
        <v>111</v>
      </c>
      <c r="BL18" s="688" t="s">
        <v>111</v>
      </c>
      <c r="BM18" s="688" t="s">
        <v>111</v>
      </c>
      <c r="BN18" s="688" t="s">
        <v>111</v>
      </c>
      <c r="BO18" s="688" t="s">
        <v>111</v>
      </c>
      <c r="BP18" s="688" t="s">
        <v>111</v>
      </c>
      <c r="BQ18" s="688" t="s">
        <v>111</v>
      </c>
      <c r="BR18" s="688" t="s">
        <v>111</v>
      </c>
      <c r="BS18" s="189">
        <f t="shared" si="4"/>
        <v>0</v>
      </c>
    </row>
    <row r="19" spans="1:71" ht="12.75">
      <c r="A19" s="665" t="s">
        <v>74</v>
      </c>
      <c r="B19" s="666">
        <f>SUM(B7:B18)</f>
        <v>85129.831000000006</v>
      </c>
      <c r="C19" s="189"/>
      <c r="D19" s="189"/>
      <c r="E19" s="189"/>
      <c r="F19" s="189"/>
      <c r="G19" s="189"/>
      <c r="H19" s="189"/>
      <c r="I19" s="189"/>
      <c r="J19" s="189"/>
      <c r="K19" s="189"/>
      <c r="L19" s="189"/>
      <c r="M19" s="189"/>
      <c r="N19" s="189"/>
      <c r="O19" s="189"/>
      <c r="P19" s="189"/>
      <c r="Q19" s="189"/>
      <c r="R19" s="189"/>
      <c r="S19" s="189"/>
      <c r="T19" s="189"/>
      <c r="U19" s="189"/>
      <c r="V19" s="189"/>
      <c r="W19" s="189"/>
      <c r="X19" s="189"/>
      <c r="Y19" s="189"/>
      <c r="Z19" s="189"/>
      <c r="AA19" s="189"/>
      <c r="AB19" s="189"/>
      <c r="AC19" s="189"/>
      <c r="AD19" s="189"/>
      <c r="AE19" s="189"/>
      <c r="AF19" s="189"/>
      <c r="AG19" s="189"/>
      <c r="AH19" s="189">
        <f>SUM(AH7:AH18)</f>
        <v>85129.831000000006</v>
      </c>
      <c r="AI19" s="693"/>
      <c r="AJ19" s="693">
        <f t="shared" si="0"/>
        <v>92456.686000000002</v>
      </c>
      <c r="AK19" s="1479"/>
      <c r="AL19" s="665" t="s">
        <v>74</v>
      </c>
      <c r="AM19" s="666">
        <f>SUM(AM7:AM18)</f>
        <v>7326.8549999999996</v>
      </c>
      <c r="AN19" s="189"/>
      <c r="AO19" s="189"/>
      <c r="AP19" s="189"/>
      <c r="AQ19" s="189"/>
      <c r="AR19" s="189"/>
      <c r="AS19" s="189"/>
      <c r="AT19" s="189"/>
      <c r="AU19" s="189"/>
      <c r="AV19" s="189"/>
      <c r="AW19" s="189"/>
      <c r="AX19" s="189"/>
      <c r="AY19" s="189"/>
      <c r="AZ19" s="189"/>
      <c r="BA19" s="189"/>
      <c r="BB19" s="189"/>
      <c r="BC19" s="189"/>
      <c r="BD19" s="189"/>
      <c r="BE19" s="189"/>
      <c r="BF19" s="189"/>
      <c r="BG19" s="189"/>
      <c r="BH19" s="189"/>
      <c r="BI19" s="189"/>
      <c r="BJ19" s="189"/>
      <c r="BK19" s="189"/>
      <c r="BL19" s="189"/>
      <c r="BM19" s="189"/>
      <c r="BN19" s="189"/>
      <c r="BO19" s="189"/>
      <c r="BP19" s="189"/>
      <c r="BQ19" s="189"/>
      <c r="BR19" s="189"/>
      <c r="BS19" s="189">
        <f>SUM(BS7:BS18)</f>
        <v>7326.8549999999996</v>
      </c>
    </row>
    <row r="20" spans="1:71" ht="13.5">
      <c r="A20" s="177"/>
      <c r="B20" s="661"/>
      <c r="C20" s="654"/>
      <c r="D20" s="3362"/>
      <c r="E20" s="193"/>
      <c r="F20" s="193"/>
      <c r="G20" s="193"/>
      <c r="H20" s="193"/>
      <c r="I20" s="193"/>
      <c r="J20" s="193"/>
      <c r="K20" s="193"/>
      <c r="L20" s="193"/>
      <c r="M20" s="193"/>
      <c r="N20" s="193"/>
      <c r="O20" s="193"/>
      <c r="P20" s="193"/>
      <c r="Q20" s="193"/>
      <c r="R20" s="193"/>
      <c r="S20" s="193"/>
      <c r="T20" s="193"/>
      <c r="U20" s="193"/>
      <c r="V20" s="193"/>
      <c r="W20" s="193"/>
      <c r="X20" s="193"/>
      <c r="Y20" s="193"/>
      <c r="Z20" s="193"/>
      <c r="AA20" s="193"/>
      <c r="AB20" s="193"/>
      <c r="AC20" s="193"/>
      <c r="AD20" s="193"/>
      <c r="AE20" s="193"/>
      <c r="AF20" s="193"/>
      <c r="AG20" s="193"/>
      <c r="AH20" s="654"/>
      <c r="AI20" s="654"/>
      <c r="AJ20" s="654"/>
      <c r="AK20" s="1480"/>
      <c r="AL20" s="1393" t="s">
        <v>1166</v>
      </c>
      <c r="AM20" s="1393">
        <v>8050</v>
      </c>
      <c r="AN20" s="1480"/>
      <c r="AO20" s="1480"/>
      <c r="AP20" s="1480"/>
      <c r="AQ20" s="1480"/>
      <c r="AR20" s="1480"/>
      <c r="AS20" s="1480"/>
      <c r="AT20" s="1480"/>
      <c r="AU20" s="1480"/>
      <c r="AV20" s="1480"/>
      <c r="AW20" s="1480"/>
      <c r="AX20" s="1480"/>
      <c r="AY20" s="1480"/>
      <c r="AZ20" s="1480"/>
      <c r="BA20" s="1481"/>
    </row>
    <row r="21" spans="1:71" ht="13.5">
      <c r="A21" s="3605" t="s">
        <v>87</v>
      </c>
      <c r="B21" s="3606"/>
      <c r="C21" s="3607"/>
      <c r="D21" s="193"/>
      <c r="E21" s="193"/>
      <c r="F21" s="193"/>
      <c r="G21" s="193"/>
      <c r="H21" s="193"/>
      <c r="I21" s="1478"/>
      <c r="J21" s="193"/>
      <c r="K21" s="193"/>
      <c r="L21" s="193"/>
      <c r="M21" s="193"/>
      <c r="N21" s="193"/>
      <c r="O21" s="193"/>
      <c r="P21" s="193"/>
      <c r="Q21" s="193"/>
      <c r="R21" s="193"/>
      <c r="S21" s="193"/>
      <c r="T21" s="193"/>
      <c r="U21" s="193"/>
      <c r="V21" s="193"/>
      <c r="W21" s="193"/>
      <c r="X21" s="193"/>
      <c r="Y21" s="193"/>
      <c r="Z21" s="193"/>
      <c r="AA21" s="193"/>
      <c r="AB21" s="193"/>
      <c r="AC21" s="193"/>
      <c r="AD21" s="193"/>
      <c r="AE21" s="193"/>
      <c r="AF21" s="193"/>
      <c r="AG21" s="193"/>
      <c r="AH21" s="654"/>
      <c r="AI21" s="654"/>
      <c r="AJ21" s="654"/>
      <c r="AL21" s="3320" t="s">
        <v>478</v>
      </c>
      <c r="AM21" s="3320">
        <f>+AM20-AM19</f>
        <v>723.14500000000044</v>
      </c>
      <c r="AN21" s="3321"/>
    </row>
    <row r="22" spans="1:71" ht="12.75">
      <c r="A22" s="178" t="s">
        <v>72</v>
      </c>
      <c r="B22" s="190" t="s">
        <v>73</v>
      </c>
      <c r="C22" s="662">
        <v>1</v>
      </c>
      <c r="D22" s="663">
        <v>2</v>
      </c>
      <c r="E22" s="663">
        <v>3</v>
      </c>
      <c r="F22" s="663">
        <v>4</v>
      </c>
      <c r="G22" s="663">
        <v>5</v>
      </c>
      <c r="H22" s="663">
        <v>6</v>
      </c>
      <c r="I22" s="663">
        <v>7</v>
      </c>
      <c r="J22" s="663">
        <v>8</v>
      </c>
      <c r="K22" s="663">
        <v>9</v>
      </c>
      <c r="L22" s="663">
        <v>10</v>
      </c>
      <c r="M22" s="663">
        <v>11</v>
      </c>
      <c r="N22" s="663">
        <v>12</v>
      </c>
      <c r="O22" s="663">
        <v>13</v>
      </c>
      <c r="P22" s="663">
        <v>14</v>
      </c>
      <c r="Q22" s="663">
        <v>15</v>
      </c>
      <c r="R22" s="663">
        <v>16</v>
      </c>
      <c r="S22" s="663">
        <v>17</v>
      </c>
      <c r="T22" s="663">
        <v>18</v>
      </c>
      <c r="U22" s="663">
        <v>19</v>
      </c>
      <c r="V22" s="663">
        <v>20</v>
      </c>
      <c r="W22" s="663">
        <v>21</v>
      </c>
      <c r="X22" s="663">
        <v>22</v>
      </c>
      <c r="Y22" s="663">
        <v>23</v>
      </c>
      <c r="Z22" s="663">
        <v>24</v>
      </c>
      <c r="AA22" s="663">
        <v>25</v>
      </c>
      <c r="AB22" s="663">
        <v>26</v>
      </c>
      <c r="AC22" s="663">
        <v>27</v>
      </c>
      <c r="AD22" s="663">
        <v>28</v>
      </c>
      <c r="AE22" s="663">
        <v>29</v>
      </c>
      <c r="AF22" s="663">
        <v>30</v>
      </c>
      <c r="AG22" s="663">
        <v>31</v>
      </c>
      <c r="AH22" s="189" t="s">
        <v>74</v>
      </c>
      <c r="AI22" s="693"/>
      <c r="AJ22" s="693"/>
    </row>
    <row r="23" spans="1:71" ht="12.75">
      <c r="A23" s="1999"/>
      <c r="B23" s="190"/>
      <c r="C23" s="1931"/>
      <c r="D23" s="1931"/>
      <c r="E23" s="1931"/>
      <c r="F23" s="1931"/>
      <c r="G23" s="1931"/>
      <c r="H23" s="1931"/>
      <c r="I23" s="1931"/>
      <c r="J23" s="1931"/>
      <c r="K23" s="1931"/>
      <c r="L23" s="1931"/>
      <c r="M23" s="1931"/>
      <c r="N23" s="1931"/>
      <c r="O23" s="1931"/>
      <c r="P23" s="1931"/>
      <c r="Q23" s="1931"/>
      <c r="R23" s="1931"/>
      <c r="S23" s="1931"/>
      <c r="T23" s="1931"/>
      <c r="U23" s="1931"/>
      <c r="V23" s="2441"/>
      <c r="W23" s="1931"/>
      <c r="X23" s="1931"/>
      <c r="Y23" s="1931"/>
      <c r="Z23" s="1931"/>
      <c r="AA23" s="1931"/>
      <c r="AB23" s="1931"/>
      <c r="AC23" s="1931"/>
      <c r="AD23" s="1931"/>
      <c r="AE23" s="1931"/>
      <c r="AF23" s="1932"/>
      <c r="AG23" s="673"/>
      <c r="AH23" s="189">
        <f t="shared" ref="AH23:AH28" si="5">SUM(C23:AG23)</f>
        <v>0</v>
      </c>
      <c r="AI23" s="693"/>
      <c r="AJ23" s="693"/>
    </row>
    <row r="24" spans="1:71" ht="12.75">
      <c r="A24" s="1999" t="s">
        <v>75</v>
      </c>
      <c r="B24" s="190">
        <f t="shared" ref="B24:B35" si="6">SUM(AH24)</f>
        <v>3742.3849999999998</v>
      </c>
      <c r="C24" s="667"/>
      <c r="D24" s="668"/>
      <c r="E24" s="669"/>
      <c r="F24" s="437"/>
      <c r="G24" s="670"/>
      <c r="H24" s="671"/>
      <c r="I24" s="437"/>
      <c r="J24" s="668">
        <v>133.70999999999998</v>
      </c>
      <c r="K24" s="668">
        <v>113.4</v>
      </c>
      <c r="L24" s="668">
        <v>86.134999999999991</v>
      </c>
      <c r="M24" s="668">
        <v>436.65499999999992</v>
      </c>
      <c r="N24" s="672">
        <v>242.56500000000003</v>
      </c>
      <c r="O24" s="668"/>
      <c r="P24" s="673"/>
      <c r="Q24" s="673">
        <v>295.33499999999998</v>
      </c>
      <c r="R24" s="437">
        <v>217.67500000000001</v>
      </c>
      <c r="S24" s="437">
        <v>338.96500000000003</v>
      </c>
      <c r="T24" s="437">
        <v>134.16999999999999</v>
      </c>
      <c r="U24" s="437">
        <v>384.45499999999998</v>
      </c>
      <c r="V24" s="437">
        <v>78.344999999999999</v>
      </c>
      <c r="W24" s="437">
        <v>237.80499999999998</v>
      </c>
      <c r="X24" s="437">
        <v>255.32</v>
      </c>
      <c r="Y24" s="437">
        <v>184.48999999999998</v>
      </c>
      <c r="Z24" s="437">
        <v>439.08499999999998</v>
      </c>
      <c r="AA24" s="437">
        <v>138.35</v>
      </c>
      <c r="AB24" s="437">
        <v>0.1</v>
      </c>
      <c r="AC24" s="437"/>
      <c r="AD24" s="437"/>
      <c r="AE24" s="438">
        <v>0.3</v>
      </c>
      <c r="AF24" s="438"/>
      <c r="AG24" s="438">
        <v>25.525000000000002</v>
      </c>
      <c r="AH24" s="189">
        <f t="shared" si="5"/>
        <v>3742.3849999999998</v>
      </c>
      <c r="AI24" s="693"/>
      <c r="AJ24" s="693"/>
    </row>
    <row r="25" spans="1:71" ht="12.75">
      <c r="A25" s="1999" t="s">
        <v>76</v>
      </c>
      <c r="B25" s="190">
        <f t="shared" si="6"/>
        <v>242.65100000000004</v>
      </c>
      <c r="C25" s="674"/>
      <c r="D25" s="675">
        <v>0.01</v>
      </c>
      <c r="E25" s="675"/>
      <c r="F25" s="675"/>
      <c r="G25" s="676"/>
      <c r="H25" s="675">
        <v>86.18</v>
      </c>
      <c r="I25" s="675">
        <v>150.74600000000001</v>
      </c>
      <c r="J25" s="673">
        <v>3.0350000000000001</v>
      </c>
      <c r="K25" s="673">
        <v>0.03</v>
      </c>
      <c r="L25" s="673"/>
      <c r="M25" s="673"/>
      <c r="N25" s="667"/>
      <c r="O25" s="667"/>
      <c r="P25" s="677"/>
      <c r="Q25" s="677"/>
      <c r="R25" s="638">
        <v>0.1</v>
      </c>
      <c r="S25" s="677"/>
      <c r="T25" s="677"/>
      <c r="U25" s="677"/>
      <c r="V25" s="675"/>
      <c r="W25" s="677"/>
      <c r="X25" s="677">
        <v>0.09</v>
      </c>
      <c r="Y25" s="677">
        <v>0.3</v>
      </c>
      <c r="Z25" s="677"/>
      <c r="AA25" s="677"/>
      <c r="AB25" s="675">
        <v>0.02</v>
      </c>
      <c r="AC25" s="675"/>
      <c r="AD25" s="668">
        <v>2.14</v>
      </c>
      <c r="AE25" s="675"/>
      <c r="AF25" s="678"/>
      <c r="AG25" s="678"/>
      <c r="AH25" s="189">
        <f t="shared" si="5"/>
        <v>242.65100000000004</v>
      </c>
      <c r="AI25" s="693"/>
      <c r="AJ25" s="693"/>
    </row>
    <row r="26" spans="1:71" ht="12.75">
      <c r="A26" s="1999" t="s">
        <v>77</v>
      </c>
      <c r="B26" s="190">
        <f t="shared" si="6"/>
        <v>932.72499999999991</v>
      </c>
      <c r="C26" s="672"/>
      <c r="D26" s="167"/>
      <c r="E26" s="679"/>
      <c r="F26" s="671"/>
      <c r="G26" s="675">
        <v>124.16</v>
      </c>
      <c r="H26" s="679">
        <v>147.45499999999998</v>
      </c>
      <c r="I26" s="679">
        <v>174.685</v>
      </c>
      <c r="J26" s="675">
        <v>60.92</v>
      </c>
      <c r="K26" s="675"/>
      <c r="L26" s="668"/>
      <c r="M26" s="678"/>
      <c r="N26" s="679"/>
      <c r="O26" s="679">
        <v>164.81</v>
      </c>
      <c r="P26" s="679">
        <v>138.95499999999998</v>
      </c>
      <c r="Q26" s="679">
        <v>62.07</v>
      </c>
      <c r="R26" s="675"/>
      <c r="S26" s="675"/>
      <c r="T26" s="675"/>
      <c r="U26" s="667">
        <v>56.91</v>
      </c>
      <c r="V26" s="1963"/>
      <c r="W26" s="675"/>
      <c r="X26" s="675"/>
      <c r="Y26" s="675"/>
      <c r="Z26" s="675"/>
      <c r="AA26" s="668">
        <v>0.02</v>
      </c>
      <c r="AB26" s="675"/>
      <c r="AC26" s="679"/>
      <c r="AD26" s="679">
        <v>0.4</v>
      </c>
      <c r="AE26" s="675"/>
      <c r="AF26" s="678"/>
      <c r="AG26" s="678">
        <v>2.34</v>
      </c>
      <c r="AH26" s="189">
        <f t="shared" si="5"/>
        <v>932.72499999999991</v>
      </c>
      <c r="AI26" s="693"/>
      <c r="AJ26" s="693"/>
    </row>
    <row r="27" spans="1:71" ht="12.75">
      <c r="A27" s="1999" t="s">
        <v>78</v>
      </c>
      <c r="B27" s="190">
        <f t="shared" si="6"/>
        <v>4.6260000000000003</v>
      </c>
      <c r="C27" s="667"/>
      <c r="D27" s="678"/>
      <c r="E27" s="679"/>
      <c r="F27" s="675"/>
      <c r="G27" s="679"/>
      <c r="H27" s="679"/>
      <c r="I27" s="675"/>
      <c r="J27" s="679"/>
      <c r="K27" s="679"/>
      <c r="L27" s="679"/>
      <c r="M27" s="675">
        <v>1.5</v>
      </c>
      <c r="N27" s="675"/>
      <c r="O27" s="679"/>
      <c r="P27" s="668"/>
      <c r="Q27" s="678"/>
      <c r="R27" s="675"/>
      <c r="S27" s="675"/>
      <c r="T27" s="679"/>
      <c r="U27" s="668"/>
      <c r="V27" s="668">
        <v>0.1</v>
      </c>
      <c r="W27" s="668"/>
      <c r="X27" s="668"/>
      <c r="Y27" s="668"/>
      <c r="Z27" s="679">
        <v>0.01</v>
      </c>
      <c r="AA27" s="679"/>
      <c r="AB27" s="679">
        <v>1.7999999999999999E-2</v>
      </c>
      <c r="AC27" s="679">
        <v>0.25</v>
      </c>
      <c r="AD27" s="675"/>
      <c r="AE27" s="679"/>
      <c r="AF27" s="675">
        <v>2.7480000000000002</v>
      </c>
      <c r="AG27" s="667"/>
      <c r="AH27" s="189">
        <f t="shared" si="5"/>
        <v>4.6260000000000003</v>
      </c>
      <c r="AI27" s="693"/>
      <c r="AJ27" s="693"/>
    </row>
    <row r="28" spans="1:71" ht="12.75">
      <c r="A28" s="1999" t="s">
        <v>79</v>
      </c>
      <c r="B28" s="190">
        <f t="shared" si="6"/>
        <v>2608.6170000000006</v>
      </c>
      <c r="C28" s="668"/>
      <c r="D28" s="675"/>
      <c r="E28" s="679"/>
      <c r="F28" s="675">
        <v>103.66500000000001</v>
      </c>
      <c r="G28" s="679"/>
      <c r="H28" s="679"/>
      <c r="I28" s="3128">
        <v>60.414999999999999</v>
      </c>
      <c r="J28" s="667">
        <v>237.26499999999999</v>
      </c>
      <c r="K28" s="668">
        <v>157.98000000000002</v>
      </c>
      <c r="L28" s="668">
        <v>435.505</v>
      </c>
      <c r="M28" s="679">
        <v>223.38499999999999</v>
      </c>
      <c r="N28" s="679"/>
      <c r="O28" s="679">
        <v>125.72</v>
      </c>
      <c r="P28" s="679">
        <v>80.69</v>
      </c>
      <c r="Q28" s="679">
        <v>236.41000000000003</v>
      </c>
      <c r="R28" s="679">
        <v>202.53</v>
      </c>
      <c r="S28" s="679">
        <v>154.51999999999998</v>
      </c>
      <c r="T28" s="679">
        <v>49.5</v>
      </c>
      <c r="U28" s="679">
        <v>148.935</v>
      </c>
      <c r="V28" s="679">
        <v>282.125</v>
      </c>
      <c r="W28" s="679">
        <v>88.15</v>
      </c>
      <c r="X28" s="679">
        <v>0.03</v>
      </c>
      <c r="Y28" s="679"/>
      <c r="Z28" s="679"/>
      <c r="AA28" s="679"/>
      <c r="AB28" s="679"/>
      <c r="AC28" s="679">
        <v>19.361999999999998</v>
      </c>
      <c r="AD28" s="679"/>
      <c r="AE28" s="679"/>
      <c r="AF28" s="679">
        <v>0.26</v>
      </c>
      <c r="AG28" s="667">
        <v>2.17</v>
      </c>
      <c r="AH28" s="189">
        <f t="shared" si="5"/>
        <v>2608.6170000000006</v>
      </c>
      <c r="AI28" s="693"/>
      <c r="AJ28" s="693"/>
    </row>
    <row r="29" spans="1:71" ht="12.75">
      <c r="A29" s="1999" t="s">
        <v>80</v>
      </c>
      <c r="B29" s="190">
        <f t="shared" si="6"/>
        <v>776.27</v>
      </c>
      <c r="C29" s="872"/>
      <c r="D29" s="678">
        <v>79.825000000000003</v>
      </c>
      <c r="E29" s="678">
        <v>141.13</v>
      </c>
      <c r="F29" s="869">
        <v>87.759999999999991</v>
      </c>
      <c r="G29" s="679">
        <v>288.17</v>
      </c>
      <c r="H29" s="679"/>
      <c r="I29" s="678">
        <v>102.48000000000002</v>
      </c>
      <c r="J29" s="668"/>
      <c r="K29" s="678"/>
      <c r="L29" s="678">
        <v>2.1</v>
      </c>
      <c r="M29" s="678"/>
      <c r="N29" s="871"/>
      <c r="O29" s="679"/>
      <c r="P29" s="667">
        <v>74.734999999999999</v>
      </c>
      <c r="Q29" s="667"/>
      <c r="R29" s="667"/>
      <c r="S29" s="679"/>
      <c r="T29" s="679"/>
      <c r="U29" s="679"/>
      <c r="V29" s="679"/>
      <c r="W29" s="679"/>
      <c r="X29" s="679"/>
      <c r="Y29" s="679">
        <v>0.01</v>
      </c>
      <c r="Z29" s="679"/>
      <c r="AA29" s="679"/>
      <c r="AB29" s="679"/>
      <c r="AC29" s="679"/>
      <c r="AD29" s="679"/>
      <c r="AE29" s="679"/>
      <c r="AF29" s="679">
        <v>0.06</v>
      </c>
      <c r="AG29" s="679"/>
      <c r="AH29" s="189">
        <f t="shared" ref="AH29:AH35" si="7">SUM(C29:AG29)</f>
        <v>776.27</v>
      </c>
      <c r="AI29" s="693"/>
      <c r="AJ29" s="693"/>
    </row>
    <row r="30" spans="1:71" ht="12.75">
      <c r="A30" s="1740" t="s">
        <v>81</v>
      </c>
      <c r="B30" s="190">
        <f t="shared" si="6"/>
        <v>0.64</v>
      </c>
      <c r="C30" s="3235"/>
      <c r="D30" s="3236"/>
      <c r="E30" s="3235"/>
      <c r="F30" s="3237"/>
      <c r="G30" s="3235"/>
      <c r="H30" s="3235"/>
      <c r="I30" s="3235"/>
      <c r="J30" s="1481"/>
      <c r="K30" s="3235"/>
      <c r="L30" s="3235"/>
      <c r="M30" s="3235"/>
      <c r="N30" s="3238"/>
      <c r="O30" s="3235"/>
      <c r="P30" s="3235"/>
      <c r="Q30" s="3235"/>
      <c r="R30" s="3235"/>
      <c r="S30" s="3239"/>
      <c r="T30" s="3239"/>
      <c r="U30" s="3239"/>
      <c r="V30" s="3239"/>
      <c r="W30" s="3235"/>
      <c r="X30" s="3235"/>
      <c r="Y30" s="3235"/>
      <c r="Z30" s="3235"/>
      <c r="AA30" s="3234"/>
      <c r="AB30" s="3234"/>
      <c r="AC30" s="3234"/>
      <c r="AD30" s="3234"/>
      <c r="AE30" s="3234"/>
      <c r="AF30" s="3234"/>
      <c r="AG30" s="3234">
        <v>0.64</v>
      </c>
      <c r="AH30" s="189">
        <f t="shared" si="7"/>
        <v>0.64</v>
      </c>
      <c r="AI30" s="693"/>
      <c r="AJ30" s="693"/>
    </row>
    <row r="31" spans="1:71" ht="12.75">
      <c r="A31" s="1740" t="s">
        <v>82</v>
      </c>
      <c r="B31" s="190">
        <f t="shared" si="6"/>
        <v>2.2800000000000002</v>
      </c>
      <c r="C31" s="688"/>
      <c r="D31" s="688"/>
      <c r="E31" s="688"/>
      <c r="F31" s="688"/>
      <c r="G31" s="688"/>
      <c r="H31" s="688"/>
      <c r="I31" s="688"/>
      <c r="J31" s="688"/>
      <c r="K31" s="2411">
        <v>2.2000000000000002</v>
      </c>
      <c r="L31" s="688"/>
      <c r="M31" s="688"/>
      <c r="N31" s="688"/>
      <c r="O31" s="688"/>
      <c r="P31" s="688"/>
      <c r="Q31" s="688"/>
      <c r="R31" s="688"/>
      <c r="S31" s="688"/>
      <c r="T31" s="688"/>
      <c r="U31" s="688"/>
      <c r="V31" s="688"/>
      <c r="W31" s="688"/>
      <c r="X31" s="688"/>
      <c r="Y31" s="688"/>
      <c r="Z31" s="688"/>
      <c r="AA31" s="688"/>
      <c r="AB31" s="688"/>
      <c r="AC31" s="688"/>
      <c r="AD31" s="688"/>
      <c r="AE31" s="688"/>
      <c r="AF31" s="688"/>
      <c r="AG31" s="688">
        <v>0.08</v>
      </c>
      <c r="AH31" s="189">
        <f t="shared" si="7"/>
        <v>2.2800000000000002</v>
      </c>
      <c r="AI31" s="693"/>
      <c r="AJ31" s="693"/>
    </row>
    <row r="32" spans="1:71" ht="12.75">
      <c r="A32" s="1740" t="s">
        <v>83</v>
      </c>
      <c r="B32" s="190">
        <f t="shared" si="6"/>
        <v>1179.415</v>
      </c>
      <c r="C32" s="688"/>
      <c r="D32" s="688"/>
      <c r="E32" s="688"/>
      <c r="F32" s="688"/>
      <c r="G32" s="688"/>
      <c r="H32" s="688"/>
      <c r="I32" s="688"/>
      <c r="J32" s="688"/>
      <c r="K32" s="3263">
        <v>0.02</v>
      </c>
      <c r="L32" s="688"/>
      <c r="M32" s="688"/>
      <c r="N32" s="3264" t="s">
        <v>1162</v>
      </c>
      <c r="O32" s="688"/>
      <c r="P32" s="688"/>
      <c r="Q32" s="688"/>
      <c r="R32" s="688"/>
      <c r="S32" s="688"/>
      <c r="T32" s="688"/>
      <c r="U32" s="688"/>
      <c r="V32" s="688"/>
      <c r="W32" s="688"/>
      <c r="X32" s="688"/>
      <c r="Y32" s="688"/>
      <c r="Z32" s="688">
        <v>44.86</v>
      </c>
      <c r="AA32" s="688">
        <v>320</v>
      </c>
      <c r="AB32" s="688">
        <v>223.52500000000001</v>
      </c>
      <c r="AC32" s="688">
        <v>205.11500000000001</v>
      </c>
      <c r="AD32" s="688">
        <v>238.95500000000004</v>
      </c>
      <c r="AE32" s="688">
        <v>146.71</v>
      </c>
      <c r="AF32" s="688">
        <v>0.23</v>
      </c>
      <c r="AG32" s="688"/>
      <c r="AH32" s="189">
        <f t="shared" si="7"/>
        <v>1179.415</v>
      </c>
      <c r="AI32" s="693"/>
      <c r="AJ32" s="693"/>
    </row>
    <row r="33" spans="1:53" ht="12.75">
      <c r="A33" s="1740" t="s">
        <v>84</v>
      </c>
      <c r="B33" s="190">
        <f t="shared" si="6"/>
        <v>4371.7829999999985</v>
      </c>
      <c r="C33" s="688">
        <v>16.004999999999999</v>
      </c>
      <c r="D33" s="688" t="s">
        <v>1170</v>
      </c>
      <c r="E33" s="688">
        <v>23.85</v>
      </c>
      <c r="F33" s="688">
        <v>222.505</v>
      </c>
      <c r="G33" s="688">
        <v>125.16999999999999</v>
      </c>
      <c r="H33" s="688"/>
      <c r="I33" s="688">
        <v>88.81</v>
      </c>
      <c r="J33" s="688"/>
      <c r="K33" s="688"/>
      <c r="L33" s="688"/>
      <c r="M33" s="688"/>
      <c r="N33" s="688"/>
      <c r="O33" s="688"/>
      <c r="P33" s="688"/>
      <c r="Q33" s="688">
        <v>356.95</v>
      </c>
      <c r="R33" s="688">
        <v>319.08499999999998</v>
      </c>
      <c r="S33" s="688">
        <v>249.03499999999997</v>
      </c>
      <c r="T33" s="688">
        <v>281.33999999999997</v>
      </c>
      <c r="U33" s="688">
        <v>133.57</v>
      </c>
      <c r="V33" s="688">
        <v>241.48</v>
      </c>
      <c r="W33" s="688">
        <v>143.845</v>
      </c>
      <c r="X33" s="688">
        <v>137.86500000000001</v>
      </c>
      <c r="Y33" s="688">
        <v>162.845</v>
      </c>
      <c r="Z33" s="688">
        <v>97.02000000000001</v>
      </c>
      <c r="AA33" s="688">
        <v>154.83000000000001</v>
      </c>
      <c r="AB33" s="688">
        <v>262.48</v>
      </c>
      <c r="AC33" s="688">
        <v>237.625</v>
      </c>
      <c r="AD33" s="688">
        <v>397.78499999999997</v>
      </c>
      <c r="AE33" s="688">
        <v>358.22300000000001</v>
      </c>
      <c r="AF33" s="688">
        <v>361.16999999999996</v>
      </c>
      <c r="AG33" s="688">
        <v>0.29499999999999998</v>
      </c>
      <c r="AH33" s="189">
        <f t="shared" si="7"/>
        <v>4371.7829999999985</v>
      </c>
      <c r="AI33" s="693"/>
      <c r="AJ33" s="693"/>
    </row>
    <row r="34" spans="1:53" ht="12.75">
      <c r="A34" s="1740" t="s">
        <v>85</v>
      </c>
      <c r="B34" s="190">
        <f t="shared" si="6"/>
        <v>5809.1950000000006</v>
      </c>
      <c r="C34" s="688"/>
      <c r="D34" s="688"/>
      <c r="E34" s="688"/>
      <c r="F34" s="688">
        <v>353.13</v>
      </c>
      <c r="G34" s="688">
        <v>430.91500000000002</v>
      </c>
      <c r="H34" s="688">
        <v>298.54000000000002</v>
      </c>
      <c r="I34" s="688">
        <v>211.21</v>
      </c>
      <c r="J34" s="688">
        <v>703.91499999999985</v>
      </c>
      <c r="K34" s="688">
        <v>199.9</v>
      </c>
      <c r="L34" s="688">
        <v>310.83</v>
      </c>
      <c r="M34" s="688">
        <v>85.96</v>
      </c>
      <c r="N34" s="688"/>
      <c r="O34" s="688"/>
      <c r="P34" s="688"/>
      <c r="Q34" s="688">
        <v>356.47500000000002</v>
      </c>
      <c r="R34" s="688">
        <v>130.22499999999999</v>
      </c>
      <c r="S34" s="688"/>
      <c r="T34" s="688"/>
      <c r="U34" s="688"/>
      <c r="V34" s="688">
        <v>80.16</v>
      </c>
      <c r="W34" s="688">
        <v>489.59500000000003</v>
      </c>
      <c r="X34" s="688">
        <v>450.38499999999999</v>
      </c>
      <c r="Y34" s="688"/>
      <c r="Z34" s="688"/>
      <c r="AA34" s="688">
        <v>323.46999999999997</v>
      </c>
      <c r="AB34" s="688">
        <v>504.23</v>
      </c>
      <c r="AC34" s="688">
        <v>332.54500000000002</v>
      </c>
      <c r="AD34" s="688">
        <v>547.70999999999992</v>
      </c>
      <c r="AE34" s="688"/>
      <c r="AF34" s="688"/>
      <c r="AG34" s="688"/>
      <c r="AH34" s="189">
        <f t="shared" si="7"/>
        <v>5809.1950000000006</v>
      </c>
      <c r="AI34" s="693"/>
      <c r="AJ34" s="693"/>
    </row>
    <row r="35" spans="1:53" ht="12.75">
      <c r="A35" s="1740" t="s">
        <v>86</v>
      </c>
      <c r="B35" s="190">
        <f t="shared" si="6"/>
        <v>0</v>
      </c>
      <c r="C35" s="688" t="s">
        <v>111</v>
      </c>
      <c r="D35" s="688" t="s">
        <v>111</v>
      </c>
      <c r="E35" s="688" t="s">
        <v>111</v>
      </c>
      <c r="F35" s="688" t="s">
        <v>111</v>
      </c>
      <c r="G35" s="688" t="s">
        <v>111</v>
      </c>
      <c r="H35" s="688" t="s">
        <v>111</v>
      </c>
      <c r="I35" s="688" t="s">
        <v>111</v>
      </c>
      <c r="J35" s="688" t="s">
        <v>111</v>
      </c>
      <c r="K35" s="688" t="s">
        <v>111</v>
      </c>
      <c r="L35" s="688" t="s">
        <v>111</v>
      </c>
      <c r="M35" s="688" t="s">
        <v>111</v>
      </c>
      <c r="N35" s="688" t="s">
        <v>111</v>
      </c>
      <c r="O35" s="688" t="s">
        <v>111</v>
      </c>
      <c r="P35" s="688" t="s">
        <v>111</v>
      </c>
      <c r="Q35" s="688" t="s">
        <v>111</v>
      </c>
      <c r="R35" s="688" t="s">
        <v>111</v>
      </c>
      <c r="S35" s="688" t="s">
        <v>111</v>
      </c>
      <c r="T35" s="688" t="s">
        <v>111</v>
      </c>
      <c r="U35" s="688" t="s">
        <v>111</v>
      </c>
      <c r="V35" s="688" t="s">
        <v>111</v>
      </c>
      <c r="W35" s="688" t="s">
        <v>111</v>
      </c>
      <c r="X35" s="688" t="s">
        <v>111</v>
      </c>
      <c r="Y35" s="688" t="s">
        <v>111</v>
      </c>
      <c r="Z35" s="688" t="s">
        <v>111</v>
      </c>
      <c r="AA35" s="688" t="s">
        <v>111</v>
      </c>
      <c r="AB35" s="688" t="s">
        <v>111</v>
      </c>
      <c r="AC35" s="688" t="s">
        <v>111</v>
      </c>
      <c r="AD35" s="688" t="s">
        <v>111</v>
      </c>
      <c r="AE35" s="688" t="s">
        <v>111</v>
      </c>
      <c r="AF35" s="688" t="s">
        <v>111</v>
      </c>
      <c r="AG35" s="688" t="s">
        <v>111</v>
      </c>
      <c r="AH35" s="189">
        <f t="shared" si="7"/>
        <v>0</v>
      </c>
      <c r="AI35" s="693"/>
      <c r="AJ35" s="693"/>
    </row>
    <row r="36" spans="1:53" ht="12.75">
      <c r="A36" s="665" t="s">
        <v>74</v>
      </c>
      <c r="B36" s="666">
        <f>SUM(B23:B35)</f>
        <v>19670.587</v>
      </c>
      <c r="C36" s="189">
        <v>0</v>
      </c>
      <c r="D36" s="189">
        <v>0</v>
      </c>
      <c r="E36" s="189">
        <v>0</v>
      </c>
      <c r="F36" s="189">
        <v>0</v>
      </c>
      <c r="G36" s="189">
        <v>0</v>
      </c>
      <c r="H36" s="189">
        <v>0</v>
      </c>
      <c r="I36" s="189">
        <v>0</v>
      </c>
      <c r="J36" s="189">
        <v>0</v>
      </c>
      <c r="K36" s="189">
        <v>0</v>
      </c>
      <c r="L36" s="189">
        <v>0</v>
      </c>
      <c r="M36" s="189">
        <v>0</v>
      </c>
      <c r="N36" s="189">
        <v>0</v>
      </c>
      <c r="O36" s="189">
        <v>0</v>
      </c>
      <c r="P36" s="189">
        <v>0</v>
      </c>
      <c r="Q36" s="189">
        <v>0</v>
      </c>
      <c r="R36" s="189">
        <v>0</v>
      </c>
      <c r="S36" s="189">
        <v>0</v>
      </c>
      <c r="T36" s="189">
        <v>0</v>
      </c>
      <c r="U36" s="189">
        <v>0</v>
      </c>
      <c r="V36" s="189">
        <v>0</v>
      </c>
      <c r="W36" s="189">
        <v>0</v>
      </c>
      <c r="X36" s="189">
        <v>0</v>
      </c>
      <c r="Y36" s="189">
        <v>0</v>
      </c>
      <c r="Z36" s="189">
        <v>0</v>
      </c>
      <c r="AA36" s="189">
        <v>0</v>
      </c>
      <c r="AB36" s="189">
        <v>0</v>
      </c>
      <c r="AC36" s="189">
        <v>0</v>
      </c>
      <c r="AD36" s="189">
        <v>0</v>
      </c>
      <c r="AE36" s="189">
        <v>0</v>
      </c>
      <c r="AF36" s="189">
        <v>0</v>
      </c>
      <c r="AG36" s="189">
        <v>0</v>
      </c>
      <c r="AH36" s="189">
        <f>SUM(AH24:AH35)</f>
        <v>19670.587</v>
      </c>
      <c r="AI36" s="693"/>
      <c r="AJ36" s="693"/>
      <c r="AK36" s="1479"/>
      <c r="AL36" s="1480"/>
      <c r="AM36" s="1480"/>
      <c r="AN36" s="1480"/>
      <c r="AO36" s="1480"/>
      <c r="AP36" s="1480"/>
      <c r="AQ36" s="1480"/>
      <c r="AR36" s="1480"/>
      <c r="AS36" s="1480"/>
      <c r="AT36" s="1480"/>
      <c r="AU36" s="1480"/>
      <c r="AV36" s="1480"/>
      <c r="AW36" s="1480"/>
      <c r="AX36" s="1480"/>
      <c r="AY36" s="1480"/>
      <c r="AZ36" s="1480"/>
      <c r="BA36" s="1481"/>
    </row>
    <row r="37" spans="1:53" ht="12.75">
      <c r="A37" s="680"/>
      <c r="B37" s="681"/>
      <c r="C37" s="654"/>
      <c r="D37" s="193"/>
      <c r="E37" s="193"/>
      <c r="F37" s="193"/>
      <c r="G37" s="193"/>
      <c r="H37" s="193"/>
      <c r="I37" s="193"/>
      <c r="J37" s="193"/>
      <c r="K37" s="193"/>
      <c r="L37" s="193"/>
      <c r="M37" s="193"/>
      <c r="N37" s="193"/>
      <c r="O37" s="193"/>
      <c r="P37" s="193"/>
      <c r="Q37" s="193"/>
      <c r="R37" s="193"/>
      <c r="S37" s="193"/>
      <c r="T37" s="193"/>
      <c r="U37" s="193"/>
      <c r="V37" s="193"/>
      <c r="W37" s="193"/>
      <c r="X37" s="193"/>
      <c r="Y37" s="193"/>
      <c r="Z37" s="193"/>
      <c r="AA37" s="193"/>
      <c r="AB37" s="193"/>
      <c r="AC37" s="193"/>
      <c r="AD37" s="193"/>
      <c r="AE37" s="193"/>
      <c r="AF37" s="193"/>
      <c r="AG37" s="193"/>
      <c r="AH37" s="654"/>
      <c r="AI37" s="654"/>
      <c r="AJ37" s="654"/>
    </row>
    <row r="38" spans="1:53" ht="12.75">
      <c r="A38" s="3605" t="s">
        <v>88</v>
      </c>
      <c r="B38" s="3606"/>
      <c r="C38" s="3607"/>
      <c r="D38" s="193"/>
      <c r="E38" s="193"/>
      <c r="F38" s="193"/>
      <c r="G38" s="193"/>
      <c r="H38" s="193"/>
      <c r="I38" s="193"/>
      <c r="J38" s="193"/>
      <c r="K38" s="193"/>
      <c r="L38" s="193"/>
      <c r="M38" s="193"/>
      <c r="N38" s="193"/>
      <c r="O38" s="193"/>
      <c r="P38" s="193"/>
      <c r="Q38" s="193"/>
      <c r="R38" s="193"/>
      <c r="S38" s="193"/>
      <c r="T38" s="193"/>
      <c r="U38" s="193"/>
      <c r="V38" s="193"/>
      <c r="W38" s="193"/>
      <c r="X38" s="193"/>
      <c r="Y38" s="193"/>
      <c r="Z38" s="193"/>
      <c r="AA38" s="193"/>
      <c r="AB38" s="193"/>
      <c r="AC38" s="193"/>
      <c r="AD38" s="193"/>
      <c r="AE38" s="193"/>
      <c r="AF38" s="193"/>
      <c r="AG38" s="193"/>
      <c r="AH38" s="654"/>
      <c r="AI38" s="654"/>
      <c r="AJ38" s="654"/>
    </row>
    <row r="39" spans="1:53" ht="12.75">
      <c r="A39" s="178" t="s">
        <v>72</v>
      </c>
      <c r="B39" s="190" t="s">
        <v>73</v>
      </c>
      <c r="C39" s="867">
        <v>1</v>
      </c>
      <c r="D39" s="663">
        <v>2</v>
      </c>
      <c r="E39" s="663">
        <v>3</v>
      </c>
      <c r="F39" s="663">
        <v>4</v>
      </c>
      <c r="G39" s="663">
        <v>5</v>
      </c>
      <c r="H39" s="663">
        <v>6</v>
      </c>
      <c r="I39" s="663">
        <v>7</v>
      </c>
      <c r="J39" s="663">
        <v>8</v>
      </c>
      <c r="K39" s="663">
        <v>9</v>
      </c>
      <c r="L39" s="663">
        <v>10</v>
      </c>
      <c r="M39" s="663">
        <v>11</v>
      </c>
      <c r="N39" s="663">
        <v>12</v>
      </c>
      <c r="O39" s="663">
        <v>13</v>
      </c>
      <c r="P39" s="663">
        <v>14</v>
      </c>
      <c r="Q39" s="663">
        <v>15</v>
      </c>
      <c r="R39" s="663">
        <v>16</v>
      </c>
      <c r="S39" s="663">
        <v>17</v>
      </c>
      <c r="T39" s="663">
        <v>18</v>
      </c>
      <c r="U39" s="663">
        <v>19</v>
      </c>
      <c r="V39" s="663">
        <v>20</v>
      </c>
      <c r="W39" s="663">
        <v>21</v>
      </c>
      <c r="X39" s="663">
        <v>22</v>
      </c>
      <c r="Y39" s="663">
        <v>23</v>
      </c>
      <c r="Z39" s="663">
        <v>24</v>
      </c>
      <c r="AA39" s="663">
        <v>25</v>
      </c>
      <c r="AB39" s="663">
        <v>26</v>
      </c>
      <c r="AC39" s="663">
        <v>27</v>
      </c>
      <c r="AD39" s="663">
        <v>28</v>
      </c>
      <c r="AE39" s="663">
        <v>29</v>
      </c>
      <c r="AF39" s="663">
        <v>30</v>
      </c>
      <c r="AG39" s="663">
        <v>31</v>
      </c>
      <c r="AH39" s="189" t="s">
        <v>74</v>
      </c>
      <c r="AI39" s="693"/>
      <c r="AJ39" s="693"/>
    </row>
    <row r="40" spans="1:53" ht="12.75">
      <c r="A40" s="1999" t="s">
        <v>75</v>
      </c>
      <c r="B40" s="190">
        <f t="shared" ref="B40:B51" si="8">+AH40</f>
        <v>3198.1299999999997</v>
      </c>
      <c r="C40" s="189">
        <v>0</v>
      </c>
      <c r="D40" s="190">
        <v>0</v>
      </c>
      <c r="E40" s="683">
        <v>259.06700000000001</v>
      </c>
      <c r="F40" s="683">
        <v>174.48099999999999</v>
      </c>
      <c r="G40" s="683">
        <v>29.681000000000001</v>
      </c>
      <c r="H40" s="683">
        <v>139.13299999999998</v>
      </c>
      <c r="I40" s="683">
        <v>371.75000000000006</v>
      </c>
      <c r="J40" s="683">
        <v>299.48399999999998</v>
      </c>
      <c r="K40" s="683">
        <v>154.613</v>
      </c>
      <c r="L40" s="683">
        <v>187.69400000000002</v>
      </c>
      <c r="M40" s="683">
        <v>180.053</v>
      </c>
      <c r="N40" s="683">
        <v>272.77499999999998</v>
      </c>
      <c r="O40" s="683">
        <v>339.7</v>
      </c>
      <c r="P40" s="683">
        <v>228.441</v>
      </c>
      <c r="Q40" s="683">
        <v>0</v>
      </c>
      <c r="R40" s="683">
        <v>0</v>
      </c>
      <c r="S40" s="683">
        <v>7.22</v>
      </c>
      <c r="T40" s="683">
        <v>0</v>
      </c>
      <c r="U40" s="683">
        <v>0</v>
      </c>
      <c r="V40" s="683">
        <v>0</v>
      </c>
      <c r="W40" s="683">
        <v>0</v>
      </c>
      <c r="X40" s="683">
        <v>0</v>
      </c>
      <c r="Y40" s="683">
        <v>186.11199999999999</v>
      </c>
      <c r="Z40" s="683">
        <v>40.941000000000003</v>
      </c>
      <c r="AA40" s="683">
        <v>67.061000000000007</v>
      </c>
      <c r="AB40" s="683">
        <v>24.218</v>
      </c>
      <c r="AC40" s="683">
        <v>68.75</v>
      </c>
      <c r="AD40" s="683">
        <v>104.059</v>
      </c>
      <c r="AE40" s="683">
        <v>62.896999999999998</v>
      </c>
      <c r="AF40" s="683">
        <v>0</v>
      </c>
      <c r="AG40" s="683">
        <v>0</v>
      </c>
      <c r="AH40" s="189">
        <f>SUM(C40:AG40)</f>
        <v>3198.1299999999997</v>
      </c>
      <c r="AI40" s="693"/>
      <c r="AJ40" s="693"/>
    </row>
    <row r="41" spans="1:53" ht="12.75">
      <c r="A41" s="1999" t="s">
        <v>76</v>
      </c>
      <c r="B41" s="190">
        <f t="shared" si="8"/>
        <v>511.80099999999993</v>
      </c>
      <c r="C41" s="683">
        <v>0</v>
      </c>
      <c r="D41" s="683">
        <v>0</v>
      </c>
      <c r="E41" s="683">
        <v>0</v>
      </c>
      <c r="F41" s="683">
        <v>0</v>
      </c>
      <c r="G41" s="683">
        <v>0</v>
      </c>
      <c r="H41" s="683">
        <v>0</v>
      </c>
      <c r="I41" s="683">
        <v>0</v>
      </c>
      <c r="J41" s="683">
        <v>0</v>
      </c>
      <c r="K41" s="683">
        <v>0</v>
      </c>
      <c r="L41" s="683">
        <v>0</v>
      </c>
      <c r="M41" s="683">
        <v>0</v>
      </c>
      <c r="N41" s="683">
        <v>0</v>
      </c>
      <c r="O41" s="683">
        <v>0</v>
      </c>
      <c r="P41" s="683">
        <v>1.016</v>
      </c>
      <c r="Q41" s="683">
        <v>0</v>
      </c>
      <c r="R41" s="683">
        <v>73.724999999999994</v>
      </c>
      <c r="S41" s="683">
        <v>72.355000000000004</v>
      </c>
      <c r="T41" s="683">
        <v>91.38</v>
      </c>
      <c r="U41" s="683">
        <v>147.16</v>
      </c>
      <c r="V41" s="683">
        <v>53.480000000000004</v>
      </c>
      <c r="W41" s="683">
        <v>36.28</v>
      </c>
      <c r="X41" s="683">
        <v>0</v>
      </c>
      <c r="Y41" s="683">
        <v>0</v>
      </c>
      <c r="Z41" s="683">
        <v>0</v>
      </c>
      <c r="AA41" s="683">
        <v>3.9550000000000001</v>
      </c>
      <c r="AB41" s="683">
        <v>0</v>
      </c>
      <c r="AC41" s="683">
        <v>0</v>
      </c>
      <c r="AD41" s="683">
        <v>32.450000000000003</v>
      </c>
      <c r="AE41" s="683"/>
      <c r="AF41" s="683"/>
      <c r="AG41" s="683"/>
      <c r="AH41" s="686">
        <f t="shared" ref="AH41:AH51" si="9">SUM(C41:AG41)</f>
        <v>511.80099999999993</v>
      </c>
      <c r="AI41" s="693"/>
      <c r="AJ41" s="693"/>
    </row>
    <row r="42" spans="1:53" ht="12.75">
      <c r="A42" s="1999" t="s">
        <v>77</v>
      </c>
      <c r="B42" s="190">
        <f t="shared" si="8"/>
        <v>5845.8590000000013</v>
      </c>
      <c r="C42" s="683">
        <v>139.16999999999999</v>
      </c>
      <c r="D42" s="683">
        <v>39.734999999999999</v>
      </c>
      <c r="E42" s="683">
        <v>89.73</v>
      </c>
      <c r="F42" s="683">
        <v>171.82</v>
      </c>
      <c r="G42" s="683">
        <v>443.91999999999996</v>
      </c>
      <c r="H42" s="683">
        <v>382.72000000000008</v>
      </c>
      <c r="I42" s="683">
        <v>451.92400000000009</v>
      </c>
      <c r="J42" s="683">
        <v>500.57</v>
      </c>
      <c r="K42" s="683">
        <v>46.940000000000005</v>
      </c>
      <c r="L42" s="683">
        <v>193.91499999999999</v>
      </c>
      <c r="M42" s="683">
        <v>142.215</v>
      </c>
      <c r="N42" s="683">
        <v>103.425</v>
      </c>
      <c r="O42" s="683">
        <v>136.19500000000002</v>
      </c>
      <c r="P42" s="683">
        <v>83.3</v>
      </c>
      <c r="Q42" s="683">
        <v>297.84000000000003</v>
      </c>
      <c r="R42" s="683">
        <v>159.80999999999997</v>
      </c>
      <c r="S42" s="683">
        <v>20.3</v>
      </c>
      <c r="T42" s="683">
        <v>68.56</v>
      </c>
      <c r="U42" s="683">
        <v>359.4</v>
      </c>
      <c r="V42" s="683">
        <v>112.88999999999999</v>
      </c>
      <c r="W42" s="683">
        <v>404.22</v>
      </c>
      <c r="X42" s="683">
        <v>371.66500000000008</v>
      </c>
      <c r="Y42" s="683">
        <v>518.1</v>
      </c>
      <c r="Z42" s="683">
        <v>180.11500000000007</v>
      </c>
      <c r="AA42" s="683">
        <v>23.864999999999998</v>
      </c>
      <c r="AB42" s="683">
        <v>0</v>
      </c>
      <c r="AC42" s="683">
        <v>185.92000000000002</v>
      </c>
      <c r="AD42" s="683">
        <v>133.39999999999998</v>
      </c>
      <c r="AE42" s="683">
        <v>0</v>
      </c>
      <c r="AF42" s="683">
        <v>29.85</v>
      </c>
      <c r="AG42" s="683">
        <v>54.344999999999999</v>
      </c>
      <c r="AH42" s="686">
        <f t="shared" si="9"/>
        <v>5845.8590000000013</v>
      </c>
      <c r="AI42" s="693"/>
      <c r="AJ42" s="693"/>
    </row>
    <row r="43" spans="1:53" ht="12.75">
      <c r="A43" s="1999" t="s">
        <v>78</v>
      </c>
      <c r="B43" s="190">
        <f t="shared" si="8"/>
        <v>6203.3689999999988</v>
      </c>
      <c r="C43" s="683">
        <v>257.20499999999998</v>
      </c>
      <c r="D43" s="683">
        <v>402.47499999999997</v>
      </c>
      <c r="E43" s="683">
        <v>501.61999999999995</v>
      </c>
      <c r="F43" s="683">
        <v>0</v>
      </c>
      <c r="G43" s="683">
        <v>326.10000000000002</v>
      </c>
      <c r="H43" s="683">
        <v>565.505</v>
      </c>
      <c r="I43" s="683">
        <v>782.97500000000002</v>
      </c>
      <c r="J43" s="683">
        <v>463.41</v>
      </c>
      <c r="K43" s="683">
        <v>221.12</v>
      </c>
      <c r="L43" s="683">
        <v>399.04</v>
      </c>
      <c r="M43" s="683">
        <v>0</v>
      </c>
      <c r="N43" s="683">
        <v>0</v>
      </c>
      <c r="O43" s="683">
        <v>0</v>
      </c>
      <c r="P43" s="683">
        <v>0</v>
      </c>
      <c r="Q43" s="683">
        <v>0</v>
      </c>
      <c r="R43" s="683">
        <v>0</v>
      </c>
      <c r="S43" s="683">
        <v>0</v>
      </c>
      <c r="T43" s="683">
        <v>0</v>
      </c>
      <c r="U43" s="683">
        <v>131.58000000000001</v>
      </c>
      <c r="V43" s="683">
        <v>529.48099999999999</v>
      </c>
      <c r="W43" s="683">
        <v>414.40600000000006</v>
      </c>
      <c r="X43" s="683">
        <v>444.65499999999997</v>
      </c>
      <c r="Y43" s="683">
        <v>425.34</v>
      </c>
      <c r="Z43" s="683">
        <v>68.444999999999993</v>
      </c>
      <c r="AA43" s="683">
        <v>107.44499999999999</v>
      </c>
      <c r="AB43" s="683">
        <v>0</v>
      </c>
      <c r="AC43" s="683">
        <v>0</v>
      </c>
      <c r="AD43" s="683">
        <v>0</v>
      </c>
      <c r="AE43" s="683">
        <v>67.760000000000005</v>
      </c>
      <c r="AF43" s="683">
        <v>94.807000000000016</v>
      </c>
      <c r="AG43" s="683"/>
      <c r="AH43" s="686">
        <f t="shared" si="9"/>
        <v>6203.3689999999988</v>
      </c>
      <c r="AI43" s="693"/>
      <c r="AJ43" s="693"/>
    </row>
    <row r="44" spans="1:53" ht="12.75">
      <c r="A44" s="1999" t="s">
        <v>79</v>
      </c>
      <c r="B44" s="190">
        <f t="shared" si="8"/>
        <v>451.26</v>
      </c>
      <c r="C44" s="683">
        <v>0</v>
      </c>
      <c r="D44" s="683">
        <v>0</v>
      </c>
      <c r="E44" s="683">
        <v>0</v>
      </c>
      <c r="F44" s="683">
        <v>86</v>
      </c>
      <c r="G44" s="683">
        <v>0</v>
      </c>
      <c r="H44" s="683">
        <v>0</v>
      </c>
      <c r="I44" s="683">
        <v>136</v>
      </c>
      <c r="J44" s="683">
        <v>125.20499999999998</v>
      </c>
      <c r="K44" s="683">
        <v>0</v>
      </c>
      <c r="L44" s="683">
        <v>104.05500000000001</v>
      </c>
      <c r="M44" s="683">
        <v>0</v>
      </c>
      <c r="N44" s="683">
        <v>0</v>
      </c>
      <c r="O44" s="683">
        <v>0</v>
      </c>
      <c r="P44" s="683">
        <v>0</v>
      </c>
      <c r="Q44" s="683">
        <v>0</v>
      </c>
      <c r="R44" s="683">
        <v>0</v>
      </c>
      <c r="S44" s="683">
        <v>0</v>
      </c>
      <c r="T44" s="683">
        <v>0</v>
      </c>
      <c r="U44" s="683">
        <v>0</v>
      </c>
      <c r="V44" s="683">
        <v>0</v>
      </c>
      <c r="W44" s="683">
        <v>0</v>
      </c>
      <c r="X44" s="683">
        <v>0</v>
      </c>
      <c r="Y44" s="683">
        <v>0</v>
      </c>
      <c r="Z44" s="683">
        <v>0</v>
      </c>
      <c r="AA44" s="683">
        <v>0</v>
      </c>
      <c r="AB44" s="683">
        <v>0</v>
      </c>
      <c r="AC44" s="683">
        <v>0</v>
      </c>
      <c r="AD44" s="683">
        <v>0</v>
      </c>
      <c r="AE44" s="683">
        <v>0</v>
      </c>
      <c r="AF44" s="683">
        <v>0</v>
      </c>
      <c r="AG44" s="683">
        <v>0</v>
      </c>
      <c r="AH44" s="686">
        <f t="shared" si="9"/>
        <v>451.26</v>
      </c>
      <c r="AI44" s="693"/>
      <c r="AJ44" s="693"/>
    </row>
    <row r="45" spans="1:53" ht="12.75">
      <c r="A45" s="1999" t="s">
        <v>80</v>
      </c>
      <c r="B45" s="190">
        <f t="shared" si="8"/>
        <v>649.61999999999989</v>
      </c>
      <c r="C45" s="687">
        <v>0</v>
      </c>
      <c r="D45" s="295">
        <v>0</v>
      </c>
      <c r="E45" s="295">
        <v>0</v>
      </c>
      <c r="F45" s="295">
        <v>0</v>
      </c>
      <c r="G45" s="295">
        <v>144.53</v>
      </c>
      <c r="H45" s="295">
        <v>287.38499999999999</v>
      </c>
      <c r="I45" s="295">
        <v>80.995000000000005</v>
      </c>
      <c r="J45" s="295">
        <v>50.384999999999998</v>
      </c>
      <c r="K45" s="295">
        <v>0</v>
      </c>
      <c r="L45" s="295">
        <v>0</v>
      </c>
      <c r="M45" s="295">
        <v>0</v>
      </c>
      <c r="N45" s="295">
        <v>86.324999999999989</v>
      </c>
      <c r="O45" s="295">
        <v>0</v>
      </c>
      <c r="P45" s="295">
        <v>0</v>
      </c>
      <c r="Q45" s="295">
        <v>0</v>
      </c>
      <c r="R45" s="295">
        <v>0</v>
      </c>
      <c r="S45" s="295">
        <v>0</v>
      </c>
      <c r="T45" s="295">
        <v>0</v>
      </c>
      <c r="U45" s="295">
        <v>0</v>
      </c>
      <c r="V45" s="295">
        <v>0</v>
      </c>
      <c r="W45" s="295">
        <v>0</v>
      </c>
      <c r="X45" s="295">
        <v>0</v>
      </c>
      <c r="Y45" s="295">
        <v>0</v>
      </c>
      <c r="Z45" s="295">
        <v>0</v>
      </c>
      <c r="AA45" s="295">
        <v>0</v>
      </c>
      <c r="AB45" s="295">
        <v>0</v>
      </c>
      <c r="AC45" s="295">
        <v>0</v>
      </c>
      <c r="AD45" s="295">
        <v>0</v>
      </c>
      <c r="AE45" s="295">
        <v>0</v>
      </c>
      <c r="AF45" s="295">
        <v>0</v>
      </c>
      <c r="AG45" s="295">
        <v>0</v>
      </c>
      <c r="AH45" s="686">
        <f t="shared" si="9"/>
        <v>649.61999999999989</v>
      </c>
      <c r="AI45" s="693"/>
      <c r="AJ45" s="693"/>
    </row>
    <row r="46" spans="1:53" ht="12.75">
      <c r="A46" s="1999" t="s">
        <v>81</v>
      </c>
      <c r="B46" s="190">
        <f t="shared" si="8"/>
        <v>0</v>
      </c>
      <c r="C46" s="189"/>
      <c r="D46" s="189"/>
      <c r="E46" s="189"/>
      <c r="F46" s="189"/>
      <c r="G46" s="189"/>
      <c r="H46" s="190"/>
      <c r="I46" s="190"/>
      <c r="J46" s="190"/>
      <c r="K46" s="190"/>
      <c r="L46" s="190"/>
      <c r="M46" s="190"/>
      <c r="N46" s="190"/>
      <c r="O46" s="190"/>
      <c r="P46" s="190"/>
      <c r="Q46" s="190"/>
      <c r="R46" s="190"/>
      <c r="S46" s="190"/>
      <c r="T46" s="190"/>
      <c r="U46" s="190"/>
      <c r="V46" s="190"/>
      <c r="W46" s="190"/>
      <c r="X46" s="190"/>
      <c r="Y46" s="190"/>
      <c r="Z46" s="190"/>
      <c r="AA46" s="190"/>
      <c r="AB46" s="190"/>
      <c r="AC46" s="190"/>
      <c r="AD46" s="190"/>
      <c r="AE46" s="190"/>
      <c r="AF46" s="190"/>
      <c r="AG46" s="190"/>
      <c r="AH46" s="189">
        <f t="shared" si="9"/>
        <v>0</v>
      </c>
      <c r="AI46" s="693"/>
      <c r="AJ46" s="693"/>
    </row>
    <row r="47" spans="1:53" ht="12.75">
      <c r="A47" s="1999" t="s">
        <v>82</v>
      </c>
      <c r="B47" s="190">
        <f t="shared" si="8"/>
        <v>0</v>
      </c>
      <c r="C47" s="1932"/>
      <c r="D47" s="1932"/>
      <c r="E47" s="1932"/>
      <c r="F47" s="1932"/>
      <c r="G47" s="1932"/>
      <c r="H47" s="1932"/>
      <c r="I47" s="1932"/>
      <c r="J47" s="1932"/>
      <c r="K47" s="1932"/>
      <c r="L47" s="1932"/>
      <c r="M47" s="1932"/>
      <c r="N47" s="1932"/>
      <c r="O47" s="1932"/>
      <c r="P47" s="1932"/>
      <c r="Q47" s="1932"/>
      <c r="R47" s="1932"/>
      <c r="S47" s="1932"/>
      <c r="T47" s="1932"/>
      <c r="U47" s="1932"/>
      <c r="V47" s="1932"/>
      <c r="W47" s="1932"/>
      <c r="X47" s="1932"/>
      <c r="Y47" s="1932"/>
      <c r="Z47" s="1932"/>
      <c r="AA47" s="1932"/>
      <c r="AB47" s="1932"/>
      <c r="AC47" s="1932"/>
      <c r="AD47" s="1932"/>
      <c r="AE47" s="1932"/>
      <c r="AF47" s="1932"/>
      <c r="AG47" s="1932"/>
      <c r="AH47" s="189">
        <f t="shared" si="9"/>
        <v>0</v>
      </c>
      <c r="AI47" s="693"/>
      <c r="AJ47" s="693"/>
    </row>
    <row r="48" spans="1:53" ht="12.75">
      <c r="A48" s="1999" t="s">
        <v>83</v>
      </c>
      <c r="B48" s="190">
        <f t="shared" si="8"/>
        <v>2.278</v>
      </c>
      <c r="C48" s="1932"/>
      <c r="D48" s="1932"/>
      <c r="E48" s="1932"/>
      <c r="F48" s="1932"/>
      <c r="G48" s="1932"/>
      <c r="H48" s="1932"/>
      <c r="I48" s="1932"/>
      <c r="J48" s="1932"/>
      <c r="K48" s="1932"/>
      <c r="L48" s="1932"/>
      <c r="M48" s="1932"/>
      <c r="N48" s="1932"/>
      <c r="O48" s="1932"/>
      <c r="P48" s="1932"/>
      <c r="Q48" s="1932"/>
      <c r="R48" s="1932"/>
      <c r="S48" s="1932"/>
      <c r="T48" s="1932"/>
      <c r="U48" s="1932"/>
      <c r="V48" s="1932"/>
      <c r="W48" s="1932"/>
      <c r="X48" s="1932"/>
      <c r="Y48" s="1932"/>
      <c r="Z48" s="1932"/>
      <c r="AA48" s="1932"/>
      <c r="AB48" s="1932">
        <v>2.278</v>
      </c>
      <c r="AC48" s="1932"/>
      <c r="AD48" s="1932"/>
      <c r="AE48" s="1932"/>
      <c r="AF48" s="1932"/>
      <c r="AG48" s="1932"/>
      <c r="AH48" s="189">
        <f t="shared" si="9"/>
        <v>2.278</v>
      </c>
      <c r="AI48" s="693"/>
      <c r="AJ48" s="693"/>
    </row>
    <row r="49" spans="1:36" ht="12.75">
      <c r="A49" s="1999" t="s">
        <v>84</v>
      </c>
      <c r="B49" s="190">
        <f t="shared" si="8"/>
        <v>15.919</v>
      </c>
      <c r="C49" s="189"/>
      <c r="D49" s="190"/>
      <c r="E49" s="190">
        <v>3.129</v>
      </c>
      <c r="F49" s="190"/>
      <c r="G49" s="190"/>
      <c r="H49" s="190"/>
      <c r="I49" s="190"/>
      <c r="J49" s="190"/>
      <c r="K49" s="190"/>
      <c r="L49" s="190"/>
      <c r="M49" s="190"/>
      <c r="N49" s="190"/>
      <c r="O49" s="190"/>
      <c r="P49" s="190"/>
      <c r="Q49" s="190"/>
      <c r="R49" s="190"/>
      <c r="S49" s="190"/>
      <c r="T49" s="190"/>
      <c r="U49" s="190"/>
      <c r="V49" s="190"/>
      <c r="W49" s="190">
        <v>6.7530000000000001</v>
      </c>
      <c r="X49" s="190">
        <v>4.0369999999999999</v>
      </c>
      <c r="Y49" s="190"/>
      <c r="Z49" s="190"/>
      <c r="AA49" s="190"/>
      <c r="AB49" s="190"/>
      <c r="AC49" s="190"/>
      <c r="AD49" s="190">
        <v>2</v>
      </c>
      <c r="AE49" s="190"/>
      <c r="AF49" s="190"/>
      <c r="AG49" s="190"/>
      <c r="AH49" s="189">
        <f t="shared" si="9"/>
        <v>15.919</v>
      </c>
      <c r="AI49" s="693"/>
      <c r="AJ49" s="693"/>
    </row>
    <row r="50" spans="1:36" ht="12.75">
      <c r="A50" s="1740" t="s">
        <v>85</v>
      </c>
      <c r="B50" s="190">
        <f t="shared" si="8"/>
        <v>2.9449999999999998</v>
      </c>
      <c r="C50" s="189"/>
      <c r="D50" s="190"/>
      <c r="E50" s="190"/>
      <c r="F50" s="190"/>
      <c r="G50" s="190"/>
      <c r="H50" s="190"/>
      <c r="I50" s="190"/>
      <c r="J50" s="190"/>
      <c r="K50" s="190"/>
      <c r="L50" s="190"/>
      <c r="M50" s="190"/>
      <c r="N50" s="190"/>
      <c r="O50" s="190"/>
      <c r="P50" s="190"/>
      <c r="Q50" s="190"/>
      <c r="R50" s="190"/>
      <c r="S50" s="190"/>
      <c r="T50" s="190"/>
      <c r="U50" s="190"/>
      <c r="V50" s="190"/>
      <c r="W50" s="190"/>
      <c r="X50" s="190"/>
      <c r="Y50" s="190"/>
      <c r="Z50" s="190"/>
      <c r="AA50" s="190">
        <v>2.9449999999999998</v>
      </c>
      <c r="AB50" s="190"/>
      <c r="AC50" s="190"/>
      <c r="AD50" s="190"/>
      <c r="AE50" s="190"/>
      <c r="AF50" s="190"/>
      <c r="AG50" s="190"/>
      <c r="AH50" s="189">
        <f t="shared" si="9"/>
        <v>2.9449999999999998</v>
      </c>
      <c r="AI50" s="693"/>
      <c r="AJ50" s="693"/>
    </row>
    <row r="51" spans="1:36" ht="12.75">
      <c r="A51" s="1740" t="s">
        <v>86</v>
      </c>
      <c r="B51" s="190">
        <f t="shared" si="8"/>
        <v>0</v>
      </c>
      <c r="C51" s="189"/>
      <c r="D51" s="190"/>
      <c r="E51" s="190"/>
      <c r="F51" s="190"/>
      <c r="G51" s="190"/>
      <c r="H51" s="190"/>
      <c r="I51" s="190"/>
      <c r="J51" s="190"/>
      <c r="K51" s="190"/>
      <c r="L51" s="190"/>
      <c r="M51" s="190"/>
      <c r="N51" s="190"/>
      <c r="O51" s="190"/>
      <c r="P51" s="190"/>
      <c r="Q51" s="190"/>
      <c r="R51" s="190"/>
      <c r="S51" s="190"/>
      <c r="T51" s="190"/>
      <c r="U51" s="190"/>
      <c r="V51" s="190"/>
      <c r="W51" s="190"/>
      <c r="X51" s="190"/>
      <c r="Y51" s="190"/>
      <c r="Z51" s="190"/>
      <c r="AA51" s="190"/>
      <c r="AB51" s="190"/>
      <c r="AC51" s="190"/>
      <c r="AD51" s="190"/>
      <c r="AE51" s="190"/>
      <c r="AF51" s="190"/>
      <c r="AG51" s="190"/>
      <c r="AH51" s="189">
        <f t="shared" si="9"/>
        <v>0</v>
      </c>
      <c r="AI51" s="693"/>
      <c r="AJ51" s="693"/>
    </row>
    <row r="52" spans="1:36" ht="12.75">
      <c r="A52" s="665" t="s">
        <v>74</v>
      </c>
      <c r="B52" s="666">
        <f>SUM(B40:B51)</f>
        <v>16881.181</v>
      </c>
      <c r="C52" s="189"/>
      <c r="D52" s="189"/>
      <c r="E52" s="189"/>
      <c r="F52" s="189"/>
      <c r="G52" s="189"/>
      <c r="H52" s="189"/>
      <c r="I52" s="189"/>
      <c r="J52" s="189"/>
      <c r="K52" s="189"/>
      <c r="L52" s="189"/>
      <c r="M52" s="189"/>
      <c r="N52" s="189"/>
      <c r="O52" s="189"/>
      <c r="P52" s="189"/>
      <c r="Q52" s="189"/>
      <c r="R52" s="189"/>
      <c r="S52" s="189"/>
      <c r="T52" s="189"/>
      <c r="U52" s="189"/>
      <c r="V52" s="189"/>
      <c r="W52" s="189"/>
      <c r="X52" s="189"/>
      <c r="Y52" s="189"/>
      <c r="Z52" s="189"/>
      <c r="AA52" s="189"/>
      <c r="AB52" s="189"/>
      <c r="AC52" s="189"/>
      <c r="AD52" s="189"/>
      <c r="AE52" s="189"/>
      <c r="AF52" s="189"/>
      <c r="AG52" s="189"/>
      <c r="AH52" s="189"/>
      <c r="AI52" s="693"/>
      <c r="AJ52" s="693"/>
    </row>
    <row r="53" spans="1:36" ht="12.75">
      <c r="A53" s="177"/>
      <c r="B53" s="661"/>
      <c r="C53" s="654"/>
      <c r="D53" s="193"/>
      <c r="E53" s="193"/>
      <c r="F53" s="817"/>
      <c r="G53" s="193"/>
      <c r="H53" s="193"/>
      <c r="I53" s="193"/>
      <c r="J53" s="193"/>
      <c r="K53" s="193"/>
      <c r="L53" s="193"/>
      <c r="M53" s="193"/>
      <c r="N53" s="193"/>
      <c r="O53" s="193"/>
      <c r="P53" s="193"/>
      <c r="Q53" s="193"/>
      <c r="R53" s="193"/>
      <c r="S53" s="193"/>
      <c r="T53" s="193"/>
      <c r="U53" s="193"/>
      <c r="V53" s="193"/>
      <c r="W53" s="193"/>
      <c r="X53" s="193"/>
      <c r="Y53" s="193"/>
      <c r="Z53" s="193"/>
      <c r="AA53" s="193"/>
      <c r="AB53" s="193"/>
      <c r="AC53" s="193"/>
      <c r="AD53" s="193"/>
      <c r="AE53" s="193"/>
      <c r="AF53" s="193"/>
      <c r="AG53" s="193"/>
      <c r="AH53" s="654"/>
      <c r="AI53" s="654"/>
      <c r="AJ53" s="654"/>
    </row>
    <row r="54" spans="1:36" ht="12.75" hidden="1">
      <c r="A54" s="3605" t="s">
        <v>551</v>
      </c>
      <c r="B54" s="3606"/>
      <c r="C54" s="3607"/>
      <c r="D54" s="193"/>
      <c r="E54" s="193"/>
      <c r="F54" s="193"/>
      <c r="G54" s="193"/>
      <c r="H54" s="193"/>
      <c r="I54" s="193"/>
      <c r="J54" s="193"/>
      <c r="K54" s="193"/>
      <c r="L54" s="193"/>
      <c r="M54" s="193"/>
      <c r="N54" s="193"/>
      <c r="O54" s="193"/>
      <c r="P54" s="193"/>
      <c r="Q54" s="193"/>
      <c r="R54" s="193"/>
      <c r="S54" s="193"/>
      <c r="T54" s="193"/>
      <c r="U54" s="193"/>
      <c r="V54" s="193"/>
      <c r="W54" s="193"/>
      <c r="X54" s="193"/>
      <c r="Y54" s="193"/>
      <c r="Z54" s="193"/>
      <c r="AA54" s="193"/>
      <c r="AB54" s="193"/>
      <c r="AC54" s="193"/>
      <c r="AD54" s="193"/>
      <c r="AE54" s="193"/>
      <c r="AF54" s="193"/>
      <c r="AG54" s="193"/>
      <c r="AH54" s="654"/>
      <c r="AI54" s="654"/>
      <c r="AJ54" s="654"/>
    </row>
    <row r="55" spans="1:36" ht="12.75" hidden="1">
      <c r="A55" s="178" t="s">
        <v>72</v>
      </c>
      <c r="B55" s="190" t="s">
        <v>73</v>
      </c>
      <c r="C55" s="867">
        <v>1</v>
      </c>
      <c r="D55" s="663">
        <v>2</v>
      </c>
      <c r="E55" s="663">
        <v>3</v>
      </c>
      <c r="F55" s="663">
        <v>4</v>
      </c>
      <c r="G55" s="663">
        <v>5</v>
      </c>
      <c r="H55" s="663">
        <v>6</v>
      </c>
      <c r="I55" s="663">
        <v>7</v>
      </c>
      <c r="J55" s="663">
        <v>8</v>
      </c>
      <c r="K55" s="663">
        <v>9</v>
      </c>
      <c r="L55" s="663">
        <v>10</v>
      </c>
      <c r="M55" s="663">
        <v>11</v>
      </c>
      <c r="N55" s="663">
        <v>12</v>
      </c>
      <c r="O55" s="663">
        <v>13</v>
      </c>
      <c r="P55" s="663">
        <v>14</v>
      </c>
      <c r="Q55" s="663">
        <v>15</v>
      </c>
      <c r="R55" s="663">
        <v>16</v>
      </c>
      <c r="S55" s="663">
        <v>17</v>
      </c>
      <c r="T55" s="663">
        <v>18</v>
      </c>
      <c r="U55" s="663">
        <v>19</v>
      </c>
      <c r="V55" s="663">
        <v>20</v>
      </c>
      <c r="W55" s="663">
        <v>21</v>
      </c>
      <c r="X55" s="663">
        <v>22</v>
      </c>
      <c r="Y55" s="663">
        <v>23</v>
      </c>
      <c r="Z55" s="663">
        <v>24</v>
      </c>
      <c r="AA55" s="663">
        <v>25</v>
      </c>
      <c r="AB55" s="663">
        <v>26</v>
      </c>
      <c r="AC55" s="663">
        <v>27</v>
      </c>
      <c r="AD55" s="663">
        <v>28</v>
      </c>
      <c r="AE55" s="663">
        <v>29</v>
      </c>
      <c r="AF55" s="663">
        <v>30</v>
      </c>
      <c r="AG55" s="663">
        <v>31</v>
      </c>
      <c r="AH55" s="189" t="s">
        <v>74</v>
      </c>
      <c r="AI55" s="693"/>
      <c r="AJ55" s="693"/>
    </row>
    <row r="56" spans="1:36" ht="12.75" hidden="1">
      <c r="A56" s="1268" t="s">
        <v>75</v>
      </c>
      <c r="B56" s="190">
        <f t="shared" ref="B56:B67" si="10">+AH56</f>
        <v>0</v>
      </c>
      <c r="C56" s="189"/>
      <c r="D56" s="190"/>
      <c r="G56" s="190"/>
      <c r="H56" s="190"/>
      <c r="I56" s="190"/>
      <c r="J56" s="190"/>
      <c r="K56" s="190"/>
      <c r="L56" s="190"/>
      <c r="M56" s="190"/>
      <c r="N56" s="683"/>
      <c r="O56" s="683"/>
      <c r="P56" s="683"/>
      <c r="Q56" s="683"/>
      <c r="R56" s="683"/>
      <c r="S56" s="684"/>
      <c r="T56" s="190"/>
      <c r="U56" s="190"/>
      <c r="V56" s="190"/>
      <c r="W56" s="190"/>
      <c r="X56" s="685"/>
      <c r="Y56" s="190"/>
      <c r="Z56" s="190"/>
      <c r="AA56" s="190"/>
      <c r="AB56" s="190"/>
      <c r="AC56" s="190"/>
      <c r="AD56" s="190"/>
      <c r="AE56" s="190"/>
      <c r="AF56" s="190"/>
      <c r="AG56" s="190"/>
      <c r="AH56" s="189">
        <f>SUM(C56:AG56)</f>
        <v>0</v>
      </c>
      <c r="AI56" s="693"/>
      <c r="AJ56" s="693"/>
    </row>
    <row r="57" spans="1:36" ht="12.75" hidden="1">
      <c r="A57" s="1268" t="s">
        <v>76</v>
      </c>
      <c r="B57" s="190">
        <f t="shared" si="10"/>
        <v>0</v>
      </c>
      <c r="C57" s="683"/>
      <c r="D57" s="683"/>
      <c r="E57" s="683"/>
      <c r="F57" s="683"/>
      <c r="G57" s="683"/>
      <c r="H57" s="683"/>
      <c r="I57" s="683"/>
      <c r="J57" s="683"/>
      <c r="K57" s="683"/>
      <c r="L57" s="683"/>
      <c r="M57" s="683"/>
      <c r="N57" s="683"/>
      <c r="O57" s="683"/>
      <c r="P57" s="683"/>
      <c r="Q57" s="683"/>
      <c r="R57" s="683"/>
      <c r="S57" s="683"/>
      <c r="T57" s="683"/>
      <c r="U57" s="683"/>
      <c r="V57" s="683"/>
      <c r="W57" s="683"/>
      <c r="X57" s="683"/>
      <c r="Y57" s="683"/>
      <c r="Z57" s="683"/>
      <c r="AA57" s="683"/>
      <c r="AB57" s="683"/>
      <c r="AC57" s="683"/>
      <c r="AD57" s="683"/>
      <c r="AE57" s="683"/>
      <c r="AF57" s="683"/>
      <c r="AG57" s="683"/>
      <c r="AH57" s="686">
        <f t="shared" ref="AH57:AH67" si="11">SUM(C57:AG57)</f>
        <v>0</v>
      </c>
      <c r="AI57" s="693"/>
      <c r="AJ57" s="693"/>
    </row>
    <row r="58" spans="1:36" ht="12.75" hidden="1">
      <c r="A58" s="1268" t="s">
        <v>77</v>
      </c>
      <c r="B58" s="190">
        <f t="shared" si="10"/>
        <v>0</v>
      </c>
      <c r="C58" s="683"/>
      <c r="D58" s="683"/>
      <c r="E58" s="683"/>
      <c r="F58" s="683"/>
      <c r="G58" s="683"/>
      <c r="H58" s="683"/>
      <c r="I58" s="683"/>
      <c r="J58" s="683"/>
      <c r="K58" s="683"/>
      <c r="L58" s="683"/>
      <c r="M58" s="683"/>
      <c r="N58" s="683"/>
      <c r="O58" s="683"/>
      <c r="P58" s="683"/>
      <c r="Q58" s="683"/>
      <c r="R58" s="683"/>
      <c r="S58" s="683"/>
      <c r="T58" s="683"/>
      <c r="U58" s="683"/>
      <c r="V58" s="683"/>
      <c r="W58" s="683"/>
      <c r="X58" s="683"/>
      <c r="Y58" s="683"/>
      <c r="Z58" s="683"/>
      <c r="AA58" s="683"/>
      <c r="AB58" s="683"/>
      <c r="AC58" s="683"/>
      <c r="AD58" s="683"/>
      <c r="AE58" s="683"/>
      <c r="AF58" s="683"/>
      <c r="AG58" s="683"/>
      <c r="AH58" s="686">
        <f t="shared" si="11"/>
        <v>0</v>
      </c>
      <c r="AI58" s="693"/>
      <c r="AJ58" s="693"/>
    </row>
    <row r="59" spans="1:36" ht="12.75" hidden="1">
      <c r="A59" s="1739" t="s">
        <v>78</v>
      </c>
      <c r="B59" s="190">
        <f t="shared" si="10"/>
        <v>0</v>
      </c>
      <c r="C59" s="683"/>
      <c r="D59" s="683"/>
      <c r="E59" s="683"/>
      <c r="F59" s="683"/>
      <c r="G59" s="683"/>
      <c r="H59" s="683"/>
      <c r="I59" s="683"/>
      <c r="J59" s="683"/>
      <c r="K59" s="683"/>
      <c r="L59" s="683"/>
      <c r="M59" s="683"/>
      <c r="N59" s="683"/>
      <c r="O59" s="683"/>
      <c r="P59" s="683"/>
      <c r="Q59" s="683"/>
      <c r="R59" s="683"/>
      <c r="S59" s="683"/>
      <c r="T59" s="683"/>
      <c r="U59" s="683"/>
      <c r="V59" s="683"/>
      <c r="W59" s="683"/>
      <c r="X59" s="683"/>
      <c r="Y59" s="683"/>
      <c r="Z59" s="683"/>
      <c r="AA59" s="683"/>
      <c r="AB59" s="683"/>
      <c r="AC59" s="683"/>
      <c r="AD59" s="683"/>
      <c r="AE59" s="683"/>
      <c r="AF59" s="683"/>
      <c r="AG59" s="683"/>
      <c r="AH59" s="686">
        <f t="shared" si="11"/>
        <v>0</v>
      </c>
      <c r="AI59" s="693"/>
      <c r="AJ59" s="693"/>
    </row>
    <row r="60" spans="1:36" ht="12.75" hidden="1">
      <c r="A60" s="1739" t="s">
        <v>79</v>
      </c>
      <c r="B60" s="190">
        <f t="shared" si="10"/>
        <v>0</v>
      </c>
      <c r="C60" s="683"/>
      <c r="D60" s="683"/>
      <c r="E60" s="683"/>
      <c r="F60" s="683"/>
      <c r="G60" s="683"/>
      <c r="H60" s="683"/>
      <c r="I60" s="683"/>
      <c r="J60" s="683"/>
      <c r="K60" s="683"/>
      <c r="L60" s="683"/>
      <c r="M60" s="683"/>
      <c r="N60" s="683"/>
      <c r="O60" s="683"/>
      <c r="P60" s="683"/>
      <c r="Q60" s="683"/>
      <c r="R60" s="683"/>
      <c r="S60" s="683"/>
      <c r="T60" s="683"/>
      <c r="U60" s="683"/>
      <c r="V60" s="683"/>
      <c r="W60" s="683"/>
      <c r="X60" s="683"/>
      <c r="Y60" s="683"/>
      <c r="Z60" s="683"/>
      <c r="AA60" s="683"/>
      <c r="AB60" s="683"/>
      <c r="AC60" s="683"/>
      <c r="AD60" s="683"/>
      <c r="AE60" s="683"/>
      <c r="AF60" s="683"/>
      <c r="AG60" s="683"/>
      <c r="AH60" s="686">
        <f t="shared" si="11"/>
        <v>0</v>
      </c>
      <c r="AI60" s="693"/>
      <c r="AJ60" s="693"/>
    </row>
    <row r="61" spans="1:36" ht="12.75" hidden="1">
      <c r="A61" s="1739" t="s">
        <v>80</v>
      </c>
      <c r="B61" s="190">
        <f t="shared" si="10"/>
        <v>0</v>
      </c>
      <c r="C61" s="687"/>
      <c r="D61" s="295"/>
      <c r="E61" s="295"/>
      <c r="F61" s="295"/>
      <c r="G61" s="295"/>
      <c r="H61" s="295"/>
      <c r="I61" s="295"/>
      <c r="J61" s="295"/>
      <c r="K61" s="295"/>
      <c r="L61" s="295"/>
      <c r="M61" s="295"/>
      <c r="N61" s="295"/>
      <c r="O61" s="295"/>
      <c r="P61" s="295"/>
      <c r="Q61" s="295"/>
      <c r="R61" s="295"/>
      <c r="S61" s="295"/>
      <c r="T61" s="295"/>
      <c r="U61" s="295"/>
      <c r="V61" s="295"/>
      <c r="W61" s="295"/>
      <c r="X61" s="295"/>
      <c r="Y61" s="295"/>
      <c r="Z61" s="295"/>
      <c r="AA61" s="295"/>
      <c r="AB61" s="295"/>
      <c r="AC61" s="295"/>
      <c r="AD61" s="295"/>
      <c r="AE61" s="295"/>
      <c r="AF61" s="295"/>
      <c r="AG61" s="295"/>
      <c r="AH61" s="686">
        <f t="shared" si="11"/>
        <v>0</v>
      </c>
      <c r="AI61" s="693"/>
      <c r="AJ61" s="693"/>
    </row>
    <row r="62" spans="1:36" ht="12.75" hidden="1">
      <c r="A62" s="1739" t="s">
        <v>81</v>
      </c>
      <c r="B62" s="190">
        <f t="shared" si="10"/>
        <v>0</v>
      </c>
      <c r="C62" s="189"/>
      <c r="D62" s="189"/>
      <c r="E62" s="189"/>
      <c r="F62" s="189"/>
      <c r="G62" s="189"/>
      <c r="H62" s="190"/>
      <c r="I62" s="190"/>
      <c r="J62" s="190"/>
      <c r="K62" s="190"/>
      <c r="L62" s="190"/>
      <c r="M62" s="190"/>
      <c r="N62" s="190"/>
      <c r="O62" s="190"/>
      <c r="P62" s="190"/>
      <c r="Q62" s="190"/>
      <c r="R62" s="190"/>
      <c r="S62" s="190"/>
      <c r="T62" s="190"/>
      <c r="U62" s="190"/>
      <c r="V62" s="190"/>
      <c r="W62" s="190"/>
      <c r="X62" s="190"/>
      <c r="Y62" s="190"/>
      <c r="Z62" s="190"/>
      <c r="AA62" s="190"/>
      <c r="AB62" s="190"/>
      <c r="AC62" s="190"/>
      <c r="AD62" s="190"/>
      <c r="AE62" s="190"/>
      <c r="AF62" s="190"/>
      <c r="AG62" s="190"/>
      <c r="AH62" s="189">
        <f t="shared" si="11"/>
        <v>0</v>
      </c>
      <c r="AI62" s="693"/>
      <c r="AJ62" s="693"/>
    </row>
    <row r="63" spans="1:36" ht="12.75" hidden="1">
      <c r="A63" s="1739" t="s">
        <v>82</v>
      </c>
      <c r="B63" s="190">
        <f t="shared" si="10"/>
        <v>0</v>
      </c>
      <c r="C63" s="189"/>
      <c r="D63" s="190"/>
      <c r="E63" s="190"/>
      <c r="F63" s="190"/>
      <c r="G63" s="190"/>
      <c r="H63" s="190"/>
      <c r="I63" s="190"/>
      <c r="J63" s="190"/>
      <c r="K63" s="190"/>
      <c r="L63" s="190"/>
      <c r="M63" s="190"/>
      <c r="N63" s="190"/>
      <c r="O63" s="190"/>
      <c r="P63" s="190"/>
      <c r="Q63" s="190"/>
      <c r="R63" s="190"/>
      <c r="S63" s="190"/>
      <c r="T63" s="190"/>
      <c r="U63" s="190"/>
      <c r="V63" s="190"/>
      <c r="W63" s="190"/>
      <c r="X63" s="190"/>
      <c r="Y63" s="190"/>
      <c r="Z63" s="190"/>
      <c r="AA63" s="886" t="s">
        <v>112</v>
      </c>
      <c r="AB63" s="886" t="s">
        <v>112</v>
      </c>
      <c r="AC63" s="886" t="s">
        <v>112</v>
      </c>
      <c r="AD63" s="886" t="s">
        <v>112</v>
      </c>
      <c r="AE63" s="886" t="s">
        <v>112</v>
      </c>
      <c r="AF63" s="886" t="s">
        <v>112</v>
      </c>
      <c r="AG63" s="886" t="s">
        <v>112</v>
      </c>
      <c r="AH63" s="189">
        <f t="shared" si="11"/>
        <v>0</v>
      </c>
      <c r="AI63" s="693"/>
      <c r="AJ63" s="693"/>
    </row>
    <row r="64" spans="1:36" ht="12.75" hidden="1">
      <c r="A64" s="1739" t="s">
        <v>83</v>
      </c>
      <c r="B64" s="190">
        <f t="shared" si="10"/>
        <v>0</v>
      </c>
      <c r="C64" s="886" t="s">
        <v>112</v>
      </c>
      <c r="D64" s="886" t="s">
        <v>112</v>
      </c>
      <c r="E64" s="886" t="s">
        <v>112</v>
      </c>
      <c r="F64" s="886" t="s">
        <v>112</v>
      </c>
      <c r="G64" s="886" t="s">
        <v>112</v>
      </c>
      <c r="H64" s="886" t="s">
        <v>112</v>
      </c>
      <c r="I64" s="886" t="s">
        <v>112</v>
      </c>
      <c r="J64" s="886" t="s">
        <v>112</v>
      </c>
      <c r="K64" s="886" t="s">
        <v>112</v>
      </c>
      <c r="L64" s="886" t="s">
        <v>112</v>
      </c>
      <c r="M64" s="886" t="s">
        <v>112</v>
      </c>
      <c r="N64" s="886" t="s">
        <v>112</v>
      </c>
      <c r="O64" s="886" t="s">
        <v>112</v>
      </c>
      <c r="P64" s="886" t="s">
        <v>112</v>
      </c>
      <c r="Q64" s="886" t="s">
        <v>112</v>
      </c>
      <c r="R64" s="886" t="s">
        <v>112</v>
      </c>
      <c r="S64" s="886" t="s">
        <v>112</v>
      </c>
      <c r="T64" s="886" t="s">
        <v>112</v>
      </c>
      <c r="U64" s="886" t="s">
        <v>112</v>
      </c>
      <c r="V64" s="886" t="s">
        <v>112</v>
      </c>
      <c r="W64" s="886" t="s">
        <v>112</v>
      </c>
      <c r="X64" s="886" t="s">
        <v>112</v>
      </c>
      <c r="Y64" s="886" t="s">
        <v>112</v>
      </c>
      <c r="Z64" s="190"/>
      <c r="AA64" s="190"/>
      <c r="AB64" s="190"/>
      <c r="AC64" s="190"/>
      <c r="AD64" s="190"/>
      <c r="AE64" s="190"/>
      <c r="AF64" s="190"/>
      <c r="AG64" s="190"/>
      <c r="AH64" s="189">
        <f t="shared" si="11"/>
        <v>0</v>
      </c>
      <c r="AI64" s="693"/>
      <c r="AJ64" s="693"/>
    </row>
    <row r="65" spans="1:36" ht="12.75" hidden="1">
      <c r="A65" s="1739" t="s">
        <v>84</v>
      </c>
      <c r="B65" s="190">
        <f t="shared" si="10"/>
        <v>0</v>
      </c>
      <c r="C65" s="189"/>
      <c r="D65" s="190"/>
      <c r="E65" s="190"/>
      <c r="F65" s="190"/>
      <c r="G65" s="190"/>
      <c r="H65" s="190"/>
      <c r="I65" s="190"/>
      <c r="J65" s="190"/>
      <c r="K65" s="190"/>
      <c r="L65" s="190"/>
      <c r="M65" s="190"/>
      <c r="N65" s="190"/>
      <c r="O65" s="190"/>
      <c r="P65" s="190"/>
      <c r="Q65" s="190"/>
      <c r="R65" s="190"/>
      <c r="S65" s="190"/>
      <c r="T65" s="190"/>
      <c r="U65" s="190"/>
      <c r="V65" s="190"/>
      <c r="W65" s="190"/>
      <c r="X65" s="190"/>
      <c r="Y65" s="190"/>
      <c r="Z65" s="190"/>
      <c r="AA65" s="190"/>
      <c r="AB65" s="190"/>
      <c r="AC65" s="190"/>
      <c r="AD65" s="190"/>
      <c r="AE65" s="190"/>
      <c r="AF65" s="190"/>
      <c r="AG65" s="190"/>
      <c r="AH65" s="189">
        <f t="shared" si="11"/>
        <v>0</v>
      </c>
      <c r="AI65" s="693"/>
      <c r="AJ65" s="693"/>
    </row>
    <row r="66" spans="1:36" ht="12.75" hidden="1">
      <c r="A66" s="1740" t="s">
        <v>85</v>
      </c>
      <c r="B66" s="190">
        <f t="shared" si="10"/>
        <v>0</v>
      </c>
      <c r="C66" s="189"/>
      <c r="D66" s="190"/>
      <c r="E66" s="190"/>
      <c r="F66" s="190"/>
      <c r="G66" s="190"/>
      <c r="H66" s="190"/>
      <c r="I66" s="190"/>
      <c r="J66" s="190"/>
      <c r="K66" s="190"/>
      <c r="L66" s="190"/>
      <c r="M66" s="190"/>
      <c r="N66" s="190"/>
      <c r="O66" s="190"/>
      <c r="P66" s="190"/>
      <c r="Q66" s="190"/>
      <c r="R66" s="190"/>
      <c r="S66" s="190"/>
      <c r="T66" s="190"/>
      <c r="U66" s="190"/>
      <c r="V66" s="190"/>
      <c r="W66" s="190"/>
      <c r="X66" s="190"/>
      <c r="Y66" s="190"/>
      <c r="Z66" s="190"/>
      <c r="AA66" s="190"/>
      <c r="AB66" s="190"/>
      <c r="AC66" s="190"/>
      <c r="AD66" s="190"/>
      <c r="AE66" s="190"/>
      <c r="AF66" s="190"/>
      <c r="AG66" s="190"/>
      <c r="AH66" s="189">
        <f t="shared" si="11"/>
        <v>0</v>
      </c>
      <c r="AI66" s="693"/>
      <c r="AJ66" s="693"/>
    </row>
    <row r="67" spans="1:36" ht="12.75" hidden="1">
      <c r="A67" s="1740" t="s">
        <v>86</v>
      </c>
      <c r="B67" s="190">
        <f t="shared" si="10"/>
        <v>0</v>
      </c>
      <c r="C67" s="189"/>
      <c r="D67" s="190"/>
      <c r="E67" s="190"/>
      <c r="F67" s="190"/>
      <c r="G67" s="190"/>
      <c r="H67" s="190"/>
      <c r="I67" s="190"/>
      <c r="J67" s="190"/>
      <c r="K67" s="190"/>
      <c r="L67" s="190"/>
      <c r="M67" s="190"/>
      <c r="N67" s="190"/>
      <c r="O67" s="190"/>
      <c r="P67" s="190"/>
      <c r="Q67" s="190"/>
      <c r="R67" s="190"/>
      <c r="S67" s="190"/>
      <c r="T67" s="190"/>
      <c r="U67" s="190"/>
      <c r="V67" s="190"/>
      <c r="W67" s="190"/>
      <c r="X67" s="190"/>
      <c r="Y67" s="190"/>
      <c r="Z67" s="190"/>
      <c r="AA67" s="190"/>
      <c r="AB67" s="190"/>
      <c r="AC67" s="190"/>
      <c r="AD67" s="190"/>
      <c r="AE67" s="190"/>
      <c r="AF67" s="190"/>
      <c r="AG67" s="190"/>
      <c r="AH67" s="189">
        <f t="shared" si="11"/>
        <v>0</v>
      </c>
      <c r="AI67" s="693"/>
      <c r="AJ67" s="693"/>
    </row>
    <row r="68" spans="1:36" ht="12.75" hidden="1">
      <c r="A68" s="665" t="s">
        <v>74</v>
      </c>
      <c r="B68" s="666">
        <f>SUM(B56:B67)</f>
        <v>0</v>
      </c>
      <c r="C68" s="189"/>
      <c r="D68" s="189"/>
      <c r="E68" s="189"/>
      <c r="F68" s="189"/>
      <c r="G68" s="189"/>
      <c r="H68" s="189"/>
      <c r="I68" s="189"/>
      <c r="J68" s="189"/>
      <c r="K68" s="189"/>
      <c r="L68" s="189"/>
      <c r="M68" s="189"/>
      <c r="N68" s="189"/>
      <c r="O68" s="189"/>
      <c r="P68" s="189"/>
      <c r="Q68" s="189"/>
      <c r="R68" s="189"/>
      <c r="S68" s="189"/>
      <c r="T68" s="189"/>
      <c r="U68" s="189"/>
      <c r="V68" s="189"/>
      <c r="W68" s="189"/>
      <c r="X68" s="189"/>
      <c r="Y68" s="189"/>
      <c r="Z68" s="189"/>
      <c r="AA68" s="189"/>
      <c r="AB68" s="189"/>
      <c r="AC68" s="189"/>
      <c r="AD68" s="189"/>
      <c r="AE68" s="189"/>
      <c r="AF68" s="189"/>
      <c r="AG68" s="189"/>
      <c r="AH68" s="189"/>
      <c r="AI68" s="693"/>
      <c r="AJ68" s="693"/>
    </row>
    <row r="69" spans="1:36" ht="12.75">
      <c r="A69" s="177"/>
      <c r="B69" s="661"/>
      <c r="C69" s="654"/>
      <c r="D69" s="193"/>
      <c r="E69" s="193"/>
      <c r="F69" s="817"/>
      <c r="G69" s="193"/>
      <c r="H69" s="193"/>
      <c r="I69" s="193"/>
      <c r="J69" s="193"/>
      <c r="K69" s="193"/>
      <c r="L69" s="193"/>
      <c r="M69" s="193"/>
      <c r="N69" s="193"/>
      <c r="O69" s="193"/>
      <c r="P69" s="193"/>
      <c r="Q69" s="193"/>
      <c r="R69" s="193"/>
      <c r="S69" s="193"/>
      <c r="T69" s="193"/>
      <c r="U69" s="193"/>
      <c r="V69" s="193"/>
      <c r="W69" s="193"/>
      <c r="X69" s="193"/>
      <c r="Y69" s="193"/>
      <c r="Z69" s="193"/>
      <c r="AA69" s="193"/>
      <c r="AB69" s="193"/>
      <c r="AC69" s="193"/>
      <c r="AD69" s="193"/>
      <c r="AE69" s="193"/>
      <c r="AF69" s="193"/>
      <c r="AG69" s="193"/>
      <c r="AH69" s="654"/>
      <c r="AI69" s="654"/>
      <c r="AJ69" s="654"/>
    </row>
    <row r="70" spans="1:36" ht="12.75" hidden="1">
      <c r="A70" s="3605" t="s">
        <v>552</v>
      </c>
      <c r="B70" s="3606"/>
      <c r="C70" s="3607"/>
      <c r="D70" s="193"/>
      <c r="E70" s="193"/>
      <c r="F70" s="193"/>
      <c r="G70" s="193"/>
      <c r="H70" s="193"/>
      <c r="I70" s="193"/>
      <c r="J70" s="193"/>
      <c r="K70" s="193"/>
      <c r="L70" s="193"/>
      <c r="M70" s="193"/>
      <c r="N70" s="193"/>
      <c r="O70" s="193"/>
      <c r="P70" s="193"/>
      <c r="Q70" s="193"/>
      <c r="R70" s="193"/>
      <c r="S70" s="193"/>
      <c r="T70" s="193"/>
      <c r="U70" s="193"/>
      <c r="V70" s="193"/>
      <c r="W70" s="193"/>
      <c r="X70" s="193"/>
      <c r="Y70" s="193"/>
      <c r="Z70" s="193"/>
      <c r="AA70" s="193"/>
      <c r="AB70" s="193"/>
      <c r="AC70" s="193"/>
      <c r="AD70" s="193"/>
      <c r="AE70" s="193"/>
      <c r="AF70" s="193"/>
      <c r="AG70" s="193"/>
      <c r="AH70" s="654"/>
      <c r="AI70" s="654"/>
      <c r="AJ70" s="654"/>
    </row>
    <row r="71" spans="1:36" ht="12.75" hidden="1">
      <c r="A71" s="178" t="s">
        <v>72</v>
      </c>
      <c r="B71" s="190" t="s">
        <v>73</v>
      </c>
      <c r="C71" s="867">
        <v>1</v>
      </c>
      <c r="D71" s="663">
        <v>2</v>
      </c>
      <c r="E71" s="663">
        <v>3</v>
      </c>
      <c r="F71" s="663">
        <v>4</v>
      </c>
      <c r="G71" s="663">
        <v>5</v>
      </c>
      <c r="H71" s="663">
        <v>6</v>
      </c>
      <c r="I71" s="663">
        <v>7</v>
      </c>
      <c r="J71" s="663">
        <v>8</v>
      </c>
      <c r="K71" s="663">
        <v>9</v>
      </c>
      <c r="L71" s="663">
        <v>10</v>
      </c>
      <c r="M71" s="663">
        <v>11</v>
      </c>
      <c r="N71" s="663">
        <v>12</v>
      </c>
      <c r="O71" s="663">
        <v>13</v>
      </c>
      <c r="P71" s="663">
        <v>14</v>
      </c>
      <c r="Q71" s="663">
        <v>15</v>
      </c>
      <c r="R71" s="663">
        <v>16</v>
      </c>
      <c r="S71" s="663">
        <v>17</v>
      </c>
      <c r="T71" s="663">
        <v>18</v>
      </c>
      <c r="U71" s="663">
        <v>19</v>
      </c>
      <c r="V71" s="663">
        <v>20</v>
      </c>
      <c r="W71" s="663">
        <v>21</v>
      </c>
      <c r="X71" s="663">
        <v>22</v>
      </c>
      <c r="Y71" s="663">
        <v>23</v>
      </c>
      <c r="Z71" s="663">
        <v>24</v>
      </c>
      <c r="AA71" s="663">
        <v>25</v>
      </c>
      <c r="AB71" s="663">
        <v>26</v>
      </c>
      <c r="AC71" s="663">
        <v>27</v>
      </c>
      <c r="AD71" s="663">
        <v>28</v>
      </c>
      <c r="AE71" s="663">
        <v>29</v>
      </c>
      <c r="AF71" s="663">
        <v>30</v>
      </c>
      <c r="AG71" s="663">
        <v>31</v>
      </c>
      <c r="AH71" s="189" t="s">
        <v>74</v>
      </c>
      <c r="AI71" s="693"/>
      <c r="AJ71" s="693"/>
    </row>
    <row r="72" spans="1:36" ht="12.75" hidden="1">
      <c r="A72" s="1268" t="s">
        <v>75</v>
      </c>
      <c r="B72" s="190">
        <f t="shared" ref="B72:B83" si="12">+AH72</f>
        <v>0</v>
      </c>
      <c r="C72" s="189"/>
      <c r="D72" s="190"/>
      <c r="E72" s="190"/>
      <c r="F72" s="190"/>
      <c r="G72" s="190"/>
      <c r="H72" s="190"/>
      <c r="I72" s="190"/>
      <c r="J72" s="190"/>
      <c r="K72" s="190"/>
      <c r="L72" s="190"/>
      <c r="M72" s="190"/>
      <c r="N72" s="683"/>
      <c r="O72" s="683"/>
      <c r="P72" s="683"/>
      <c r="Q72" s="683"/>
      <c r="R72" s="683"/>
      <c r="S72" s="684"/>
      <c r="T72" s="190"/>
      <c r="U72" s="190"/>
      <c r="V72" s="190"/>
      <c r="W72" s="190"/>
      <c r="X72" s="685"/>
      <c r="Y72" s="190"/>
      <c r="Z72" s="190"/>
      <c r="AA72" s="190"/>
      <c r="AB72" s="190"/>
      <c r="AC72" s="190"/>
      <c r="AD72" s="190"/>
      <c r="AE72" s="190"/>
      <c r="AF72" s="190"/>
      <c r="AG72" s="190"/>
      <c r="AH72" s="189">
        <f>SUM(C72:AG72)</f>
        <v>0</v>
      </c>
      <c r="AI72" s="693"/>
      <c r="AJ72" s="693"/>
    </row>
    <row r="73" spans="1:36" ht="12.75" hidden="1">
      <c r="A73" s="1268" t="s">
        <v>76</v>
      </c>
      <c r="B73" s="190">
        <f t="shared" si="12"/>
        <v>0</v>
      </c>
      <c r="C73" s="683"/>
      <c r="D73" s="683"/>
      <c r="E73" s="683"/>
      <c r="F73" s="683"/>
      <c r="G73" s="683"/>
      <c r="H73" s="683"/>
      <c r="I73" s="683"/>
      <c r="J73" s="683"/>
      <c r="K73" s="683"/>
      <c r="L73" s="683"/>
      <c r="M73" s="683"/>
      <c r="N73" s="683"/>
      <c r="O73" s="683"/>
      <c r="P73" s="683"/>
      <c r="Q73" s="683"/>
      <c r="R73" s="683"/>
      <c r="S73" s="683"/>
      <c r="T73" s="683"/>
      <c r="U73" s="683"/>
      <c r="V73" s="683"/>
      <c r="W73" s="683"/>
      <c r="X73" s="683"/>
      <c r="Y73" s="683"/>
      <c r="Z73" s="683"/>
      <c r="AA73" s="683"/>
      <c r="AB73" s="683"/>
      <c r="AC73" s="683"/>
      <c r="AD73" s="683"/>
      <c r="AE73" s="683"/>
      <c r="AF73" s="683"/>
      <c r="AG73" s="683"/>
      <c r="AH73" s="686">
        <f t="shared" ref="AH73:AH83" si="13">SUM(C73:AG73)</f>
        <v>0</v>
      </c>
      <c r="AI73" s="693"/>
      <c r="AJ73" s="693"/>
    </row>
    <row r="74" spans="1:36" ht="12.75" hidden="1">
      <c r="A74" s="1268" t="s">
        <v>77</v>
      </c>
      <c r="B74" s="190">
        <f t="shared" si="12"/>
        <v>0</v>
      </c>
      <c r="C74" s="683"/>
      <c r="D74" s="683"/>
      <c r="E74" s="683"/>
      <c r="F74" s="683"/>
      <c r="G74" s="683"/>
      <c r="H74" s="683"/>
      <c r="I74" s="683"/>
      <c r="J74" s="683"/>
      <c r="K74" s="683"/>
      <c r="L74" s="683"/>
      <c r="M74" s="683"/>
      <c r="N74" s="683"/>
      <c r="O74" s="683"/>
      <c r="P74" s="683"/>
      <c r="Q74" s="683"/>
      <c r="R74" s="683"/>
      <c r="S74" s="683"/>
      <c r="T74" s="683"/>
      <c r="U74" s="683"/>
      <c r="V74" s="683"/>
      <c r="W74" s="683"/>
      <c r="X74" s="683"/>
      <c r="Y74" s="683"/>
      <c r="Z74" s="683"/>
      <c r="AA74" s="683"/>
      <c r="AB74" s="683"/>
      <c r="AC74" s="683"/>
      <c r="AD74" s="683"/>
      <c r="AE74" s="683"/>
      <c r="AF74" s="683"/>
      <c r="AG74" s="683"/>
      <c r="AH74" s="686">
        <f t="shared" si="13"/>
        <v>0</v>
      </c>
      <c r="AI74" s="693"/>
      <c r="AJ74" s="693"/>
    </row>
    <row r="75" spans="1:36" ht="12.75" hidden="1">
      <c r="A75" s="1268" t="s">
        <v>78</v>
      </c>
      <c r="B75" s="190">
        <f t="shared" si="12"/>
        <v>0</v>
      </c>
      <c r="C75" s="683"/>
      <c r="D75" s="683"/>
      <c r="E75" s="683"/>
      <c r="F75" s="683"/>
      <c r="G75" s="683"/>
      <c r="H75" s="683"/>
      <c r="I75" s="683"/>
      <c r="J75" s="683"/>
      <c r="K75" s="683"/>
      <c r="L75" s="683"/>
      <c r="M75" s="683"/>
      <c r="N75" s="683"/>
      <c r="O75" s="683"/>
      <c r="P75" s="683"/>
      <c r="Q75" s="683"/>
      <c r="R75" s="683"/>
      <c r="S75" s="683"/>
      <c r="T75" s="683"/>
      <c r="U75" s="683"/>
      <c r="V75" s="683"/>
      <c r="W75" s="683"/>
      <c r="X75" s="683"/>
      <c r="Y75" s="683"/>
      <c r="Z75" s="683"/>
      <c r="AA75" s="683"/>
      <c r="AB75" s="683"/>
      <c r="AC75" s="683"/>
      <c r="AD75" s="683"/>
      <c r="AE75" s="683"/>
      <c r="AF75" s="683"/>
      <c r="AG75" s="683"/>
      <c r="AH75" s="686">
        <f t="shared" si="13"/>
        <v>0</v>
      </c>
      <c r="AI75" s="693"/>
      <c r="AJ75" s="693"/>
    </row>
    <row r="76" spans="1:36" ht="12.75" hidden="1">
      <c r="A76" s="1739" t="s">
        <v>79</v>
      </c>
      <c r="B76" s="190">
        <f t="shared" si="12"/>
        <v>0</v>
      </c>
      <c r="C76" s="683"/>
      <c r="D76" s="683"/>
      <c r="E76" s="683"/>
      <c r="F76" s="683"/>
      <c r="G76" s="683"/>
      <c r="H76" s="683"/>
      <c r="I76" s="683"/>
      <c r="J76" s="683"/>
      <c r="K76" s="683"/>
      <c r="L76" s="683"/>
      <c r="M76" s="683"/>
      <c r="N76" s="683"/>
      <c r="O76" s="683"/>
      <c r="P76" s="683"/>
      <c r="Q76" s="683"/>
      <c r="R76" s="683"/>
      <c r="S76" s="683"/>
      <c r="T76" s="683"/>
      <c r="U76" s="683"/>
      <c r="V76" s="683"/>
      <c r="W76" s="683"/>
      <c r="X76" s="683"/>
      <c r="Y76" s="683"/>
      <c r="Z76" s="683"/>
      <c r="AA76" s="683"/>
      <c r="AB76" s="683"/>
      <c r="AC76" s="683"/>
      <c r="AD76" s="683"/>
      <c r="AE76" s="683"/>
      <c r="AF76" s="683"/>
      <c r="AG76" s="683"/>
      <c r="AH76" s="686">
        <f t="shared" si="13"/>
        <v>0</v>
      </c>
      <c r="AI76" s="693"/>
      <c r="AJ76" s="693"/>
    </row>
    <row r="77" spans="1:36" ht="12.75" hidden="1">
      <c r="A77" s="1739" t="s">
        <v>80</v>
      </c>
      <c r="B77" s="190">
        <f t="shared" si="12"/>
        <v>0</v>
      </c>
      <c r="C77" s="687"/>
      <c r="D77" s="295"/>
      <c r="E77" s="295"/>
      <c r="F77" s="295"/>
      <c r="G77" s="295"/>
      <c r="H77" s="295"/>
      <c r="I77" s="295"/>
      <c r="J77" s="295"/>
      <c r="K77" s="295"/>
      <c r="L77" s="295"/>
      <c r="M77" s="295"/>
      <c r="N77" s="295"/>
      <c r="O77" s="295"/>
      <c r="P77" s="295"/>
      <c r="Q77" s="295"/>
      <c r="R77" s="295"/>
      <c r="S77" s="295"/>
      <c r="T77" s="295"/>
      <c r="U77" s="295"/>
      <c r="V77" s="295"/>
      <c r="W77" s="295"/>
      <c r="X77" s="295"/>
      <c r="Y77" s="295"/>
      <c r="Z77" s="295"/>
      <c r="AA77" s="295"/>
      <c r="AB77" s="295"/>
      <c r="AC77" s="295"/>
      <c r="AD77" s="295"/>
      <c r="AE77" s="295"/>
      <c r="AF77" s="295"/>
      <c r="AG77" s="295"/>
      <c r="AH77" s="686">
        <f t="shared" si="13"/>
        <v>0</v>
      </c>
      <c r="AI77" s="693"/>
      <c r="AJ77" s="693"/>
    </row>
    <row r="78" spans="1:36" ht="12.75" hidden="1">
      <c r="A78" s="1739" t="s">
        <v>81</v>
      </c>
      <c r="B78" s="190">
        <f t="shared" si="12"/>
        <v>0</v>
      </c>
      <c r="C78" s="189"/>
      <c r="D78" s="189"/>
      <c r="E78" s="189"/>
      <c r="F78" s="189"/>
      <c r="G78" s="189"/>
      <c r="H78" s="190"/>
      <c r="I78" s="190"/>
      <c r="J78" s="190"/>
      <c r="K78" s="190"/>
      <c r="L78" s="190"/>
      <c r="M78" s="190"/>
      <c r="N78" s="190"/>
      <c r="O78" s="190"/>
      <c r="P78" s="190"/>
      <c r="Q78" s="190"/>
      <c r="R78" s="190"/>
      <c r="S78" s="190"/>
      <c r="T78" s="190"/>
      <c r="U78" s="190"/>
      <c r="V78" s="190"/>
      <c r="W78" s="190"/>
      <c r="X78" s="190"/>
      <c r="Y78" s="190"/>
      <c r="Z78" s="190"/>
      <c r="AA78" s="190"/>
      <c r="AB78" s="190"/>
      <c r="AC78" s="190"/>
      <c r="AD78" s="190"/>
      <c r="AE78" s="190"/>
      <c r="AF78" s="190"/>
      <c r="AG78" s="190"/>
      <c r="AH78" s="189">
        <f t="shared" si="13"/>
        <v>0</v>
      </c>
      <c r="AI78" s="693"/>
      <c r="AJ78" s="693"/>
    </row>
    <row r="79" spans="1:36" ht="12.75" hidden="1">
      <c r="A79" s="1739" t="s">
        <v>82</v>
      </c>
      <c r="B79" s="190">
        <f t="shared" si="12"/>
        <v>0</v>
      </c>
      <c r="C79" s="189"/>
      <c r="D79" s="190"/>
      <c r="E79" s="190"/>
      <c r="F79" s="190"/>
      <c r="G79" s="190"/>
      <c r="H79" s="190"/>
      <c r="I79" s="190"/>
      <c r="J79" s="190"/>
      <c r="K79" s="190"/>
      <c r="L79" s="190"/>
      <c r="M79" s="190"/>
      <c r="N79" s="190"/>
      <c r="O79" s="190"/>
      <c r="P79" s="190"/>
      <c r="Q79" s="190"/>
      <c r="R79" s="190"/>
      <c r="S79" s="190"/>
      <c r="T79" s="190"/>
      <c r="U79" s="190"/>
      <c r="V79" s="190"/>
      <c r="W79" s="190"/>
      <c r="X79" s="190"/>
      <c r="Y79" s="190"/>
      <c r="Z79" s="190"/>
      <c r="AA79" s="886" t="s">
        <v>112</v>
      </c>
      <c r="AB79" s="886" t="s">
        <v>112</v>
      </c>
      <c r="AC79" s="886" t="s">
        <v>112</v>
      </c>
      <c r="AD79" s="886" t="s">
        <v>112</v>
      </c>
      <c r="AE79" s="886" t="s">
        <v>112</v>
      </c>
      <c r="AF79" s="886" t="s">
        <v>112</v>
      </c>
      <c r="AG79" s="886" t="s">
        <v>112</v>
      </c>
      <c r="AH79" s="189">
        <f t="shared" si="13"/>
        <v>0</v>
      </c>
      <c r="AI79" s="693"/>
      <c r="AJ79" s="693"/>
    </row>
    <row r="80" spans="1:36" ht="12.75" hidden="1">
      <c r="A80" s="1740" t="s">
        <v>83</v>
      </c>
      <c r="B80" s="190">
        <f t="shared" si="12"/>
        <v>0</v>
      </c>
      <c r="C80" s="886" t="s">
        <v>112</v>
      </c>
      <c r="D80" s="886" t="s">
        <v>112</v>
      </c>
      <c r="E80" s="886" t="s">
        <v>112</v>
      </c>
      <c r="F80" s="886" t="s">
        <v>112</v>
      </c>
      <c r="G80" s="886" t="s">
        <v>112</v>
      </c>
      <c r="H80" s="886" t="s">
        <v>112</v>
      </c>
      <c r="I80" s="886" t="s">
        <v>112</v>
      </c>
      <c r="J80" s="886" t="s">
        <v>112</v>
      </c>
      <c r="K80" s="886" t="s">
        <v>112</v>
      </c>
      <c r="L80" s="886" t="s">
        <v>112</v>
      </c>
      <c r="M80" s="886" t="s">
        <v>112</v>
      </c>
      <c r="N80" s="886" t="s">
        <v>112</v>
      </c>
      <c r="O80" s="886" t="s">
        <v>112</v>
      </c>
      <c r="P80" s="886" t="s">
        <v>112</v>
      </c>
      <c r="Q80" s="886" t="s">
        <v>112</v>
      </c>
      <c r="R80" s="886" t="s">
        <v>112</v>
      </c>
      <c r="S80" s="886" t="s">
        <v>112</v>
      </c>
      <c r="T80" s="886" t="s">
        <v>112</v>
      </c>
      <c r="U80" s="886" t="s">
        <v>112</v>
      </c>
      <c r="V80" s="886" t="s">
        <v>112</v>
      </c>
      <c r="W80" s="886" t="s">
        <v>112</v>
      </c>
      <c r="X80" s="886" t="s">
        <v>112</v>
      </c>
      <c r="Y80" s="886" t="s">
        <v>112</v>
      </c>
      <c r="Z80" s="190"/>
      <c r="AA80" s="190"/>
      <c r="AB80" s="190"/>
      <c r="AC80" s="190"/>
      <c r="AD80" s="190"/>
      <c r="AE80" s="190"/>
      <c r="AF80" s="190"/>
      <c r="AG80" s="190"/>
      <c r="AH80" s="189">
        <f t="shared" si="13"/>
        <v>0</v>
      </c>
      <c r="AI80" s="693"/>
      <c r="AJ80" s="693"/>
    </row>
    <row r="81" spans="1:36" ht="12.75" hidden="1">
      <c r="A81" s="1740" t="s">
        <v>84</v>
      </c>
      <c r="B81" s="190">
        <f t="shared" si="12"/>
        <v>0</v>
      </c>
      <c r="C81" s="189"/>
      <c r="D81" s="190"/>
      <c r="E81" s="190"/>
      <c r="F81" s="190"/>
      <c r="G81" s="190"/>
      <c r="H81" s="190"/>
      <c r="I81" s="190"/>
      <c r="J81" s="190"/>
      <c r="K81" s="190"/>
      <c r="L81" s="190"/>
      <c r="M81" s="190"/>
      <c r="N81" s="190"/>
      <c r="O81" s="190"/>
      <c r="P81" s="190"/>
      <c r="Q81" s="190"/>
      <c r="R81" s="190"/>
      <c r="S81" s="190"/>
      <c r="T81" s="190"/>
      <c r="U81" s="190"/>
      <c r="V81" s="190"/>
      <c r="W81" s="190"/>
      <c r="X81" s="190"/>
      <c r="Y81" s="190"/>
      <c r="Z81" s="190"/>
      <c r="AA81" s="190"/>
      <c r="AB81" s="190"/>
      <c r="AC81" s="190"/>
      <c r="AD81" s="190"/>
      <c r="AE81" s="190"/>
      <c r="AF81" s="190"/>
      <c r="AG81" s="190"/>
      <c r="AH81" s="189">
        <f t="shared" si="13"/>
        <v>0</v>
      </c>
      <c r="AI81" s="693"/>
      <c r="AJ81" s="693"/>
    </row>
    <row r="82" spans="1:36" ht="12.75" hidden="1">
      <c r="A82" s="1740" t="s">
        <v>85</v>
      </c>
      <c r="B82" s="190">
        <f t="shared" si="12"/>
        <v>0</v>
      </c>
      <c r="C82" s="189"/>
      <c r="D82" s="190"/>
      <c r="E82" s="190"/>
      <c r="F82" s="190"/>
      <c r="G82" s="190"/>
      <c r="H82" s="190"/>
      <c r="I82" s="190"/>
      <c r="J82" s="190"/>
      <c r="K82" s="190"/>
      <c r="L82" s="190"/>
      <c r="M82" s="190"/>
      <c r="N82" s="190"/>
      <c r="O82" s="190"/>
      <c r="P82" s="190"/>
      <c r="Q82" s="190"/>
      <c r="R82" s="190"/>
      <c r="S82" s="190"/>
      <c r="T82" s="190"/>
      <c r="U82" s="190"/>
      <c r="V82" s="190"/>
      <c r="W82" s="190"/>
      <c r="X82" s="190"/>
      <c r="Y82" s="190"/>
      <c r="Z82" s="190"/>
      <c r="AA82" s="190"/>
      <c r="AB82" s="190"/>
      <c r="AC82" s="190"/>
      <c r="AD82" s="190"/>
      <c r="AE82" s="190"/>
      <c r="AF82" s="190"/>
      <c r="AG82" s="190"/>
      <c r="AH82" s="189">
        <f t="shared" si="13"/>
        <v>0</v>
      </c>
      <c r="AI82" s="693"/>
      <c r="AJ82" s="693"/>
    </row>
    <row r="83" spans="1:36" ht="12.75" hidden="1">
      <c r="A83" s="1740" t="s">
        <v>86</v>
      </c>
      <c r="B83" s="190">
        <f t="shared" si="12"/>
        <v>0</v>
      </c>
      <c r="C83" s="189"/>
      <c r="D83" s="190"/>
      <c r="E83" s="190"/>
      <c r="F83" s="190"/>
      <c r="G83" s="190"/>
      <c r="H83" s="190"/>
      <c r="I83" s="190"/>
      <c r="J83" s="190"/>
      <c r="K83" s="190"/>
      <c r="L83" s="190"/>
      <c r="M83" s="190"/>
      <c r="N83" s="190"/>
      <c r="O83" s="190"/>
      <c r="P83" s="190"/>
      <c r="Q83" s="190"/>
      <c r="R83" s="190"/>
      <c r="S83" s="190"/>
      <c r="T83" s="190"/>
      <c r="U83" s="190"/>
      <c r="V83" s="190"/>
      <c r="W83" s="190"/>
      <c r="X83" s="190"/>
      <c r="Y83" s="190"/>
      <c r="Z83" s="190"/>
      <c r="AA83" s="190"/>
      <c r="AB83" s="190"/>
      <c r="AC83" s="190"/>
      <c r="AD83" s="190"/>
      <c r="AE83" s="190"/>
      <c r="AF83" s="190"/>
      <c r="AG83" s="190"/>
      <c r="AH83" s="189">
        <f t="shared" si="13"/>
        <v>0</v>
      </c>
      <c r="AI83" s="693"/>
      <c r="AJ83" s="693"/>
    </row>
    <row r="84" spans="1:36" ht="12.75" hidden="1">
      <c r="A84" s="665" t="s">
        <v>74</v>
      </c>
      <c r="B84" s="666">
        <f>SUM(B72:B83)</f>
        <v>0</v>
      </c>
      <c r="C84" s="189"/>
      <c r="D84" s="189"/>
      <c r="E84" s="189"/>
      <c r="F84" s="189"/>
      <c r="G84" s="189"/>
      <c r="H84" s="189"/>
      <c r="I84" s="189"/>
      <c r="J84" s="189"/>
      <c r="K84" s="189"/>
      <c r="L84" s="189"/>
      <c r="M84" s="189"/>
      <c r="N84" s="189"/>
      <c r="O84" s="189"/>
      <c r="P84" s="189"/>
      <c r="Q84" s="189"/>
      <c r="R84" s="189"/>
      <c r="S84" s="189"/>
      <c r="T84" s="189"/>
      <c r="U84" s="189"/>
      <c r="V84" s="189"/>
      <c r="W84" s="189"/>
      <c r="X84" s="189"/>
      <c r="Y84" s="189"/>
      <c r="Z84" s="189"/>
      <c r="AA84" s="189"/>
      <c r="AB84" s="189"/>
      <c r="AC84" s="189"/>
      <c r="AD84" s="189"/>
      <c r="AE84" s="189"/>
      <c r="AF84" s="189"/>
      <c r="AG84" s="189"/>
      <c r="AH84" s="189"/>
      <c r="AI84" s="693"/>
      <c r="AJ84" s="693"/>
    </row>
    <row r="85" spans="1:36" ht="12.75">
      <c r="A85" s="177"/>
      <c r="B85" s="661"/>
      <c r="C85" s="654"/>
      <c r="D85" s="193"/>
      <c r="E85" s="193"/>
      <c r="F85" s="817"/>
      <c r="G85" s="193"/>
      <c r="H85" s="193"/>
      <c r="I85" s="193"/>
      <c r="J85" s="193"/>
      <c r="K85" s="193"/>
      <c r="L85" s="193"/>
      <c r="M85" s="193"/>
      <c r="N85" s="193"/>
      <c r="O85" s="193"/>
      <c r="P85" s="193"/>
      <c r="Q85" s="193"/>
      <c r="R85" s="193"/>
      <c r="S85" s="193"/>
      <c r="T85" s="193"/>
      <c r="U85" s="193"/>
      <c r="V85" s="193"/>
      <c r="W85" s="193"/>
      <c r="X85" s="193"/>
      <c r="Y85" s="193"/>
      <c r="Z85" s="193"/>
      <c r="AA85" s="193"/>
      <c r="AB85" s="193"/>
      <c r="AC85" s="193"/>
      <c r="AD85" s="193"/>
      <c r="AE85" s="193"/>
      <c r="AF85" s="193"/>
      <c r="AG85" s="193"/>
      <c r="AH85" s="654"/>
      <c r="AI85" s="654"/>
      <c r="AJ85" s="654"/>
    </row>
    <row r="86" spans="1:36" ht="12.75">
      <c r="A86" s="177"/>
      <c r="B86" s="661"/>
      <c r="C86" s="654"/>
      <c r="D86" s="193"/>
      <c r="E86" s="193"/>
      <c r="F86" s="817"/>
      <c r="G86" s="193"/>
      <c r="H86" s="193"/>
      <c r="I86" s="193"/>
      <c r="J86" s="193"/>
      <c r="K86" s="193"/>
      <c r="L86" s="193"/>
      <c r="M86" s="193"/>
      <c r="N86" s="193"/>
      <c r="O86" s="193"/>
      <c r="P86" s="193"/>
      <c r="Q86" s="193"/>
      <c r="R86" s="193"/>
      <c r="S86" s="193"/>
      <c r="T86" s="193"/>
      <c r="U86" s="193"/>
      <c r="V86" s="193"/>
      <c r="W86" s="193"/>
      <c r="X86" s="193"/>
      <c r="Y86" s="193"/>
      <c r="Z86" s="193"/>
      <c r="AA86" s="193"/>
      <c r="AB86" s="193"/>
      <c r="AC86" s="193"/>
      <c r="AD86" s="193"/>
      <c r="AE86" s="193"/>
      <c r="AF86" s="193"/>
      <c r="AG86" s="193"/>
      <c r="AH86" s="654"/>
      <c r="AI86" s="654"/>
      <c r="AJ86" s="654"/>
    </row>
    <row r="87" spans="1:36" ht="12.75">
      <c r="A87" s="3605" t="s">
        <v>69</v>
      </c>
      <c r="B87" s="3606"/>
      <c r="C87" s="3607"/>
      <c r="D87" s="193"/>
      <c r="E87" s="193"/>
      <c r="F87" s="193"/>
      <c r="G87" s="193"/>
      <c r="H87" s="193"/>
      <c r="I87" s="193"/>
      <c r="J87" s="193"/>
      <c r="K87" s="193"/>
      <c r="L87" s="193"/>
      <c r="M87" s="193"/>
      <c r="N87" s="193"/>
      <c r="O87" s="193"/>
      <c r="P87" s="193"/>
      <c r="Q87" s="193"/>
      <c r="R87" s="193"/>
      <c r="S87" s="193"/>
      <c r="T87" s="193"/>
      <c r="U87" s="193"/>
      <c r="V87" s="193"/>
      <c r="W87" s="193"/>
      <c r="X87" s="193"/>
      <c r="Y87" s="193"/>
      <c r="Z87" s="193"/>
      <c r="AA87" s="193"/>
      <c r="AB87" s="193"/>
      <c r="AC87" s="193"/>
      <c r="AD87" s="193"/>
      <c r="AE87" s="193"/>
      <c r="AF87" s="193"/>
      <c r="AG87" s="193"/>
      <c r="AH87" s="654"/>
      <c r="AI87" s="654"/>
      <c r="AJ87" s="654"/>
    </row>
    <row r="88" spans="1:36" ht="12.75">
      <c r="A88" s="178" t="s">
        <v>72</v>
      </c>
      <c r="B88" s="190" t="s">
        <v>73</v>
      </c>
      <c r="C88" s="662">
        <v>1</v>
      </c>
      <c r="D88" s="663">
        <v>2</v>
      </c>
      <c r="E88" s="663">
        <v>3</v>
      </c>
      <c r="F88" s="663">
        <v>4</v>
      </c>
      <c r="G88" s="663">
        <v>5</v>
      </c>
      <c r="H88" s="663">
        <v>6</v>
      </c>
      <c r="I88" s="663">
        <v>7</v>
      </c>
      <c r="J88" s="663">
        <v>8</v>
      </c>
      <c r="K88" s="663">
        <v>9</v>
      </c>
      <c r="L88" s="663">
        <v>10</v>
      </c>
      <c r="M88" s="663">
        <v>11</v>
      </c>
      <c r="N88" s="663">
        <v>12</v>
      </c>
      <c r="O88" s="663">
        <v>13</v>
      </c>
      <c r="P88" s="663">
        <v>14</v>
      </c>
      <c r="Q88" s="663">
        <v>15</v>
      </c>
      <c r="R88" s="663">
        <v>16</v>
      </c>
      <c r="S88" s="663">
        <v>17</v>
      </c>
      <c r="T88" s="663">
        <v>18</v>
      </c>
      <c r="U88" s="663">
        <v>19</v>
      </c>
      <c r="V88" s="663">
        <v>20</v>
      </c>
      <c r="W88" s="663">
        <v>21</v>
      </c>
      <c r="X88" s="663">
        <v>22</v>
      </c>
      <c r="Y88" s="663">
        <v>23</v>
      </c>
      <c r="Z88" s="663">
        <v>24</v>
      </c>
      <c r="AA88" s="663">
        <v>25</v>
      </c>
      <c r="AB88" s="663">
        <v>26</v>
      </c>
      <c r="AC88" s="663">
        <v>27</v>
      </c>
      <c r="AD88" s="663">
        <v>28</v>
      </c>
      <c r="AE88" s="663">
        <v>29</v>
      </c>
      <c r="AF88" s="663">
        <v>30</v>
      </c>
      <c r="AG88" s="663">
        <v>31</v>
      </c>
      <c r="AH88" s="189" t="s">
        <v>74</v>
      </c>
      <c r="AI88" s="693"/>
      <c r="AJ88" s="693"/>
    </row>
    <row r="89" spans="1:36" ht="12.75">
      <c r="A89" s="1999" t="s">
        <v>75</v>
      </c>
      <c r="B89" s="190">
        <f t="shared" ref="B89:B100" si="14">+AH89</f>
        <v>0</v>
      </c>
      <c r="C89" s="688" t="s">
        <v>111</v>
      </c>
      <c r="D89" s="688" t="s">
        <v>111</v>
      </c>
      <c r="E89" s="688" t="s">
        <v>111</v>
      </c>
      <c r="F89" s="688" t="s">
        <v>111</v>
      </c>
      <c r="G89" s="688" t="s">
        <v>111</v>
      </c>
      <c r="H89" s="688" t="s">
        <v>111</v>
      </c>
      <c r="I89" s="688" t="s">
        <v>111</v>
      </c>
      <c r="J89" s="688" t="s">
        <v>111</v>
      </c>
      <c r="K89" s="688" t="s">
        <v>111</v>
      </c>
      <c r="L89" s="688" t="s">
        <v>111</v>
      </c>
      <c r="M89" s="688" t="s">
        <v>111</v>
      </c>
      <c r="N89" s="688" t="s">
        <v>111</v>
      </c>
      <c r="O89" s="688" t="s">
        <v>111</v>
      </c>
      <c r="P89" s="688" t="s">
        <v>111</v>
      </c>
      <c r="Q89" s="688" t="s">
        <v>111</v>
      </c>
      <c r="R89" s="688" t="s">
        <v>111</v>
      </c>
      <c r="S89" s="688" t="s">
        <v>111</v>
      </c>
      <c r="T89" s="688" t="s">
        <v>111</v>
      </c>
      <c r="U89" s="688" t="s">
        <v>111</v>
      </c>
      <c r="V89" s="688" t="s">
        <v>111</v>
      </c>
      <c r="W89" s="688" t="s">
        <v>111</v>
      </c>
      <c r="X89" s="688" t="s">
        <v>111</v>
      </c>
      <c r="Y89" s="688" t="s">
        <v>111</v>
      </c>
      <c r="Z89" s="688" t="s">
        <v>111</v>
      </c>
      <c r="AA89" s="688" t="s">
        <v>111</v>
      </c>
      <c r="AB89" s="688" t="s">
        <v>111</v>
      </c>
      <c r="AC89" s="688" t="s">
        <v>111</v>
      </c>
      <c r="AD89" s="688" t="s">
        <v>111</v>
      </c>
      <c r="AE89" s="688" t="s">
        <v>111</v>
      </c>
      <c r="AF89" s="688" t="s">
        <v>111</v>
      </c>
      <c r="AG89" s="688" t="s">
        <v>111</v>
      </c>
      <c r="AH89" s="189">
        <f>SUM(C89:AG89)</f>
        <v>0</v>
      </c>
      <c r="AI89" s="693"/>
      <c r="AJ89" s="693"/>
    </row>
    <row r="90" spans="1:36" ht="12.75">
      <c r="A90" s="1999" t="s">
        <v>76</v>
      </c>
      <c r="B90" s="190">
        <f t="shared" si="14"/>
        <v>0</v>
      </c>
      <c r="C90" s="688" t="s">
        <v>111</v>
      </c>
      <c r="D90" s="688" t="s">
        <v>111</v>
      </c>
      <c r="E90" s="688" t="s">
        <v>111</v>
      </c>
      <c r="F90" s="688" t="s">
        <v>111</v>
      </c>
      <c r="G90" s="688" t="s">
        <v>111</v>
      </c>
      <c r="H90" s="688" t="s">
        <v>111</v>
      </c>
      <c r="I90" s="688" t="s">
        <v>111</v>
      </c>
      <c r="J90" s="688" t="s">
        <v>111</v>
      </c>
      <c r="K90" s="688" t="s">
        <v>111</v>
      </c>
      <c r="L90" s="688" t="s">
        <v>111</v>
      </c>
      <c r="M90" s="688" t="s">
        <v>111</v>
      </c>
      <c r="N90" s="688" t="s">
        <v>111</v>
      </c>
      <c r="O90" s="688" t="s">
        <v>111</v>
      </c>
      <c r="P90" s="688" t="s">
        <v>111</v>
      </c>
      <c r="Q90" s="688" t="s">
        <v>111</v>
      </c>
      <c r="R90" s="688" t="s">
        <v>111</v>
      </c>
      <c r="S90" s="688" t="s">
        <v>111</v>
      </c>
      <c r="T90" s="688" t="s">
        <v>111</v>
      </c>
      <c r="U90" s="688" t="s">
        <v>111</v>
      </c>
      <c r="V90" s="688" t="s">
        <v>111</v>
      </c>
      <c r="W90" s="688" t="s">
        <v>111</v>
      </c>
      <c r="X90" s="688" t="s">
        <v>111</v>
      </c>
      <c r="Y90" s="688" t="s">
        <v>111</v>
      </c>
      <c r="Z90" s="688" t="s">
        <v>111</v>
      </c>
      <c r="AA90" s="688" t="s">
        <v>111</v>
      </c>
      <c r="AB90" s="688" t="s">
        <v>111</v>
      </c>
      <c r="AC90" s="688" t="s">
        <v>111</v>
      </c>
      <c r="AD90" s="688" t="s">
        <v>111</v>
      </c>
      <c r="AE90" s="688" t="s">
        <v>111</v>
      </c>
      <c r="AF90" s="688" t="s">
        <v>111</v>
      </c>
      <c r="AG90" s="688" t="s">
        <v>111</v>
      </c>
      <c r="AH90" s="189">
        <f t="shared" ref="AH90:AH100" si="15">SUM(C90:AG90)</f>
        <v>0</v>
      </c>
      <c r="AI90" s="693"/>
      <c r="AJ90" s="693"/>
    </row>
    <row r="91" spans="1:36" ht="15">
      <c r="A91" s="1999" t="s">
        <v>77</v>
      </c>
      <c r="B91" s="190">
        <f t="shared" si="14"/>
        <v>0</v>
      </c>
      <c r="C91" s="688" t="s">
        <v>111</v>
      </c>
      <c r="D91" s="688" t="s">
        <v>111</v>
      </c>
      <c r="E91" s="688" t="s">
        <v>111</v>
      </c>
      <c r="F91" s="688" t="s">
        <v>111</v>
      </c>
      <c r="G91" s="688" t="s">
        <v>111</v>
      </c>
      <c r="H91" s="1287"/>
      <c r="I91" s="1287"/>
      <c r="J91" s="1287"/>
      <c r="K91" s="1287"/>
      <c r="L91" s="1287"/>
      <c r="M91" s="1287"/>
      <c r="N91" s="1287"/>
      <c r="O91" s="1287"/>
      <c r="P91" s="1287"/>
      <c r="Q91" s="1287"/>
      <c r="R91" s="1287"/>
      <c r="S91" s="1287"/>
      <c r="T91" s="1287"/>
      <c r="U91" s="1815"/>
      <c r="V91" s="1287"/>
      <c r="W91" s="1287"/>
      <c r="X91" s="1287"/>
      <c r="Y91" s="1287"/>
      <c r="Z91" s="1287"/>
      <c r="AA91" s="1287"/>
      <c r="AB91" s="1287"/>
      <c r="AC91" s="1930"/>
      <c r="AD91" s="1930"/>
      <c r="AE91" s="1930"/>
      <c r="AF91" s="1930"/>
      <c r="AG91" s="1930"/>
      <c r="AH91" s="189">
        <f t="shared" si="15"/>
        <v>0</v>
      </c>
      <c r="AI91" s="693"/>
      <c r="AJ91" s="693"/>
    </row>
    <row r="92" spans="1:36" ht="15">
      <c r="A92" s="1999" t="s">
        <v>78</v>
      </c>
      <c r="B92" s="190">
        <f t="shared" si="14"/>
        <v>0</v>
      </c>
      <c r="C92" s="3168"/>
      <c r="D92" s="3168"/>
      <c r="E92" s="3168"/>
      <c r="F92" s="3168"/>
      <c r="G92" s="3168"/>
      <c r="H92" s="3168"/>
      <c r="I92" s="3168"/>
      <c r="J92" s="3168"/>
      <c r="K92" s="3168"/>
      <c r="L92" s="18"/>
      <c r="M92" s="18"/>
      <c r="N92" s="18"/>
      <c r="O92" s="18"/>
      <c r="P92" s="18"/>
      <c r="Q92" s="287"/>
      <c r="R92" s="287"/>
      <c r="S92" s="153"/>
      <c r="T92" s="153"/>
      <c r="U92" s="153"/>
      <c r="V92" s="153"/>
      <c r="W92" s="153"/>
      <c r="X92" s="153"/>
      <c r="Y92" s="153"/>
      <c r="Z92" s="153"/>
      <c r="AA92" s="153"/>
      <c r="AB92" s="153"/>
      <c r="AC92" s="153"/>
      <c r="AD92" s="153"/>
      <c r="AE92" s="153"/>
      <c r="AF92" s="153"/>
      <c r="AG92" s="153"/>
      <c r="AH92" s="189">
        <f t="shared" si="15"/>
        <v>0</v>
      </c>
      <c r="AI92" s="693"/>
      <c r="AJ92" s="693"/>
    </row>
    <row r="93" spans="1:36" ht="15">
      <c r="A93" s="1999" t="s">
        <v>79</v>
      </c>
      <c r="B93" s="190">
        <f t="shared" si="14"/>
        <v>0</v>
      </c>
      <c r="C93" s="2465"/>
      <c r="D93" s="2465"/>
      <c r="E93" s="2465"/>
      <c r="F93" s="2465"/>
      <c r="G93" s="2465"/>
      <c r="H93" s="1287"/>
      <c r="I93" s="1287"/>
      <c r="J93" s="1287"/>
      <c r="K93" s="1287"/>
      <c r="L93" s="1287"/>
      <c r="M93" s="1287"/>
      <c r="N93" s="1287"/>
      <c r="O93" s="1287"/>
      <c r="P93" s="1287"/>
      <c r="Q93" s="1287"/>
      <c r="R93" s="1287"/>
      <c r="S93" s="1287"/>
      <c r="T93" s="1287"/>
      <c r="U93" s="1287"/>
      <c r="V93" s="1287"/>
      <c r="W93" s="1287"/>
      <c r="X93" s="1287"/>
      <c r="Y93" s="1287"/>
      <c r="Z93" s="1287"/>
      <c r="AA93" s="1287"/>
      <c r="AB93" s="1287"/>
      <c r="AC93" s="1287"/>
      <c r="AD93" s="1287"/>
      <c r="AE93" s="1287"/>
      <c r="AF93" s="1287"/>
      <c r="AG93" s="1287"/>
      <c r="AH93" s="189">
        <f t="shared" si="15"/>
        <v>0</v>
      </c>
      <c r="AI93" s="693"/>
      <c r="AJ93" s="693"/>
    </row>
    <row r="94" spans="1:36" ht="15">
      <c r="A94" s="1999" t="s">
        <v>80</v>
      </c>
      <c r="B94" s="190">
        <f t="shared" si="14"/>
        <v>0</v>
      </c>
      <c r="C94" s="1287"/>
      <c r="D94" s="1287"/>
      <c r="E94" s="1287"/>
      <c r="F94" s="1287"/>
      <c r="G94" s="1287"/>
      <c r="H94" s="1287"/>
      <c r="I94" s="1287"/>
      <c r="J94" s="1287"/>
      <c r="K94" s="1287"/>
      <c r="L94" s="1287"/>
      <c r="M94" s="1287"/>
      <c r="N94" s="1287"/>
      <c r="O94" s="1287"/>
      <c r="P94" s="1287"/>
      <c r="Q94" s="1287"/>
      <c r="R94" s="1287"/>
      <c r="S94" s="1287"/>
      <c r="T94" s="1287"/>
      <c r="U94" s="1287"/>
      <c r="V94" s="1287"/>
      <c r="W94" s="1287"/>
      <c r="X94" s="1287"/>
      <c r="Y94" s="1287"/>
      <c r="Z94" s="1287"/>
      <c r="AA94" s="1287"/>
      <c r="AB94" s="1287"/>
      <c r="AC94" s="1287"/>
      <c r="AD94" s="1287"/>
      <c r="AE94" s="1287"/>
      <c r="AF94" s="1287"/>
      <c r="AG94" s="1287"/>
      <c r="AH94" s="189">
        <f t="shared" si="15"/>
        <v>0</v>
      </c>
      <c r="AI94" s="693"/>
      <c r="AJ94" s="693"/>
    </row>
    <row r="95" spans="1:36" ht="15">
      <c r="A95" s="1999" t="s">
        <v>81</v>
      </c>
      <c r="B95" s="190">
        <f t="shared" si="14"/>
        <v>0</v>
      </c>
      <c r="C95" s="1287"/>
      <c r="D95" s="1488"/>
      <c r="E95" s="1488"/>
      <c r="F95" s="1488"/>
      <c r="G95" s="1287"/>
      <c r="H95" s="1287"/>
      <c r="I95" s="1287"/>
      <c r="J95" s="2466"/>
      <c r="K95" s="2466"/>
      <c r="L95" s="1488"/>
      <c r="M95" s="1488"/>
      <c r="N95" s="1488"/>
      <c r="O95" s="1488"/>
      <c r="P95" s="1488"/>
      <c r="Q95" s="1488"/>
      <c r="R95" s="1488"/>
      <c r="S95" s="1488"/>
      <c r="T95" s="1488"/>
      <c r="U95" s="1488"/>
      <c r="V95" s="1488"/>
      <c r="W95" s="688"/>
      <c r="X95" s="688"/>
      <c r="Y95" s="688"/>
      <c r="Z95" s="688"/>
      <c r="AA95" s="688"/>
      <c r="AB95" s="688"/>
      <c r="AC95" s="688"/>
      <c r="AD95" s="688"/>
      <c r="AE95" s="688"/>
      <c r="AF95" s="688" t="s">
        <v>111</v>
      </c>
      <c r="AG95" s="688" t="s">
        <v>111</v>
      </c>
      <c r="AH95" s="189">
        <f t="shared" si="15"/>
        <v>0</v>
      </c>
      <c r="AI95" s="693"/>
      <c r="AJ95" s="693"/>
    </row>
    <row r="96" spans="1:36" ht="12.75">
      <c r="A96" s="1999" t="s">
        <v>82</v>
      </c>
      <c r="B96" s="190">
        <f t="shared" si="14"/>
        <v>0</v>
      </c>
      <c r="C96" s="688" t="s">
        <v>111</v>
      </c>
      <c r="D96" s="688" t="s">
        <v>111</v>
      </c>
      <c r="E96" s="688" t="s">
        <v>111</v>
      </c>
      <c r="F96" s="688" t="s">
        <v>111</v>
      </c>
      <c r="G96" s="688" t="s">
        <v>111</v>
      </c>
      <c r="H96" s="688" t="s">
        <v>111</v>
      </c>
      <c r="I96" s="688" t="s">
        <v>111</v>
      </c>
      <c r="J96" s="688" t="s">
        <v>111</v>
      </c>
      <c r="K96" s="688" t="s">
        <v>111</v>
      </c>
      <c r="L96" s="688" t="s">
        <v>111</v>
      </c>
      <c r="M96" s="688" t="s">
        <v>111</v>
      </c>
      <c r="N96" s="688" t="s">
        <v>111</v>
      </c>
      <c r="O96" s="688" t="s">
        <v>111</v>
      </c>
      <c r="P96" s="688" t="s">
        <v>111</v>
      </c>
      <c r="Q96" s="688" t="s">
        <v>111</v>
      </c>
      <c r="R96" s="688" t="s">
        <v>111</v>
      </c>
      <c r="S96" s="688" t="s">
        <v>111</v>
      </c>
      <c r="T96" s="688" t="s">
        <v>111</v>
      </c>
      <c r="U96" s="688" t="s">
        <v>111</v>
      </c>
      <c r="V96" s="688" t="s">
        <v>111</v>
      </c>
      <c r="W96" s="688" t="s">
        <v>111</v>
      </c>
      <c r="X96" s="688" t="s">
        <v>111</v>
      </c>
      <c r="Y96" s="688" t="s">
        <v>111</v>
      </c>
      <c r="Z96" s="688" t="s">
        <v>111</v>
      </c>
      <c r="AA96" s="688" t="s">
        <v>111</v>
      </c>
      <c r="AB96" s="688" t="s">
        <v>111</v>
      </c>
      <c r="AC96" s="688" t="s">
        <v>111</v>
      </c>
      <c r="AD96" s="688" t="s">
        <v>111</v>
      </c>
      <c r="AE96" s="688" t="s">
        <v>111</v>
      </c>
      <c r="AF96" s="688" t="s">
        <v>111</v>
      </c>
      <c r="AG96" s="688" t="s">
        <v>111</v>
      </c>
      <c r="AH96" s="189">
        <f t="shared" si="15"/>
        <v>0</v>
      </c>
      <c r="AI96" s="693"/>
      <c r="AJ96" s="693"/>
    </row>
    <row r="97" spans="1:36" ht="12.75">
      <c r="A97" s="1999" t="s">
        <v>83</v>
      </c>
      <c r="B97" s="190">
        <f t="shared" si="14"/>
        <v>0</v>
      </c>
      <c r="C97" s="688" t="s">
        <v>111</v>
      </c>
      <c r="D97" s="688" t="s">
        <v>111</v>
      </c>
      <c r="E97" s="688" t="s">
        <v>111</v>
      </c>
      <c r="F97" s="688" t="s">
        <v>111</v>
      </c>
      <c r="G97" s="688" t="s">
        <v>111</v>
      </c>
      <c r="H97" s="688" t="s">
        <v>111</v>
      </c>
      <c r="I97" s="688" t="s">
        <v>111</v>
      </c>
      <c r="J97" s="688" t="s">
        <v>111</v>
      </c>
      <c r="K97" s="688" t="s">
        <v>111</v>
      </c>
      <c r="L97" s="688" t="s">
        <v>111</v>
      </c>
      <c r="M97" s="688" t="s">
        <v>111</v>
      </c>
      <c r="N97" s="688" t="s">
        <v>111</v>
      </c>
      <c r="O97" s="688" t="s">
        <v>111</v>
      </c>
      <c r="P97" s="688" t="s">
        <v>111</v>
      </c>
      <c r="Q97" s="688" t="s">
        <v>111</v>
      </c>
      <c r="R97" s="688" t="s">
        <v>111</v>
      </c>
      <c r="S97" s="688" t="s">
        <v>111</v>
      </c>
      <c r="T97" s="688" t="s">
        <v>111</v>
      </c>
      <c r="U97" s="688" t="s">
        <v>111</v>
      </c>
      <c r="V97" s="688" t="s">
        <v>111</v>
      </c>
      <c r="W97" s="688" t="s">
        <v>111</v>
      </c>
      <c r="X97" s="688" t="s">
        <v>111</v>
      </c>
      <c r="Y97" s="688" t="s">
        <v>111</v>
      </c>
      <c r="Z97" s="688" t="s">
        <v>111</v>
      </c>
      <c r="AA97" s="688" t="s">
        <v>111</v>
      </c>
      <c r="AB97" s="688" t="s">
        <v>111</v>
      </c>
      <c r="AC97" s="688" t="s">
        <v>111</v>
      </c>
      <c r="AD97" s="688" t="s">
        <v>111</v>
      </c>
      <c r="AE97" s="688" t="s">
        <v>111</v>
      </c>
      <c r="AF97" s="688" t="s">
        <v>111</v>
      </c>
      <c r="AG97" s="688" t="s">
        <v>111</v>
      </c>
      <c r="AH97" s="189">
        <f t="shared" si="15"/>
        <v>0</v>
      </c>
      <c r="AI97" s="693"/>
      <c r="AJ97" s="693"/>
    </row>
    <row r="98" spans="1:36" ht="15">
      <c r="A98" s="1999" t="s">
        <v>84</v>
      </c>
      <c r="B98" s="190">
        <f t="shared" si="14"/>
        <v>0</v>
      </c>
      <c r="C98" s="688" t="s">
        <v>111</v>
      </c>
      <c r="D98" s="688" t="s">
        <v>111</v>
      </c>
      <c r="E98" s="688" t="s">
        <v>111</v>
      </c>
      <c r="F98" s="688" t="s">
        <v>111</v>
      </c>
      <c r="G98" s="688" t="s">
        <v>111</v>
      </c>
      <c r="H98" s="688" t="s">
        <v>111</v>
      </c>
      <c r="I98" s="688" t="s">
        <v>111</v>
      </c>
      <c r="J98" s="688" t="s">
        <v>111</v>
      </c>
      <c r="K98" s="688" t="s">
        <v>111</v>
      </c>
      <c r="L98" s="688" t="s">
        <v>111</v>
      </c>
      <c r="M98" s="688" t="s">
        <v>111</v>
      </c>
      <c r="N98" s="688" t="s">
        <v>111</v>
      </c>
      <c r="O98" s="688" t="s">
        <v>111</v>
      </c>
      <c r="P98" s="688" t="s">
        <v>111</v>
      </c>
      <c r="Q98" s="688" t="s">
        <v>111</v>
      </c>
      <c r="R98" s="688" t="s">
        <v>111</v>
      </c>
      <c r="S98" s="688" t="s">
        <v>111</v>
      </c>
      <c r="T98" s="688" t="s">
        <v>111</v>
      </c>
      <c r="U98" s="688" t="s">
        <v>111</v>
      </c>
      <c r="V98" s="688" t="s">
        <v>111</v>
      </c>
      <c r="W98" s="688" t="s">
        <v>111</v>
      </c>
      <c r="X98" s="1287"/>
      <c r="Y98" s="1287"/>
      <c r="Z98" s="1287"/>
      <c r="AA98" s="1287"/>
      <c r="AB98" s="1287"/>
      <c r="AC98" s="1287"/>
      <c r="AD98" s="1287"/>
      <c r="AE98" s="1488"/>
      <c r="AF98" s="1287"/>
      <c r="AG98" s="1488"/>
      <c r="AH98" s="189">
        <f t="shared" si="15"/>
        <v>0</v>
      </c>
      <c r="AI98" s="693"/>
      <c r="AJ98" s="693"/>
    </row>
    <row r="99" spans="1:36" ht="15">
      <c r="A99" s="1740" t="s">
        <v>85</v>
      </c>
      <c r="B99" s="190">
        <f t="shared" si="14"/>
        <v>0</v>
      </c>
      <c r="C99" s="49"/>
      <c r="D99" s="18"/>
      <c r="E99" s="18"/>
      <c r="F99" s="18"/>
      <c r="G99" s="11"/>
      <c r="H99" s="18"/>
      <c r="I99" s="18"/>
      <c r="J99" s="18"/>
      <c r="K99" s="18"/>
      <c r="L99" s="18"/>
      <c r="M99" s="18"/>
      <c r="N99" s="18"/>
      <c r="O99" s="18"/>
      <c r="P99" s="18"/>
      <c r="Q99" s="18"/>
      <c r="R99" s="18"/>
      <c r="S99" s="18"/>
      <c r="T99" s="18"/>
      <c r="U99" s="18"/>
      <c r="V99" s="18"/>
      <c r="W99" s="18"/>
      <c r="X99" s="18"/>
      <c r="Y99" s="11"/>
      <c r="Z99" s="18"/>
      <c r="AA99" s="18"/>
      <c r="AB99" s="18"/>
      <c r="AC99" s="18"/>
      <c r="AD99" s="18"/>
      <c r="AE99" s="53"/>
      <c r="AF99" s="18"/>
      <c r="AG99" s="53"/>
      <c r="AH99" s="189">
        <f>SUM(C99:AG99)</f>
        <v>0</v>
      </c>
      <c r="AI99" s="693"/>
      <c r="AJ99" s="693"/>
    </row>
    <row r="100" spans="1:36" ht="15">
      <c r="A100" s="1740" t="s">
        <v>86</v>
      </c>
      <c r="B100" s="190">
        <f t="shared" si="14"/>
        <v>0</v>
      </c>
      <c r="C100" s="49"/>
      <c r="D100" s="18"/>
      <c r="E100" s="18"/>
      <c r="F100" s="18"/>
      <c r="G100" s="18"/>
      <c r="H100" s="18"/>
      <c r="I100" s="18"/>
      <c r="J100" s="18"/>
      <c r="K100" s="18"/>
      <c r="L100" s="1280" t="s">
        <v>111</v>
      </c>
      <c r="M100" s="1280" t="s">
        <v>111</v>
      </c>
      <c r="N100" s="1280" t="s">
        <v>111</v>
      </c>
      <c r="O100" s="1280" t="s">
        <v>111</v>
      </c>
      <c r="P100" s="1280" t="s">
        <v>111</v>
      </c>
      <c r="Q100" s="1280" t="s">
        <v>111</v>
      </c>
      <c r="R100" s="1280" t="s">
        <v>111</v>
      </c>
      <c r="S100" s="1280" t="s">
        <v>111</v>
      </c>
      <c r="T100" s="1280" t="s">
        <v>111</v>
      </c>
      <c r="U100" s="1280" t="s">
        <v>111</v>
      </c>
      <c r="V100" s="1280" t="s">
        <v>111</v>
      </c>
      <c r="W100" s="1280" t="s">
        <v>111</v>
      </c>
      <c r="X100" s="1280" t="s">
        <v>111</v>
      </c>
      <c r="Y100" s="1280" t="s">
        <v>111</v>
      </c>
      <c r="Z100" s="1280" t="s">
        <v>111</v>
      </c>
      <c r="AA100" s="1280" t="s">
        <v>111</v>
      </c>
      <c r="AB100" s="1280" t="s">
        <v>111</v>
      </c>
      <c r="AC100" s="1280" t="s">
        <v>111</v>
      </c>
      <c r="AD100" s="1280" t="s">
        <v>111</v>
      </c>
      <c r="AE100" s="1280" t="s">
        <v>111</v>
      </c>
      <c r="AF100" s="1280" t="s">
        <v>111</v>
      </c>
      <c r="AG100" s="1280" t="s">
        <v>111</v>
      </c>
      <c r="AH100" s="189">
        <f t="shared" si="15"/>
        <v>0</v>
      </c>
      <c r="AI100" s="693"/>
      <c r="AJ100" s="693"/>
    </row>
    <row r="101" spans="1:36" ht="12.75">
      <c r="A101" s="665" t="s">
        <v>74</v>
      </c>
      <c r="B101" s="666">
        <f t="shared" ref="B101:AH101" si="16">SUM(B89:B100)</f>
        <v>0</v>
      </c>
      <c r="C101" s="189">
        <f t="shared" si="16"/>
        <v>0</v>
      </c>
      <c r="D101" s="189">
        <f t="shared" si="16"/>
        <v>0</v>
      </c>
      <c r="E101" s="189">
        <f t="shared" si="16"/>
        <v>0</v>
      </c>
      <c r="F101" s="189">
        <f t="shared" si="16"/>
        <v>0</v>
      </c>
      <c r="G101" s="189">
        <f t="shared" si="16"/>
        <v>0</v>
      </c>
      <c r="H101" s="189">
        <f t="shared" si="16"/>
        <v>0</v>
      </c>
      <c r="I101" s="189">
        <f t="shared" si="16"/>
        <v>0</v>
      </c>
      <c r="J101" s="189">
        <f t="shared" si="16"/>
        <v>0</v>
      </c>
      <c r="K101" s="189">
        <f t="shared" si="16"/>
        <v>0</v>
      </c>
      <c r="L101" s="189">
        <f t="shared" si="16"/>
        <v>0</v>
      </c>
      <c r="M101" s="189">
        <f t="shared" si="16"/>
        <v>0</v>
      </c>
      <c r="N101" s="189">
        <f t="shared" si="16"/>
        <v>0</v>
      </c>
      <c r="O101" s="189">
        <f t="shared" si="16"/>
        <v>0</v>
      </c>
      <c r="P101" s="189">
        <f t="shared" ref="P101:AG101" si="17">SUM(P89:P100)</f>
        <v>0</v>
      </c>
      <c r="Q101" s="189">
        <f t="shared" si="17"/>
        <v>0</v>
      </c>
      <c r="R101" s="189">
        <f t="shared" si="17"/>
        <v>0</v>
      </c>
      <c r="S101" s="189">
        <f t="shared" si="17"/>
        <v>0</v>
      </c>
      <c r="T101" s="189">
        <f t="shared" si="17"/>
        <v>0</v>
      </c>
      <c r="U101" s="189">
        <f t="shared" si="17"/>
        <v>0</v>
      </c>
      <c r="V101" s="189">
        <f t="shared" si="17"/>
        <v>0</v>
      </c>
      <c r="W101" s="189">
        <f t="shared" si="17"/>
        <v>0</v>
      </c>
      <c r="X101" s="189">
        <f t="shared" si="17"/>
        <v>0</v>
      </c>
      <c r="Y101" s="189">
        <f t="shared" si="17"/>
        <v>0</v>
      </c>
      <c r="Z101" s="189">
        <f t="shared" si="17"/>
        <v>0</v>
      </c>
      <c r="AA101" s="189">
        <f t="shared" si="17"/>
        <v>0</v>
      </c>
      <c r="AB101" s="189">
        <f t="shared" si="17"/>
        <v>0</v>
      </c>
      <c r="AC101" s="189">
        <f t="shared" si="17"/>
        <v>0</v>
      </c>
      <c r="AD101" s="189">
        <f t="shared" si="17"/>
        <v>0</v>
      </c>
      <c r="AE101" s="189">
        <f t="shared" si="17"/>
        <v>0</v>
      </c>
      <c r="AF101" s="189">
        <f t="shared" si="17"/>
        <v>0</v>
      </c>
      <c r="AG101" s="189">
        <f t="shared" si="17"/>
        <v>0</v>
      </c>
      <c r="AH101" s="189">
        <f t="shared" si="16"/>
        <v>0</v>
      </c>
      <c r="AI101" s="693"/>
      <c r="AJ101" s="693"/>
    </row>
    <row r="102" spans="1:36" ht="12.75">
      <c r="A102" s="691"/>
      <c r="B102" s="692"/>
      <c r="C102" s="693"/>
      <c r="D102" s="693"/>
      <c r="E102" s="693"/>
      <c r="F102" s="693"/>
      <c r="G102" s="693"/>
      <c r="H102" s="693"/>
      <c r="I102" s="693"/>
      <c r="J102" s="693"/>
      <c r="K102" s="693"/>
      <c r="L102" s="693"/>
      <c r="M102" s="693"/>
      <c r="N102" s="693"/>
      <c r="O102" s="693"/>
      <c r="P102" s="693"/>
      <c r="Q102" s="693"/>
      <c r="R102" s="693"/>
      <c r="S102" s="693"/>
      <c r="T102" s="693"/>
      <c r="U102" s="693"/>
      <c r="V102" s="693"/>
      <c r="W102" s="693"/>
      <c r="X102" s="693"/>
      <c r="Y102" s="693"/>
      <c r="Z102" s="693"/>
      <c r="AA102" s="693"/>
      <c r="AB102" s="693"/>
      <c r="AC102" s="693"/>
      <c r="AD102" s="693"/>
      <c r="AE102" s="693"/>
      <c r="AF102" s="693"/>
      <c r="AG102" s="693"/>
      <c r="AH102" s="693"/>
      <c r="AI102" s="693"/>
      <c r="AJ102" s="693"/>
    </row>
    <row r="103" spans="1:36" ht="12.75" hidden="1">
      <c r="A103" s="3605" t="s">
        <v>553</v>
      </c>
      <c r="B103" s="3606"/>
      <c r="C103" s="3607"/>
      <c r="D103" s="193"/>
      <c r="E103" s="193"/>
      <c r="F103" s="193"/>
      <c r="G103" s="193"/>
      <c r="H103" s="193"/>
      <c r="I103" s="193"/>
      <c r="J103" s="193"/>
      <c r="K103" s="193"/>
      <c r="L103" s="193"/>
      <c r="M103" s="193"/>
      <c r="N103" s="193"/>
      <c r="O103" s="193"/>
      <c r="P103" s="193"/>
      <c r="Q103" s="193"/>
      <c r="R103" s="193"/>
      <c r="S103" s="193"/>
      <c r="T103" s="193"/>
      <c r="U103" s="193"/>
      <c r="V103" s="193"/>
      <c r="W103" s="193"/>
      <c r="X103" s="193"/>
      <c r="Y103" s="193"/>
      <c r="Z103" s="193"/>
      <c r="AA103" s="193"/>
      <c r="AB103" s="193"/>
      <c r="AC103" s="193"/>
      <c r="AD103" s="193"/>
      <c r="AE103" s="193"/>
      <c r="AF103" s="193"/>
      <c r="AG103" s="193"/>
      <c r="AH103" s="654"/>
      <c r="AI103" s="654"/>
      <c r="AJ103" s="654"/>
    </row>
    <row r="104" spans="1:36" ht="12.75" hidden="1">
      <c r="A104" s="178" t="s">
        <v>72</v>
      </c>
      <c r="B104" s="190" t="s">
        <v>73</v>
      </c>
      <c r="C104" s="662">
        <v>1</v>
      </c>
      <c r="D104" s="663">
        <v>2</v>
      </c>
      <c r="E104" s="663">
        <v>3</v>
      </c>
      <c r="F104" s="663">
        <v>4</v>
      </c>
      <c r="G104" s="663">
        <v>5</v>
      </c>
      <c r="H104" s="663">
        <v>6</v>
      </c>
      <c r="I104" s="663">
        <v>7</v>
      </c>
      <c r="J104" s="663">
        <v>8</v>
      </c>
      <c r="K104" s="663">
        <v>9</v>
      </c>
      <c r="L104" s="663">
        <v>10</v>
      </c>
      <c r="M104" s="663">
        <v>11</v>
      </c>
      <c r="N104" s="663">
        <v>12</v>
      </c>
      <c r="O104" s="663">
        <v>13</v>
      </c>
      <c r="P104" s="663">
        <v>14</v>
      </c>
      <c r="Q104" s="663">
        <v>15</v>
      </c>
      <c r="R104" s="663">
        <v>16</v>
      </c>
      <c r="S104" s="663">
        <v>17</v>
      </c>
      <c r="T104" s="663">
        <v>18</v>
      </c>
      <c r="U104" s="663">
        <v>19</v>
      </c>
      <c r="V104" s="663">
        <v>20</v>
      </c>
      <c r="W104" s="663">
        <v>21</v>
      </c>
      <c r="X104" s="663">
        <v>22</v>
      </c>
      <c r="Y104" s="663">
        <v>23</v>
      </c>
      <c r="Z104" s="663">
        <v>24</v>
      </c>
      <c r="AA104" s="663">
        <v>25</v>
      </c>
      <c r="AB104" s="663">
        <v>26</v>
      </c>
      <c r="AC104" s="663">
        <v>27</v>
      </c>
      <c r="AD104" s="663">
        <v>28</v>
      </c>
      <c r="AE104" s="663">
        <v>29</v>
      </c>
      <c r="AF104" s="663">
        <v>30</v>
      </c>
      <c r="AG104" s="663">
        <v>31</v>
      </c>
      <c r="AH104" s="189" t="s">
        <v>74</v>
      </c>
      <c r="AI104" s="693"/>
      <c r="AJ104" s="693"/>
    </row>
    <row r="105" spans="1:36" ht="12.75" hidden="1">
      <c r="A105" s="1268" t="s">
        <v>75</v>
      </c>
      <c r="B105" s="190">
        <f t="shared" ref="B105:B116" si="18">+AH105</f>
        <v>0</v>
      </c>
      <c r="C105" s="688" t="s">
        <v>111</v>
      </c>
      <c r="D105" s="688" t="s">
        <v>111</v>
      </c>
      <c r="E105" s="688" t="s">
        <v>111</v>
      </c>
      <c r="F105" s="688" t="s">
        <v>111</v>
      </c>
      <c r="G105" s="688" t="s">
        <v>111</v>
      </c>
      <c r="H105" s="688" t="s">
        <v>111</v>
      </c>
      <c r="I105" s="688" t="s">
        <v>111</v>
      </c>
      <c r="J105" s="688" t="s">
        <v>111</v>
      </c>
      <c r="K105" s="688" t="s">
        <v>111</v>
      </c>
      <c r="L105" s="688" t="s">
        <v>111</v>
      </c>
      <c r="M105" s="688" t="s">
        <v>111</v>
      </c>
      <c r="N105" s="688" t="s">
        <v>111</v>
      </c>
      <c r="O105" s="688" t="s">
        <v>111</v>
      </c>
      <c r="P105" s="688" t="s">
        <v>111</v>
      </c>
      <c r="Q105" s="688" t="s">
        <v>111</v>
      </c>
      <c r="R105" s="688" t="s">
        <v>111</v>
      </c>
      <c r="S105" s="688" t="s">
        <v>111</v>
      </c>
      <c r="T105" s="688" t="s">
        <v>111</v>
      </c>
      <c r="U105" s="688" t="s">
        <v>111</v>
      </c>
      <c r="V105" s="688" t="s">
        <v>111</v>
      </c>
      <c r="W105" s="688" t="s">
        <v>111</v>
      </c>
      <c r="X105" s="688" t="s">
        <v>111</v>
      </c>
      <c r="Y105" s="688" t="s">
        <v>111</v>
      </c>
      <c r="Z105" s="688" t="s">
        <v>111</v>
      </c>
      <c r="AA105" s="688" t="s">
        <v>111</v>
      </c>
      <c r="AB105" s="688" t="s">
        <v>111</v>
      </c>
      <c r="AC105" s="688" t="s">
        <v>111</v>
      </c>
      <c r="AD105" s="688" t="s">
        <v>111</v>
      </c>
      <c r="AE105" s="688" t="s">
        <v>111</v>
      </c>
      <c r="AF105" s="688" t="s">
        <v>111</v>
      </c>
      <c r="AG105" s="688" t="s">
        <v>111</v>
      </c>
      <c r="AH105" s="189">
        <f>SUM(C105:AG105)</f>
        <v>0</v>
      </c>
      <c r="AI105" s="693"/>
      <c r="AJ105" s="693"/>
    </row>
    <row r="106" spans="1:36" ht="12.75" hidden="1">
      <c r="A106" s="1268" t="s">
        <v>76</v>
      </c>
      <c r="B106" s="190">
        <f t="shared" si="18"/>
        <v>0</v>
      </c>
      <c r="C106" s="688" t="s">
        <v>111</v>
      </c>
      <c r="D106" s="688" t="s">
        <v>111</v>
      </c>
      <c r="E106" s="688" t="s">
        <v>111</v>
      </c>
      <c r="F106" s="688" t="s">
        <v>111</v>
      </c>
      <c r="G106" s="688" t="s">
        <v>111</v>
      </c>
      <c r="H106" s="688" t="s">
        <v>111</v>
      </c>
      <c r="I106" s="688" t="s">
        <v>111</v>
      </c>
      <c r="J106" s="688" t="s">
        <v>111</v>
      </c>
      <c r="K106" s="688" t="s">
        <v>111</v>
      </c>
      <c r="L106" s="688" t="s">
        <v>111</v>
      </c>
      <c r="M106" s="688" t="s">
        <v>111</v>
      </c>
      <c r="N106" s="688" t="s">
        <v>111</v>
      </c>
      <c r="O106" s="688" t="s">
        <v>111</v>
      </c>
      <c r="P106" s="688" t="s">
        <v>111</v>
      </c>
      <c r="Q106" s="688" t="s">
        <v>111</v>
      </c>
      <c r="R106" s="688" t="s">
        <v>111</v>
      </c>
      <c r="S106" s="688" t="s">
        <v>111</v>
      </c>
      <c r="T106" s="688" t="s">
        <v>111</v>
      </c>
      <c r="U106" s="688" t="s">
        <v>111</v>
      </c>
      <c r="V106" s="688" t="s">
        <v>111</v>
      </c>
      <c r="W106" s="688" t="s">
        <v>111</v>
      </c>
      <c r="X106" s="688" t="s">
        <v>111</v>
      </c>
      <c r="Y106" s="688" t="s">
        <v>111</v>
      </c>
      <c r="Z106" s="688" t="s">
        <v>111</v>
      </c>
      <c r="AA106" s="688" t="s">
        <v>111</v>
      </c>
      <c r="AB106" s="688" t="s">
        <v>111</v>
      </c>
      <c r="AC106" s="688" t="s">
        <v>111</v>
      </c>
      <c r="AD106" s="688" t="s">
        <v>111</v>
      </c>
      <c r="AE106" s="688" t="s">
        <v>111</v>
      </c>
      <c r="AF106" s="688" t="s">
        <v>111</v>
      </c>
      <c r="AG106" s="688" t="s">
        <v>111</v>
      </c>
      <c r="AH106" s="189">
        <f t="shared" ref="AH106:AH114" si="19">SUM(C106:AG106)</f>
        <v>0</v>
      </c>
      <c r="AI106" s="693"/>
      <c r="AJ106" s="693"/>
    </row>
    <row r="107" spans="1:36" ht="12.75" hidden="1">
      <c r="A107" s="1268" t="s">
        <v>77</v>
      </c>
      <c r="B107" s="190">
        <f t="shared" si="18"/>
        <v>0</v>
      </c>
      <c r="C107" s="688" t="s">
        <v>111</v>
      </c>
      <c r="D107" s="688" t="s">
        <v>111</v>
      </c>
      <c r="E107" s="688" t="s">
        <v>111</v>
      </c>
      <c r="F107" s="688" t="s">
        <v>111</v>
      </c>
      <c r="G107" s="688" t="s">
        <v>111</v>
      </c>
      <c r="H107" s="159"/>
      <c r="I107" s="159"/>
      <c r="J107" s="159"/>
      <c r="K107" s="159"/>
      <c r="L107" s="159"/>
      <c r="M107" s="159"/>
      <c r="N107" s="159"/>
      <c r="O107" s="159"/>
      <c r="P107" s="159"/>
      <c r="Q107" s="159"/>
      <c r="R107" s="159"/>
      <c r="S107" s="159"/>
      <c r="T107" s="159"/>
      <c r="U107" s="159"/>
      <c r="V107" s="159"/>
      <c r="W107" s="159"/>
      <c r="X107" s="159"/>
      <c r="Y107" s="159"/>
      <c r="Z107" s="159"/>
      <c r="AA107" s="159"/>
      <c r="AB107" s="159"/>
      <c r="AC107" s="688" t="s">
        <v>111</v>
      </c>
      <c r="AD107" s="688" t="s">
        <v>111</v>
      </c>
      <c r="AE107" s="688" t="s">
        <v>111</v>
      </c>
      <c r="AF107" s="688" t="s">
        <v>111</v>
      </c>
      <c r="AG107" s="688" t="s">
        <v>111</v>
      </c>
      <c r="AH107" s="189">
        <f t="shared" si="19"/>
        <v>0</v>
      </c>
      <c r="AI107" s="693"/>
      <c r="AJ107" s="693"/>
    </row>
    <row r="108" spans="1:36" ht="12.75" hidden="1">
      <c r="A108" s="1268" t="s">
        <v>78</v>
      </c>
      <c r="B108" s="190">
        <f t="shared" si="18"/>
        <v>0</v>
      </c>
      <c r="C108" s="688" t="s">
        <v>111</v>
      </c>
      <c r="D108" s="688" t="s">
        <v>111</v>
      </c>
      <c r="E108" s="688" t="s">
        <v>111</v>
      </c>
      <c r="F108" s="688" t="s">
        <v>111</v>
      </c>
      <c r="G108" s="688" t="s">
        <v>111</v>
      </c>
      <c r="H108" s="688" t="s">
        <v>111</v>
      </c>
      <c r="I108" s="688" t="s">
        <v>111</v>
      </c>
      <c r="J108" s="688" t="s">
        <v>111</v>
      </c>
      <c r="K108" s="688" t="s">
        <v>111</v>
      </c>
      <c r="L108" s="159"/>
      <c r="M108" s="159"/>
      <c r="N108" s="159"/>
      <c r="O108" s="159"/>
      <c r="P108" s="159"/>
      <c r="Q108" s="159"/>
      <c r="R108" s="159"/>
      <c r="S108" s="159"/>
      <c r="T108" s="159"/>
      <c r="U108" s="159"/>
      <c r="V108" s="159"/>
      <c r="W108" s="159"/>
      <c r="X108" s="159"/>
      <c r="Y108" s="159"/>
      <c r="Z108" s="159"/>
      <c r="AA108" s="159"/>
      <c r="AB108" s="159"/>
      <c r="AC108" s="159"/>
      <c r="AD108" s="159"/>
      <c r="AE108" s="159"/>
      <c r="AF108" s="159"/>
      <c r="AG108" s="159"/>
      <c r="AH108" s="189">
        <f t="shared" si="19"/>
        <v>0</v>
      </c>
      <c r="AI108" s="693"/>
      <c r="AJ108" s="693"/>
    </row>
    <row r="109" spans="1:36" ht="12.75" hidden="1">
      <c r="A109" s="1739" t="s">
        <v>79</v>
      </c>
      <c r="B109" s="190">
        <f t="shared" si="18"/>
        <v>0</v>
      </c>
      <c r="C109" s="183"/>
      <c r="D109" s="159"/>
      <c r="E109" s="159"/>
      <c r="F109" s="159"/>
      <c r="G109" s="159"/>
      <c r="H109" s="159"/>
      <c r="I109" s="159"/>
      <c r="J109" s="159"/>
      <c r="K109" s="159"/>
      <c r="L109" s="159"/>
      <c r="M109" s="159"/>
      <c r="N109" s="159"/>
      <c r="O109" s="159"/>
      <c r="P109" s="159"/>
      <c r="Q109" s="159"/>
      <c r="R109" s="159"/>
      <c r="S109" s="159"/>
      <c r="T109" s="159"/>
      <c r="U109" s="159"/>
      <c r="V109" s="159"/>
      <c r="W109" s="159"/>
      <c r="X109" s="159"/>
      <c r="Y109" s="159"/>
      <c r="Z109" s="159"/>
      <c r="AA109" s="159"/>
      <c r="AB109" s="159"/>
      <c r="AC109" s="159"/>
      <c r="AD109" s="159"/>
      <c r="AE109" s="159"/>
      <c r="AF109" s="159"/>
      <c r="AG109" s="159"/>
      <c r="AH109" s="189">
        <f t="shared" si="19"/>
        <v>0</v>
      </c>
      <c r="AI109" s="693"/>
      <c r="AJ109" s="693"/>
    </row>
    <row r="110" spans="1:36" ht="12.75" hidden="1">
      <c r="A110" s="1739" t="s">
        <v>80</v>
      </c>
      <c r="B110" s="190">
        <f t="shared" si="18"/>
        <v>0</v>
      </c>
      <c r="C110" s="183"/>
      <c r="D110" s="159"/>
      <c r="E110" s="159"/>
      <c r="F110" s="159"/>
      <c r="G110" s="159"/>
      <c r="H110" s="200" t="s">
        <v>112</v>
      </c>
      <c r="I110" s="200" t="s">
        <v>112</v>
      </c>
      <c r="J110" s="200" t="s">
        <v>112</v>
      </c>
      <c r="K110" s="200" t="s">
        <v>112</v>
      </c>
      <c r="L110" s="200" t="s">
        <v>112</v>
      </c>
      <c r="M110" s="200" t="s">
        <v>112</v>
      </c>
      <c r="N110" s="200" t="s">
        <v>112</v>
      </c>
      <c r="O110" s="200" t="s">
        <v>112</v>
      </c>
      <c r="P110" s="200" t="s">
        <v>112</v>
      </c>
      <c r="Q110" s="200" t="s">
        <v>112</v>
      </c>
      <c r="R110" s="200" t="s">
        <v>112</v>
      </c>
      <c r="S110" s="200" t="s">
        <v>112</v>
      </c>
      <c r="T110" s="200" t="s">
        <v>112</v>
      </c>
      <c r="U110" s="200" t="s">
        <v>112</v>
      </c>
      <c r="V110" s="200" t="s">
        <v>112</v>
      </c>
      <c r="W110" s="200" t="s">
        <v>112</v>
      </c>
      <c r="X110" s="200" t="s">
        <v>112</v>
      </c>
      <c r="Y110" s="159"/>
      <c r="Z110" s="159"/>
      <c r="AA110" s="159"/>
      <c r="AB110" s="159"/>
      <c r="AC110" s="159"/>
      <c r="AD110" s="159"/>
      <c r="AE110" s="159"/>
      <c r="AF110" s="159"/>
      <c r="AG110" s="159"/>
      <c r="AH110" s="189">
        <f t="shared" si="19"/>
        <v>0</v>
      </c>
      <c r="AI110" s="693"/>
      <c r="AJ110" s="693"/>
    </row>
    <row r="111" spans="1:36" ht="12.75" hidden="1">
      <c r="A111" s="1739" t="s">
        <v>81</v>
      </c>
      <c r="B111" s="190">
        <f t="shared" si="18"/>
        <v>0</v>
      </c>
      <c r="C111" s="183"/>
      <c r="D111" s="689"/>
      <c r="E111" s="689"/>
      <c r="F111" s="689"/>
      <c r="G111" s="159"/>
      <c r="H111" s="159"/>
      <c r="I111" s="159"/>
      <c r="J111" s="690"/>
      <c r="K111" s="690"/>
      <c r="L111" s="689"/>
      <c r="M111" s="689"/>
      <c r="N111" s="689"/>
      <c r="O111" s="689"/>
      <c r="P111" s="689"/>
      <c r="Q111" s="689"/>
      <c r="R111" s="689"/>
      <c r="S111" s="689"/>
      <c r="T111" s="689"/>
      <c r="U111" s="689"/>
      <c r="V111" s="689"/>
      <c r="W111" s="689"/>
      <c r="X111" s="689"/>
      <c r="Y111" s="689"/>
      <c r="Z111" s="689"/>
      <c r="AA111" s="689"/>
      <c r="AB111" s="689"/>
      <c r="AC111" s="689"/>
      <c r="AD111" s="689"/>
      <c r="AE111" s="689"/>
      <c r="AF111" s="689"/>
      <c r="AG111" s="689"/>
      <c r="AH111" s="189">
        <f t="shared" si="19"/>
        <v>0</v>
      </c>
      <c r="AI111" s="693"/>
      <c r="AJ111" s="693"/>
    </row>
    <row r="112" spans="1:36" ht="12.75" hidden="1">
      <c r="A112" s="1739" t="s">
        <v>82</v>
      </c>
      <c r="B112" s="190">
        <f t="shared" si="18"/>
        <v>0</v>
      </c>
      <c r="C112" s="183"/>
      <c r="D112" s="159"/>
      <c r="E112" s="159"/>
      <c r="F112" s="159"/>
      <c r="G112" s="159"/>
      <c r="H112" s="159"/>
      <c r="I112" s="159"/>
      <c r="J112" s="843" t="s">
        <v>112</v>
      </c>
      <c r="K112" s="843" t="s">
        <v>112</v>
      </c>
      <c r="L112" s="843" t="s">
        <v>112</v>
      </c>
      <c r="M112" s="843" t="s">
        <v>112</v>
      </c>
      <c r="N112" s="843" t="s">
        <v>112</v>
      </c>
      <c r="O112" s="843" t="s">
        <v>112</v>
      </c>
      <c r="P112" s="843" t="s">
        <v>112</v>
      </c>
      <c r="Q112" s="843" t="s">
        <v>112</v>
      </c>
      <c r="R112" s="843" t="s">
        <v>112</v>
      </c>
      <c r="S112" s="843" t="s">
        <v>112</v>
      </c>
      <c r="T112" s="843" t="s">
        <v>112</v>
      </c>
      <c r="U112" s="843" t="s">
        <v>112</v>
      </c>
      <c r="V112" s="843" t="s">
        <v>112</v>
      </c>
      <c r="W112" s="843" t="s">
        <v>112</v>
      </c>
      <c r="X112" s="843" t="s">
        <v>112</v>
      </c>
      <c r="Y112" s="843" t="s">
        <v>112</v>
      </c>
      <c r="Z112" s="843" t="s">
        <v>112</v>
      </c>
      <c r="AA112" s="843" t="s">
        <v>112</v>
      </c>
      <c r="AB112" s="843" t="s">
        <v>112</v>
      </c>
      <c r="AC112" s="843" t="s">
        <v>112</v>
      </c>
      <c r="AD112" s="843" t="s">
        <v>112</v>
      </c>
      <c r="AE112" s="843" t="s">
        <v>112</v>
      </c>
      <c r="AF112" s="843" t="s">
        <v>112</v>
      </c>
      <c r="AG112" s="843" t="s">
        <v>112</v>
      </c>
      <c r="AH112" s="189">
        <f t="shared" si="19"/>
        <v>0</v>
      </c>
      <c r="AI112" s="693"/>
      <c r="AJ112" s="693"/>
    </row>
    <row r="113" spans="1:36" ht="12.75" hidden="1">
      <c r="A113" s="1740" t="s">
        <v>83</v>
      </c>
      <c r="B113" s="190">
        <f t="shared" si="18"/>
        <v>0</v>
      </c>
      <c r="C113" s="843" t="s">
        <v>112</v>
      </c>
      <c r="D113" s="843" t="s">
        <v>112</v>
      </c>
      <c r="E113" s="843" t="s">
        <v>112</v>
      </c>
      <c r="F113" s="843" t="s">
        <v>112</v>
      </c>
      <c r="G113" s="843" t="s">
        <v>112</v>
      </c>
      <c r="H113" s="843" t="s">
        <v>112</v>
      </c>
      <c r="I113" s="843" t="s">
        <v>112</v>
      </c>
      <c r="J113" s="843" t="s">
        <v>112</v>
      </c>
      <c r="K113" s="843" t="s">
        <v>112</v>
      </c>
      <c r="L113" s="843" t="s">
        <v>112</v>
      </c>
      <c r="M113" s="843" t="s">
        <v>112</v>
      </c>
      <c r="N113" s="843" t="s">
        <v>112</v>
      </c>
      <c r="O113" s="843" t="s">
        <v>112</v>
      </c>
      <c r="P113" s="843" t="s">
        <v>112</v>
      </c>
      <c r="Q113" s="843" t="s">
        <v>112</v>
      </c>
      <c r="R113" s="843" t="s">
        <v>112</v>
      </c>
      <c r="S113" s="843" t="s">
        <v>112</v>
      </c>
      <c r="T113" s="843" t="s">
        <v>112</v>
      </c>
      <c r="U113" s="843" t="s">
        <v>112</v>
      </c>
      <c r="V113" s="843" t="s">
        <v>112</v>
      </c>
      <c r="W113" s="843" t="s">
        <v>112</v>
      </c>
      <c r="X113" s="843" t="s">
        <v>112</v>
      </c>
      <c r="Y113" s="843" t="s">
        <v>112</v>
      </c>
      <c r="Z113" s="843" t="s">
        <v>112</v>
      </c>
      <c r="AA113" s="843" t="s">
        <v>112</v>
      </c>
      <c r="AB113" s="843" t="s">
        <v>112</v>
      </c>
      <c r="AC113" s="843" t="s">
        <v>112</v>
      </c>
      <c r="AD113" s="843" t="s">
        <v>112</v>
      </c>
      <c r="AE113" s="843" t="s">
        <v>112</v>
      </c>
      <c r="AF113" s="843" t="s">
        <v>112</v>
      </c>
      <c r="AG113" s="843" t="s">
        <v>112</v>
      </c>
      <c r="AH113" s="189">
        <f t="shared" si="19"/>
        <v>0</v>
      </c>
      <c r="AI113" s="693"/>
      <c r="AJ113" s="693"/>
    </row>
    <row r="114" spans="1:36" ht="12.75" hidden="1">
      <c r="A114" s="1740" t="s">
        <v>84</v>
      </c>
      <c r="B114" s="190">
        <f t="shared" si="18"/>
        <v>0</v>
      </c>
      <c r="C114" s="843" t="s">
        <v>112</v>
      </c>
      <c r="D114" s="843" t="s">
        <v>112</v>
      </c>
      <c r="E114" s="843" t="s">
        <v>112</v>
      </c>
      <c r="F114" s="843" t="s">
        <v>112</v>
      </c>
      <c r="G114" s="843" t="s">
        <v>112</v>
      </c>
      <c r="H114" s="843" t="s">
        <v>112</v>
      </c>
      <c r="I114" s="843" t="s">
        <v>112</v>
      </c>
      <c r="J114" s="843" t="s">
        <v>112</v>
      </c>
      <c r="K114" s="843" t="s">
        <v>112</v>
      </c>
      <c r="L114" s="843" t="s">
        <v>112</v>
      </c>
      <c r="M114" s="843" t="s">
        <v>112</v>
      </c>
      <c r="N114" s="843" t="s">
        <v>112</v>
      </c>
      <c r="O114" s="843" t="s">
        <v>112</v>
      </c>
      <c r="P114" s="843" t="s">
        <v>112</v>
      </c>
      <c r="Q114" s="843" t="s">
        <v>112</v>
      </c>
      <c r="R114" s="843" t="s">
        <v>112</v>
      </c>
      <c r="S114" s="843" t="s">
        <v>112</v>
      </c>
      <c r="T114" s="843" t="s">
        <v>112</v>
      </c>
      <c r="U114" s="843" t="s">
        <v>112</v>
      </c>
      <c r="V114" s="843" t="s">
        <v>112</v>
      </c>
      <c r="W114" s="843" t="s">
        <v>112</v>
      </c>
      <c r="X114" s="159"/>
      <c r="Y114" s="159"/>
      <c r="Z114" s="159"/>
      <c r="AA114" s="159"/>
      <c r="AB114" s="159"/>
      <c r="AC114" s="159"/>
      <c r="AD114" s="159"/>
      <c r="AE114" s="689"/>
      <c r="AF114" s="159"/>
      <c r="AG114" s="689"/>
      <c r="AH114" s="189">
        <f t="shared" si="19"/>
        <v>0</v>
      </c>
      <c r="AI114" s="693"/>
      <c r="AJ114" s="693"/>
    </row>
    <row r="115" spans="1:36" ht="12.75" hidden="1">
      <c r="A115" s="1740" t="s">
        <v>85</v>
      </c>
      <c r="B115" s="190">
        <f t="shared" si="18"/>
        <v>0</v>
      </c>
      <c r="C115" s="183"/>
      <c r="D115" s="159"/>
      <c r="E115" s="159"/>
      <c r="F115" s="159"/>
      <c r="G115" s="64"/>
      <c r="H115" s="159"/>
      <c r="I115" s="159"/>
      <c r="J115" s="159"/>
      <c r="K115" s="159"/>
      <c r="L115" s="159"/>
      <c r="M115" s="159"/>
      <c r="N115" s="159"/>
      <c r="O115" s="159"/>
      <c r="P115" s="159"/>
      <c r="Q115" s="159"/>
      <c r="R115" s="159"/>
      <c r="S115" s="159"/>
      <c r="T115" s="159"/>
      <c r="U115" s="159"/>
      <c r="V115" s="159"/>
      <c r="W115" s="159"/>
      <c r="X115" s="159"/>
      <c r="Y115" s="64"/>
      <c r="Z115" s="159"/>
      <c r="AA115" s="159"/>
      <c r="AB115" s="159"/>
      <c r="AC115" s="159"/>
      <c r="AD115" s="159"/>
      <c r="AE115" s="689"/>
      <c r="AF115" s="159"/>
      <c r="AG115" s="689"/>
      <c r="AH115" s="189">
        <f>SUM(C115:AG115)</f>
        <v>0</v>
      </c>
      <c r="AI115" s="693"/>
      <c r="AJ115" s="693"/>
    </row>
    <row r="116" spans="1:36" ht="12.75" hidden="1">
      <c r="A116" s="1740" t="s">
        <v>86</v>
      </c>
      <c r="B116" s="190">
        <f t="shared" si="18"/>
        <v>0</v>
      </c>
      <c r="C116" s="183"/>
      <c r="D116" s="159"/>
      <c r="E116" s="159"/>
      <c r="F116" s="159"/>
      <c r="G116" s="159"/>
      <c r="H116" s="159"/>
      <c r="I116" s="159"/>
      <c r="J116" s="159"/>
      <c r="K116" s="159"/>
      <c r="L116" s="159"/>
      <c r="M116" s="159"/>
      <c r="N116" s="159"/>
      <c r="O116" s="159"/>
      <c r="P116" s="1409" t="s">
        <v>111</v>
      </c>
      <c r="Q116" s="1409" t="s">
        <v>111</v>
      </c>
      <c r="R116" s="1409" t="s">
        <v>111</v>
      </c>
      <c r="S116" s="1409" t="s">
        <v>111</v>
      </c>
      <c r="T116" s="1409" t="s">
        <v>111</v>
      </c>
      <c r="U116" s="1409" t="s">
        <v>111</v>
      </c>
      <c r="V116" s="1409" t="s">
        <v>111</v>
      </c>
      <c r="W116" s="1409" t="s">
        <v>111</v>
      </c>
      <c r="X116" s="1409" t="s">
        <v>111</v>
      </c>
      <c r="Y116" s="1409" t="s">
        <v>111</v>
      </c>
      <c r="Z116" s="1409" t="s">
        <v>111</v>
      </c>
      <c r="AA116" s="1409" t="s">
        <v>111</v>
      </c>
      <c r="AB116" s="1409" t="s">
        <v>111</v>
      </c>
      <c r="AC116" s="1409" t="s">
        <v>111</v>
      </c>
      <c r="AD116" s="1409" t="s">
        <v>111</v>
      </c>
      <c r="AE116" s="1409" t="s">
        <v>111</v>
      </c>
      <c r="AF116" s="1409" t="s">
        <v>111</v>
      </c>
      <c r="AG116" s="1409" t="s">
        <v>111</v>
      </c>
      <c r="AH116" s="189">
        <f t="shared" ref="AH116" si="20">SUM(C116:AG116)</f>
        <v>0</v>
      </c>
      <c r="AI116" s="693"/>
      <c r="AJ116" s="693"/>
    </row>
    <row r="117" spans="1:36" ht="12.75" hidden="1">
      <c r="A117" s="665" t="s">
        <v>74</v>
      </c>
      <c r="B117" s="666">
        <f t="shared" ref="B117:AH117" si="21">SUM(B105:B116)</f>
        <v>0</v>
      </c>
      <c r="C117" s="189">
        <f t="shared" si="21"/>
        <v>0</v>
      </c>
      <c r="D117" s="189">
        <f t="shared" si="21"/>
        <v>0</v>
      </c>
      <c r="E117" s="189">
        <f t="shared" si="21"/>
        <v>0</v>
      </c>
      <c r="F117" s="189">
        <f t="shared" si="21"/>
        <v>0</v>
      </c>
      <c r="G117" s="189">
        <f t="shared" si="21"/>
        <v>0</v>
      </c>
      <c r="H117" s="189">
        <f t="shared" si="21"/>
        <v>0</v>
      </c>
      <c r="I117" s="189">
        <f t="shared" si="21"/>
        <v>0</v>
      </c>
      <c r="J117" s="189">
        <f t="shared" si="21"/>
        <v>0</v>
      </c>
      <c r="K117" s="189">
        <f t="shared" si="21"/>
        <v>0</v>
      </c>
      <c r="L117" s="189">
        <f t="shared" si="21"/>
        <v>0</v>
      </c>
      <c r="M117" s="189">
        <f t="shared" si="21"/>
        <v>0</v>
      </c>
      <c r="N117" s="189">
        <f t="shared" si="21"/>
        <v>0</v>
      </c>
      <c r="O117" s="189">
        <f t="shared" si="21"/>
        <v>0</v>
      </c>
      <c r="P117" s="189">
        <f t="shared" si="21"/>
        <v>0</v>
      </c>
      <c r="Q117" s="189">
        <f t="shared" si="21"/>
        <v>0</v>
      </c>
      <c r="R117" s="189">
        <f t="shared" si="21"/>
        <v>0</v>
      </c>
      <c r="S117" s="189">
        <f t="shared" si="21"/>
        <v>0</v>
      </c>
      <c r="T117" s="189">
        <f t="shared" si="21"/>
        <v>0</v>
      </c>
      <c r="U117" s="189">
        <f t="shared" si="21"/>
        <v>0</v>
      </c>
      <c r="V117" s="189">
        <f t="shared" si="21"/>
        <v>0</v>
      </c>
      <c r="W117" s="189">
        <f t="shared" si="21"/>
        <v>0</v>
      </c>
      <c r="X117" s="189">
        <f t="shared" si="21"/>
        <v>0</v>
      </c>
      <c r="Y117" s="189">
        <f t="shared" si="21"/>
        <v>0</v>
      </c>
      <c r="Z117" s="189">
        <f t="shared" si="21"/>
        <v>0</v>
      </c>
      <c r="AA117" s="189">
        <f t="shared" si="21"/>
        <v>0</v>
      </c>
      <c r="AB117" s="189">
        <f t="shared" si="21"/>
        <v>0</v>
      </c>
      <c r="AC117" s="189">
        <f t="shared" si="21"/>
        <v>0</v>
      </c>
      <c r="AD117" s="189">
        <f t="shared" si="21"/>
        <v>0</v>
      </c>
      <c r="AE117" s="189">
        <f t="shared" si="21"/>
        <v>0</v>
      </c>
      <c r="AF117" s="189">
        <f t="shared" si="21"/>
        <v>0</v>
      </c>
      <c r="AG117" s="189">
        <f t="shared" si="21"/>
        <v>0</v>
      </c>
      <c r="AH117" s="189">
        <f t="shared" si="21"/>
        <v>0</v>
      </c>
      <c r="AI117" s="693"/>
      <c r="AJ117" s="693"/>
    </row>
    <row r="118" spans="1:36" ht="12.75">
      <c r="A118" s="691"/>
      <c r="B118" s="692"/>
      <c r="C118" s="693"/>
      <c r="D118" s="693"/>
      <c r="E118" s="693"/>
      <c r="F118" s="693"/>
      <c r="G118" s="693"/>
      <c r="H118" s="693"/>
      <c r="I118" s="693"/>
      <c r="J118" s="693"/>
      <c r="K118" s="693"/>
      <c r="L118" s="693"/>
      <c r="M118" s="693"/>
      <c r="N118" s="693"/>
      <c r="O118" s="693"/>
      <c r="P118" s="693"/>
      <c r="Q118" s="693"/>
      <c r="R118" s="693"/>
      <c r="S118" s="693"/>
      <c r="T118" s="693"/>
      <c r="U118" s="693"/>
      <c r="V118" s="693"/>
      <c r="W118" s="693"/>
      <c r="X118" s="693"/>
      <c r="Y118" s="693"/>
      <c r="Z118" s="693"/>
      <c r="AA118" s="693"/>
      <c r="AB118" s="693"/>
      <c r="AC118" s="693"/>
      <c r="AD118" s="693"/>
      <c r="AE118" s="693"/>
      <c r="AF118" s="693"/>
      <c r="AG118" s="693"/>
      <c r="AH118" s="693"/>
      <c r="AI118" s="693"/>
      <c r="AJ118" s="693"/>
    </row>
    <row r="119" spans="1:36" ht="12.75" hidden="1">
      <c r="A119" s="3605" t="s">
        <v>554</v>
      </c>
      <c r="B119" s="3606"/>
      <c r="C119" s="3607"/>
      <c r="D119" s="193"/>
      <c r="E119" s="193"/>
      <c r="F119" s="193"/>
      <c r="G119" s="193"/>
      <c r="H119" s="193"/>
      <c r="I119" s="193"/>
      <c r="J119" s="193"/>
      <c r="K119" s="193"/>
      <c r="L119" s="193"/>
      <c r="M119" s="193"/>
      <c r="N119" s="193"/>
      <c r="O119" s="193"/>
      <c r="P119" s="193"/>
      <c r="Q119" s="193"/>
      <c r="R119" s="193"/>
      <c r="S119" s="193"/>
      <c r="T119" s="193"/>
      <c r="U119" s="193"/>
      <c r="V119" s="193"/>
      <c r="W119" s="193"/>
      <c r="X119" s="193"/>
      <c r="Y119" s="193"/>
      <c r="Z119" s="193"/>
      <c r="AA119" s="193"/>
      <c r="AB119" s="193"/>
      <c r="AC119" s="193"/>
      <c r="AD119" s="193"/>
      <c r="AE119" s="193"/>
      <c r="AF119" s="193"/>
      <c r="AG119" s="193"/>
      <c r="AH119" s="654"/>
      <c r="AI119" s="654"/>
      <c r="AJ119" s="654"/>
    </row>
    <row r="120" spans="1:36" ht="12.75" hidden="1">
      <c r="A120" s="178" t="s">
        <v>72</v>
      </c>
      <c r="B120" s="190" t="s">
        <v>73</v>
      </c>
      <c r="C120" s="662">
        <v>1</v>
      </c>
      <c r="D120" s="663">
        <v>2</v>
      </c>
      <c r="E120" s="663">
        <v>3</v>
      </c>
      <c r="F120" s="663">
        <v>4</v>
      </c>
      <c r="G120" s="663">
        <v>5</v>
      </c>
      <c r="H120" s="663">
        <v>6</v>
      </c>
      <c r="I120" s="663">
        <v>7</v>
      </c>
      <c r="J120" s="663">
        <v>8</v>
      </c>
      <c r="K120" s="663">
        <v>9</v>
      </c>
      <c r="L120" s="663">
        <v>10</v>
      </c>
      <c r="M120" s="663">
        <v>11</v>
      </c>
      <c r="N120" s="663">
        <v>12</v>
      </c>
      <c r="O120" s="663">
        <v>13</v>
      </c>
      <c r="P120" s="663">
        <v>14</v>
      </c>
      <c r="Q120" s="663">
        <v>15</v>
      </c>
      <c r="R120" s="663">
        <v>16</v>
      </c>
      <c r="S120" s="663">
        <v>17</v>
      </c>
      <c r="T120" s="663">
        <v>18</v>
      </c>
      <c r="U120" s="663">
        <v>19</v>
      </c>
      <c r="V120" s="663">
        <v>20</v>
      </c>
      <c r="W120" s="663">
        <v>21</v>
      </c>
      <c r="X120" s="663">
        <v>22</v>
      </c>
      <c r="Y120" s="663">
        <v>23</v>
      </c>
      <c r="Z120" s="663">
        <v>24</v>
      </c>
      <c r="AA120" s="663">
        <v>25</v>
      </c>
      <c r="AB120" s="663">
        <v>26</v>
      </c>
      <c r="AC120" s="663">
        <v>27</v>
      </c>
      <c r="AD120" s="663">
        <v>28</v>
      </c>
      <c r="AE120" s="663">
        <v>29</v>
      </c>
      <c r="AF120" s="663">
        <v>30</v>
      </c>
      <c r="AG120" s="663">
        <v>31</v>
      </c>
      <c r="AH120" s="189" t="s">
        <v>74</v>
      </c>
      <c r="AI120" s="693"/>
      <c r="AJ120" s="693"/>
    </row>
    <row r="121" spans="1:36" ht="12.75" hidden="1">
      <c r="A121" s="1268" t="s">
        <v>75</v>
      </c>
      <c r="B121" s="190">
        <f t="shared" ref="B121:B132" si="22">+AH121</f>
        <v>0</v>
      </c>
      <c r="C121" s="688" t="s">
        <v>111</v>
      </c>
      <c r="D121" s="688" t="s">
        <v>111</v>
      </c>
      <c r="E121" s="688" t="s">
        <v>111</v>
      </c>
      <c r="F121" s="688" t="s">
        <v>111</v>
      </c>
      <c r="G121" s="688" t="s">
        <v>111</v>
      </c>
      <c r="H121" s="688" t="s">
        <v>111</v>
      </c>
      <c r="I121" s="688" t="s">
        <v>111</v>
      </c>
      <c r="J121" s="688" t="s">
        <v>111</v>
      </c>
      <c r="K121" s="688" t="s">
        <v>111</v>
      </c>
      <c r="L121" s="688" t="s">
        <v>111</v>
      </c>
      <c r="M121" s="688" t="s">
        <v>111</v>
      </c>
      <c r="N121" s="688" t="s">
        <v>111</v>
      </c>
      <c r="O121" s="688" t="s">
        <v>111</v>
      </c>
      <c r="P121" s="688" t="s">
        <v>111</v>
      </c>
      <c r="Q121" s="688" t="s">
        <v>111</v>
      </c>
      <c r="R121" s="688" t="s">
        <v>111</v>
      </c>
      <c r="S121" s="688" t="s">
        <v>111</v>
      </c>
      <c r="T121" s="688" t="s">
        <v>111</v>
      </c>
      <c r="U121" s="688" t="s">
        <v>111</v>
      </c>
      <c r="V121" s="688" t="s">
        <v>111</v>
      </c>
      <c r="W121" s="688" t="s">
        <v>111</v>
      </c>
      <c r="X121" s="688" t="s">
        <v>111</v>
      </c>
      <c r="Y121" s="688" t="s">
        <v>111</v>
      </c>
      <c r="Z121" s="688" t="s">
        <v>111</v>
      </c>
      <c r="AA121" s="688" t="s">
        <v>111</v>
      </c>
      <c r="AB121" s="688" t="s">
        <v>111</v>
      </c>
      <c r="AC121" s="688" t="s">
        <v>111</v>
      </c>
      <c r="AD121" s="688" t="s">
        <v>111</v>
      </c>
      <c r="AE121" s="688" t="s">
        <v>111</v>
      </c>
      <c r="AF121" s="688" t="s">
        <v>111</v>
      </c>
      <c r="AG121" s="688" t="s">
        <v>111</v>
      </c>
      <c r="AH121" s="189">
        <f>SUM(C121:AG121)</f>
        <v>0</v>
      </c>
      <c r="AI121" s="693"/>
      <c r="AJ121" s="693"/>
    </row>
    <row r="122" spans="1:36" ht="12.75" hidden="1">
      <c r="A122" s="1268" t="s">
        <v>76</v>
      </c>
      <c r="B122" s="190">
        <f t="shared" si="22"/>
        <v>0</v>
      </c>
      <c r="C122" s="688" t="s">
        <v>111</v>
      </c>
      <c r="D122" s="688" t="s">
        <v>111</v>
      </c>
      <c r="E122" s="688" t="s">
        <v>111</v>
      </c>
      <c r="F122" s="688" t="s">
        <v>111</v>
      </c>
      <c r="G122" s="688" t="s">
        <v>111</v>
      </c>
      <c r="H122" s="688" t="s">
        <v>111</v>
      </c>
      <c r="I122" s="688" t="s">
        <v>111</v>
      </c>
      <c r="J122" s="688" t="s">
        <v>111</v>
      </c>
      <c r="K122" s="688" t="s">
        <v>111</v>
      </c>
      <c r="L122" s="688" t="s">
        <v>111</v>
      </c>
      <c r="M122" s="688" t="s">
        <v>111</v>
      </c>
      <c r="N122" s="688" t="s">
        <v>111</v>
      </c>
      <c r="O122" s="688" t="s">
        <v>111</v>
      </c>
      <c r="P122" s="688" t="s">
        <v>111</v>
      </c>
      <c r="Q122" s="688" t="s">
        <v>111</v>
      </c>
      <c r="R122" s="688" t="s">
        <v>111</v>
      </c>
      <c r="S122" s="688" t="s">
        <v>111</v>
      </c>
      <c r="T122" s="688" t="s">
        <v>111</v>
      </c>
      <c r="U122" s="688" t="s">
        <v>111</v>
      </c>
      <c r="V122" s="688" t="s">
        <v>111</v>
      </c>
      <c r="W122" s="688" t="s">
        <v>111</v>
      </c>
      <c r="X122" s="688" t="s">
        <v>111</v>
      </c>
      <c r="Y122" s="688" t="s">
        <v>111</v>
      </c>
      <c r="Z122" s="688" t="s">
        <v>111</v>
      </c>
      <c r="AA122" s="688" t="s">
        <v>111</v>
      </c>
      <c r="AB122" s="688" t="s">
        <v>111</v>
      </c>
      <c r="AC122" s="688" t="s">
        <v>111</v>
      </c>
      <c r="AD122" s="688" t="s">
        <v>111</v>
      </c>
      <c r="AE122" s="688" t="s">
        <v>111</v>
      </c>
      <c r="AF122" s="688" t="s">
        <v>111</v>
      </c>
      <c r="AG122" s="688" t="s">
        <v>111</v>
      </c>
      <c r="AH122" s="189">
        <f t="shared" ref="AH122:AH130" si="23">SUM(C122:AG122)</f>
        <v>0</v>
      </c>
      <c r="AI122" s="693"/>
      <c r="AJ122" s="693"/>
    </row>
    <row r="123" spans="1:36" ht="12.75" hidden="1">
      <c r="A123" s="1268" t="s">
        <v>77</v>
      </c>
      <c r="B123" s="190">
        <f t="shared" si="22"/>
        <v>0</v>
      </c>
      <c r="C123" s="688" t="s">
        <v>111</v>
      </c>
      <c r="D123" s="688" t="s">
        <v>111</v>
      </c>
      <c r="E123" s="688" t="s">
        <v>111</v>
      </c>
      <c r="F123" s="688" t="s">
        <v>111</v>
      </c>
      <c r="G123" s="688" t="s">
        <v>111</v>
      </c>
      <c r="H123" s="159"/>
      <c r="I123" s="159"/>
      <c r="J123" s="159"/>
      <c r="K123" s="159"/>
      <c r="L123" s="159"/>
      <c r="M123" s="159"/>
      <c r="N123" s="159"/>
      <c r="O123" s="159"/>
      <c r="P123" s="159"/>
      <c r="Q123" s="159"/>
      <c r="R123" s="159"/>
      <c r="S123" s="159"/>
      <c r="T123" s="159"/>
      <c r="U123" s="159"/>
      <c r="V123" s="159"/>
      <c r="W123" s="159"/>
      <c r="X123" s="159"/>
      <c r="Y123" s="159"/>
      <c r="Z123" s="159"/>
      <c r="AA123" s="159"/>
      <c r="AB123" s="159"/>
      <c r="AC123" s="688" t="s">
        <v>111</v>
      </c>
      <c r="AD123" s="688" t="s">
        <v>111</v>
      </c>
      <c r="AE123" s="688" t="s">
        <v>111</v>
      </c>
      <c r="AF123" s="688" t="s">
        <v>111</v>
      </c>
      <c r="AG123" s="688" t="s">
        <v>111</v>
      </c>
      <c r="AH123" s="189">
        <f t="shared" si="23"/>
        <v>0</v>
      </c>
      <c r="AI123" s="693"/>
      <c r="AJ123" s="693"/>
    </row>
    <row r="124" spans="1:36" ht="12.75" hidden="1">
      <c r="A124" s="1268" t="s">
        <v>78</v>
      </c>
      <c r="B124" s="190">
        <f t="shared" si="22"/>
        <v>0</v>
      </c>
      <c r="C124" s="688" t="s">
        <v>111</v>
      </c>
      <c r="D124" s="688" t="s">
        <v>111</v>
      </c>
      <c r="E124" s="688" t="s">
        <v>111</v>
      </c>
      <c r="F124" s="688" t="s">
        <v>111</v>
      </c>
      <c r="G124" s="688" t="s">
        <v>111</v>
      </c>
      <c r="H124" s="688" t="s">
        <v>111</v>
      </c>
      <c r="I124" s="688" t="s">
        <v>111</v>
      </c>
      <c r="J124" s="688" t="s">
        <v>111</v>
      </c>
      <c r="K124" s="688" t="s">
        <v>111</v>
      </c>
      <c r="L124" s="159"/>
      <c r="M124" s="159"/>
      <c r="N124" s="159"/>
      <c r="O124" s="159"/>
      <c r="P124" s="159"/>
      <c r="Q124" s="159"/>
      <c r="R124" s="159"/>
      <c r="S124" s="159"/>
      <c r="T124" s="159"/>
      <c r="U124" s="159"/>
      <c r="V124" s="159"/>
      <c r="W124" s="159"/>
      <c r="X124" s="159"/>
      <c r="Y124" s="159"/>
      <c r="Z124" s="159"/>
      <c r="AA124" s="159"/>
      <c r="AB124" s="159"/>
      <c r="AC124" s="159"/>
      <c r="AD124" s="159"/>
      <c r="AE124" s="159"/>
      <c r="AF124" s="159"/>
      <c r="AG124" s="159"/>
      <c r="AH124" s="189">
        <f t="shared" si="23"/>
        <v>0</v>
      </c>
      <c r="AI124" s="693"/>
      <c r="AJ124" s="693"/>
    </row>
    <row r="125" spans="1:36" ht="12.75" hidden="1">
      <c r="A125" s="1268" t="s">
        <v>79</v>
      </c>
      <c r="B125" s="190">
        <f t="shared" si="22"/>
        <v>0</v>
      </c>
      <c r="C125" s="183"/>
      <c r="D125" s="159"/>
      <c r="E125" s="159"/>
      <c r="F125" s="159"/>
      <c r="G125" s="159"/>
      <c r="H125" s="159"/>
      <c r="I125" s="159"/>
      <c r="J125" s="159"/>
      <c r="K125" s="159"/>
      <c r="L125" s="159"/>
      <c r="M125" s="159"/>
      <c r="N125" s="159"/>
      <c r="O125" s="159"/>
      <c r="P125" s="159"/>
      <c r="Q125" s="159"/>
      <c r="R125" s="159"/>
      <c r="S125" s="159"/>
      <c r="T125" s="159"/>
      <c r="U125" s="159"/>
      <c r="V125" s="159"/>
      <c r="W125" s="159"/>
      <c r="X125" s="159"/>
      <c r="Y125" s="159"/>
      <c r="Z125" s="159"/>
      <c r="AA125" s="159"/>
      <c r="AB125" s="159"/>
      <c r="AC125" s="159"/>
      <c r="AD125" s="159"/>
      <c r="AE125" s="159"/>
      <c r="AF125" s="159"/>
      <c r="AG125" s="159"/>
      <c r="AH125" s="189">
        <f t="shared" si="23"/>
        <v>0</v>
      </c>
      <c r="AI125" s="693"/>
      <c r="AJ125" s="693"/>
    </row>
    <row r="126" spans="1:36" ht="12.75" hidden="1">
      <c r="A126" s="1268" t="s">
        <v>80</v>
      </c>
      <c r="B126" s="190">
        <f t="shared" si="22"/>
        <v>0</v>
      </c>
      <c r="C126" s="183"/>
      <c r="D126" s="159"/>
      <c r="E126" s="159"/>
      <c r="F126" s="159"/>
      <c r="G126" s="159"/>
      <c r="H126" s="200" t="s">
        <v>112</v>
      </c>
      <c r="I126" s="200" t="s">
        <v>112</v>
      </c>
      <c r="J126" s="200" t="s">
        <v>112</v>
      </c>
      <c r="K126" s="200" t="s">
        <v>112</v>
      </c>
      <c r="L126" s="200" t="s">
        <v>112</v>
      </c>
      <c r="M126" s="200" t="s">
        <v>112</v>
      </c>
      <c r="N126" s="200" t="s">
        <v>112</v>
      </c>
      <c r="O126" s="200" t="s">
        <v>112</v>
      </c>
      <c r="P126" s="200" t="s">
        <v>112</v>
      </c>
      <c r="Q126" s="200" t="s">
        <v>112</v>
      </c>
      <c r="R126" s="200" t="s">
        <v>112</v>
      </c>
      <c r="S126" s="200" t="s">
        <v>112</v>
      </c>
      <c r="T126" s="200" t="s">
        <v>112</v>
      </c>
      <c r="U126" s="200" t="s">
        <v>112</v>
      </c>
      <c r="V126" s="200" t="s">
        <v>112</v>
      </c>
      <c r="W126" s="200" t="s">
        <v>112</v>
      </c>
      <c r="X126" s="200" t="s">
        <v>112</v>
      </c>
      <c r="Y126" s="159"/>
      <c r="Z126" s="159"/>
      <c r="AA126" s="159"/>
      <c r="AB126" s="159"/>
      <c r="AC126" s="159"/>
      <c r="AD126" s="159"/>
      <c r="AE126" s="159"/>
      <c r="AF126" s="159"/>
      <c r="AG126" s="159"/>
      <c r="AH126" s="189">
        <f t="shared" si="23"/>
        <v>0</v>
      </c>
      <c r="AI126" s="693"/>
      <c r="AJ126" s="693"/>
    </row>
    <row r="127" spans="1:36" ht="12.75" hidden="1">
      <c r="A127" s="1268" t="s">
        <v>81</v>
      </c>
      <c r="B127" s="190">
        <f t="shared" si="22"/>
        <v>0</v>
      </c>
      <c r="C127" s="183"/>
      <c r="D127" s="689"/>
      <c r="E127" s="689"/>
      <c r="F127" s="689"/>
      <c r="G127" s="159"/>
      <c r="H127" s="159"/>
      <c r="I127" s="159"/>
      <c r="J127" s="690"/>
      <c r="K127" s="690"/>
      <c r="L127" s="689"/>
      <c r="M127" s="689"/>
      <c r="N127" s="689"/>
      <c r="O127" s="689"/>
      <c r="P127" s="689"/>
      <c r="Q127" s="689"/>
      <c r="R127" s="689"/>
      <c r="S127" s="689"/>
      <c r="T127" s="689"/>
      <c r="U127" s="689"/>
      <c r="V127" s="689"/>
      <c r="W127" s="689"/>
      <c r="X127" s="689"/>
      <c r="Y127" s="689"/>
      <c r="Z127" s="689"/>
      <c r="AA127" s="689"/>
      <c r="AB127" s="689"/>
      <c r="AC127" s="689"/>
      <c r="AD127" s="689"/>
      <c r="AE127" s="689"/>
      <c r="AF127" s="689"/>
      <c r="AG127" s="689"/>
      <c r="AH127" s="189">
        <f t="shared" si="23"/>
        <v>0</v>
      </c>
      <c r="AI127" s="693"/>
      <c r="AJ127" s="693"/>
    </row>
    <row r="128" spans="1:36" ht="12.75" hidden="1">
      <c r="A128" s="1268" t="s">
        <v>82</v>
      </c>
      <c r="B128" s="190">
        <f t="shared" si="22"/>
        <v>0</v>
      </c>
      <c r="C128" s="183"/>
      <c r="D128" s="159"/>
      <c r="E128" s="159"/>
      <c r="F128" s="159"/>
      <c r="G128" s="159"/>
      <c r="H128" s="159"/>
      <c r="I128" s="159"/>
      <c r="J128" s="843" t="s">
        <v>112</v>
      </c>
      <c r="K128" s="843" t="s">
        <v>112</v>
      </c>
      <c r="L128" s="843" t="s">
        <v>112</v>
      </c>
      <c r="M128" s="843" t="s">
        <v>112</v>
      </c>
      <c r="N128" s="843" t="s">
        <v>112</v>
      </c>
      <c r="O128" s="843" t="s">
        <v>112</v>
      </c>
      <c r="P128" s="843" t="s">
        <v>112</v>
      </c>
      <c r="Q128" s="843" t="s">
        <v>112</v>
      </c>
      <c r="R128" s="843" t="s">
        <v>112</v>
      </c>
      <c r="S128" s="843" t="s">
        <v>112</v>
      </c>
      <c r="T128" s="843" t="s">
        <v>112</v>
      </c>
      <c r="U128" s="843" t="s">
        <v>112</v>
      </c>
      <c r="V128" s="843" t="s">
        <v>112</v>
      </c>
      <c r="W128" s="843" t="s">
        <v>112</v>
      </c>
      <c r="X128" s="843" t="s">
        <v>112</v>
      </c>
      <c r="Y128" s="843" t="s">
        <v>112</v>
      </c>
      <c r="Z128" s="843" t="s">
        <v>112</v>
      </c>
      <c r="AA128" s="843" t="s">
        <v>112</v>
      </c>
      <c r="AB128" s="843" t="s">
        <v>112</v>
      </c>
      <c r="AC128" s="843" t="s">
        <v>112</v>
      </c>
      <c r="AD128" s="843" t="s">
        <v>112</v>
      </c>
      <c r="AE128" s="843" t="s">
        <v>112</v>
      </c>
      <c r="AF128" s="843" t="s">
        <v>112</v>
      </c>
      <c r="AG128" s="843" t="s">
        <v>112</v>
      </c>
      <c r="AH128" s="189">
        <f t="shared" si="23"/>
        <v>0</v>
      </c>
      <c r="AI128" s="693"/>
      <c r="AJ128" s="693"/>
    </row>
    <row r="129" spans="1:36" ht="12.75" hidden="1">
      <c r="A129" s="1740" t="s">
        <v>83</v>
      </c>
      <c r="B129" s="190">
        <f t="shared" si="22"/>
        <v>0</v>
      </c>
      <c r="C129" s="843" t="s">
        <v>112</v>
      </c>
      <c r="D129" s="843" t="s">
        <v>112</v>
      </c>
      <c r="E129" s="843" t="s">
        <v>112</v>
      </c>
      <c r="F129" s="843" t="s">
        <v>112</v>
      </c>
      <c r="G129" s="843" t="s">
        <v>112</v>
      </c>
      <c r="H129" s="843" t="s">
        <v>112</v>
      </c>
      <c r="I129" s="843" t="s">
        <v>112</v>
      </c>
      <c r="J129" s="843" t="s">
        <v>112</v>
      </c>
      <c r="K129" s="843" t="s">
        <v>112</v>
      </c>
      <c r="L129" s="843" t="s">
        <v>112</v>
      </c>
      <c r="M129" s="843" t="s">
        <v>112</v>
      </c>
      <c r="N129" s="843" t="s">
        <v>112</v>
      </c>
      <c r="O129" s="843" t="s">
        <v>112</v>
      </c>
      <c r="P129" s="843" t="s">
        <v>112</v>
      </c>
      <c r="Q129" s="843" t="s">
        <v>112</v>
      </c>
      <c r="R129" s="843" t="s">
        <v>112</v>
      </c>
      <c r="S129" s="843" t="s">
        <v>112</v>
      </c>
      <c r="T129" s="843" t="s">
        <v>112</v>
      </c>
      <c r="U129" s="843" t="s">
        <v>112</v>
      </c>
      <c r="V129" s="843" t="s">
        <v>112</v>
      </c>
      <c r="W129" s="843" t="s">
        <v>112</v>
      </c>
      <c r="X129" s="843" t="s">
        <v>112</v>
      </c>
      <c r="Y129" s="843" t="s">
        <v>112</v>
      </c>
      <c r="Z129" s="843" t="s">
        <v>112</v>
      </c>
      <c r="AA129" s="843" t="s">
        <v>112</v>
      </c>
      <c r="AB129" s="843" t="s">
        <v>112</v>
      </c>
      <c r="AC129" s="843" t="s">
        <v>112</v>
      </c>
      <c r="AD129" s="843" t="s">
        <v>112</v>
      </c>
      <c r="AE129" s="843" t="s">
        <v>112</v>
      </c>
      <c r="AF129" s="843" t="s">
        <v>112</v>
      </c>
      <c r="AG129" s="843" t="s">
        <v>112</v>
      </c>
      <c r="AH129" s="189">
        <f t="shared" si="23"/>
        <v>0</v>
      </c>
      <c r="AI129" s="693"/>
      <c r="AJ129" s="693"/>
    </row>
    <row r="130" spans="1:36" ht="12.75" hidden="1">
      <c r="A130" s="1740" t="s">
        <v>84</v>
      </c>
      <c r="B130" s="190">
        <f t="shared" si="22"/>
        <v>0</v>
      </c>
      <c r="C130" s="843" t="s">
        <v>112</v>
      </c>
      <c r="D130" s="843" t="s">
        <v>112</v>
      </c>
      <c r="E130" s="843" t="s">
        <v>112</v>
      </c>
      <c r="F130" s="843" t="s">
        <v>112</v>
      </c>
      <c r="G130" s="843" t="s">
        <v>112</v>
      </c>
      <c r="H130" s="843" t="s">
        <v>112</v>
      </c>
      <c r="I130" s="843" t="s">
        <v>112</v>
      </c>
      <c r="J130" s="843" t="s">
        <v>112</v>
      </c>
      <c r="K130" s="843" t="s">
        <v>112</v>
      </c>
      <c r="L130" s="843" t="s">
        <v>112</v>
      </c>
      <c r="M130" s="843" t="s">
        <v>112</v>
      </c>
      <c r="N130" s="843" t="s">
        <v>112</v>
      </c>
      <c r="O130" s="843" t="s">
        <v>112</v>
      </c>
      <c r="P130" s="843" t="s">
        <v>112</v>
      </c>
      <c r="Q130" s="843" t="s">
        <v>112</v>
      </c>
      <c r="R130" s="843" t="s">
        <v>112</v>
      </c>
      <c r="S130" s="843" t="s">
        <v>112</v>
      </c>
      <c r="T130" s="843" t="s">
        <v>112</v>
      </c>
      <c r="U130" s="843" t="s">
        <v>112</v>
      </c>
      <c r="V130" s="843" t="s">
        <v>112</v>
      </c>
      <c r="W130" s="843" t="s">
        <v>112</v>
      </c>
      <c r="X130" s="159"/>
      <c r="Y130" s="159"/>
      <c r="Z130" s="159"/>
      <c r="AA130" s="159"/>
      <c r="AB130" s="159"/>
      <c r="AC130" s="159"/>
      <c r="AD130" s="159"/>
      <c r="AE130" s="689"/>
      <c r="AF130" s="159"/>
      <c r="AG130" s="689"/>
      <c r="AH130" s="189">
        <f t="shared" si="23"/>
        <v>0</v>
      </c>
      <c r="AI130" s="693"/>
      <c r="AJ130" s="693"/>
    </row>
    <row r="131" spans="1:36" ht="12.75" hidden="1">
      <c r="A131" s="1740" t="s">
        <v>85</v>
      </c>
      <c r="B131" s="190">
        <f t="shared" si="22"/>
        <v>0</v>
      </c>
      <c r="C131" s="183"/>
      <c r="D131" s="159"/>
      <c r="E131" s="159"/>
      <c r="F131" s="159"/>
      <c r="G131" s="64"/>
      <c r="H131" s="159"/>
      <c r="I131" s="159"/>
      <c r="J131" s="159"/>
      <c r="K131" s="159"/>
      <c r="L131" s="159"/>
      <c r="M131" s="159"/>
      <c r="N131" s="159"/>
      <c r="O131" s="159"/>
      <c r="P131" s="159"/>
      <c r="Q131" s="159"/>
      <c r="R131" s="159"/>
      <c r="S131" s="159"/>
      <c r="T131" s="159"/>
      <c r="U131" s="159"/>
      <c r="V131" s="159"/>
      <c r="W131" s="159"/>
      <c r="X131" s="159"/>
      <c r="Y131" s="64"/>
      <c r="Z131" s="159"/>
      <c r="AA131" s="159"/>
      <c r="AB131" s="159"/>
      <c r="AC131" s="159"/>
      <c r="AD131" s="159"/>
      <c r="AE131" s="689"/>
      <c r="AF131" s="159"/>
      <c r="AG131" s="689"/>
      <c r="AH131" s="189">
        <f>SUM(C131:AG131)</f>
        <v>0</v>
      </c>
      <c r="AI131" s="693"/>
      <c r="AJ131" s="693"/>
    </row>
    <row r="132" spans="1:36" ht="12.75" hidden="1">
      <c r="A132" s="1740" t="s">
        <v>86</v>
      </c>
      <c r="B132" s="190">
        <f t="shared" si="22"/>
        <v>0</v>
      </c>
      <c r="C132" s="183"/>
      <c r="D132" s="159"/>
      <c r="E132" s="159"/>
      <c r="F132" s="159"/>
      <c r="G132" s="159"/>
      <c r="H132" s="159"/>
      <c r="I132" s="159"/>
      <c r="J132" s="159"/>
      <c r="K132" s="159"/>
      <c r="L132" s="159"/>
      <c r="M132" s="159"/>
      <c r="N132" s="159"/>
      <c r="O132" s="159"/>
      <c r="P132" s="1409" t="s">
        <v>111</v>
      </c>
      <c r="Q132" s="1409" t="s">
        <v>111</v>
      </c>
      <c r="R132" s="1409" t="s">
        <v>111</v>
      </c>
      <c r="S132" s="1409" t="s">
        <v>111</v>
      </c>
      <c r="T132" s="1409" t="s">
        <v>111</v>
      </c>
      <c r="U132" s="1409" t="s">
        <v>111</v>
      </c>
      <c r="V132" s="1409" t="s">
        <v>111</v>
      </c>
      <c r="W132" s="1409" t="s">
        <v>111</v>
      </c>
      <c r="X132" s="1409" t="s">
        <v>111</v>
      </c>
      <c r="Y132" s="1409" t="s">
        <v>111</v>
      </c>
      <c r="Z132" s="1409" t="s">
        <v>111</v>
      </c>
      <c r="AA132" s="1409" t="s">
        <v>111</v>
      </c>
      <c r="AB132" s="1409" t="s">
        <v>111</v>
      </c>
      <c r="AC132" s="1409" t="s">
        <v>111</v>
      </c>
      <c r="AD132" s="1409" t="s">
        <v>111</v>
      </c>
      <c r="AE132" s="1409" t="s">
        <v>111</v>
      </c>
      <c r="AF132" s="1409" t="s">
        <v>111</v>
      </c>
      <c r="AG132" s="1409" t="s">
        <v>111</v>
      </c>
      <c r="AH132" s="189">
        <f t="shared" ref="AH132" si="24">SUM(C132:AG132)</f>
        <v>0</v>
      </c>
      <c r="AI132" s="693"/>
      <c r="AJ132" s="693"/>
    </row>
    <row r="133" spans="1:36" ht="12.75" hidden="1">
      <c r="A133" s="665" t="s">
        <v>74</v>
      </c>
      <c r="B133" s="666">
        <f t="shared" ref="B133:AH133" si="25">SUM(B121:B132)</f>
        <v>0</v>
      </c>
      <c r="C133" s="189">
        <f t="shared" si="25"/>
        <v>0</v>
      </c>
      <c r="D133" s="189">
        <f t="shared" si="25"/>
        <v>0</v>
      </c>
      <c r="E133" s="189">
        <f t="shared" si="25"/>
        <v>0</v>
      </c>
      <c r="F133" s="189">
        <f t="shared" si="25"/>
        <v>0</v>
      </c>
      <c r="G133" s="189">
        <f t="shared" si="25"/>
        <v>0</v>
      </c>
      <c r="H133" s="189">
        <f t="shared" si="25"/>
        <v>0</v>
      </c>
      <c r="I133" s="189">
        <f t="shared" si="25"/>
        <v>0</v>
      </c>
      <c r="J133" s="189">
        <f t="shared" si="25"/>
        <v>0</v>
      </c>
      <c r="K133" s="189">
        <f t="shared" si="25"/>
        <v>0</v>
      </c>
      <c r="L133" s="189">
        <f t="shared" si="25"/>
        <v>0</v>
      </c>
      <c r="M133" s="189">
        <f t="shared" si="25"/>
        <v>0</v>
      </c>
      <c r="N133" s="189">
        <f t="shared" si="25"/>
        <v>0</v>
      </c>
      <c r="O133" s="189">
        <f t="shared" si="25"/>
        <v>0</v>
      </c>
      <c r="P133" s="189">
        <f t="shared" si="25"/>
        <v>0</v>
      </c>
      <c r="Q133" s="189">
        <f t="shared" si="25"/>
        <v>0</v>
      </c>
      <c r="R133" s="189">
        <f t="shared" si="25"/>
        <v>0</v>
      </c>
      <c r="S133" s="189">
        <f t="shared" si="25"/>
        <v>0</v>
      </c>
      <c r="T133" s="189">
        <f t="shared" si="25"/>
        <v>0</v>
      </c>
      <c r="U133" s="189">
        <f t="shared" si="25"/>
        <v>0</v>
      </c>
      <c r="V133" s="189">
        <f t="shared" si="25"/>
        <v>0</v>
      </c>
      <c r="W133" s="189">
        <f t="shared" si="25"/>
        <v>0</v>
      </c>
      <c r="X133" s="189">
        <f t="shared" si="25"/>
        <v>0</v>
      </c>
      <c r="Y133" s="189">
        <f t="shared" si="25"/>
        <v>0</v>
      </c>
      <c r="Z133" s="189">
        <f t="shared" si="25"/>
        <v>0</v>
      </c>
      <c r="AA133" s="189">
        <f t="shared" si="25"/>
        <v>0</v>
      </c>
      <c r="AB133" s="189">
        <f t="shared" si="25"/>
        <v>0</v>
      </c>
      <c r="AC133" s="189">
        <f t="shared" si="25"/>
        <v>0</v>
      </c>
      <c r="AD133" s="189">
        <f t="shared" si="25"/>
        <v>0</v>
      </c>
      <c r="AE133" s="189">
        <f t="shared" si="25"/>
        <v>0</v>
      </c>
      <c r="AF133" s="189">
        <f t="shared" si="25"/>
        <v>0</v>
      </c>
      <c r="AG133" s="189">
        <f t="shared" si="25"/>
        <v>0</v>
      </c>
      <c r="AH133" s="189">
        <f t="shared" si="25"/>
        <v>0</v>
      </c>
      <c r="AI133" s="693"/>
      <c r="AJ133" s="693"/>
    </row>
    <row r="134" spans="1:36" ht="12.75" hidden="1">
      <c r="A134" s="691"/>
      <c r="B134" s="692"/>
      <c r="C134" s="693"/>
      <c r="D134" s="693"/>
      <c r="E134" s="693"/>
      <c r="F134" s="693"/>
      <c r="G134" s="693"/>
      <c r="H134" s="693"/>
      <c r="I134" s="693"/>
      <c r="J134" s="693"/>
      <c r="K134" s="693"/>
      <c r="L134" s="693"/>
      <c r="M134" s="693"/>
      <c r="N134" s="693"/>
      <c r="O134" s="693"/>
      <c r="P134" s="693"/>
      <c r="Q134" s="693"/>
      <c r="R134" s="693"/>
      <c r="S134" s="693"/>
      <c r="T134" s="693"/>
      <c r="U134" s="693"/>
      <c r="V134" s="693"/>
      <c r="W134" s="693"/>
      <c r="X134" s="693"/>
      <c r="Y134" s="693"/>
      <c r="Z134" s="693"/>
      <c r="AA134" s="693"/>
      <c r="AB134" s="693"/>
      <c r="AC134" s="693"/>
      <c r="AD134" s="693"/>
      <c r="AE134" s="693"/>
      <c r="AF134" s="693"/>
      <c r="AG134" s="693"/>
      <c r="AH134" s="693"/>
      <c r="AI134" s="693"/>
      <c r="AJ134" s="693"/>
    </row>
    <row r="135" spans="1:36" ht="12.75">
      <c r="A135" s="691"/>
      <c r="B135" s="692"/>
      <c r="C135" s="693"/>
      <c r="D135" s="693"/>
      <c r="E135" s="693"/>
      <c r="F135" s="693"/>
      <c r="G135" s="693"/>
      <c r="H135" s="693"/>
      <c r="I135" s="693"/>
      <c r="J135" s="693"/>
      <c r="K135" s="693"/>
      <c r="L135" s="693"/>
      <c r="M135" s="693"/>
      <c r="N135" s="693"/>
      <c r="O135" s="693"/>
      <c r="P135" s="693"/>
      <c r="Q135" s="693"/>
      <c r="R135" s="693"/>
      <c r="S135" s="693"/>
      <c r="T135" s="693"/>
      <c r="U135" s="693"/>
      <c r="V135" s="693"/>
      <c r="W135" s="693"/>
      <c r="X135" s="693"/>
      <c r="Y135" s="693"/>
      <c r="Z135" s="693"/>
      <c r="AA135" s="693"/>
      <c r="AB135" s="693"/>
      <c r="AC135" s="693"/>
      <c r="AD135" s="693"/>
      <c r="AE135" s="693"/>
      <c r="AF135" s="693"/>
      <c r="AG135" s="693"/>
      <c r="AH135" s="693"/>
      <c r="AI135" s="693"/>
      <c r="AJ135" s="693"/>
    </row>
    <row r="136" spans="1:36" ht="12.75">
      <c r="A136" s="3605" t="s">
        <v>89</v>
      </c>
      <c r="B136" s="3606"/>
      <c r="C136" s="3607"/>
      <c r="D136" s="193"/>
      <c r="E136" s="193"/>
      <c r="F136" s="193"/>
      <c r="G136" s="193"/>
      <c r="H136" s="193"/>
      <c r="I136" s="193"/>
      <c r="J136" s="193"/>
      <c r="K136" s="193"/>
      <c r="L136" s="193"/>
      <c r="M136" s="193"/>
      <c r="N136" s="193"/>
      <c r="O136" s="193"/>
      <c r="P136" s="193"/>
      <c r="Q136" s="193"/>
      <c r="R136" s="193"/>
      <c r="S136" s="193"/>
      <c r="T136" s="193"/>
      <c r="U136" s="193"/>
      <c r="V136" s="193"/>
      <c r="W136" s="193"/>
      <c r="X136" s="193"/>
      <c r="Y136" s="193"/>
      <c r="Z136" s="193"/>
      <c r="AA136" s="193"/>
      <c r="AB136" s="193"/>
      <c r="AC136" s="193"/>
      <c r="AD136" s="193"/>
      <c r="AE136" s="193"/>
      <c r="AF136" s="193"/>
      <c r="AG136" s="193"/>
      <c r="AH136" s="654"/>
      <c r="AI136" s="654"/>
      <c r="AJ136" s="654"/>
    </row>
    <row r="137" spans="1:36" ht="12.75">
      <c r="A137" s="178" t="s">
        <v>72</v>
      </c>
      <c r="B137" s="190" t="s">
        <v>73</v>
      </c>
      <c r="C137" s="682">
        <v>1</v>
      </c>
      <c r="D137" s="663">
        <v>2</v>
      </c>
      <c r="E137" s="663">
        <v>3</v>
      </c>
      <c r="F137" s="663">
        <v>4</v>
      </c>
      <c r="G137" s="663">
        <v>5</v>
      </c>
      <c r="H137" s="663">
        <v>6</v>
      </c>
      <c r="I137" s="663">
        <v>7</v>
      </c>
      <c r="J137" s="663">
        <v>8</v>
      </c>
      <c r="K137" s="663">
        <v>9</v>
      </c>
      <c r="L137" s="663">
        <v>10</v>
      </c>
      <c r="M137" s="663">
        <v>11</v>
      </c>
      <c r="N137" s="663">
        <v>12</v>
      </c>
      <c r="O137" s="663">
        <v>13</v>
      </c>
      <c r="P137" s="663">
        <v>14</v>
      </c>
      <c r="Q137" s="663">
        <v>15</v>
      </c>
      <c r="R137" s="663">
        <v>16</v>
      </c>
      <c r="S137" s="663">
        <v>17</v>
      </c>
      <c r="T137" s="663">
        <v>18</v>
      </c>
      <c r="U137" s="663">
        <v>19</v>
      </c>
      <c r="V137" s="663">
        <v>20</v>
      </c>
      <c r="W137" s="663">
        <v>21</v>
      </c>
      <c r="X137" s="663">
        <v>22</v>
      </c>
      <c r="Y137" s="663">
        <v>23</v>
      </c>
      <c r="Z137" s="663">
        <v>24</v>
      </c>
      <c r="AA137" s="663">
        <v>25</v>
      </c>
      <c r="AB137" s="663">
        <v>26</v>
      </c>
      <c r="AC137" s="663">
        <v>27</v>
      </c>
      <c r="AD137" s="663">
        <v>28</v>
      </c>
      <c r="AE137" s="663">
        <v>29</v>
      </c>
      <c r="AF137" s="663">
        <v>30</v>
      </c>
      <c r="AG137" s="663">
        <v>31</v>
      </c>
      <c r="AH137" s="189" t="s">
        <v>74</v>
      </c>
      <c r="AI137" s="693"/>
      <c r="AJ137" s="693"/>
    </row>
    <row r="138" spans="1:36" ht="12.75">
      <c r="A138" s="1268" t="s">
        <v>75</v>
      </c>
      <c r="B138" s="190">
        <f t="shared" ref="B138:B149" si="26">+AH138</f>
        <v>0</v>
      </c>
      <c r="C138" s="688" t="s">
        <v>111</v>
      </c>
      <c r="D138" s="688" t="s">
        <v>111</v>
      </c>
      <c r="E138" s="688" t="s">
        <v>111</v>
      </c>
      <c r="F138" s="688" t="s">
        <v>111</v>
      </c>
      <c r="G138" s="688" t="s">
        <v>111</v>
      </c>
      <c r="H138" s="688" t="s">
        <v>111</v>
      </c>
      <c r="I138" s="688" t="s">
        <v>111</v>
      </c>
      <c r="J138" s="688" t="s">
        <v>111</v>
      </c>
      <c r="K138" s="688" t="s">
        <v>111</v>
      </c>
      <c r="L138" s="688" t="s">
        <v>111</v>
      </c>
      <c r="M138" s="688" t="s">
        <v>111</v>
      </c>
      <c r="N138" s="688" t="s">
        <v>111</v>
      </c>
      <c r="O138" s="688" t="s">
        <v>111</v>
      </c>
      <c r="P138" s="688" t="s">
        <v>111</v>
      </c>
      <c r="Q138" s="688" t="s">
        <v>111</v>
      </c>
      <c r="R138" s="688" t="s">
        <v>111</v>
      </c>
      <c r="S138" s="688" t="s">
        <v>111</v>
      </c>
      <c r="T138" s="688" t="s">
        <v>111</v>
      </c>
      <c r="U138" s="688" t="s">
        <v>111</v>
      </c>
      <c r="V138" s="688" t="s">
        <v>111</v>
      </c>
      <c r="W138" s="688" t="s">
        <v>111</v>
      </c>
      <c r="X138" s="688" t="s">
        <v>111</v>
      </c>
      <c r="Y138" s="688" t="s">
        <v>111</v>
      </c>
      <c r="Z138" s="688" t="s">
        <v>111</v>
      </c>
      <c r="AA138" s="688" t="s">
        <v>111</v>
      </c>
      <c r="AB138" s="688" t="s">
        <v>111</v>
      </c>
      <c r="AC138" s="688" t="s">
        <v>111</v>
      </c>
      <c r="AD138" s="688" t="s">
        <v>111</v>
      </c>
      <c r="AE138" s="688" t="s">
        <v>111</v>
      </c>
      <c r="AF138" s="688" t="s">
        <v>111</v>
      </c>
      <c r="AG138" s="688" t="s">
        <v>111</v>
      </c>
      <c r="AH138" s="189">
        <f>SUM(C138:AG138)</f>
        <v>0</v>
      </c>
      <c r="AI138" s="693"/>
      <c r="AJ138" s="693"/>
    </row>
    <row r="139" spans="1:36" ht="12.75">
      <c r="A139" s="1268" t="s">
        <v>76</v>
      </c>
      <c r="B139" s="190">
        <f t="shared" si="26"/>
        <v>0</v>
      </c>
      <c r="C139" s="688" t="s">
        <v>111</v>
      </c>
      <c r="D139" s="688" t="s">
        <v>111</v>
      </c>
      <c r="E139" s="688" t="s">
        <v>111</v>
      </c>
      <c r="F139" s="688" t="s">
        <v>111</v>
      </c>
      <c r="G139" s="688" t="s">
        <v>111</v>
      </c>
      <c r="H139" s="688" t="s">
        <v>111</v>
      </c>
      <c r="I139" s="688" t="s">
        <v>111</v>
      </c>
      <c r="J139" s="688" t="s">
        <v>111</v>
      </c>
      <c r="K139" s="688" t="s">
        <v>111</v>
      </c>
      <c r="L139" s="688" t="s">
        <v>111</v>
      </c>
      <c r="M139" s="688" t="s">
        <v>111</v>
      </c>
      <c r="N139" s="688" t="s">
        <v>111</v>
      </c>
      <c r="O139" s="688" t="s">
        <v>111</v>
      </c>
      <c r="P139" s="688" t="s">
        <v>111</v>
      </c>
      <c r="Q139" s="688" t="s">
        <v>111</v>
      </c>
      <c r="R139" s="688" t="s">
        <v>111</v>
      </c>
      <c r="S139" s="688" t="s">
        <v>111</v>
      </c>
      <c r="T139" s="688" t="s">
        <v>111</v>
      </c>
      <c r="U139" s="688" t="s">
        <v>111</v>
      </c>
      <c r="V139" s="688" t="s">
        <v>111</v>
      </c>
      <c r="W139" s="688" t="s">
        <v>111</v>
      </c>
      <c r="X139" s="688" t="s">
        <v>111</v>
      </c>
      <c r="Y139" s="688" t="s">
        <v>111</v>
      </c>
      <c r="Z139" s="688" t="s">
        <v>111</v>
      </c>
      <c r="AA139" s="688" t="s">
        <v>111</v>
      </c>
      <c r="AB139" s="688" t="s">
        <v>111</v>
      </c>
      <c r="AC139" s="688" t="s">
        <v>111</v>
      </c>
      <c r="AD139" s="688" t="s">
        <v>111</v>
      </c>
      <c r="AE139" s="688" t="s">
        <v>111</v>
      </c>
      <c r="AF139" s="688" t="s">
        <v>111</v>
      </c>
      <c r="AG139" s="688" t="s">
        <v>111</v>
      </c>
      <c r="AH139" s="189">
        <f t="shared" ref="AH139:AH149" si="27">SUM(C139:AG139)</f>
        <v>0</v>
      </c>
      <c r="AI139" s="693"/>
      <c r="AJ139" s="693"/>
    </row>
    <row r="140" spans="1:36" ht="12.75">
      <c r="A140" s="1268" t="s">
        <v>77</v>
      </c>
      <c r="B140" s="190">
        <f t="shared" si="26"/>
        <v>127.17099999999998</v>
      </c>
      <c r="C140" s="688" t="s">
        <v>111</v>
      </c>
      <c r="D140" s="688" t="s">
        <v>111</v>
      </c>
      <c r="E140" s="688" t="s">
        <v>111</v>
      </c>
      <c r="F140" s="688" t="s">
        <v>111</v>
      </c>
      <c r="G140" s="688" t="s">
        <v>111</v>
      </c>
      <c r="H140" s="2463"/>
      <c r="I140" s="2463"/>
      <c r="J140" s="2463"/>
      <c r="K140" s="2463"/>
      <c r="L140" s="2463"/>
      <c r="M140" s="2463">
        <v>1.3640000000000001</v>
      </c>
      <c r="N140" s="2463">
        <v>46.430999999999997</v>
      </c>
      <c r="O140" s="2463">
        <v>11.12</v>
      </c>
      <c r="P140" s="2463">
        <v>13.632999999999999</v>
      </c>
      <c r="Q140" s="2463">
        <v>3.6230000000000002</v>
      </c>
      <c r="R140" s="2463"/>
      <c r="S140" s="2463">
        <v>14.63</v>
      </c>
      <c r="T140" s="2463"/>
      <c r="U140" s="2463">
        <v>19.05</v>
      </c>
      <c r="V140" s="2464">
        <v>1.7909999999999999</v>
      </c>
      <c r="W140" s="2463">
        <v>0.82799999999999996</v>
      </c>
      <c r="X140" s="2463"/>
      <c r="Y140" s="2463"/>
      <c r="Z140" s="2463">
        <v>1.35</v>
      </c>
      <c r="AA140" s="2463">
        <v>3.2970000000000002</v>
      </c>
      <c r="AB140" s="2463">
        <v>2.7829999999999999</v>
      </c>
      <c r="AC140" s="2463">
        <v>2.0830000000000002</v>
      </c>
      <c r="AD140" s="2463"/>
      <c r="AE140" s="2463"/>
      <c r="AF140" s="2463"/>
      <c r="AG140" s="2460">
        <v>5.1879999999999997</v>
      </c>
      <c r="AH140" s="189">
        <f t="shared" si="27"/>
        <v>127.17099999999998</v>
      </c>
      <c r="AI140" s="693"/>
      <c r="AJ140" s="693"/>
    </row>
    <row r="141" spans="1:36" ht="12.75">
      <c r="A141" s="1268" t="s">
        <v>78</v>
      </c>
      <c r="B141" s="190">
        <f t="shared" si="26"/>
        <v>55.052000000000007</v>
      </c>
      <c r="C141" s="2458">
        <v>1.272</v>
      </c>
      <c r="D141" s="2458"/>
      <c r="E141" s="2458">
        <v>38.700000000000003</v>
      </c>
      <c r="F141" s="2458">
        <v>0.54800000000000004</v>
      </c>
      <c r="G141" s="2458"/>
      <c r="H141" s="2461"/>
      <c r="I141" s="2461"/>
      <c r="J141" s="2461">
        <v>6.1239999999999997</v>
      </c>
      <c r="K141" s="2461"/>
      <c r="L141" s="2462"/>
      <c r="M141" s="2462"/>
      <c r="N141" s="2462"/>
      <c r="O141" s="2462">
        <v>1.3740000000000001</v>
      </c>
      <c r="P141" s="2462"/>
      <c r="Q141" s="2462"/>
      <c r="R141" s="2462"/>
      <c r="S141" s="2462"/>
      <c r="T141" s="2462"/>
      <c r="U141" s="2462">
        <v>3.3460000000000001</v>
      </c>
      <c r="V141" s="2462"/>
      <c r="W141" s="2462"/>
      <c r="X141" s="2462"/>
      <c r="Y141" s="2462"/>
      <c r="Z141" s="2462"/>
      <c r="AA141" s="2462"/>
      <c r="AB141" s="2462"/>
      <c r="AC141" s="2462"/>
      <c r="AD141" s="2462"/>
      <c r="AE141" s="2462">
        <v>3.6880000000000002</v>
      </c>
      <c r="AF141" s="2462"/>
      <c r="AG141" s="2462"/>
      <c r="AH141" s="699">
        <f t="shared" si="27"/>
        <v>55.052000000000007</v>
      </c>
      <c r="AI141" s="3270"/>
      <c r="AJ141" s="3270"/>
    </row>
    <row r="142" spans="1:36" ht="12.75">
      <c r="A142" s="1739" t="s">
        <v>79</v>
      </c>
      <c r="B142" s="190">
        <f t="shared" si="26"/>
        <v>5.8</v>
      </c>
      <c r="C142" s="3243"/>
      <c r="D142" s="3243"/>
      <c r="E142" s="3243"/>
      <c r="F142" s="3243"/>
      <c r="G142" s="3243"/>
      <c r="H142" s="3243"/>
      <c r="I142" s="3243"/>
      <c r="J142" s="3243"/>
      <c r="K142" s="3243"/>
      <c r="L142" s="3243"/>
      <c r="M142" s="3243"/>
      <c r="N142" s="3243"/>
      <c r="O142" s="3243"/>
      <c r="P142" s="3243"/>
      <c r="Q142" s="3243"/>
      <c r="R142" s="3243"/>
      <c r="S142" s="3243"/>
      <c r="T142" s="3243"/>
      <c r="U142" s="1553">
        <v>5.8</v>
      </c>
      <c r="V142" s="1553"/>
      <c r="W142" s="1553"/>
      <c r="X142" s="1553"/>
      <c r="Y142" s="1553"/>
      <c r="Z142" s="1553"/>
      <c r="AA142" s="1553"/>
      <c r="AB142" s="1553"/>
      <c r="AC142" s="1553"/>
      <c r="AD142" s="1553"/>
      <c r="AE142" s="1553"/>
      <c r="AF142" s="1553"/>
      <c r="AG142" s="1553"/>
      <c r="AH142" s="699">
        <f t="shared" si="27"/>
        <v>5.8</v>
      </c>
      <c r="AI142" s="3270"/>
      <c r="AJ142" s="3270"/>
    </row>
    <row r="143" spans="1:36" ht="12.75">
      <c r="A143" s="1739" t="s">
        <v>80</v>
      </c>
      <c r="B143" s="190">
        <f t="shared" si="26"/>
        <v>0</v>
      </c>
      <c r="C143" s="1553"/>
      <c r="D143" s="1553"/>
      <c r="E143" s="1553"/>
      <c r="F143" s="1553"/>
      <c r="G143" s="1553"/>
      <c r="H143" s="1553"/>
      <c r="I143" s="1553"/>
      <c r="J143" s="1553"/>
      <c r="K143" s="1553"/>
      <c r="L143" s="1553"/>
      <c r="M143" s="1553"/>
      <c r="N143" s="1553"/>
      <c r="O143" s="1553"/>
      <c r="P143" s="1553"/>
      <c r="Q143" s="1553"/>
      <c r="R143" s="1553"/>
      <c r="S143" s="1553"/>
      <c r="T143" s="1553"/>
      <c r="U143" s="1553"/>
      <c r="V143" s="1553"/>
      <c r="W143" s="1553"/>
      <c r="X143" s="1553"/>
      <c r="Y143" s="1553"/>
      <c r="Z143" s="1553"/>
      <c r="AA143" s="1553"/>
      <c r="AB143" s="1553"/>
      <c r="AC143" s="1553"/>
      <c r="AD143" s="1553"/>
      <c r="AE143" s="1553"/>
      <c r="AF143" s="1553"/>
      <c r="AG143" s="1553"/>
      <c r="AH143" s="699">
        <f t="shared" si="27"/>
        <v>0</v>
      </c>
      <c r="AI143" s="3270"/>
      <c r="AJ143" s="3270"/>
    </row>
    <row r="144" spans="1:36" ht="15">
      <c r="A144" s="1739" t="s">
        <v>81</v>
      </c>
      <c r="B144" s="190">
        <f t="shared" si="26"/>
        <v>0</v>
      </c>
      <c r="C144" s="1287"/>
      <c r="D144" s="1488"/>
      <c r="E144" s="1488"/>
      <c r="F144" s="1488"/>
      <c r="G144" s="1287"/>
      <c r="H144" s="1287"/>
      <c r="I144" s="1287"/>
      <c r="J144" s="2466"/>
      <c r="K144" s="2466"/>
      <c r="L144" s="1488"/>
      <c r="M144" s="1488"/>
      <c r="N144" s="1488"/>
      <c r="O144" s="1488"/>
      <c r="P144" s="1488"/>
      <c r="Q144" s="1488"/>
      <c r="R144" s="1488"/>
      <c r="S144" s="1488"/>
      <c r="T144" s="1488"/>
      <c r="U144" s="1488"/>
      <c r="V144" s="1488"/>
      <c r="W144" s="688"/>
      <c r="X144" s="688"/>
      <c r="Y144" s="688"/>
      <c r="Z144" s="688"/>
      <c r="AA144" s="688"/>
      <c r="AB144" s="688"/>
      <c r="AC144" s="688"/>
      <c r="AD144" s="688"/>
      <c r="AE144" s="688"/>
      <c r="AF144" s="688" t="s">
        <v>111</v>
      </c>
      <c r="AG144" s="688" t="s">
        <v>111</v>
      </c>
      <c r="AH144" s="699">
        <f t="shared" si="27"/>
        <v>0</v>
      </c>
      <c r="AI144" s="3270"/>
      <c r="AJ144" s="3270"/>
    </row>
    <row r="145" spans="1:36" ht="12.75">
      <c r="A145" s="1739" t="s">
        <v>82</v>
      </c>
      <c r="B145" s="190">
        <f t="shared" si="26"/>
        <v>0</v>
      </c>
      <c r="C145" s="688" t="s">
        <v>111</v>
      </c>
      <c r="D145" s="688" t="s">
        <v>111</v>
      </c>
      <c r="E145" s="688" t="s">
        <v>111</v>
      </c>
      <c r="F145" s="688" t="s">
        <v>111</v>
      </c>
      <c r="G145" s="688" t="s">
        <v>111</v>
      </c>
      <c r="H145" s="688" t="s">
        <v>111</v>
      </c>
      <c r="I145" s="688" t="s">
        <v>111</v>
      </c>
      <c r="J145" s="688" t="s">
        <v>111</v>
      </c>
      <c r="K145" s="688" t="s">
        <v>111</v>
      </c>
      <c r="L145" s="688" t="s">
        <v>111</v>
      </c>
      <c r="M145" s="688" t="s">
        <v>111</v>
      </c>
      <c r="N145" s="688" t="s">
        <v>111</v>
      </c>
      <c r="O145" s="688" t="s">
        <v>111</v>
      </c>
      <c r="P145" s="688" t="s">
        <v>111</v>
      </c>
      <c r="Q145" s="688" t="s">
        <v>111</v>
      </c>
      <c r="R145" s="688" t="s">
        <v>111</v>
      </c>
      <c r="S145" s="688" t="s">
        <v>111</v>
      </c>
      <c r="T145" s="688" t="s">
        <v>111</v>
      </c>
      <c r="U145" s="688" t="s">
        <v>111</v>
      </c>
      <c r="V145" s="688" t="s">
        <v>111</v>
      </c>
      <c r="W145" s="688" t="s">
        <v>111</v>
      </c>
      <c r="X145" s="688" t="s">
        <v>111</v>
      </c>
      <c r="Y145" s="688" t="s">
        <v>111</v>
      </c>
      <c r="Z145" s="688" t="s">
        <v>111</v>
      </c>
      <c r="AA145" s="688" t="s">
        <v>111</v>
      </c>
      <c r="AB145" s="688" t="s">
        <v>111</v>
      </c>
      <c r="AC145" s="688" t="s">
        <v>111</v>
      </c>
      <c r="AD145" s="688" t="s">
        <v>111</v>
      </c>
      <c r="AE145" s="688" t="s">
        <v>111</v>
      </c>
      <c r="AF145" s="688" t="s">
        <v>111</v>
      </c>
      <c r="AG145" s="688" t="s">
        <v>111</v>
      </c>
      <c r="AH145" s="189">
        <f t="shared" si="27"/>
        <v>0</v>
      </c>
      <c r="AI145" s="693"/>
      <c r="AJ145" s="693"/>
    </row>
    <row r="146" spans="1:36" ht="12.75">
      <c r="A146" s="1740" t="s">
        <v>83</v>
      </c>
      <c r="B146" s="190">
        <f t="shared" si="26"/>
        <v>0</v>
      </c>
      <c r="C146" s="688" t="s">
        <v>111</v>
      </c>
      <c r="D146" s="688" t="s">
        <v>111</v>
      </c>
      <c r="E146" s="688" t="s">
        <v>111</v>
      </c>
      <c r="F146" s="688" t="s">
        <v>111</v>
      </c>
      <c r="G146" s="688" t="s">
        <v>111</v>
      </c>
      <c r="H146" s="688" t="s">
        <v>111</v>
      </c>
      <c r="I146" s="688" t="s">
        <v>111</v>
      </c>
      <c r="J146" s="688" t="s">
        <v>111</v>
      </c>
      <c r="K146" s="688" t="s">
        <v>111</v>
      </c>
      <c r="L146" s="688" t="s">
        <v>111</v>
      </c>
      <c r="M146" s="688" t="s">
        <v>111</v>
      </c>
      <c r="N146" s="688" t="s">
        <v>111</v>
      </c>
      <c r="O146" s="688" t="s">
        <v>111</v>
      </c>
      <c r="P146" s="688" t="s">
        <v>111</v>
      </c>
      <c r="Q146" s="688" t="s">
        <v>111</v>
      </c>
      <c r="R146" s="688" t="s">
        <v>111</v>
      </c>
      <c r="S146" s="688" t="s">
        <v>111</v>
      </c>
      <c r="T146" s="688" t="s">
        <v>111</v>
      </c>
      <c r="U146" s="688" t="s">
        <v>111</v>
      </c>
      <c r="V146" s="688" t="s">
        <v>111</v>
      </c>
      <c r="W146" s="688" t="s">
        <v>111</v>
      </c>
      <c r="X146" s="688" t="s">
        <v>111</v>
      </c>
      <c r="Y146" s="688" t="s">
        <v>111</v>
      </c>
      <c r="Z146" s="688" t="s">
        <v>111</v>
      </c>
      <c r="AA146" s="688" t="s">
        <v>111</v>
      </c>
      <c r="AB146" s="688" t="s">
        <v>111</v>
      </c>
      <c r="AC146" s="688" t="s">
        <v>111</v>
      </c>
      <c r="AD146" s="688" t="s">
        <v>111</v>
      </c>
      <c r="AE146" s="688" t="s">
        <v>111</v>
      </c>
      <c r="AF146" s="688" t="s">
        <v>111</v>
      </c>
      <c r="AG146" s="688" t="s">
        <v>111</v>
      </c>
      <c r="AH146" s="189">
        <f t="shared" si="27"/>
        <v>0</v>
      </c>
      <c r="AI146" s="693"/>
      <c r="AJ146" s="693"/>
    </row>
    <row r="147" spans="1:36" ht="15">
      <c r="A147" s="1740" t="s">
        <v>84</v>
      </c>
      <c r="B147" s="190">
        <f t="shared" si="26"/>
        <v>13.368</v>
      </c>
      <c r="C147" s="688" t="s">
        <v>111</v>
      </c>
      <c r="D147" s="688" t="s">
        <v>111</v>
      </c>
      <c r="E147" s="688" t="s">
        <v>111</v>
      </c>
      <c r="F147" s="688" t="s">
        <v>111</v>
      </c>
      <c r="G147" s="688" t="s">
        <v>111</v>
      </c>
      <c r="H147" s="688" t="s">
        <v>111</v>
      </c>
      <c r="I147" s="688" t="s">
        <v>111</v>
      </c>
      <c r="J147" s="688" t="s">
        <v>111</v>
      </c>
      <c r="K147" s="688" t="s">
        <v>111</v>
      </c>
      <c r="L147" s="688" t="s">
        <v>111</v>
      </c>
      <c r="M147" s="688" t="s">
        <v>111</v>
      </c>
      <c r="N147" s="688" t="s">
        <v>111</v>
      </c>
      <c r="O147" s="688" t="s">
        <v>111</v>
      </c>
      <c r="P147" s="688" t="s">
        <v>111</v>
      </c>
      <c r="Q147" s="688" t="s">
        <v>111</v>
      </c>
      <c r="R147" s="688" t="s">
        <v>111</v>
      </c>
      <c r="S147" s="688" t="s">
        <v>111</v>
      </c>
      <c r="T147" s="688" t="s">
        <v>111</v>
      </c>
      <c r="U147" s="688" t="s">
        <v>111</v>
      </c>
      <c r="V147" s="688" t="s">
        <v>111</v>
      </c>
      <c r="W147" s="688" t="s">
        <v>111</v>
      </c>
      <c r="X147" s="1287">
        <v>6.9240000000000004</v>
      </c>
      <c r="Y147" s="1287">
        <v>6.444</v>
      </c>
      <c r="Z147" s="1287"/>
      <c r="AA147" s="1287"/>
      <c r="AB147" s="1287"/>
      <c r="AC147" s="1287"/>
      <c r="AD147" s="1287"/>
      <c r="AE147" s="1488"/>
      <c r="AF147" s="1287"/>
      <c r="AG147" s="1488"/>
      <c r="AH147" s="189">
        <f t="shared" si="27"/>
        <v>13.368</v>
      </c>
      <c r="AI147" s="693"/>
      <c r="AJ147" s="693"/>
    </row>
    <row r="148" spans="1:36" ht="15">
      <c r="A148" s="1740" t="s">
        <v>85</v>
      </c>
      <c r="B148" s="190">
        <f t="shared" si="26"/>
        <v>27.341000000000001</v>
      </c>
      <c r="C148" s="49"/>
      <c r="D148" s="18"/>
      <c r="E148" s="18"/>
      <c r="F148" s="18"/>
      <c r="G148" s="11"/>
      <c r="H148" s="18"/>
      <c r="I148" s="18"/>
      <c r="J148" s="18"/>
      <c r="K148" s="18"/>
      <c r="L148" s="18"/>
      <c r="M148" s="18"/>
      <c r="N148" s="18"/>
      <c r="O148" s="18"/>
      <c r="P148" s="18"/>
      <c r="Q148" s="18"/>
      <c r="R148" s="18"/>
      <c r="S148" s="18"/>
      <c r="T148" s="18"/>
      <c r="U148" s="18"/>
      <c r="V148" s="18"/>
      <c r="W148" s="18"/>
      <c r="X148" s="18">
        <v>0.61</v>
      </c>
      <c r="Y148" s="11"/>
      <c r="Z148" s="18"/>
      <c r="AA148" s="18"/>
      <c r="AB148" s="18">
        <v>2.1789999999999998</v>
      </c>
      <c r="AC148" s="18"/>
      <c r="AD148" s="18">
        <v>8.6039999999999992</v>
      </c>
      <c r="AE148" s="53">
        <v>15.948</v>
      </c>
      <c r="AF148" s="18"/>
      <c r="AG148" s="53"/>
      <c r="AH148" s="189">
        <f t="shared" si="27"/>
        <v>27.341000000000001</v>
      </c>
      <c r="AI148" s="693"/>
      <c r="AJ148" s="693"/>
    </row>
    <row r="149" spans="1:36" ht="15">
      <c r="A149" s="1740" t="s">
        <v>86</v>
      </c>
      <c r="B149" s="190">
        <f t="shared" si="26"/>
        <v>0.56299999999999994</v>
      </c>
      <c r="C149" s="49"/>
      <c r="D149" s="18"/>
      <c r="E149" s="18"/>
      <c r="F149" s="18"/>
      <c r="G149" s="18"/>
      <c r="H149" s="18"/>
      <c r="I149" s="18">
        <v>0.56299999999999994</v>
      </c>
      <c r="J149" s="18"/>
      <c r="K149" s="18"/>
      <c r="L149" s="1280" t="s">
        <v>111</v>
      </c>
      <c r="M149" s="1280" t="s">
        <v>111</v>
      </c>
      <c r="N149" s="1280" t="s">
        <v>111</v>
      </c>
      <c r="O149" s="1280" t="s">
        <v>111</v>
      </c>
      <c r="P149" s="1280" t="s">
        <v>111</v>
      </c>
      <c r="Q149" s="1280" t="s">
        <v>111</v>
      </c>
      <c r="R149" s="1280" t="s">
        <v>111</v>
      </c>
      <c r="S149" s="1280" t="s">
        <v>111</v>
      </c>
      <c r="T149" s="1280" t="s">
        <v>111</v>
      </c>
      <c r="U149" s="1280" t="s">
        <v>111</v>
      </c>
      <c r="V149" s="1280" t="s">
        <v>111</v>
      </c>
      <c r="W149" s="1280" t="s">
        <v>111</v>
      </c>
      <c r="X149" s="1280" t="s">
        <v>111</v>
      </c>
      <c r="Y149" s="1280" t="s">
        <v>111</v>
      </c>
      <c r="Z149" s="1280" t="s">
        <v>111</v>
      </c>
      <c r="AA149" s="1280" t="s">
        <v>111</v>
      </c>
      <c r="AB149" s="1280" t="s">
        <v>111</v>
      </c>
      <c r="AC149" s="1280" t="s">
        <v>111</v>
      </c>
      <c r="AD149" s="1280" t="s">
        <v>111</v>
      </c>
      <c r="AE149" s="1280" t="s">
        <v>111</v>
      </c>
      <c r="AF149" s="1280" t="s">
        <v>111</v>
      </c>
      <c r="AG149" s="1280" t="s">
        <v>111</v>
      </c>
      <c r="AH149" s="189">
        <f t="shared" si="27"/>
        <v>0.56299999999999994</v>
      </c>
      <c r="AI149" s="693"/>
      <c r="AJ149" s="693"/>
    </row>
    <row r="150" spans="1:36" ht="12.75">
      <c r="A150" s="665" t="s">
        <v>74</v>
      </c>
      <c r="B150" s="666">
        <f t="shared" ref="B150:AH150" si="28">SUM(B138:B149)</f>
        <v>229.29499999999999</v>
      </c>
      <c r="C150" s="189">
        <f t="shared" si="28"/>
        <v>1.272</v>
      </c>
      <c r="D150" s="189">
        <f t="shared" si="28"/>
        <v>0</v>
      </c>
      <c r="E150" s="189">
        <f t="shared" si="28"/>
        <v>38.700000000000003</v>
      </c>
      <c r="F150" s="189">
        <f t="shared" si="28"/>
        <v>0.54800000000000004</v>
      </c>
      <c r="G150" s="189">
        <f t="shared" si="28"/>
        <v>0</v>
      </c>
      <c r="H150" s="189">
        <f t="shared" si="28"/>
        <v>0</v>
      </c>
      <c r="I150" s="189">
        <f t="shared" si="28"/>
        <v>0.56299999999999994</v>
      </c>
      <c r="J150" s="189">
        <f t="shared" si="28"/>
        <v>6.1239999999999997</v>
      </c>
      <c r="K150" s="189">
        <f t="shared" si="28"/>
        <v>0</v>
      </c>
      <c r="L150" s="189">
        <f t="shared" si="28"/>
        <v>0</v>
      </c>
      <c r="M150" s="189">
        <f t="shared" si="28"/>
        <v>1.3640000000000001</v>
      </c>
      <c r="N150" s="189">
        <f t="shared" si="28"/>
        <v>46.430999999999997</v>
      </c>
      <c r="O150" s="189">
        <f t="shared" si="28"/>
        <v>12.494</v>
      </c>
      <c r="P150" s="189">
        <f t="shared" si="28"/>
        <v>13.632999999999999</v>
      </c>
      <c r="Q150" s="189">
        <f t="shared" si="28"/>
        <v>3.6230000000000002</v>
      </c>
      <c r="R150" s="189">
        <f t="shared" si="28"/>
        <v>0</v>
      </c>
      <c r="S150" s="189">
        <f t="shared" si="28"/>
        <v>14.63</v>
      </c>
      <c r="T150" s="189">
        <f t="shared" si="28"/>
        <v>0</v>
      </c>
      <c r="U150" s="189">
        <f t="shared" si="28"/>
        <v>28.196000000000002</v>
      </c>
      <c r="V150" s="189">
        <f t="shared" si="28"/>
        <v>1.7909999999999999</v>
      </c>
      <c r="W150" s="189">
        <f t="shared" si="28"/>
        <v>0.82799999999999996</v>
      </c>
      <c r="X150" s="189">
        <f t="shared" si="28"/>
        <v>7.5340000000000007</v>
      </c>
      <c r="Y150" s="189">
        <f t="shared" si="28"/>
        <v>6.444</v>
      </c>
      <c r="Z150" s="189">
        <f t="shared" si="28"/>
        <v>1.35</v>
      </c>
      <c r="AA150" s="189">
        <f t="shared" si="28"/>
        <v>3.2970000000000002</v>
      </c>
      <c r="AB150" s="189">
        <f t="shared" si="28"/>
        <v>4.9619999999999997</v>
      </c>
      <c r="AC150" s="189">
        <f t="shared" si="28"/>
        <v>2.0830000000000002</v>
      </c>
      <c r="AD150" s="189">
        <f t="shared" si="28"/>
        <v>8.6039999999999992</v>
      </c>
      <c r="AE150" s="189">
        <f t="shared" si="28"/>
        <v>19.635999999999999</v>
      </c>
      <c r="AF150" s="189">
        <f t="shared" si="28"/>
        <v>0</v>
      </c>
      <c r="AG150" s="189">
        <f t="shared" si="28"/>
        <v>5.1879999999999997</v>
      </c>
      <c r="AH150" s="189">
        <f t="shared" si="28"/>
        <v>229.29499999999999</v>
      </c>
      <c r="AI150" s="693"/>
      <c r="AJ150" s="693"/>
    </row>
    <row r="152" spans="1:36" ht="12.75" hidden="1">
      <c r="A152" s="3605" t="s">
        <v>549</v>
      </c>
      <c r="B152" s="3606"/>
      <c r="C152" s="3607"/>
      <c r="D152" s="193"/>
      <c r="E152" s="193"/>
      <c r="F152" s="193"/>
      <c r="G152" s="193"/>
      <c r="H152" s="193"/>
      <c r="I152" s="193"/>
      <c r="J152" s="193"/>
      <c r="K152" s="193"/>
      <c r="L152" s="193"/>
      <c r="M152" s="193"/>
      <c r="N152" s="193"/>
      <c r="O152" s="193"/>
      <c r="P152" s="193"/>
      <c r="Q152" s="193"/>
      <c r="R152" s="193"/>
      <c r="S152" s="193"/>
      <c r="T152" s="193"/>
      <c r="U152" s="193"/>
      <c r="V152" s="193"/>
      <c r="W152" s="193"/>
      <c r="X152" s="193"/>
      <c r="Y152" s="193"/>
      <c r="Z152" s="193"/>
      <c r="AA152" s="193"/>
      <c r="AB152" s="193"/>
      <c r="AC152" s="193"/>
      <c r="AD152" s="193"/>
      <c r="AE152" s="193"/>
      <c r="AF152" s="193"/>
      <c r="AG152" s="193"/>
      <c r="AH152" s="654"/>
      <c r="AI152" s="654"/>
      <c r="AJ152" s="654"/>
    </row>
    <row r="153" spans="1:36" ht="12.75" hidden="1">
      <c r="A153" s="178" t="s">
        <v>72</v>
      </c>
      <c r="B153" s="190" t="s">
        <v>73</v>
      </c>
      <c r="C153" s="682">
        <v>1</v>
      </c>
      <c r="D153" s="663">
        <v>2</v>
      </c>
      <c r="E153" s="663">
        <v>3</v>
      </c>
      <c r="F153" s="663">
        <v>4</v>
      </c>
      <c r="G153" s="663">
        <v>5</v>
      </c>
      <c r="H153" s="663">
        <v>6</v>
      </c>
      <c r="I153" s="663">
        <v>7</v>
      </c>
      <c r="J153" s="663">
        <v>8</v>
      </c>
      <c r="K153" s="663">
        <v>9</v>
      </c>
      <c r="L153" s="663">
        <v>10</v>
      </c>
      <c r="M153" s="663">
        <v>11</v>
      </c>
      <c r="N153" s="663">
        <v>12</v>
      </c>
      <c r="O153" s="663">
        <v>13</v>
      </c>
      <c r="P153" s="663">
        <v>14</v>
      </c>
      <c r="Q153" s="663">
        <v>15</v>
      </c>
      <c r="R153" s="663">
        <v>16</v>
      </c>
      <c r="S153" s="663">
        <v>17</v>
      </c>
      <c r="T153" s="663">
        <v>18</v>
      </c>
      <c r="U153" s="663">
        <v>19</v>
      </c>
      <c r="V153" s="663">
        <v>20</v>
      </c>
      <c r="W153" s="663">
        <v>21</v>
      </c>
      <c r="X153" s="663">
        <v>22</v>
      </c>
      <c r="Y153" s="663">
        <v>23</v>
      </c>
      <c r="Z153" s="663">
        <v>24</v>
      </c>
      <c r="AA153" s="663">
        <v>25</v>
      </c>
      <c r="AB153" s="663">
        <v>26</v>
      </c>
      <c r="AC153" s="663">
        <v>27</v>
      </c>
      <c r="AD153" s="663">
        <v>28</v>
      </c>
      <c r="AE153" s="663">
        <v>29</v>
      </c>
      <c r="AF153" s="663">
        <v>30</v>
      </c>
      <c r="AG153" s="663">
        <v>31</v>
      </c>
      <c r="AH153" s="189" t="s">
        <v>74</v>
      </c>
      <c r="AI153" s="693"/>
      <c r="AJ153" s="693"/>
    </row>
    <row r="154" spans="1:36" ht="12.75" hidden="1">
      <c r="A154" s="1268" t="s">
        <v>75</v>
      </c>
      <c r="B154" s="190">
        <f t="shared" ref="B154:B165" si="29">+AH154</f>
        <v>0</v>
      </c>
      <c r="C154" s="688" t="s">
        <v>111</v>
      </c>
      <c r="D154" s="688" t="s">
        <v>111</v>
      </c>
      <c r="E154" s="688" t="s">
        <v>111</v>
      </c>
      <c r="F154" s="688" t="s">
        <v>111</v>
      </c>
      <c r="G154" s="688" t="s">
        <v>111</v>
      </c>
      <c r="H154" s="688" t="s">
        <v>111</v>
      </c>
      <c r="I154" s="688" t="s">
        <v>111</v>
      </c>
      <c r="J154" s="688" t="s">
        <v>111</v>
      </c>
      <c r="K154" s="688" t="s">
        <v>111</v>
      </c>
      <c r="L154" s="688" t="s">
        <v>111</v>
      </c>
      <c r="M154" s="688" t="s">
        <v>111</v>
      </c>
      <c r="N154" s="688" t="s">
        <v>111</v>
      </c>
      <c r="O154" s="688" t="s">
        <v>111</v>
      </c>
      <c r="P154" s="688" t="s">
        <v>111</v>
      </c>
      <c r="Q154" s="688" t="s">
        <v>111</v>
      </c>
      <c r="R154" s="688" t="s">
        <v>111</v>
      </c>
      <c r="S154" s="688" t="s">
        <v>111</v>
      </c>
      <c r="T154" s="688" t="s">
        <v>111</v>
      </c>
      <c r="U154" s="688" t="s">
        <v>111</v>
      </c>
      <c r="V154" s="688" t="s">
        <v>111</v>
      </c>
      <c r="W154" s="688" t="s">
        <v>111</v>
      </c>
      <c r="X154" s="688" t="s">
        <v>111</v>
      </c>
      <c r="Y154" s="688" t="s">
        <v>111</v>
      </c>
      <c r="Z154" s="688" t="s">
        <v>111</v>
      </c>
      <c r="AA154" s="688" t="s">
        <v>111</v>
      </c>
      <c r="AB154" s="688" t="s">
        <v>111</v>
      </c>
      <c r="AC154" s="688" t="s">
        <v>111</v>
      </c>
      <c r="AD154" s="688" t="s">
        <v>111</v>
      </c>
      <c r="AE154" s="688" t="s">
        <v>111</v>
      </c>
      <c r="AF154" s="688" t="s">
        <v>111</v>
      </c>
      <c r="AG154" s="688" t="s">
        <v>111</v>
      </c>
      <c r="AH154" s="189">
        <f>SUM(C154:AG154)</f>
        <v>0</v>
      </c>
      <c r="AI154" s="693"/>
      <c r="AJ154" s="693"/>
    </row>
    <row r="155" spans="1:36" ht="12.75" hidden="1">
      <c r="A155" s="1268" t="s">
        <v>76</v>
      </c>
      <c r="B155" s="190">
        <f t="shared" si="29"/>
        <v>0</v>
      </c>
      <c r="C155" s="688" t="s">
        <v>111</v>
      </c>
      <c r="D155" s="688" t="s">
        <v>111</v>
      </c>
      <c r="E155" s="688" t="s">
        <v>111</v>
      </c>
      <c r="F155" s="688" t="s">
        <v>111</v>
      </c>
      <c r="G155" s="688" t="s">
        <v>111</v>
      </c>
      <c r="H155" s="688" t="s">
        <v>111</v>
      </c>
      <c r="I155" s="688" t="s">
        <v>111</v>
      </c>
      <c r="J155" s="688" t="s">
        <v>111</v>
      </c>
      <c r="K155" s="688" t="s">
        <v>111</v>
      </c>
      <c r="L155" s="688" t="s">
        <v>111</v>
      </c>
      <c r="M155" s="688" t="s">
        <v>111</v>
      </c>
      <c r="N155" s="688" t="s">
        <v>111</v>
      </c>
      <c r="O155" s="688" t="s">
        <v>111</v>
      </c>
      <c r="P155" s="688" t="s">
        <v>111</v>
      </c>
      <c r="Q155" s="688" t="s">
        <v>111</v>
      </c>
      <c r="R155" s="688" t="s">
        <v>111</v>
      </c>
      <c r="S155" s="688" t="s">
        <v>111</v>
      </c>
      <c r="T155" s="688" t="s">
        <v>111</v>
      </c>
      <c r="U155" s="688" t="s">
        <v>111</v>
      </c>
      <c r="V155" s="688" t="s">
        <v>111</v>
      </c>
      <c r="W155" s="688" t="s">
        <v>111</v>
      </c>
      <c r="X155" s="688" t="s">
        <v>111</v>
      </c>
      <c r="Y155" s="688" t="s">
        <v>111</v>
      </c>
      <c r="Z155" s="688" t="s">
        <v>111</v>
      </c>
      <c r="AA155" s="688" t="s">
        <v>111</v>
      </c>
      <c r="AB155" s="688" t="s">
        <v>111</v>
      </c>
      <c r="AC155" s="688" t="s">
        <v>111</v>
      </c>
      <c r="AD155" s="688" t="s">
        <v>111</v>
      </c>
      <c r="AE155" s="688" t="s">
        <v>111</v>
      </c>
      <c r="AF155" s="688" t="s">
        <v>111</v>
      </c>
      <c r="AG155" s="688" t="s">
        <v>111</v>
      </c>
      <c r="AH155" s="189">
        <f t="shared" ref="AH155:AH165" si="30">SUM(C155:AG155)</f>
        <v>0</v>
      </c>
      <c r="AI155" s="693"/>
      <c r="AJ155" s="693"/>
    </row>
    <row r="156" spans="1:36" ht="12.75" hidden="1">
      <c r="A156" s="1268" t="s">
        <v>77</v>
      </c>
      <c r="B156" s="190">
        <f t="shared" si="29"/>
        <v>0</v>
      </c>
      <c r="C156" s="688" t="s">
        <v>111</v>
      </c>
      <c r="D156" s="688" t="s">
        <v>111</v>
      </c>
      <c r="E156" s="688" t="s">
        <v>111</v>
      </c>
      <c r="F156" s="688" t="s">
        <v>111</v>
      </c>
      <c r="G156" s="688" t="s">
        <v>111</v>
      </c>
      <c r="H156" s="694"/>
      <c r="I156" s="695"/>
      <c r="J156" s="695"/>
      <c r="K156" s="695"/>
      <c r="L156" s="695"/>
      <c r="M156" s="695"/>
      <c r="N156" s="696"/>
      <c r="O156" s="696"/>
      <c r="P156" s="696"/>
      <c r="Q156" s="696"/>
      <c r="R156" s="696"/>
      <c r="S156" s="696"/>
      <c r="T156" s="696"/>
      <c r="U156" s="696"/>
      <c r="V156" s="696"/>
      <c r="W156" s="696"/>
      <c r="X156" s="696"/>
      <c r="Y156" s="696"/>
      <c r="Z156" s="696"/>
      <c r="AA156" s="696"/>
      <c r="AB156" s="696"/>
      <c r="AC156" s="696"/>
      <c r="AD156" s="696"/>
      <c r="AE156" s="696"/>
      <c r="AF156" s="696"/>
      <c r="AG156" s="696"/>
      <c r="AH156" s="189">
        <f t="shared" si="30"/>
        <v>0</v>
      </c>
      <c r="AI156" s="693"/>
      <c r="AJ156" s="693"/>
    </row>
    <row r="157" spans="1:36" ht="12.75" hidden="1">
      <c r="A157" s="1268" t="s">
        <v>78</v>
      </c>
      <c r="B157" s="190">
        <f t="shared" si="29"/>
        <v>0</v>
      </c>
      <c r="C157" s="688" t="s">
        <v>111</v>
      </c>
      <c r="D157" s="688" t="s">
        <v>111</v>
      </c>
      <c r="E157" s="688" t="s">
        <v>111</v>
      </c>
      <c r="F157" s="688" t="s">
        <v>111</v>
      </c>
      <c r="G157" s="688" t="s">
        <v>111</v>
      </c>
      <c r="H157" s="697" t="s">
        <v>111</v>
      </c>
      <c r="I157" s="697" t="s">
        <v>111</v>
      </c>
      <c r="J157" s="697" t="s">
        <v>111</v>
      </c>
      <c r="K157" s="697" t="s">
        <v>111</v>
      </c>
      <c r="L157" s="698"/>
      <c r="M157" s="698"/>
      <c r="N157" s="698"/>
      <c r="O157" s="698"/>
      <c r="P157" s="698"/>
      <c r="Q157" s="698"/>
      <c r="R157" s="698"/>
      <c r="S157" s="698"/>
      <c r="T157" s="698"/>
      <c r="U157" s="698"/>
      <c r="V157" s="698"/>
      <c r="W157" s="698"/>
      <c r="X157" s="698"/>
      <c r="Y157" s="698"/>
      <c r="Z157" s="698"/>
      <c r="AA157" s="698"/>
      <c r="AB157" s="698"/>
      <c r="AC157" s="698"/>
      <c r="AD157" s="698"/>
      <c r="AE157" s="698"/>
      <c r="AF157" s="698"/>
      <c r="AG157" s="698"/>
      <c r="AH157" s="699">
        <f t="shared" si="30"/>
        <v>0</v>
      </c>
      <c r="AI157" s="3270"/>
      <c r="AJ157" s="3270"/>
    </row>
    <row r="158" spans="1:36" ht="12.75" hidden="1">
      <c r="A158" s="1739" t="s">
        <v>79</v>
      </c>
      <c r="B158" s="190">
        <f t="shared" si="29"/>
        <v>0</v>
      </c>
      <c r="C158" s="183"/>
      <c r="D158" s="159"/>
      <c r="E158" s="159"/>
      <c r="F158" s="159"/>
      <c r="G158" s="159"/>
      <c r="H158" s="159"/>
      <c r="I158" s="159"/>
      <c r="J158" s="159"/>
      <c r="K158" s="159"/>
      <c r="L158" s="159"/>
      <c r="M158" s="159"/>
      <c r="N158" s="159"/>
      <c r="O158" s="159"/>
      <c r="P158" s="159"/>
      <c r="Q158" s="159"/>
      <c r="R158" s="159"/>
      <c r="S158" s="159"/>
      <c r="T158" s="159"/>
      <c r="U158" s="159"/>
      <c r="V158" s="159"/>
      <c r="W158" s="159"/>
      <c r="X158" s="159"/>
      <c r="Y158" s="159"/>
      <c r="Z158" s="159"/>
      <c r="AA158" s="159"/>
      <c r="AB158" s="159"/>
      <c r="AC158" s="159"/>
      <c r="AD158" s="159"/>
      <c r="AE158" s="159"/>
      <c r="AF158" s="159"/>
      <c r="AG158" s="159"/>
      <c r="AH158" s="699">
        <f t="shared" si="30"/>
        <v>0</v>
      </c>
      <c r="AI158" s="3270"/>
      <c r="AJ158" s="3270"/>
    </row>
    <row r="159" spans="1:36" ht="12.75" hidden="1">
      <c r="A159" s="1739" t="s">
        <v>80</v>
      </c>
      <c r="B159" s="190">
        <f t="shared" si="29"/>
        <v>0</v>
      </c>
      <c r="C159" s="183"/>
      <c r="D159" s="159"/>
      <c r="E159" s="159"/>
      <c r="F159" s="159"/>
      <c r="G159" s="159"/>
      <c r="H159" s="200" t="s">
        <v>112</v>
      </c>
      <c r="I159" s="200" t="s">
        <v>112</v>
      </c>
      <c r="J159" s="200" t="s">
        <v>112</v>
      </c>
      <c r="K159" s="200" t="s">
        <v>112</v>
      </c>
      <c r="L159" s="200" t="s">
        <v>112</v>
      </c>
      <c r="M159" s="200" t="s">
        <v>112</v>
      </c>
      <c r="N159" s="200" t="s">
        <v>112</v>
      </c>
      <c r="O159" s="200" t="s">
        <v>112</v>
      </c>
      <c r="P159" s="200" t="s">
        <v>112</v>
      </c>
      <c r="Q159" s="200" t="s">
        <v>112</v>
      </c>
      <c r="R159" s="200" t="s">
        <v>112</v>
      </c>
      <c r="S159" s="200" t="s">
        <v>112</v>
      </c>
      <c r="T159" s="200" t="s">
        <v>112</v>
      </c>
      <c r="U159" s="200" t="s">
        <v>112</v>
      </c>
      <c r="V159" s="200" t="s">
        <v>112</v>
      </c>
      <c r="W159" s="200" t="s">
        <v>112</v>
      </c>
      <c r="X159" s="200" t="s">
        <v>112</v>
      </c>
      <c r="Y159" s="159"/>
      <c r="Z159" s="159"/>
      <c r="AA159" s="159"/>
      <c r="AB159" s="159"/>
      <c r="AC159" s="159"/>
      <c r="AD159" s="159"/>
      <c r="AE159" s="159"/>
      <c r="AF159" s="159"/>
      <c r="AG159" s="159"/>
      <c r="AH159" s="699">
        <f t="shared" si="30"/>
        <v>0</v>
      </c>
      <c r="AI159" s="3270"/>
      <c r="AJ159" s="3270"/>
    </row>
    <row r="160" spans="1:36" ht="12.75" hidden="1">
      <c r="A160" s="1739" t="s">
        <v>81</v>
      </c>
      <c r="B160" s="190">
        <f t="shared" si="29"/>
        <v>0</v>
      </c>
      <c r="C160" s="183"/>
      <c r="D160" s="689"/>
      <c r="E160" s="689"/>
      <c r="F160" s="689"/>
      <c r="G160" s="159"/>
      <c r="H160" s="159"/>
      <c r="I160" s="159"/>
      <c r="J160" s="690"/>
      <c r="K160" s="690"/>
      <c r="L160" s="689"/>
      <c r="M160" s="689"/>
      <c r="N160" s="689"/>
      <c r="O160" s="689"/>
      <c r="P160" s="689"/>
      <c r="Q160" s="689"/>
      <c r="R160" s="689"/>
      <c r="S160" s="689"/>
      <c r="T160" s="689"/>
      <c r="U160" s="689"/>
      <c r="V160" s="689"/>
      <c r="W160" s="689"/>
      <c r="X160" s="689"/>
      <c r="Y160" s="689"/>
      <c r="Z160" s="689"/>
      <c r="AA160" s="689"/>
      <c r="AB160" s="689"/>
      <c r="AC160" s="689"/>
      <c r="AD160" s="689"/>
      <c r="AE160" s="689"/>
      <c r="AF160" s="689"/>
      <c r="AG160" s="689"/>
      <c r="AH160" s="699">
        <f t="shared" si="30"/>
        <v>0</v>
      </c>
      <c r="AI160" s="3270"/>
      <c r="AJ160" s="3270"/>
    </row>
    <row r="161" spans="1:36" ht="12.75" hidden="1">
      <c r="A161" s="1739" t="s">
        <v>82</v>
      </c>
      <c r="B161" s="190">
        <f t="shared" si="29"/>
        <v>0</v>
      </c>
      <c r="C161" s="183"/>
      <c r="D161" s="159"/>
      <c r="E161" s="159"/>
      <c r="F161" s="159"/>
      <c r="G161" s="159"/>
      <c r="H161" s="159"/>
      <c r="I161" s="159"/>
      <c r="J161" s="843" t="s">
        <v>112</v>
      </c>
      <c r="K161" s="843" t="s">
        <v>112</v>
      </c>
      <c r="L161" s="843" t="s">
        <v>112</v>
      </c>
      <c r="M161" s="843" t="s">
        <v>112</v>
      </c>
      <c r="N161" s="843" t="s">
        <v>112</v>
      </c>
      <c r="O161" s="843" t="s">
        <v>112</v>
      </c>
      <c r="P161" s="843" t="s">
        <v>112</v>
      </c>
      <c r="Q161" s="843" t="s">
        <v>112</v>
      </c>
      <c r="R161" s="843" t="s">
        <v>112</v>
      </c>
      <c r="S161" s="843" t="s">
        <v>112</v>
      </c>
      <c r="T161" s="843" t="s">
        <v>112</v>
      </c>
      <c r="U161" s="843" t="s">
        <v>112</v>
      </c>
      <c r="V161" s="843" t="s">
        <v>112</v>
      </c>
      <c r="W161" s="843" t="s">
        <v>112</v>
      </c>
      <c r="X161" s="843" t="s">
        <v>112</v>
      </c>
      <c r="Y161" s="843" t="s">
        <v>112</v>
      </c>
      <c r="Z161" s="843" t="s">
        <v>112</v>
      </c>
      <c r="AA161" s="843" t="s">
        <v>112</v>
      </c>
      <c r="AB161" s="843" t="s">
        <v>112</v>
      </c>
      <c r="AC161" s="843" t="s">
        <v>112</v>
      </c>
      <c r="AD161" s="843" t="s">
        <v>112</v>
      </c>
      <c r="AE161" s="843" t="s">
        <v>112</v>
      </c>
      <c r="AF161" s="843" t="s">
        <v>112</v>
      </c>
      <c r="AG161" s="843" t="s">
        <v>112</v>
      </c>
      <c r="AH161" s="189">
        <f t="shared" si="30"/>
        <v>0</v>
      </c>
      <c r="AI161" s="693"/>
      <c r="AJ161" s="693"/>
    </row>
    <row r="162" spans="1:36" ht="12.75" hidden="1">
      <c r="A162" s="1740" t="s">
        <v>83</v>
      </c>
      <c r="B162" s="190">
        <f t="shared" si="29"/>
        <v>0</v>
      </c>
      <c r="C162" s="843" t="s">
        <v>112</v>
      </c>
      <c r="D162" s="843" t="s">
        <v>112</v>
      </c>
      <c r="E162" s="843" t="s">
        <v>112</v>
      </c>
      <c r="F162" s="843" t="s">
        <v>112</v>
      </c>
      <c r="G162" s="843" t="s">
        <v>112</v>
      </c>
      <c r="H162" s="843" t="s">
        <v>112</v>
      </c>
      <c r="I162" s="843" t="s">
        <v>112</v>
      </c>
      <c r="J162" s="843" t="s">
        <v>112</v>
      </c>
      <c r="K162" s="843" t="s">
        <v>112</v>
      </c>
      <c r="L162" s="843" t="s">
        <v>112</v>
      </c>
      <c r="M162" s="843" t="s">
        <v>112</v>
      </c>
      <c r="N162" s="843" t="s">
        <v>112</v>
      </c>
      <c r="O162" s="843" t="s">
        <v>112</v>
      </c>
      <c r="P162" s="843" t="s">
        <v>112</v>
      </c>
      <c r="Q162" s="843" t="s">
        <v>112</v>
      </c>
      <c r="R162" s="843" t="s">
        <v>112</v>
      </c>
      <c r="S162" s="843" t="s">
        <v>112</v>
      </c>
      <c r="T162" s="843" t="s">
        <v>112</v>
      </c>
      <c r="U162" s="843" t="s">
        <v>112</v>
      </c>
      <c r="V162" s="843" t="s">
        <v>112</v>
      </c>
      <c r="W162" s="843" t="s">
        <v>112</v>
      </c>
      <c r="X162" s="843" t="s">
        <v>112</v>
      </c>
      <c r="Y162" s="843" t="s">
        <v>112</v>
      </c>
      <c r="Z162" s="843" t="s">
        <v>112</v>
      </c>
      <c r="AA162" s="843" t="s">
        <v>112</v>
      </c>
      <c r="AB162" s="843" t="s">
        <v>112</v>
      </c>
      <c r="AC162" s="843" t="s">
        <v>112</v>
      </c>
      <c r="AD162" s="843" t="s">
        <v>112</v>
      </c>
      <c r="AE162" s="843" t="s">
        <v>112</v>
      </c>
      <c r="AF162" s="843" t="s">
        <v>112</v>
      </c>
      <c r="AG162" s="843" t="s">
        <v>112</v>
      </c>
      <c r="AH162" s="189">
        <f t="shared" si="30"/>
        <v>0</v>
      </c>
      <c r="AI162" s="693"/>
      <c r="AJ162" s="693"/>
    </row>
    <row r="163" spans="1:36" ht="12.75" hidden="1">
      <c r="A163" s="1740" t="s">
        <v>84</v>
      </c>
      <c r="B163" s="190">
        <f t="shared" si="29"/>
        <v>0</v>
      </c>
      <c r="C163" s="843" t="s">
        <v>112</v>
      </c>
      <c r="D163" s="843" t="s">
        <v>112</v>
      </c>
      <c r="E163" s="843" t="s">
        <v>112</v>
      </c>
      <c r="F163" s="843" t="s">
        <v>112</v>
      </c>
      <c r="G163" s="843" t="s">
        <v>112</v>
      </c>
      <c r="H163" s="843" t="s">
        <v>112</v>
      </c>
      <c r="I163" s="843" t="s">
        <v>112</v>
      </c>
      <c r="J163" s="843" t="s">
        <v>112</v>
      </c>
      <c r="K163" s="843" t="s">
        <v>112</v>
      </c>
      <c r="L163" s="843" t="s">
        <v>112</v>
      </c>
      <c r="M163" s="843" t="s">
        <v>112</v>
      </c>
      <c r="N163" s="843" t="s">
        <v>112</v>
      </c>
      <c r="O163" s="843" t="s">
        <v>112</v>
      </c>
      <c r="P163" s="843" t="s">
        <v>112</v>
      </c>
      <c r="Q163" s="843" t="s">
        <v>112</v>
      </c>
      <c r="R163" s="843" t="s">
        <v>112</v>
      </c>
      <c r="S163" s="843" t="s">
        <v>112</v>
      </c>
      <c r="T163" s="843" t="s">
        <v>112</v>
      </c>
      <c r="U163" s="843" t="s">
        <v>112</v>
      </c>
      <c r="V163" s="843" t="s">
        <v>112</v>
      </c>
      <c r="W163" s="843" t="s">
        <v>112</v>
      </c>
      <c r="X163" s="159"/>
      <c r="Y163" s="159"/>
      <c r="Z163" s="159"/>
      <c r="AA163" s="159"/>
      <c r="AB163" s="159"/>
      <c r="AC163" s="159"/>
      <c r="AD163" s="159"/>
      <c r="AE163" s="689"/>
      <c r="AF163" s="159"/>
      <c r="AG163" s="689"/>
      <c r="AH163" s="189">
        <f t="shared" si="30"/>
        <v>0</v>
      </c>
      <c r="AI163" s="693"/>
      <c r="AJ163" s="693"/>
    </row>
    <row r="164" spans="1:36" ht="12.75" hidden="1">
      <c r="A164" s="1740" t="s">
        <v>85</v>
      </c>
      <c r="B164" s="190">
        <f t="shared" si="29"/>
        <v>0</v>
      </c>
      <c r="C164" s="183"/>
      <c r="D164" s="159"/>
      <c r="E164" s="159"/>
      <c r="F164" s="159"/>
      <c r="G164" s="64"/>
      <c r="H164" s="159"/>
      <c r="I164" s="159"/>
      <c r="J164" s="159"/>
      <c r="K164" s="159"/>
      <c r="L164" s="159"/>
      <c r="M164" s="159"/>
      <c r="N164" s="159"/>
      <c r="O164" s="159"/>
      <c r="P164" s="159"/>
      <c r="Q164" s="159"/>
      <c r="R164" s="159"/>
      <c r="S164" s="159"/>
      <c r="T164" s="159"/>
      <c r="U164" s="159"/>
      <c r="V164" s="159"/>
      <c r="W164" s="159"/>
      <c r="X164" s="159"/>
      <c r="Y164" s="64"/>
      <c r="Z164" s="159"/>
      <c r="AA164" s="159"/>
      <c r="AB164" s="159"/>
      <c r="AC164" s="159"/>
      <c r="AD164" s="159"/>
      <c r="AE164" s="689"/>
      <c r="AF164" s="159"/>
      <c r="AG164" s="689"/>
      <c r="AH164" s="189">
        <f t="shared" si="30"/>
        <v>0</v>
      </c>
      <c r="AI164" s="693"/>
      <c r="AJ164" s="693"/>
    </row>
    <row r="165" spans="1:36" ht="12.75" hidden="1">
      <c r="A165" s="1740" t="s">
        <v>86</v>
      </c>
      <c r="B165" s="190">
        <f t="shared" si="29"/>
        <v>0</v>
      </c>
      <c r="C165" s="183"/>
      <c r="D165" s="159"/>
      <c r="E165" s="159"/>
      <c r="F165" s="159"/>
      <c r="G165" s="159"/>
      <c r="H165" s="159"/>
      <c r="I165" s="159"/>
      <c r="J165" s="159"/>
      <c r="K165" s="159"/>
      <c r="L165" s="159"/>
      <c r="M165" s="159"/>
      <c r="N165" s="159"/>
      <c r="O165" s="159"/>
      <c r="P165" s="1409" t="s">
        <v>111</v>
      </c>
      <c r="Q165" s="1409" t="s">
        <v>111</v>
      </c>
      <c r="R165" s="1409" t="s">
        <v>111</v>
      </c>
      <c r="S165" s="1409" t="s">
        <v>111</v>
      </c>
      <c r="T165" s="1409" t="s">
        <v>111</v>
      </c>
      <c r="U165" s="1409" t="s">
        <v>111</v>
      </c>
      <c r="V165" s="1409" t="s">
        <v>111</v>
      </c>
      <c r="W165" s="1409" t="s">
        <v>111</v>
      </c>
      <c r="X165" s="1409" t="s">
        <v>111</v>
      </c>
      <c r="Y165" s="1409" t="s">
        <v>111</v>
      </c>
      <c r="Z165" s="1409" t="s">
        <v>111</v>
      </c>
      <c r="AA165" s="1409" t="s">
        <v>111</v>
      </c>
      <c r="AB165" s="1409" t="s">
        <v>111</v>
      </c>
      <c r="AC165" s="1409" t="s">
        <v>111</v>
      </c>
      <c r="AD165" s="1409" t="s">
        <v>111</v>
      </c>
      <c r="AE165" s="1409" t="s">
        <v>111</v>
      </c>
      <c r="AF165" s="1409" t="s">
        <v>111</v>
      </c>
      <c r="AG165" s="1409" t="s">
        <v>111</v>
      </c>
      <c r="AH165" s="189">
        <f t="shared" si="30"/>
        <v>0</v>
      </c>
      <c r="AI165" s="693"/>
      <c r="AJ165" s="693"/>
    </row>
    <row r="166" spans="1:36" ht="12.75" hidden="1">
      <c r="A166" s="665" t="s">
        <v>74</v>
      </c>
      <c r="B166" s="666">
        <f t="shared" ref="B166:AH166" si="31">SUM(B154:B165)</f>
        <v>0</v>
      </c>
      <c r="C166" s="189">
        <f t="shared" si="31"/>
        <v>0</v>
      </c>
      <c r="D166" s="189">
        <f t="shared" si="31"/>
        <v>0</v>
      </c>
      <c r="E166" s="189">
        <f t="shared" si="31"/>
        <v>0</v>
      </c>
      <c r="F166" s="189">
        <f t="shared" si="31"/>
        <v>0</v>
      </c>
      <c r="G166" s="189">
        <f t="shared" si="31"/>
        <v>0</v>
      </c>
      <c r="H166" s="189">
        <f t="shared" si="31"/>
        <v>0</v>
      </c>
      <c r="I166" s="189">
        <f t="shared" si="31"/>
        <v>0</v>
      </c>
      <c r="J166" s="189">
        <f t="shared" si="31"/>
        <v>0</v>
      </c>
      <c r="K166" s="189">
        <f t="shared" si="31"/>
        <v>0</v>
      </c>
      <c r="L166" s="189">
        <f t="shared" si="31"/>
        <v>0</v>
      </c>
      <c r="M166" s="189">
        <f t="shared" si="31"/>
        <v>0</v>
      </c>
      <c r="N166" s="189">
        <f t="shared" si="31"/>
        <v>0</v>
      </c>
      <c r="O166" s="189">
        <f t="shared" si="31"/>
        <v>0</v>
      </c>
      <c r="P166" s="189">
        <f t="shared" si="31"/>
        <v>0</v>
      </c>
      <c r="Q166" s="189">
        <f t="shared" si="31"/>
        <v>0</v>
      </c>
      <c r="R166" s="189">
        <f t="shared" si="31"/>
        <v>0</v>
      </c>
      <c r="S166" s="189">
        <f t="shared" si="31"/>
        <v>0</v>
      </c>
      <c r="T166" s="189">
        <f t="shared" si="31"/>
        <v>0</v>
      </c>
      <c r="U166" s="189">
        <f t="shared" si="31"/>
        <v>0</v>
      </c>
      <c r="V166" s="189">
        <f t="shared" si="31"/>
        <v>0</v>
      </c>
      <c r="W166" s="189">
        <f t="shared" si="31"/>
        <v>0</v>
      </c>
      <c r="X166" s="189">
        <f t="shared" si="31"/>
        <v>0</v>
      </c>
      <c r="Y166" s="189">
        <f t="shared" si="31"/>
        <v>0</v>
      </c>
      <c r="Z166" s="189">
        <f t="shared" si="31"/>
        <v>0</v>
      </c>
      <c r="AA166" s="189">
        <f t="shared" si="31"/>
        <v>0</v>
      </c>
      <c r="AB166" s="189">
        <f t="shared" si="31"/>
        <v>0</v>
      </c>
      <c r="AC166" s="189">
        <f t="shared" si="31"/>
        <v>0</v>
      </c>
      <c r="AD166" s="189">
        <f t="shared" si="31"/>
        <v>0</v>
      </c>
      <c r="AE166" s="189">
        <f t="shared" si="31"/>
        <v>0</v>
      </c>
      <c r="AF166" s="189">
        <f t="shared" si="31"/>
        <v>0</v>
      </c>
      <c r="AG166" s="189">
        <f t="shared" si="31"/>
        <v>0</v>
      </c>
      <c r="AH166" s="189">
        <f t="shared" si="31"/>
        <v>0</v>
      </c>
      <c r="AI166" s="693"/>
      <c r="AJ166" s="693"/>
    </row>
    <row r="168" spans="1:36" ht="12.75" hidden="1">
      <c r="A168" s="3605" t="s">
        <v>555</v>
      </c>
      <c r="B168" s="3606"/>
      <c r="C168" s="3607"/>
      <c r="D168" s="193"/>
      <c r="E168" s="193"/>
      <c r="F168" s="193"/>
      <c r="G168" s="193"/>
      <c r="H168" s="193"/>
      <c r="I168" s="193"/>
      <c r="J168" s="193"/>
      <c r="K168" s="193"/>
      <c r="L168" s="193"/>
      <c r="M168" s="193"/>
      <c r="N168" s="193"/>
      <c r="O168" s="193"/>
      <c r="P168" s="193"/>
      <c r="Q168" s="193"/>
      <c r="R168" s="193"/>
      <c r="S168" s="193"/>
      <c r="T168" s="193"/>
      <c r="U168" s="193"/>
      <c r="V168" s="193"/>
      <c r="W168" s="193"/>
      <c r="X168" s="193"/>
      <c r="Y168" s="193"/>
      <c r="Z168" s="193"/>
      <c r="AA168" s="193"/>
      <c r="AB168" s="193"/>
      <c r="AC168" s="193"/>
      <c r="AD168" s="193"/>
      <c r="AE168" s="193"/>
      <c r="AF168" s="193"/>
      <c r="AG168" s="193"/>
      <c r="AH168" s="654"/>
      <c r="AI168" s="654"/>
      <c r="AJ168" s="654"/>
    </row>
    <row r="169" spans="1:36" ht="12.75" hidden="1">
      <c r="A169" s="178" t="s">
        <v>72</v>
      </c>
      <c r="B169" s="190" t="s">
        <v>73</v>
      </c>
      <c r="C169" s="682">
        <v>1</v>
      </c>
      <c r="D169" s="663">
        <v>2</v>
      </c>
      <c r="E169" s="663">
        <v>3</v>
      </c>
      <c r="F169" s="663">
        <v>4</v>
      </c>
      <c r="G169" s="663">
        <v>5</v>
      </c>
      <c r="H169" s="663">
        <v>6</v>
      </c>
      <c r="I169" s="663">
        <v>7</v>
      </c>
      <c r="J169" s="663">
        <v>8</v>
      </c>
      <c r="K169" s="663">
        <v>9</v>
      </c>
      <c r="L169" s="663">
        <v>10</v>
      </c>
      <c r="M169" s="663">
        <v>11</v>
      </c>
      <c r="N169" s="663">
        <v>12</v>
      </c>
      <c r="O169" s="663">
        <v>13</v>
      </c>
      <c r="P169" s="663">
        <v>14</v>
      </c>
      <c r="Q169" s="663">
        <v>15</v>
      </c>
      <c r="R169" s="663">
        <v>16</v>
      </c>
      <c r="S169" s="663">
        <v>17</v>
      </c>
      <c r="T169" s="663">
        <v>18</v>
      </c>
      <c r="U169" s="663">
        <v>19</v>
      </c>
      <c r="V169" s="663">
        <v>20</v>
      </c>
      <c r="W169" s="663">
        <v>21</v>
      </c>
      <c r="X169" s="663">
        <v>22</v>
      </c>
      <c r="Y169" s="663">
        <v>23</v>
      </c>
      <c r="Z169" s="663">
        <v>24</v>
      </c>
      <c r="AA169" s="663">
        <v>25</v>
      </c>
      <c r="AB169" s="663">
        <v>26</v>
      </c>
      <c r="AC169" s="663">
        <v>27</v>
      </c>
      <c r="AD169" s="663">
        <v>28</v>
      </c>
      <c r="AE169" s="663">
        <v>29</v>
      </c>
      <c r="AF169" s="663">
        <v>30</v>
      </c>
      <c r="AG169" s="663">
        <v>31</v>
      </c>
      <c r="AH169" s="189" t="s">
        <v>74</v>
      </c>
      <c r="AI169" s="693"/>
      <c r="AJ169" s="693"/>
    </row>
    <row r="170" spans="1:36" ht="12.75" hidden="1">
      <c r="A170" s="1268" t="s">
        <v>75</v>
      </c>
      <c r="B170" s="190">
        <f t="shared" ref="B170:B181" si="32">+AH170</f>
        <v>0</v>
      </c>
      <c r="C170" s="688" t="s">
        <v>111</v>
      </c>
      <c r="D170" s="688" t="s">
        <v>111</v>
      </c>
      <c r="E170" s="688" t="s">
        <v>111</v>
      </c>
      <c r="F170" s="688" t="s">
        <v>111</v>
      </c>
      <c r="G170" s="688" t="s">
        <v>111</v>
      </c>
      <c r="H170" s="688" t="s">
        <v>111</v>
      </c>
      <c r="I170" s="688" t="s">
        <v>111</v>
      </c>
      <c r="J170" s="688" t="s">
        <v>111</v>
      </c>
      <c r="K170" s="688" t="s">
        <v>111</v>
      </c>
      <c r="L170" s="688" t="s">
        <v>111</v>
      </c>
      <c r="M170" s="688" t="s">
        <v>111</v>
      </c>
      <c r="N170" s="688" t="s">
        <v>111</v>
      </c>
      <c r="O170" s="688" t="s">
        <v>111</v>
      </c>
      <c r="P170" s="688" t="s">
        <v>111</v>
      </c>
      <c r="Q170" s="688" t="s">
        <v>111</v>
      </c>
      <c r="R170" s="688" t="s">
        <v>111</v>
      </c>
      <c r="S170" s="688" t="s">
        <v>111</v>
      </c>
      <c r="T170" s="688" t="s">
        <v>111</v>
      </c>
      <c r="U170" s="688" t="s">
        <v>111</v>
      </c>
      <c r="V170" s="688" t="s">
        <v>111</v>
      </c>
      <c r="W170" s="688" t="s">
        <v>111</v>
      </c>
      <c r="X170" s="688" t="s">
        <v>111</v>
      </c>
      <c r="Y170" s="688" t="s">
        <v>111</v>
      </c>
      <c r="Z170" s="688" t="s">
        <v>111</v>
      </c>
      <c r="AA170" s="688" t="s">
        <v>111</v>
      </c>
      <c r="AB170" s="688" t="s">
        <v>111</v>
      </c>
      <c r="AC170" s="688" t="s">
        <v>111</v>
      </c>
      <c r="AD170" s="688" t="s">
        <v>111</v>
      </c>
      <c r="AE170" s="688" t="s">
        <v>111</v>
      </c>
      <c r="AF170" s="688" t="s">
        <v>111</v>
      </c>
      <c r="AG170" s="688" t="s">
        <v>111</v>
      </c>
      <c r="AH170" s="189">
        <f>SUM(C170:AG170)</f>
        <v>0</v>
      </c>
      <c r="AI170" s="693"/>
      <c r="AJ170" s="693"/>
    </row>
    <row r="171" spans="1:36" ht="12.75" hidden="1">
      <c r="A171" s="1268" t="s">
        <v>76</v>
      </c>
      <c r="B171" s="190">
        <f t="shared" si="32"/>
        <v>0</v>
      </c>
      <c r="C171" s="688" t="s">
        <v>111</v>
      </c>
      <c r="D171" s="688" t="s">
        <v>111</v>
      </c>
      <c r="E171" s="688" t="s">
        <v>111</v>
      </c>
      <c r="F171" s="688" t="s">
        <v>111</v>
      </c>
      <c r="G171" s="688" t="s">
        <v>111</v>
      </c>
      <c r="H171" s="688" t="s">
        <v>111</v>
      </c>
      <c r="I171" s="688" t="s">
        <v>111</v>
      </c>
      <c r="J171" s="688" t="s">
        <v>111</v>
      </c>
      <c r="K171" s="688" t="s">
        <v>111</v>
      </c>
      <c r="L171" s="688" t="s">
        <v>111</v>
      </c>
      <c r="M171" s="688" t="s">
        <v>111</v>
      </c>
      <c r="N171" s="688" t="s">
        <v>111</v>
      </c>
      <c r="O171" s="688" t="s">
        <v>111</v>
      </c>
      <c r="P171" s="688" t="s">
        <v>111</v>
      </c>
      <c r="Q171" s="688" t="s">
        <v>111</v>
      </c>
      <c r="R171" s="688" t="s">
        <v>111</v>
      </c>
      <c r="S171" s="688" t="s">
        <v>111</v>
      </c>
      <c r="T171" s="688" t="s">
        <v>111</v>
      </c>
      <c r="U171" s="688" t="s">
        <v>111</v>
      </c>
      <c r="V171" s="688" t="s">
        <v>111</v>
      </c>
      <c r="W171" s="688" t="s">
        <v>111</v>
      </c>
      <c r="X171" s="688" t="s">
        <v>111</v>
      </c>
      <c r="Y171" s="688" t="s">
        <v>111</v>
      </c>
      <c r="Z171" s="688" t="s">
        <v>111</v>
      </c>
      <c r="AA171" s="688" t="s">
        <v>111</v>
      </c>
      <c r="AB171" s="688" t="s">
        <v>111</v>
      </c>
      <c r="AC171" s="688" t="s">
        <v>111</v>
      </c>
      <c r="AD171" s="688" t="s">
        <v>111</v>
      </c>
      <c r="AE171" s="688" t="s">
        <v>111</v>
      </c>
      <c r="AF171" s="688" t="s">
        <v>111</v>
      </c>
      <c r="AG171" s="688" t="s">
        <v>111</v>
      </c>
      <c r="AH171" s="189">
        <f t="shared" ref="AH171:AH181" si="33">SUM(C171:AG171)</f>
        <v>0</v>
      </c>
      <c r="AI171" s="693"/>
      <c r="AJ171" s="693"/>
    </row>
    <row r="172" spans="1:36" ht="12.75" hidden="1">
      <c r="A172" s="1268" t="s">
        <v>77</v>
      </c>
      <c r="B172" s="190">
        <f t="shared" si="32"/>
        <v>0</v>
      </c>
      <c r="C172" s="688" t="s">
        <v>111</v>
      </c>
      <c r="D172" s="688" t="s">
        <v>111</v>
      </c>
      <c r="E172" s="688" t="s">
        <v>111</v>
      </c>
      <c r="F172" s="688" t="s">
        <v>111</v>
      </c>
      <c r="G172" s="688" t="s">
        <v>111</v>
      </c>
      <c r="H172" s="694"/>
      <c r="I172" s="695"/>
      <c r="J172" s="695"/>
      <c r="K172" s="695"/>
      <c r="L172" s="695"/>
      <c r="M172" s="695"/>
      <c r="N172" s="696"/>
      <c r="O172" s="696"/>
      <c r="P172" s="696"/>
      <c r="Q172" s="696"/>
      <c r="R172" s="696"/>
      <c r="S172" s="696"/>
      <c r="T172" s="696"/>
      <c r="U172" s="696"/>
      <c r="V172" s="696"/>
      <c r="W172" s="696"/>
      <c r="X172" s="696"/>
      <c r="Y172" s="696"/>
      <c r="Z172" s="696"/>
      <c r="AA172" s="696"/>
      <c r="AB172" s="696"/>
      <c r="AC172" s="696"/>
      <c r="AD172" s="696"/>
      <c r="AE172" s="696"/>
      <c r="AF172" s="696"/>
      <c r="AG172" s="696"/>
      <c r="AH172" s="189">
        <f t="shared" si="33"/>
        <v>0</v>
      </c>
      <c r="AI172" s="693"/>
      <c r="AJ172" s="693"/>
    </row>
    <row r="173" spans="1:36" ht="12.75" hidden="1">
      <c r="A173" s="1268" t="s">
        <v>78</v>
      </c>
      <c r="B173" s="190">
        <f t="shared" si="32"/>
        <v>0</v>
      </c>
      <c r="C173" s="688" t="s">
        <v>111</v>
      </c>
      <c r="D173" s="688" t="s">
        <v>111</v>
      </c>
      <c r="E173" s="688" t="s">
        <v>111</v>
      </c>
      <c r="F173" s="688" t="s">
        <v>111</v>
      </c>
      <c r="G173" s="688" t="s">
        <v>111</v>
      </c>
      <c r="H173" s="697" t="s">
        <v>111</v>
      </c>
      <c r="I173" s="697" t="s">
        <v>111</v>
      </c>
      <c r="J173" s="697" t="s">
        <v>111</v>
      </c>
      <c r="K173" s="697" t="s">
        <v>111</v>
      </c>
      <c r="L173" s="698"/>
      <c r="M173" s="698"/>
      <c r="N173" s="698"/>
      <c r="O173" s="698"/>
      <c r="P173" s="698"/>
      <c r="Q173" s="698"/>
      <c r="R173" s="698"/>
      <c r="S173" s="698"/>
      <c r="T173" s="698"/>
      <c r="U173" s="698"/>
      <c r="V173" s="698"/>
      <c r="W173" s="698"/>
      <c r="X173" s="698"/>
      <c r="Y173" s="698"/>
      <c r="Z173" s="698"/>
      <c r="AA173" s="698"/>
      <c r="AB173" s="698"/>
      <c r="AC173" s="698"/>
      <c r="AD173" s="698"/>
      <c r="AE173" s="698"/>
      <c r="AF173" s="698"/>
      <c r="AG173" s="698"/>
      <c r="AH173" s="699">
        <f t="shared" si="33"/>
        <v>0</v>
      </c>
      <c r="AI173" s="3270"/>
      <c r="AJ173" s="3270"/>
    </row>
    <row r="174" spans="1:36" ht="12.75" hidden="1">
      <c r="A174" s="1268" t="s">
        <v>79</v>
      </c>
      <c r="B174" s="190">
        <f t="shared" si="32"/>
        <v>0</v>
      </c>
      <c r="C174" s="183"/>
      <c r="D174" s="159"/>
      <c r="E174" s="159"/>
      <c r="F174" s="159"/>
      <c r="G174" s="159"/>
      <c r="H174" s="159"/>
      <c r="I174" s="159"/>
      <c r="J174" s="159"/>
      <c r="K174" s="159"/>
      <c r="L174" s="159"/>
      <c r="M174" s="159"/>
      <c r="N174" s="159"/>
      <c r="O174" s="159"/>
      <c r="P174" s="159"/>
      <c r="Q174" s="159"/>
      <c r="R174" s="159"/>
      <c r="S174" s="159"/>
      <c r="T174" s="159"/>
      <c r="U174" s="159"/>
      <c r="V174" s="159"/>
      <c r="W174" s="159"/>
      <c r="X174" s="159"/>
      <c r="Y174" s="159"/>
      <c r="Z174" s="159"/>
      <c r="AA174" s="159"/>
      <c r="AB174" s="159"/>
      <c r="AC174" s="159"/>
      <c r="AD174" s="159"/>
      <c r="AE174" s="159"/>
      <c r="AF174" s="159"/>
      <c r="AG174" s="159"/>
      <c r="AH174" s="699">
        <f t="shared" si="33"/>
        <v>0</v>
      </c>
      <c r="AI174" s="3270"/>
      <c r="AJ174" s="3270"/>
    </row>
    <row r="175" spans="1:36" ht="12.75" hidden="1">
      <c r="A175" s="1268" t="s">
        <v>80</v>
      </c>
      <c r="B175" s="190">
        <f t="shared" si="32"/>
        <v>0</v>
      </c>
      <c r="C175" s="183"/>
      <c r="D175" s="159"/>
      <c r="E175" s="159"/>
      <c r="F175" s="159"/>
      <c r="G175" s="159"/>
      <c r="H175" s="200" t="s">
        <v>112</v>
      </c>
      <c r="I175" s="200" t="s">
        <v>112</v>
      </c>
      <c r="J175" s="200" t="s">
        <v>112</v>
      </c>
      <c r="K175" s="200" t="s">
        <v>112</v>
      </c>
      <c r="L175" s="200" t="s">
        <v>112</v>
      </c>
      <c r="M175" s="200" t="s">
        <v>112</v>
      </c>
      <c r="N175" s="200" t="s">
        <v>112</v>
      </c>
      <c r="O175" s="200" t="s">
        <v>112</v>
      </c>
      <c r="P175" s="200" t="s">
        <v>112</v>
      </c>
      <c r="Q175" s="200" t="s">
        <v>112</v>
      </c>
      <c r="R175" s="200" t="s">
        <v>112</v>
      </c>
      <c r="S175" s="200" t="s">
        <v>112</v>
      </c>
      <c r="T175" s="200" t="s">
        <v>112</v>
      </c>
      <c r="U175" s="200" t="s">
        <v>112</v>
      </c>
      <c r="V175" s="200" t="s">
        <v>112</v>
      </c>
      <c r="W175" s="200" t="s">
        <v>112</v>
      </c>
      <c r="X175" s="200" t="s">
        <v>112</v>
      </c>
      <c r="Y175" s="159"/>
      <c r="Z175" s="159"/>
      <c r="AA175" s="159"/>
      <c r="AB175" s="159"/>
      <c r="AC175" s="159"/>
      <c r="AD175" s="159"/>
      <c r="AE175" s="159"/>
      <c r="AF175" s="159"/>
      <c r="AG175" s="159"/>
      <c r="AH175" s="699">
        <f t="shared" si="33"/>
        <v>0</v>
      </c>
      <c r="AI175" s="3270"/>
      <c r="AJ175" s="3270"/>
    </row>
    <row r="176" spans="1:36" ht="12.75" hidden="1">
      <c r="A176" s="1740" t="s">
        <v>81</v>
      </c>
      <c r="B176" s="190">
        <f t="shared" si="32"/>
        <v>0</v>
      </c>
      <c r="C176" s="183"/>
      <c r="D176" s="689"/>
      <c r="E176" s="689"/>
      <c r="F176" s="689"/>
      <c r="G176" s="159"/>
      <c r="H176" s="159"/>
      <c r="I176" s="159"/>
      <c r="J176" s="690"/>
      <c r="K176" s="690"/>
      <c r="L176" s="689"/>
      <c r="M176" s="689"/>
      <c r="N176" s="689"/>
      <c r="O176" s="689"/>
      <c r="P176" s="689"/>
      <c r="Q176" s="689"/>
      <c r="R176" s="689"/>
      <c r="S176" s="689"/>
      <c r="T176" s="689"/>
      <c r="U176" s="689"/>
      <c r="V176" s="689"/>
      <c r="W176" s="689"/>
      <c r="X176" s="689"/>
      <c r="Y176" s="689"/>
      <c r="Z176" s="689"/>
      <c r="AA176" s="689"/>
      <c r="AB176" s="689"/>
      <c r="AC176" s="689"/>
      <c r="AD176" s="689"/>
      <c r="AE176" s="689"/>
      <c r="AF176" s="689"/>
      <c r="AG176" s="689"/>
      <c r="AH176" s="699">
        <f t="shared" si="33"/>
        <v>0</v>
      </c>
      <c r="AI176" s="3270"/>
      <c r="AJ176" s="3270"/>
    </row>
    <row r="177" spans="1:36" ht="12.75" hidden="1">
      <c r="A177" s="1740" t="s">
        <v>82</v>
      </c>
      <c r="B177" s="190">
        <f t="shared" si="32"/>
        <v>0</v>
      </c>
      <c r="C177" s="183"/>
      <c r="D177" s="159"/>
      <c r="E177" s="159"/>
      <c r="F177" s="159"/>
      <c r="G177" s="159"/>
      <c r="H177" s="159"/>
      <c r="I177" s="159"/>
      <c r="J177" s="843" t="s">
        <v>112</v>
      </c>
      <c r="K177" s="843" t="s">
        <v>112</v>
      </c>
      <c r="L177" s="843" t="s">
        <v>112</v>
      </c>
      <c r="M177" s="843" t="s">
        <v>112</v>
      </c>
      <c r="N177" s="843" t="s">
        <v>112</v>
      </c>
      <c r="O177" s="843" t="s">
        <v>112</v>
      </c>
      <c r="P177" s="843" t="s">
        <v>112</v>
      </c>
      <c r="Q177" s="843" t="s">
        <v>112</v>
      </c>
      <c r="R177" s="843" t="s">
        <v>112</v>
      </c>
      <c r="S177" s="843" t="s">
        <v>112</v>
      </c>
      <c r="T177" s="843" t="s">
        <v>112</v>
      </c>
      <c r="U177" s="843" t="s">
        <v>112</v>
      </c>
      <c r="V177" s="843" t="s">
        <v>112</v>
      </c>
      <c r="W177" s="843" t="s">
        <v>112</v>
      </c>
      <c r="X177" s="843" t="s">
        <v>112</v>
      </c>
      <c r="Y177" s="843" t="s">
        <v>112</v>
      </c>
      <c r="Z177" s="843" t="s">
        <v>112</v>
      </c>
      <c r="AA177" s="843" t="s">
        <v>112</v>
      </c>
      <c r="AB177" s="843" t="s">
        <v>112</v>
      </c>
      <c r="AC177" s="843" t="s">
        <v>112</v>
      </c>
      <c r="AD177" s="843" t="s">
        <v>112</v>
      </c>
      <c r="AE177" s="843" t="s">
        <v>112</v>
      </c>
      <c r="AF177" s="843" t="s">
        <v>112</v>
      </c>
      <c r="AG177" s="843" t="s">
        <v>112</v>
      </c>
      <c r="AH177" s="189">
        <f t="shared" si="33"/>
        <v>0</v>
      </c>
      <c r="AI177" s="693"/>
      <c r="AJ177" s="693"/>
    </row>
    <row r="178" spans="1:36" ht="12.75" hidden="1">
      <c r="A178" s="1740" t="s">
        <v>83</v>
      </c>
      <c r="B178" s="190">
        <f t="shared" si="32"/>
        <v>0</v>
      </c>
      <c r="C178" s="843" t="s">
        <v>112</v>
      </c>
      <c r="D178" s="843" t="s">
        <v>112</v>
      </c>
      <c r="E178" s="843" t="s">
        <v>112</v>
      </c>
      <c r="F178" s="843" t="s">
        <v>112</v>
      </c>
      <c r="G178" s="843" t="s">
        <v>112</v>
      </c>
      <c r="H178" s="843" t="s">
        <v>112</v>
      </c>
      <c r="I178" s="843" t="s">
        <v>112</v>
      </c>
      <c r="J178" s="843" t="s">
        <v>112</v>
      </c>
      <c r="K178" s="843" t="s">
        <v>112</v>
      </c>
      <c r="L178" s="843" t="s">
        <v>112</v>
      </c>
      <c r="M178" s="843" t="s">
        <v>112</v>
      </c>
      <c r="N178" s="843" t="s">
        <v>112</v>
      </c>
      <c r="O178" s="843" t="s">
        <v>112</v>
      </c>
      <c r="P178" s="843" t="s">
        <v>112</v>
      </c>
      <c r="Q178" s="843" t="s">
        <v>112</v>
      </c>
      <c r="R178" s="843" t="s">
        <v>112</v>
      </c>
      <c r="S178" s="843" t="s">
        <v>112</v>
      </c>
      <c r="T178" s="843" t="s">
        <v>112</v>
      </c>
      <c r="U178" s="843" t="s">
        <v>112</v>
      </c>
      <c r="V178" s="843" t="s">
        <v>112</v>
      </c>
      <c r="W178" s="843" t="s">
        <v>112</v>
      </c>
      <c r="X178" s="843" t="s">
        <v>112</v>
      </c>
      <c r="Y178" s="843" t="s">
        <v>112</v>
      </c>
      <c r="Z178" s="843" t="s">
        <v>112</v>
      </c>
      <c r="AA178" s="843" t="s">
        <v>112</v>
      </c>
      <c r="AB178" s="843" t="s">
        <v>112</v>
      </c>
      <c r="AC178" s="843" t="s">
        <v>112</v>
      </c>
      <c r="AD178" s="843" t="s">
        <v>112</v>
      </c>
      <c r="AE178" s="843" t="s">
        <v>112</v>
      </c>
      <c r="AF178" s="843" t="s">
        <v>112</v>
      </c>
      <c r="AG178" s="843" t="s">
        <v>112</v>
      </c>
      <c r="AH178" s="189">
        <f t="shared" si="33"/>
        <v>0</v>
      </c>
      <c r="AI178" s="693"/>
      <c r="AJ178" s="693"/>
    </row>
    <row r="179" spans="1:36" ht="12.75" hidden="1">
      <c r="A179" s="1740" t="s">
        <v>84</v>
      </c>
      <c r="B179" s="190">
        <f t="shared" si="32"/>
        <v>0</v>
      </c>
      <c r="C179" s="843" t="s">
        <v>112</v>
      </c>
      <c r="D179" s="843" t="s">
        <v>112</v>
      </c>
      <c r="E179" s="843" t="s">
        <v>112</v>
      </c>
      <c r="F179" s="843" t="s">
        <v>112</v>
      </c>
      <c r="G179" s="843" t="s">
        <v>112</v>
      </c>
      <c r="H179" s="843" t="s">
        <v>112</v>
      </c>
      <c r="I179" s="843" t="s">
        <v>112</v>
      </c>
      <c r="J179" s="843" t="s">
        <v>112</v>
      </c>
      <c r="K179" s="843" t="s">
        <v>112</v>
      </c>
      <c r="L179" s="843" t="s">
        <v>112</v>
      </c>
      <c r="M179" s="843" t="s">
        <v>112</v>
      </c>
      <c r="N179" s="843" t="s">
        <v>112</v>
      </c>
      <c r="O179" s="843" t="s">
        <v>112</v>
      </c>
      <c r="P179" s="843" t="s">
        <v>112</v>
      </c>
      <c r="Q179" s="843" t="s">
        <v>112</v>
      </c>
      <c r="R179" s="843" t="s">
        <v>112</v>
      </c>
      <c r="S179" s="843" t="s">
        <v>112</v>
      </c>
      <c r="T179" s="843" t="s">
        <v>112</v>
      </c>
      <c r="U179" s="843" t="s">
        <v>112</v>
      </c>
      <c r="V179" s="843" t="s">
        <v>112</v>
      </c>
      <c r="W179" s="843" t="s">
        <v>112</v>
      </c>
      <c r="X179" s="159"/>
      <c r="Y179" s="159"/>
      <c r="Z179" s="159"/>
      <c r="AA179" s="159"/>
      <c r="AB179" s="159"/>
      <c r="AC179" s="159"/>
      <c r="AD179" s="159"/>
      <c r="AE179" s="689"/>
      <c r="AF179" s="159"/>
      <c r="AG179" s="689"/>
      <c r="AH179" s="189">
        <f t="shared" si="33"/>
        <v>0</v>
      </c>
      <c r="AI179" s="693"/>
      <c r="AJ179" s="693"/>
    </row>
    <row r="180" spans="1:36" ht="12.75" hidden="1">
      <c r="A180" s="1740" t="s">
        <v>85</v>
      </c>
      <c r="B180" s="190">
        <f t="shared" si="32"/>
        <v>0</v>
      </c>
      <c r="C180" s="183"/>
      <c r="D180" s="159"/>
      <c r="E180" s="159"/>
      <c r="F180" s="159"/>
      <c r="G180" s="64"/>
      <c r="H180" s="159"/>
      <c r="I180" s="159"/>
      <c r="J180" s="159"/>
      <c r="K180" s="159"/>
      <c r="L180" s="159"/>
      <c r="M180" s="159"/>
      <c r="N180" s="159"/>
      <c r="O180" s="159"/>
      <c r="P180" s="159"/>
      <c r="Q180" s="159"/>
      <c r="R180" s="159"/>
      <c r="S180" s="159"/>
      <c r="T180" s="159"/>
      <c r="U180" s="159"/>
      <c r="V180" s="159"/>
      <c r="W180" s="159"/>
      <c r="X180" s="159"/>
      <c r="Y180" s="64"/>
      <c r="Z180" s="159"/>
      <c r="AA180" s="159"/>
      <c r="AB180" s="159"/>
      <c r="AC180" s="159"/>
      <c r="AD180" s="159"/>
      <c r="AE180" s="689"/>
      <c r="AF180" s="159"/>
      <c r="AG180" s="689"/>
      <c r="AH180" s="189">
        <f t="shared" si="33"/>
        <v>0</v>
      </c>
      <c r="AI180" s="693"/>
      <c r="AJ180" s="693"/>
    </row>
    <row r="181" spans="1:36" ht="12.75" hidden="1">
      <c r="A181" s="1740" t="s">
        <v>86</v>
      </c>
      <c r="B181" s="190">
        <f t="shared" si="32"/>
        <v>0</v>
      </c>
      <c r="C181" s="183"/>
      <c r="D181" s="159"/>
      <c r="E181" s="159"/>
      <c r="F181" s="159"/>
      <c r="G181" s="159"/>
      <c r="H181" s="159"/>
      <c r="I181" s="159"/>
      <c r="J181" s="159"/>
      <c r="K181" s="159"/>
      <c r="L181" s="159"/>
      <c r="M181" s="159"/>
      <c r="N181" s="159"/>
      <c r="O181" s="159"/>
      <c r="P181" s="1409" t="s">
        <v>111</v>
      </c>
      <c r="Q181" s="1409" t="s">
        <v>111</v>
      </c>
      <c r="R181" s="1409" t="s">
        <v>111</v>
      </c>
      <c r="S181" s="1409" t="s">
        <v>111</v>
      </c>
      <c r="T181" s="1409" t="s">
        <v>111</v>
      </c>
      <c r="U181" s="1409" t="s">
        <v>111</v>
      </c>
      <c r="V181" s="1409" t="s">
        <v>111</v>
      </c>
      <c r="W181" s="1409" t="s">
        <v>111</v>
      </c>
      <c r="X181" s="1409" t="s">
        <v>111</v>
      </c>
      <c r="Y181" s="1409" t="s">
        <v>111</v>
      </c>
      <c r="Z181" s="1409" t="s">
        <v>111</v>
      </c>
      <c r="AA181" s="1409" t="s">
        <v>111</v>
      </c>
      <c r="AB181" s="1409" t="s">
        <v>111</v>
      </c>
      <c r="AC181" s="1409" t="s">
        <v>111</v>
      </c>
      <c r="AD181" s="1409" t="s">
        <v>111</v>
      </c>
      <c r="AE181" s="1409" t="s">
        <v>111</v>
      </c>
      <c r="AF181" s="1409" t="s">
        <v>111</v>
      </c>
      <c r="AG181" s="1409" t="s">
        <v>111</v>
      </c>
      <c r="AH181" s="189">
        <f t="shared" si="33"/>
        <v>0</v>
      </c>
      <c r="AI181" s="693"/>
      <c r="AJ181" s="693"/>
    </row>
    <row r="182" spans="1:36" ht="12.75" hidden="1">
      <c r="A182" s="665" t="s">
        <v>74</v>
      </c>
      <c r="B182" s="666">
        <f t="shared" ref="B182:AH182" si="34">SUM(B170:B181)</f>
        <v>0</v>
      </c>
      <c r="C182" s="189">
        <f t="shared" si="34"/>
        <v>0</v>
      </c>
      <c r="D182" s="189">
        <f t="shared" si="34"/>
        <v>0</v>
      </c>
      <c r="E182" s="189">
        <f t="shared" si="34"/>
        <v>0</v>
      </c>
      <c r="F182" s="189">
        <f t="shared" si="34"/>
        <v>0</v>
      </c>
      <c r="G182" s="189">
        <f t="shared" si="34"/>
        <v>0</v>
      </c>
      <c r="H182" s="189">
        <f t="shared" si="34"/>
        <v>0</v>
      </c>
      <c r="I182" s="189">
        <f t="shared" si="34"/>
        <v>0</v>
      </c>
      <c r="J182" s="189">
        <f t="shared" si="34"/>
        <v>0</v>
      </c>
      <c r="K182" s="189">
        <f t="shared" si="34"/>
        <v>0</v>
      </c>
      <c r="L182" s="189">
        <f t="shared" si="34"/>
        <v>0</v>
      </c>
      <c r="M182" s="189">
        <f t="shared" si="34"/>
        <v>0</v>
      </c>
      <c r="N182" s="189">
        <f t="shared" si="34"/>
        <v>0</v>
      </c>
      <c r="O182" s="189">
        <f t="shared" si="34"/>
        <v>0</v>
      </c>
      <c r="P182" s="189">
        <f t="shared" si="34"/>
        <v>0</v>
      </c>
      <c r="Q182" s="189">
        <f t="shared" si="34"/>
        <v>0</v>
      </c>
      <c r="R182" s="189">
        <f t="shared" si="34"/>
        <v>0</v>
      </c>
      <c r="S182" s="189">
        <f t="shared" si="34"/>
        <v>0</v>
      </c>
      <c r="T182" s="189">
        <f t="shared" si="34"/>
        <v>0</v>
      </c>
      <c r="U182" s="189">
        <f t="shared" si="34"/>
        <v>0</v>
      </c>
      <c r="V182" s="189">
        <f t="shared" si="34"/>
        <v>0</v>
      </c>
      <c r="W182" s="189">
        <f t="shared" si="34"/>
        <v>0</v>
      </c>
      <c r="X182" s="189">
        <f t="shared" si="34"/>
        <v>0</v>
      </c>
      <c r="Y182" s="189">
        <f t="shared" si="34"/>
        <v>0</v>
      </c>
      <c r="Z182" s="189">
        <f t="shared" si="34"/>
        <v>0</v>
      </c>
      <c r="AA182" s="189">
        <f t="shared" si="34"/>
        <v>0</v>
      </c>
      <c r="AB182" s="189">
        <f t="shared" si="34"/>
        <v>0</v>
      </c>
      <c r="AC182" s="189">
        <f t="shared" si="34"/>
        <v>0</v>
      </c>
      <c r="AD182" s="189">
        <f t="shared" si="34"/>
        <v>0</v>
      </c>
      <c r="AE182" s="189">
        <f t="shared" si="34"/>
        <v>0</v>
      </c>
      <c r="AF182" s="189">
        <f t="shared" si="34"/>
        <v>0</v>
      </c>
      <c r="AG182" s="189">
        <f t="shared" si="34"/>
        <v>0</v>
      </c>
      <c r="AH182" s="189">
        <f t="shared" si="34"/>
        <v>0</v>
      </c>
      <c r="AI182" s="693"/>
      <c r="AJ182" s="693"/>
    </row>
    <row r="183" spans="1:36" hidden="1"/>
  </sheetData>
  <mergeCells count="13">
    <mergeCell ref="AL5:AN5"/>
    <mergeCell ref="A152:C152"/>
    <mergeCell ref="A168:C168"/>
    <mergeCell ref="A136:C136"/>
    <mergeCell ref="A2:T2"/>
    <mergeCell ref="A5:C5"/>
    <mergeCell ref="A21:C21"/>
    <mergeCell ref="A38:C38"/>
    <mergeCell ref="A87:C87"/>
    <mergeCell ref="A54:C54"/>
    <mergeCell ref="A70:C70"/>
    <mergeCell ref="A103:C103"/>
    <mergeCell ref="A119:C119"/>
  </mergeCells>
  <phoneticPr fontId="0" type="noConversion"/>
  <pageMargins left="0.75" right="0.75" top="1" bottom="1" header="0" footer="0"/>
  <pageSetup orientation="portrait" r:id="rId1"/>
  <headerFooter alignWithMargins="0"/>
</worksheet>
</file>

<file path=xl/worksheets/sheet7.xml><?xml version="1.0" encoding="utf-8"?>
<worksheet xmlns="http://schemas.openxmlformats.org/spreadsheetml/2006/main" xmlns:r="http://schemas.openxmlformats.org/officeDocument/2006/relationships">
  <sheetPr>
    <tabColor rgb="FFFFFF00"/>
  </sheetPr>
  <dimension ref="A1:R271"/>
  <sheetViews>
    <sheetView topLeftCell="A241" zoomScale="80" zoomScaleNormal="80" workbookViewId="0">
      <selection activeCell="G255" sqref="G255"/>
    </sheetView>
  </sheetViews>
  <sheetFormatPr baseColWidth="10" defaultRowHeight="12.75"/>
  <cols>
    <col min="1" max="1" width="80.28515625" style="167" customWidth="1"/>
    <col min="2" max="2" width="13.140625" style="167" customWidth="1"/>
    <col min="3" max="3" width="19.85546875" style="167" customWidth="1"/>
    <col min="4" max="4" width="10.7109375" style="167" customWidth="1"/>
    <col min="5" max="5" width="20" style="167" customWidth="1"/>
    <col min="6" max="6" width="19.7109375" style="167" customWidth="1"/>
    <col min="7" max="7" width="11.85546875" style="167" bestFit="1" customWidth="1"/>
    <col min="8" max="8" width="9.85546875" style="167" customWidth="1"/>
    <col min="9" max="9" width="15.85546875" style="346" bestFit="1" customWidth="1"/>
    <col min="10" max="10" width="13.85546875" style="103" customWidth="1"/>
    <col min="11" max="11" width="102.140625" customWidth="1"/>
    <col min="15" max="15" width="9.85546875" bestFit="1" customWidth="1"/>
  </cols>
  <sheetData>
    <row r="1" spans="1:10">
      <c r="J1" s="211"/>
    </row>
    <row r="2" spans="1:10" ht="13.5">
      <c r="A2" s="3605" t="s">
        <v>564</v>
      </c>
      <c r="B2" s="3606"/>
      <c r="C2" s="3606"/>
      <c r="D2" s="3606"/>
      <c r="E2" s="3606"/>
      <c r="F2" s="3606"/>
      <c r="G2" s="3606"/>
      <c r="H2" s="3606"/>
      <c r="I2" s="3607"/>
      <c r="J2" s="211"/>
    </row>
    <row r="3" spans="1:10" s="68" customFormat="1" ht="13.5">
      <c r="A3" s="1026"/>
      <c r="B3" s="1026"/>
      <c r="C3" s="1026"/>
      <c r="D3" s="1026"/>
      <c r="E3" s="1026"/>
      <c r="F3" s="1026"/>
      <c r="G3" s="1026"/>
      <c r="H3" s="1026"/>
      <c r="I3" s="1026"/>
      <c r="J3" s="212"/>
    </row>
    <row r="4" spans="1:10" ht="18.75" customHeight="1">
      <c r="A4" s="65"/>
      <c r="B4" s="65"/>
      <c r="C4" s="1027"/>
      <c r="D4" s="1027"/>
      <c r="E4" s="1027"/>
      <c r="F4" s="1028"/>
      <c r="G4" s="1028"/>
      <c r="H4" s="177"/>
      <c r="I4" s="1028"/>
      <c r="J4" s="211"/>
    </row>
    <row r="5" spans="1:10" ht="13.5">
      <c r="A5" s="3608" t="s">
        <v>46</v>
      </c>
      <c r="B5" s="3609"/>
      <c r="C5" s="63"/>
      <c r="D5" s="63"/>
      <c r="E5" s="63"/>
      <c r="F5" s="65"/>
      <c r="G5" s="65"/>
      <c r="H5" s="64"/>
      <c r="I5" s="1028"/>
      <c r="J5" s="211"/>
    </row>
    <row r="6" spans="1:10" ht="13.5">
      <c r="A6" s="64"/>
      <c r="B6" s="65"/>
      <c r="C6" s="63"/>
      <c r="D6" s="63"/>
      <c r="E6" s="63"/>
      <c r="F6" s="65"/>
      <c r="G6" s="65"/>
      <c r="H6" s="64"/>
      <c r="I6" s="1028"/>
      <c r="J6" s="211"/>
    </row>
    <row r="7" spans="1:10" ht="13.5">
      <c r="A7" s="665" t="s">
        <v>47</v>
      </c>
      <c r="B7" s="665" t="s">
        <v>48</v>
      </c>
      <c r="C7" s="252" t="s">
        <v>49</v>
      </c>
      <c r="D7" s="252" t="s">
        <v>184</v>
      </c>
      <c r="E7" s="252" t="s">
        <v>50</v>
      </c>
      <c r="F7" s="665" t="s">
        <v>20</v>
      </c>
      <c r="G7" s="665" t="s">
        <v>21</v>
      </c>
      <c r="H7" s="665" t="s">
        <v>196</v>
      </c>
      <c r="I7" s="165" t="s">
        <v>23</v>
      </c>
      <c r="J7" s="211"/>
    </row>
    <row r="8" spans="1:10" ht="13.5">
      <c r="A8" s="1029" t="s">
        <v>96</v>
      </c>
      <c r="B8" s="1030" t="s">
        <v>32</v>
      </c>
      <c r="C8" s="1031">
        <v>4147</v>
      </c>
      <c r="D8" s="1031"/>
      <c r="E8" s="1031">
        <f>+C8+D8</f>
        <v>4147</v>
      </c>
      <c r="F8" s="159">
        <f>+SUM('RAE S.común'!B8:B11)</f>
        <v>3674.5730000000003</v>
      </c>
      <c r="G8" s="1032">
        <f>+E8-F8</f>
        <v>472.42699999999968</v>
      </c>
      <c r="H8" s="3071">
        <f>+G8/E8</f>
        <v>0.11392018326501077</v>
      </c>
      <c r="I8" s="1034"/>
      <c r="J8" s="3230" t="s">
        <v>1142</v>
      </c>
    </row>
    <row r="9" spans="1:10" ht="13.5">
      <c r="A9" s="1029" t="s">
        <v>97</v>
      </c>
      <c r="B9" s="196" t="s">
        <v>32</v>
      </c>
      <c r="C9" s="1031">
        <v>1341</v>
      </c>
      <c r="D9" s="1031"/>
      <c r="E9" s="1031">
        <f>+C9+D9</f>
        <v>1341</v>
      </c>
      <c r="F9" s="159">
        <f>+SUM('RAE S.común'!B24:B27)</f>
        <v>928.76900000000001</v>
      </c>
      <c r="G9" s="1031">
        <f>+E9-F9</f>
        <v>412.23099999999999</v>
      </c>
      <c r="H9" s="1033">
        <f>+G9/E9</f>
        <v>0.30740566741237879</v>
      </c>
      <c r="I9" s="1035"/>
      <c r="J9" s="211"/>
    </row>
    <row r="10" spans="1:10" ht="13.5">
      <c r="A10" s="181" t="s">
        <v>52</v>
      </c>
      <c r="B10" s="181" t="s">
        <v>32</v>
      </c>
      <c r="C10" s="1036">
        <f>SUM(C8:C9)</f>
        <v>5488</v>
      </c>
      <c r="D10" s="1036"/>
      <c r="E10" s="1036">
        <f>SUM(E8:E9)</f>
        <v>5488</v>
      </c>
      <c r="F10" s="1037">
        <f>SUM(F8:F9)</f>
        <v>4603.3420000000006</v>
      </c>
      <c r="G10" s="1036">
        <f>+E10-F10</f>
        <v>884.65799999999945</v>
      </c>
      <c r="H10" s="65"/>
      <c r="I10" s="1028"/>
      <c r="J10" s="211"/>
    </row>
    <row r="11" spans="1:10" ht="13.5">
      <c r="A11" s="194"/>
      <c r="B11" s="65"/>
      <c r="C11" s="1038"/>
      <c r="D11" s="1038"/>
      <c r="E11" s="1038"/>
      <c r="F11" s="195"/>
      <c r="G11" s="195"/>
      <c r="H11" s="65"/>
      <c r="I11" s="1028"/>
      <c r="J11" s="211"/>
    </row>
    <row r="12" spans="1:10" ht="13.5">
      <c r="A12" s="665" t="s">
        <v>47</v>
      </c>
      <c r="B12" s="665" t="s">
        <v>48</v>
      </c>
      <c r="C12" s="252" t="s">
        <v>49</v>
      </c>
      <c r="D12" s="252"/>
      <c r="E12" s="252" t="s">
        <v>50</v>
      </c>
      <c r="F12" s="665" t="s">
        <v>20</v>
      </c>
      <c r="G12" s="665" t="s">
        <v>21</v>
      </c>
      <c r="H12" s="665" t="s">
        <v>196</v>
      </c>
      <c r="I12" s="165" t="s">
        <v>23</v>
      </c>
      <c r="J12" s="211"/>
    </row>
    <row r="13" spans="1:10" ht="13.5">
      <c r="A13" s="1029" t="s">
        <v>96</v>
      </c>
      <c r="B13" s="1030" t="s">
        <v>33</v>
      </c>
      <c r="C13" s="1031">
        <v>488</v>
      </c>
      <c r="D13" s="1031"/>
      <c r="E13" s="1031">
        <f>+C13+G8+D13</f>
        <v>960.42699999999968</v>
      </c>
      <c r="F13" s="159">
        <f>+SUM('RAE S.común'!B12:B15)</f>
        <v>436.50299999999999</v>
      </c>
      <c r="G13" s="1032">
        <f>+E13-F13</f>
        <v>523.92399999999975</v>
      </c>
      <c r="H13" s="1033">
        <f>+G13/E13</f>
        <v>0.54551152768508171</v>
      </c>
      <c r="I13" s="1039"/>
      <c r="J13" s="211"/>
    </row>
    <row r="14" spans="1:10" ht="13.5">
      <c r="A14" s="1029" t="s">
        <v>97</v>
      </c>
      <c r="B14" s="196" t="s">
        <v>33</v>
      </c>
      <c r="C14" s="1031">
        <v>158</v>
      </c>
      <c r="D14" s="1031"/>
      <c r="E14" s="1031">
        <f>+C14+G9+D14</f>
        <v>570.23099999999999</v>
      </c>
      <c r="F14" s="159">
        <f>+SUM('RAE S.común'!B28:B31)</f>
        <v>121.54600000000001</v>
      </c>
      <c r="G14" s="1032">
        <f>+E14-F14</f>
        <v>448.685</v>
      </c>
      <c r="H14" s="1033">
        <f>+G14/E14</f>
        <v>0.78684778624802931</v>
      </c>
      <c r="I14" s="1040"/>
      <c r="J14" s="211"/>
    </row>
    <row r="15" spans="1:10" ht="13.5">
      <c r="A15" s="181" t="s">
        <v>52</v>
      </c>
      <c r="B15" s="1041" t="s">
        <v>33</v>
      </c>
      <c r="C15" s="1036">
        <f>SUM(C13:C14)</f>
        <v>646</v>
      </c>
      <c r="D15" s="1036"/>
      <c r="E15" s="1036">
        <f>+C15+G10</f>
        <v>1530.6579999999994</v>
      </c>
      <c r="F15" s="1042">
        <f>SUM(F13:F14)</f>
        <v>558.04899999999998</v>
      </c>
      <c r="G15" s="1043">
        <f>+E15-F15</f>
        <v>972.60899999999947</v>
      </c>
      <c r="H15" s="65"/>
      <c r="I15" s="1028"/>
      <c r="J15" s="211"/>
    </row>
    <row r="16" spans="1:10" ht="13.5">
      <c r="A16" s="197"/>
      <c r="B16" s="198"/>
      <c r="C16" s="1038"/>
      <c r="D16" s="1038"/>
      <c r="E16" s="1038"/>
      <c r="F16" s="1038"/>
      <c r="G16" s="195"/>
      <c r="H16" s="65"/>
      <c r="I16" s="1028"/>
      <c r="J16" s="211"/>
    </row>
    <row r="17" spans="1:10" ht="13.5">
      <c r="A17" s="665" t="s">
        <v>47</v>
      </c>
      <c r="B17" s="665" t="s">
        <v>48</v>
      </c>
      <c r="C17" s="252" t="s">
        <v>49</v>
      </c>
      <c r="D17" s="252"/>
      <c r="E17" s="252" t="s">
        <v>50</v>
      </c>
      <c r="F17" s="665" t="s">
        <v>20</v>
      </c>
      <c r="G17" s="665" t="s">
        <v>21</v>
      </c>
      <c r="H17" s="665" t="s">
        <v>196</v>
      </c>
      <c r="I17" s="165">
        <v>2</v>
      </c>
      <c r="J17" s="211"/>
    </row>
    <row r="18" spans="1:10" ht="13.5">
      <c r="A18" s="1029" t="s">
        <v>96</v>
      </c>
      <c r="B18" s="1030" t="s">
        <v>34</v>
      </c>
      <c r="C18" s="1031">
        <v>244</v>
      </c>
      <c r="D18" s="1031"/>
      <c r="E18" s="1031">
        <f>+C18+G13+D18</f>
        <v>767.92399999999975</v>
      </c>
      <c r="F18" s="159">
        <f>+SUM('RAE S.común'!B16:B19)</f>
        <v>0</v>
      </c>
      <c r="G18" s="1032">
        <f>+E18-F18</f>
        <v>767.92399999999975</v>
      </c>
      <c r="H18" s="1305">
        <f>+G18/E18</f>
        <v>1</v>
      </c>
      <c r="I18" s="1304"/>
      <c r="J18" s="1303"/>
    </row>
    <row r="19" spans="1:10" ht="13.5">
      <c r="A19" s="1029" t="s">
        <v>97</v>
      </c>
      <c r="B19" s="196" t="s">
        <v>34</v>
      </c>
      <c r="C19" s="1031">
        <v>79</v>
      </c>
      <c r="D19" s="1031"/>
      <c r="E19" s="1031">
        <f>+C19+G14+D19</f>
        <v>527.68499999999995</v>
      </c>
      <c r="F19" s="159">
        <f>+SUM('RAE S.común'!B32:B35)</f>
        <v>40.581000000000003</v>
      </c>
      <c r="G19" s="1032">
        <f>+E19-F19</f>
        <v>487.10399999999993</v>
      </c>
      <c r="H19" s="1033">
        <f>+G19/E19</f>
        <v>0.92309616532590466</v>
      </c>
      <c r="I19" s="1044"/>
      <c r="J19" s="211"/>
    </row>
    <row r="20" spans="1:10" ht="13.5">
      <c r="A20" s="181" t="s">
        <v>52</v>
      </c>
      <c r="B20" s="1041" t="s">
        <v>34</v>
      </c>
      <c r="C20" s="1036">
        <f>SUM(C18:C19)</f>
        <v>323</v>
      </c>
      <c r="D20" s="1036"/>
      <c r="E20" s="1036">
        <f>+C20+G15</f>
        <v>1295.6089999999995</v>
      </c>
      <c r="F20" s="1042">
        <f>SUM(F18:F19)</f>
        <v>40.581000000000003</v>
      </c>
      <c r="G20" s="1037">
        <f>+E20-F20</f>
        <v>1255.0279999999996</v>
      </c>
      <c r="H20" s="65"/>
      <c r="I20" s="1028"/>
      <c r="J20" s="211"/>
    </row>
    <row r="21" spans="1:10" ht="13.5">
      <c r="A21" s="656"/>
      <c r="B21" s="1045"/>
      <c r="C21" s="1046"/>
      <c r="D21" s="1046"/>
      <c r="E21" s="1046"/>
      <c r="F21" s="1047"/>
      <c r="G21" s="657"/>
      <c r="H21" s="65"/>
      <c r="I21" s="1028"/>
      <c r="J21" s="211"/>
    </row>
    <row r="22" spans="1:10" ht="13.5">
      <c r="A22" s="3608" t="s">
        <v>186</v>
      </c>
      <c r="B22" s="3609"/>
      <c r="C22" s="63"/>
      <c r="D22" s="63"/>
      <c r="E22" s="63"/>
      <c r="F22" s="65"/>
      <c r="G22" s="65"/>
      <c r="H22" s="64"/>
      <c r="I22" s="1028"/>
      <c r="J22" s="211"/>
    </row>
    <row r="23" spans="1:10" ht="13.5">
      <c r="A23" s="64"/>
      <c r="B23" s="65"/>
      <c r="C23" s="63"/>
      <c r="D23" s="63"/>
      <c r="E23" s="63"/>
      <c r="F23" s="65"/>
      <c r="G23" s="65"/>
      <c r="H23" s="64"/>
      <c r="I23" s="1028"/>
      <c r="J23" s="211"/>
    </row>
    <row r="24" spans="1:10" ht="13.5">
      <c r="A24" s="665" t="s">
        <v>47</v>
      </c>
      <c r="B24" s="665" t="s">
        <v>48</v>
      </c>
      <c r="C24" s="252" t="s">
        <v>49</v>
      </c>
      <c r="D24" s="252" t="s">
        <v>184</v>
      </c>
      <c r="E24" s="252" t="s">
        <v>50</v>
      </c>
      <c r="F24" s="665" t="s">
        <v>20</v>
      </c>
      <c r="G24" s="665" t="s">
        <v>21</v>
      </c>
      <c r="H24" s="665" t="s">
        <v>196</v>
      </c>
      <c r="I24" s="165" t="s">
        <v>23</v>
      </c>
      <c r="J24" s="211"/>
    </row>
    <row r="25" spans="1:10" s="219" customFormat="1">
      <c r="A25" s="274" t="s">
        <v>187</v>
      </c>
      <c r="B25" s="1048" t="s">
        <v>32</v>
      </c>
      <c r="C25" s="2116">
        <v>1866.7650000000001</v>
      </c>
      <c r="D25" s="1049"/>
      <c r="E25" s="1406">
        <f>+C25+D25</f>
        <v>1866.7650000000001</v>
      </c>
      <c r="F25" s="1050">
        <f>+SUM('RAE S.común'!B41:B44)</f>
        <v>1266.3680000000002</v>
      </c>
      <c r="G25" s="1051">
        <f>+E25-F25</f>
        <v>600.39699999999993</v>
      </c>
      <c r="H25" s="1033">
        <f>+G25/E25</f>
        <v>0.32162430729095515</v>
      </c>
      <c r="I25" s="1052"/>
      <c r="J25" s="275"/>
    </row>
    <row r="26" spans="1:10" s="219" customFormat="1">
      <c r="A26" s="274" t="s">
        <v>610</v>
      </c>
      <c r="B26" s="1048" t="s">
        <v>32</v>
      </c>
      <c r="C26" s="2116">
        <v>17.812000000000001</v>
      </c>
      <c r="D26" s="1049"/>
      <c r="E26" s="1406">
        <f>+C26+D26</f>
        <v>17.812000000000001</v>
      </c>
      <c r="F26" s="1050">
        <f>+SUM('RAE S.común'!B57:B60)</f>
        <v>0</v>
      </c>
      <c r="G26" s="1051">
        <f>+E26-F26</f>
        <v>17.812000000000001</v>
      </c>
      <c r="H26" s="1033">
        <f>+G26/E26</f>
        <v>1</v>
      </c>
      <c r="I26" s="1052"/>
      <c r="J26" s="275"/>
    </row>
    <row r="27" spans="1:10" s="3470" customFormat="1">
      <c r="A27" s="3464" t="s">
        <v>93</v>
      </c>
      <c r="B27" s="3465" t="s">
        <v>32</v>
      </c>
      <c r="C27" s="3466">
        <v>99.421999999999997</v>
      </c>
      <c r="D27" s="2402"/>
      <c r="E27" s="2402">
        <f>+C27</f>
        <v>99.421999999999997</v>
      </c>
      <c r="F27" s="3467">
        <f>+SUM('RAE S.común'!B73:B76)</f>
        <v>258.18100000000004</v>
      </c>
      <c r="G27" s="3468">
        <f>+E27-F27</f>
        <v>-158.75900000000004</v>
      </c>
      <c r="H27" s="3071">
        <f>G27/E27</f>
        <v>-1.5968196173885061</v>
      </c>
      <c r="I27" s="3469" t="s">
        <v>926</v>
      </c>
      <c r="J27" s="2540" t="s">
        <v>508</v>
      </c>
    </row>
    <row r="28" spans="1:10" ht="13.5">
      <c r="A28" s="181" t="s">
        <v>52</v>
      </c>
      <c r="B28" s="181" t="s">
        <v>32</v>
      </c>
      <c r="C28" s="1036">
        <f>SUM(C25:C27)</f>
        <v>1983.999</v>
      </c>
      <c r="D28" s="1036"/>
      <c r="E28" s="1036">
        <f>SUM(E25:E27)</f>
        <v>1983.999</v>
      </c>
      <c r="F28" s="1037">
        <f>SUM(F25:F27)</f>
        <v>1524.5490000000002</v>
      </c>
      <c r="G28" s="1036">
        <f>+E28-F28</f>
        <v>459.44999999999982</v>
      </c>
      <c r="H28" s="65"/>
      <c r="I28" s="1053"/>
      <c r="J28" s="211"/>
    </row>
    <row r="29" spans="1:10" ht="13.5">
      <c r="A29" s="194"/>
      <c r="B29" s="65"/>
      <c r="C29" s="1038"/>
      <c r="D29" s="1038"/>
      <c r="E29" s="1038"/>
      <c r="F29" s="195"/>
      <c r="G29" s="195"/>
      <c r="H29" s="65"/>
      <c r="I29" s="1053"/>
      <c r="J29" s="211"/>
    </row>
    <row r="30" spans="1:10" ht="13.5">
      <c r="A30" s="665" t="s">
        <v>47</v>
      </c>
      <c r="B30" s="665" t="s">
        <v>48</v>
      </c>
      <c r="C30" s="252" t="s">
        <v>49</v>
      </c>
      <c r="D30" s="252"/>
      <c r="E30" s="252" t="s">
        <v>50</v>
      </c>
      <c r="F30" s="665" t="s">
        <v>20</v>
      </c>
      <c r="G30" s="665" t="s">
        <v>21</v>
      </c>
      <c r="H30" s="665" t="s">
        <v>196</v>
      </c>
      <c r="I30" s="1054" t="s">
        <v>23</v>
      </c>
      <c r="J30" s="211"/>
    </row>
    <row r="31" spans="1:10" s="219" customFormat="1">
      <c r="A31" s="274" t="s">
        <v>187</v>
      </c>
      <c r="B31" s="196" t="s">
        <v>33</v>
      </c>
      <c r="C31" s="2116">
        <v>219.232</v>
      </c>
      <c r="D31" s="1031"/>
      <c r="E31" s="1031">
        <f>+C31+G25</f>
        <v>819.62899999999991</v>
      </c>
      <c r="F31" s="1050">
        <f>+SUM('RAE S.común'!B45:B48)</f>
        <v>337.93099999999998</v>
      </c>
      <c r="G31" s="1051">
        <f>+E31-F31</f>
        <v>481.69799999999992</v>
      </c>
      <c r="H31" s="1033">
        <f>+G31/E31</f>
        <v>0.58770248490475563</v>
      </c>
      <c r="I31" s="1055"/>
      <c r="J31" s="275"/>
    </row>
    <row r="32" spans="1:10" s="219" customFormat="1">
      <c r="A32" s="274" t="s">
        <v>610</v>
      </c>
      <c r="B32" s="196" t="s">
        <v>33</v>
      </c>
      <c r="C32" s="2116">
        <v>2.0920000000000001</v>
      </c>
      <c r="D32" s="1031"/>
      <c r="E32" s="1031">
        <f t="shared" ref="E32:E33" si="0">+C32+G26</f>
        <v>19.904</v>
      </c>
      <c r="F32" s="1050">
        <f>+SUM('RAE S.común'!B61:B64)</f>
        <v>0</v>
      </c>
      <c r="G32" s="1051">
        <f t="shared" ref="G32:G33" si="1">+E32-F32</f>
        <v>19.904</v>
      </c>
      <c r="H32" s="1033">
        <f t="shared" ref="H32:H33" si="2">+G32/E32</f>
        <v>1</v>
      </c>
      <c r="I32" s="1055"/>
      <c r="J32" s="275"/>
    </row>
    <row r="33" spans="1:18" s="1415" customFormat="1" ht="13.5">
      <c r="A33" s="3471" t="s">
        <v>93</v>
      </c>
      <c r="B33" s="3465" t="s">
        <v>33</v>
      </c>
      <c r="C33" s="3466">
        <v>11.676</v>
      </c>
      <c r="D33" s="2402"/>
      <c r="E33" s="2402">
        <f t="shared" si="0"/>
        <v>-147.08300000000006</v>
      </c>
      <c r="F33" s="1409">
        <f>+SUM('RAE S.común'!B77:B80)</f>
        <v>0.1</v>
      </c>
      <c r="G33" s="3472">
        <f t="shared" si="1"/>
        <v>-147.18300000000005</v>
      </c>
      <c r="H33" s="3071">
        <f t="shared" si="2"/>
        <v>1.0006798882263754</v>
      </c>
      <c r="I33" s="3469" t="s">
        <v>926</v>
      </c>
      <c r="J33" s="2540" t="s">
        <v>508</v>
      </c>
    </row>
    <row r="34" spans="1:18" ht="13.5">
      <c r="A34" s="181" t="s">
        <v>52</v>
      </c>
      <c r="B34" s="1041" t="s">
        <v>33</v>
      </c>
      <c r="C34" s="1036">
        <f>SUM(C31:C33)</f>
        <v>233</v>
      </c>
      <c r="D34" s="1036"/>
      <c r="E34" s="1036">
        <f>+C34+G28</f>
        <v>692.44999999999982</v>
      </c>
      <c r="F34" s="1042">
        <f>SUM(F31:F33)</f>
        <v>338.03100000000001</v>
      </c>
      <c r="G34" s="1043">
        <f>+E34-F34</f>
        <v>354.41899999999981</v>
      </c>
      <c r="H34" s="65"/>
      <c r="I34" s="1053"/>
      <c r="J34" s="211"/>
    </row>
    <row r="35" spans="1:18" ht="13.5">
      <c r="A35" s="197"/>
      <c r="B35" s="198"/>
      <c r="C35" s="1038"/>
      <c r="D35" s="1038"/>
      <c r="E35" s="1038"/>
      <c r="F35" s="1038"/>
      <c r="G35" s="195"/>
      <c r="H35" s="65"/>
      <c r="I35" s="1053"/>
      <c r="J35" s="211"/>
    </row>
    <row r="36" spans="1:18" ht="13.5">
      <c r="A36" s="665" t="s">
        <v>47</v>
      </c>
      <c r="B36" s="665" t="s">
        <v>48</v>
      </c>
      <c r="C36" s="252" t="s">
        <v>49</v>
      </c>
      <c r="D36" s="252"/>
      <c r="E36" s="252" t="s">
        <v>50</v>
      </c>
      <c r="F36" s="665" t="s">
        <v>20</v>
      </c>
      <c r="G36" s="665" t="s">
        <v>21</v>
      </c>
      <c r="H36" s="665" t="s">
        <v>196</v>
      </c>
      <c r="I36" s="1054" t="s">
        <v>23</v>
      </c>
      <c r="J36" s="211"/>
    </row>
    <row r="37" spans="1:18" ht="13.5">
      <c r="A37" s="239" t="s">
        <v>187</v>
      </c>
      <c r="B37" s="1030" t="s">
        <v>34</v>
      </c>
      <c r="C37" s="2116">
        <v>110.086</v>
      </c>
      <c r="D37" s="1031"/>
      <c r="E37" s="1031">
        <f>+C37+G31</f>
        <v>591.78399999999988</v>
      </c>
      <c r="F37" s="1050">
        <f>+SUM('RAE S.común'!B49:B52)</f>
        <v>2.79</v>
      </c>
      <c r="G37" s="1051">
        <f>+E37-F37</f>
        <v>588.99399999999991</v>
      </c>
      <c r="H37" s="1033">
        <f>+G37/E37</f>
        <v>0.99528544198558944</v>
      </c>
      <c r="I37" s="1057"/>
      <c r="J37" s="211"/>
    </row>
    <row r="38" spans="1:18" s="2082" customFormat="1" ht="13.5">
      <c r="A38" s="239" t="s">
        <v>610</v>
      </c>
      <c r="B38" s="1030" t="s">
        <v>34</v>
      </c>
      <c r="C38" s="2116">
        <v>1.05</v>
      </c>
      <c r="D38" s="1031"/>
      <c r="E38" s="1031">
        <f t="shared" ref="E38:E39" si="3">+C38+G32</f>
        <v>20.954000000000001</v>
      </c>
      <c r="F38" s="1050">
        <f>+SUM('RAE S.común'!B65:B68)</f>
        <v>0</v>
      </c>
      <c r="G38" s="1051">
        <f t="shared" ref="G38:G39" si="4">+E38-F38</f>
        <v>20.954000000000001</v>
      </c>
      <c r="H38" s="1033">
        <f t="shared" ref="H38:H39" si="5">+G38/E38</f>
        <v>1</v>
      </c>
      <c r="I38" s="1057"/>
      <c r="J38" s="211"/>
    </row>
    <row r="39" spans="1:18" s="1415" customFormat="1" ht="13.5">
      <c r="A39" s="3471" t="s">
        <v>93</v>
      </c>
      <c r="B39" s="3465" t="s">
        <v>34</v>
      </c>
      <c r="C39" s="3466">
        <v>5.8630000000000004</v>
      </c>
      <c r="D39" s="2402"/>
      <c r="E39" s="2402">
        <f t="shared" si="3"/>
        <v>-141.32000000000005</v>
      </c>
      <c r="F39" s="1409">
        <f>+SUM('RAE S.común'!B81:B84)</f>
        <v>0</v>
      </c>
      <c r="G39" s="3472">
        <f t="shared" si="4"/>
        <v>-141.32000000000005</v>
      </c>
      <c r="H39" s="3071">
        <f t="shared" si="5"/>
        <v>1</v>
      </c>
      <c r="I39" s="3469" t="s">
        <v>926</v>
      </c>
      <c r="J39" s="2540" t="s">
        <v>508</v>
      </c>
    </row>
    <row r="40" spans="1:18" ht="13.5">
      <c r="A40" s="181" t="s">
        <v>52</v>
      </c>
      <c r="B40" s="1041" t="s">
        <v>34</v>
      </c>
      <c r="C40" s="1036">
        <f>SUM(C37:C39)</f>
        <v>116.999</v>
      </c>
      <c r="D40" s="1036"/>
      <c r="E40" s="1036">
        <f>+C40+G34</f>
        <v>471.41799999999978</v>
      </c>
      <c r="F40" s="1042">
        <f>SUM(F37:F39)</f>
        <v>2.79</v>
      </c>
      <c r="G40" s="1037">
        <f>+E40-F40</f>
        <v>468.62799999999976</v>
      </c>
      <c r="H40" s="65"/>
      <c r="I40" s="1028"/>
      <c r="J40" s="211"/>
    </row>
    <row r="41" spans="1:18" ht="13.5">
      <c r="C41" s="1038"/>
      <c r="D41" s="1038"/>
      <c r="E41" s="1038"/>
      <c r="F41" s="1038"/>
      <c r="G41" s="3611"/>
      <c r="H41" s="3612"/>
      <c r="I41" s="1028"/>
      <c r="J41" s="213"/>
      <c r="N41" s="709" t="s">
        <v>1174</v>
      </c>
    </row>
    <row r="42" spans="1:18" ht="15.75" customHeight="1">
      <c r="A42" s="3610" t="s">
        <v>53</v>
      </c>
      <c r="B42" s="3610"/>
      <c r="C42" s="1038"/>
      <c r="D42" s="1038"/>
      <c r="E42" s="1038"/>
      <c r="F42" s="195"/>
      <c r="G42" s="195"/>
      <c r="H42" s="64"/>
      <c r="I42" s="1028"/>
      <c r="J42" s="211"/>
      <c r="L42" s="1415" t="s">
        <v>707</v>
      </c>
      <c r="N42" s="3315" t="s">
        <v>1173</v>
      </c>
      <c r="O42" s="3315"/>
      <c r="P42" s="3315"/>
      <c r="Q42" s="3315"/>
      <c r="R42" s="3315"/>
    </row>
    <row r="43" spans="1:18" ht="14.25" thickBot="1">
      <c r="A43" s="665" t="s">
        <v>47</v>
      </c>
      <c r="B43" s="665" t="s">
        <v>48</v>
      </c>
      <c r="C43" s="252" t="s">
        <v>49</v>
      </c>
      <c r="D43" s="252" t="s">
        <v>244</v>
      </c>
      <c r="E43" s="252" t="s">
        <v>50</v>
      </c>
      <c r="F43" s="665" t="s">
        <v>20</v>
      </c>
      <c r="G43" s="665" t="s">
        <v>21</v>
      </c>
      <c r="H43" s="665" t="s">
        <v>196</v>
      </c>
      <c r="I43" s="165" t="s">
        <v>23</v>
      </c>
      <c r="J43" s="211"/>
      <c r="L43" s="1415" t="s">
        <v>708</v>
      </c>
    </row>
    <row r="44" spans="1:18" ht="21">
      <c r="A44" s="2440" t="s">
        <v>646</v>
      </c>
      <c r="B44" s="1058" t="s">
        <v>54</v>
      </c>
      <c r="C44" s="1059">
        <v>1070</v>
      </c>
      <c r="D44" s="1068"/>
      <c r="E44" s="1031">
        <f>+C44+D44</f>
        <v>1070</v>
      </c>
      <c r="F44" s="1060">
        <f>18.167+9.52+1.74+23.44+1.64+55.25+19.71+0.26+1.72+0.52+0.15</f>
        <v>132.11700000000002</v>
      </c>
      <c r="G44" s="1061">
        <f>+E44-F44</f>
        <v>937.88300000000004</v>
      </c>
      <c r="H44" s="2571">
        <f t="shared" ref="H44:H107" si="6">+G44/E44</f>
        <v>0.87652616822429907</v>
      </c>
      <c r="I44" s="1031"/>
      <c r="J44" s="2406"/>
      <c r="K44" s="102">
        <f>+(L44-F44)</f>
        <v>-2.0000000000095497E-3</v>
      </c>
      <c r="L44" s="102">
        <v>132.11500000000001</v>
      </c>
      <c r="N44" s="312">
        <f>+C44+C110</f>
        <v>1126</v>
      </c>
      <c r="O44" s="102">
        <f>+F44+F110</f>
        <v>142.13300000000001</v>
      </c>
      <c r="P44" s="102">
        <f>+N44-O44</f>
        <v>983.86699999999996</v>
      </c>
    </row>
    <row r="45" spans="1:18" ht="21">
      <c r="A45" s="2619" t="s">
        <v>647</v>
      </c>
      <c r="B45" s="1058" t="s">
        <v>54</v>
      </c>
      <c r="C45" s="1059">
        <v>2782</v>
      </c>
      <c r="D45" s="1059"/>
      <c r="E45" s="1031">
        <f t="shared" ref="E45:E106" si="7">+C45+D45</f>
        <v>2782</v>
      </c>
      <c r="F45" s="1062">
        <f>70.33+97.19+6.04+30.83+87.19+93.54+3.12+53.6+26.81+65.85+37.77+37.15+8.41+12.04+2.41+61.96+157.23+29.53+40.23+52.2+8.1</f>
        <v>981.53</v>
      </c>
      <c r="G45" s="1061">
        <f t="shared" ref="G45:G101" si="8">+E45-F45</f>
        <v>1800.47</v>
      </c>
      <c r="H45" s="2571">
        <f>+G45/E45</f>
        <v>0.6471854780733286</v>
      </c>
      <c r="I45" s="1063"/>
      <c r="J45" s="2428"/>
      <c r="K45" s="102">
        <f t="shared" ref="K45:K106" si="9">+(L45-F45)</f>
        <v>-4.0000000000190994E-3</v>
      </c>
      <c r="L45" s="102">
        <v>981.52599999999995</v>
      </c>
      <c r="N45" s="312">
        <f>+C45+C111</f>
        <v>2907</v>
      </c>
      <c r="O45" s="102">
        <f t="shared" ref="O45:O105" si="10">+F45+F111</f>
        <v>1202.884</v>
      </c>
      <c r="P45" s="102">
        <f t="shared" ref="P45:P105" si="11">+N45-O45</f>
        <v>1704.116</v>
      </c>
    </row>
    <row r="46" spans="1:18" ht="21">
      <c r="A46" s="2440" t="s">
        <v>648</v>
      </c>
      <c r="B46" s="1058" t="s">
        <v>54</v>
      </c>
      <c r="C46" s="1059">
        <v>17</v>
      </c>
      <c r="D46" s="1059"/>
      <c r="E46" s="1031">
        <f t="shared" si="7"/>
        <v>17</v>
      </c>
      <c r="F46" s="1062">
        <v>9.4700000000000006</v>
      </c>
      <c r="G46" s="1061">
        <f t="shared" si="8"/>
        <v>7.5299999999999994</v>
      </c>
      <c r="H46" s="2571">
        <f t="shared" si="6"/>
        <v>0.44294117647058817</v>
      </c>
      <c r="I46" s="889"/>
      <c r="J46" s="2406"/>
      <c r="K46" s="102">
        <f t="shared" si="9"/>
        <v>1.9999999999988916E-3</v>
      </c>
      <c r="L46" s="102">
        <v>9.4719999999999995</v>
      </c>
      <c r="N46" s="312">
        <f t="shared" ref="N46:N105" si="12">+C46+C112</f>
        <v>29</v>
      </c>
      <c r="O46" s="102">
        <f t="shared" si="10"/>
        <v>16.712</v>
      </c>
      <c r="P46" s="102">
        <f t="shared" si="11"/>
        <v>12.288</v>
      </c>
    </row>
    <row r="47" spans="1:18" ht="15">
      <c r="A47" s="2440" t="s">
        <v>649</v>
      </c>
      <c r="B47" s="1058" t="s">
        <v>54</v>
      </c>
      <c r="C47" s="1059">
        <v>13248</v>
      </c>
      <c r="D47" s="1059"/>
      <c r="E47" s="1031">
        <f t="shared" si="7"/>
        <v>13248</v>
      </c>
      <c r="F47" s="1062">
        <f>5.05+618.37+411.79+48.81+73.68+44.03+20.97+4.03+68.13+48.291+62.04+15.178+165.492+62.31+39.431+1.047+17.355+68.055+133.864+79.254+0.231+58.318+13.24+24.823+13.328+5.204+0.377+180.833+79.305+158.42+116.07+78.2+21.928+36.791+120.884+18.871+45.104+77.41+402.34+709.823+328.21+490.444+55.209</f>
        <v>5022.54</v>
      </c>
      <c r="G47" s="1061">
        <f t="shared" si="8"/>
        <v>8225.4599999999991</v>
      </c>
      <c r="H47" s="2571">
        <f t="shared" si="6"/>
        <v>0.62088315217391299</v>
      </c>
      <c r="I47" s="889"/>
      <c r="J47" s="2406"/>
      <c r="K47" s="232">
        <f t="shared" si="9"/>
        <v>0</v>
      </c>
      <c r="L47" s="102">
        <v>5022.54</v>
      </c>
      <c r="N47" s="312">
        <f t="shared" si="12"/>
        <v>13945</v>
      </c>
      <c r="O47" s="102">
        <f t="shared" si="10"/>
        <v>5876.549</v>
      </c>
      <c r="P47" s="102">
        <f t="shared" si="11"/>
        <v>8068.451</v>
      </c>
    </row>
    <row r="48" spans="1:18" ht="15">
      <c r="A48" s="2440" t="s">
        <v>650</v>
      </c>
      <c r="B48" s="1058" t="s">
        <v>54</v>
      </c>
      <c r="C48" s="1059">
        <v>161</v>
      </c>
      <c r="D48" s="1059"/>
      <c r="E48" s="1031">
        <f t="shared" si="7"/>
        <v>161</v>
      </c>
      <c r="F48" s="1062">
        <v>0</v>
      </c>
      <c r="G48" s="1061">
        <f t="shared" si="8"/>
        <v>161</v>
      </c>
      <c r="H48" s="2571">
        <f t="shared" si="6"/>
        <v>1</v>
      </c>
      <c r="I48" s="1064"/>
      <c r="J48" s="2428"/>
      <c r="K48" s="102">
        <f t="shared" si="9"/>
        <v>0</v>
      </c>
      <c r="L48" s="102">
        <v>0</v>
      </c>
      <c r="N48" s="312">
        <f t="shared" si="12"/>
        <v>169</v>
      </c>
      <c r="O48" s="102">
        <f t="shared" si="10"/>
        <v>0</v>
      </c>
      <c r="P48" s="102">
        <f t="shared" si="11"/>
        <v>169</v>
      </c>
    </row>
    <row r="49" spans="1:16" ht="15">
      <c r="A49" s="2440" t="s">
        <v>651</v>
      </c>
      <c r="B49" s="1058" t="s">
        <v>54</v>
      </c>
      <c r="C49" s="1059">
        <v>10014</v>
      </c>
      <c r="D49" s="1059"/>
      <c r="E49" s="1031">
        <f t="shared" si="7"/>
        <v>10014</v>
      </c>
      <c r="F49" s="1062">
        <f>425.47+229.94+96.17+25.33+58.78+105.25+11.24+13.7+146.015+12.862+28.175+0.57+6.238+47.706+0.323+1.679+0.996+5.968+24.212+3+33.853+2.002+61.87+342.823+211.58+97.068+41.33+15.487</f>
        <v>2049.6369999999997</v>
      </c>
      <c r="G49" s="1061">
        <f t="shared" si="8"/>
        <v>7964.3630000000003</v>
      </c>
      <c r="H49" s="2571">
        <f t="shared" si="6"/>
        <v>0.79532284801278208</v>
      </c>
      <c r="I49" s="1065"/>
      <c r="J49" s="2406"/>
      <c r="K49" s="232">
        <f t="shared" si="9"/>
        <v>4.5474735088646412E-13</v>
      </c>
      <c r="L49" s="102">
        <v>2049.6370000000002</v>
      </c>
      <c r="N49" s="312">
        <f t="shared" si="12"/>
        <v>10541</v>
      </c>
      <c r="O49" s="102">
        <f t="shared" si="10"/>
        <v>2545.2640000000001</v>
      </c>
      <c r="P49" s="102">
        <f t="shared" si="11"/>
        <v>7995.7359999999999</v>
      </c>
    </row>
    <row r="50" spans="1:16" ht="21">
      <c r="A50" s="2440" t="s">
        <v>652</v>
      </c>
      <c r="B50" s="1058" t="s">
        <v>54</v>
      </c>
      <c r="C50" s="1059">
        <v>10467</v>
      </c>
      <c r="D50" s="1059"/>
      <c r="E50" s="1031">
        <f t="shared" si="7"/>
        <v>10467</v>
      </c>
      <c r="F50" s="1062">
        <f>159.377+124.79+8.41+0.52+149.03+122.14+48.23+52.16+115.92+107.06+107.89+254.33+33.92+16.2+141.98+95.72+37.9+30.25+106.68+19.38+13.54+13.64+41.08+17.18+21.56+32.1+40.54+91.25+17.88+44.5+2.91+14.48+57.57+49.06+76.13+125.06+25.69+39.32+18.2+17.78+13.68+18.55+431.215+78.232+57.932+14.825</f>
        <v>3105.7910000000002</v>
      </c>
      <c r="G50" s="1061">
        <f t="shared" si="8"/>
        <v>7361.2089999999998</v>
      </c>
      <c r="H50" s="2571">
        <f t="shared" si="6"/>
        <v>0.70327782554695706</v>
      </c>
      <c r="I50" s="1066"/>
      <c r="J50" s="2406"/>
      <c r="K50" s="232">
        <f t="shared" si="9"/>
        <v>0</v>
      </c>
      <c r="L50" s="102">
        <v>3105.7910000000002</v>
      </c>
      <c r="N50" s="312">
        <f t="shared" si="12"/>
        <v>11018</v>
      </c>
      <c r="O50" s="102">
        <f t="shared" si="10"/>
        <v>3402.5639999999999</v>
      </c>
      <c r="P50" s="102">
        <f t="shared" si="11"/>
        <v>7615.4359999999997</v>
      </c>
    </row>
    <row r="51" spans="1:16" ht="21">
      <c r="A51" s="2440" t="s">
        <v>653</v>
      </c>
      <c r="B51" s="1058" t="s">
        <v>54</v>
      </c>
      <c r="C51" s="1059">
        <v>8194</v>
      </c>
      <c r="D51" s="1059"/>
      <c r="E51" s="1031">
        <f t="shared" si="7"/>
        <v>8194</v>
      </c>
      <c r="F51" s="1062">
        <f>217.94+153.68+146.97+6.77+175.03+207.48+39.04+29.23+105.72+51.54+160.25+221.49+320.15+89.72+36.71+11.94+23.74+22.75+11.47+6.26+30.64+12.34+339.48+208.2+318.18+340.71+19.99+164.65+8.35+4.7+332.37+145.47+434.69+186.49+253.74+10.88+284.4</f>
        <v>5133.159999999998</v>
      </c>
      <c r="G51" s="1061">
        <f t="shared" si="8"/>
        <v>3060.840000000002</v>
      </c>
      <c r="H51" s="2571">
        <f t="shared" si="6"/>
        <v>0.37354649743714935</v>
      </c>
      <c r="I51" s="1065"/>
      <c r="J51" s="2428"/>
      <c r="K51" s="102">
        <f t="shared" si="9"/>
        <v>-1.9999999976789695E-3</v>
      </c>
      <c r="L51" s="102">
        <v>5133.1580000000004</v>
      </c>
      <c r="N51" s="312">
        <f t="shared" si="12"/>
        <v>8625</v>
      </c>
      <c r="O51" s="102">
        <f t="shared" si="10"/>
        <v>6032.5219999999999</v>
      </c>
      <c r="P51" s="102">
        <f t="shared" si="11"/>
        <v>2592.4780000000001</v>
      </c>
    </row>
    <row r="52" spans="1:16" ht="15">
      <c r="A52" s="2440" t="s">
        <v>654</v>
      </c>
      <c r="B52" s="1058" t="s">
        <v>54</v>
      </c>
      <c r="C52" s="1059">
        <v>1233</v>
      </c>
      <c r="D52" s="1059"/>
      <c r="E52" s="1031">
        <f t="shared" si="7"/>
        <v>1233</v>
      </c>
      <c r="F52" s="1062">
        <f>53.43+72.73+30.84+20.89+16.04+91.11+85.43+17.05+44.56+24.76+4.84+77.27+17.31+9.47</f>
        <v>565.7299999999999</v>
      </c>
      <c r="G52" s="1061">
        <f t="shared" si="8"/>
        <v>667.2700000000001</v>
      </c>
      <c r="H52" s="2571">
        <f t="shared" si="6"/>
        <v>0.54117599351176005</v>
      </c>
      <c r="I52" s="1065"/>
      <c r="J52" s="2406"/>
      <c r="K52" s="102">
        <f t="shared" si="9"/>
        <v>4.0000000001327862E-3</v>
      </c>
      <c r="L52" s="102">
        <v>565.73400000000004</v>
      </c>
      <c r="N52" s="312">
        <f t="shared" si="12"/>
        <v>1435</v>
      </c>
      <c r="O52" s="102">
        <f t="shared" si="10"/>
        <v>639.40200000000004</v>
      </c>
      <c r="P52" s="102">
        <f t="shared" si="11"/>
        <v>795.59799999999996</v>
      </c>
    </row>
    <row r="53" spans="1:16" s="2387" customFormat="1" ht="15">
      <c r="A53" s="2546" t="s">
        <v>655</v>
      </c>
      <c r="B53" s="2422" t="s">
        <v>54</v>
      </c>
      <c r="C53" s="2423">
        <v>470</v>
      </c>
      <c r="D53" s="2423"/>
      <c r="E53" s="1031">
        <f t="shared" si="7"/>
        <v>470</v>
      </c>
      <c r="F53" s="2424">
        <f>27.33+1.72+5.82+1.39+0.32+0.67+1.12+0.54</f>
        <v>38.909999999999997</v>
      </c>
      <c r="G53" s="2418">
        <f t="shared" si="8"/>
        <v>431.09000000000003</v>
      </c>
      <c r="H53" s="2571">
        <f t="shared" si="6"/>
        <v>0.91721276595744683</v>
      </c>
      <c r="I53" s="1482"/>
      <c r="J53" s="2406"/>
      <c r="K53" s="102">
        <f t="shared" si="9"/>
        <v>-9.9999999999766942E-4</v>
      </c>
      <c r="L53" s="1830">
        <v>38.908999999999999</v>
      </c>
      <c r="N53" s="312">
        <f t="shared" si="12"/>
        <v>505</v>
      </c>
      <c r="O53" s="102">
        <f t="shared" si="10"/>
        <v>38.908999999999999</v>
      </c>
      <c r="P53" s="102">
        <f t="shared" si="11"/>
        <v>466.09100000000001</v>
      </c>
    </row>
    <row r="54" spans="1:16" ht="15">
      <c r="A54" s="2440" t="s">
        <v>656</v>
      </c>
      <c r="B54" s="1058" t="s">
        <v>54</v>
      </c>
      <c r="C54" s="1059">
        <v>27396</v>
      </c>
      <c r="D54" s="1059"/>
      <c r="E54" s="1031">
        <f t="shared" si="7"/>
        <v>27396</v>
      </c>
      <c r="F54" s="1062">
        <f>926.042+2344.86+198.58+273.89+174.5+130.37+1097.11+745.99+151.9+266.92+167.61+112.72+39.97+218.53+21.36+25.33+89.53+88.89+76.02+0.52+29.14+21.23+18.49+54.27+2.25+31.66+35.62+22.25+1.26+10.23+250.54+74+157.26+69.5+3.47+11.28+75.52+28.51+5.83+325.48+229.42+772.04+395.71+201.65+53.34+143.15</f>
        <v>10173.741999999998</v>
      </c>
      <c r="G54" s="1061">
        <f t="shared" si="8"/>
        <v>17222.258000000002</v>
      </c>
      <c r="H54" s="2571">
        <f t="shared" si="6"/>
        <v>0.62864133450138715</v>
      </c>
      <c r="I54" s="1063"/>
      <c r="J54" s="2428"/>
      <c r="K54" s="102">
        <f t="shared" si="9"/>
        <v>-4.9999999991996447E-3</v>
      </c>
      <c r="L54" s="102">
        <v>10173.736999999999</v>
      </c>
      <c r="N54" s="312">
        <f t="shared" si="12"/>
        <v>28838</v>
      </c>
      <c r="O54" s="102">
        <f t="shared" si="10"/>
        <v>11521.753000000001</v>
      </c>
      <c r="P54" s="102">
        <f t="shared" si="11"/>
        <v>17316.246999999999</v>
      </c>
    </row>
    <row r="55" spans="1:16" ht="15">
      <c r="A55" s="2440" t="s">
        <v>657</v>
      </c>
      <c r="B55" s="1058" t="s">
        <v>54</v>
      </c>
      <c r="C55" s="1059">
        <v>1791</v>
      </c>
      <c r="D55" s="1059"/>
      <c r="E55" s="1031">
        <f t="shared" si="7"/>
        <v>1791</v>
      </c>
      <c r="F55" s="1062">
        <f>36.263+102.05+21.82+22.71+7.78+9.37+35.22+11.76+0.38+6.6+5.66+0.16+2.13+0.34+2.79+0.3+0.43</f>
        <v>265.76300000000003</v>
      </c>
      <c r="G55" s="1061">
        <f t="shared" si="8"/>
        <v>1525.2370000000001</v>
      </c>
      <c r="H55" s="2571">
        <f t="shared" si="6"/>
        <v>0.85161194863204914</v>
      </c>
      <c r="I55" s="1067"/>
      <c r="J55" s="2406"/>
      <c r="K55" s="102">
        <f t="shared" si="9"/>
        <v>3.999999999962256E-3</v>
      </c>
      <c r="L55" s="102">
        <v>265.767</v>
      </c>
      <c r="N55" s="312">
        <f t="shared" si="12"/>
        <v>1885</v>
      </c>
      <c r="O55" s="102">
        <f t="shared" si="10"/>
        <v>277.29899999999998</v>
      </c>
      <c r="P55" s="102">
        <f t="shared" si="11"/>
        <v>1607.701</v>
      </c>
    </row>
    <row r="56" spans="1:16" ht="15">
      <c r="A56" s="2440" t="s">
        <v>658</v>
      </c>
      <c r="B56" s="1058" t="s">
        <v>54</v>
      </c>
      <c r="C56" s="1059">
        <v>5408</v>
      </c>
      <c r="D56" s="1068"/>
      <c r="E56" s="1031">
        <f t="shared" si="7"/>
        <v>5408</v>
      </c>
      <c r="F56" s="1062">
        <f>11.792+75.21+82.73+0.24+4.13+83.54+139.73+22.49+21.23+57.29+30.7+25.95+37.24+22.55+24.31+16.93</f>
        <v>656.0619999999999</v>
      </c>
      <c r="G56" s="1061">
        <f>+E56-F56</f>
        <v>4751.9380000000001</v>
      </c>
      <c r="H56" s="2571">
        <f t="shared" si="6"/>
        <v>0.87868676035502957</v>
      </c>
      <c r="I56" s="1057"/>
      <c r="J56" s="2406"/>
      <c r="K56" s="102">
        <f t="shared" si="9"/>
        <v>1.1368683772161603E-13</v>
      </c>
      <c r="L56" s="102">
        <v>656.06200000000001</v>
      </c>
      <c r="N56" s="312">
        <f t="shared" si="12"/>
        <v>5693</v>
      </c>
      <c r="O56" s="102">
        <f t="shared" si="10"/>
        <v>843.9</v>
      </c>
      <c r="P56" s="102">
        <f t="shared" si="11"/>
        <v>4849.1000000000004</v>
      </c>
    </row>
    <row r="57" spans="1:16" ht="15">
      <c r="A57" s="2440" t="s">
        <v>659</v>
      </c>
      <c r="B57" s="1069" t="s">
        <v>54</v>
      </c>
      <c r="C57" s="1059">
        <v>161</v>
      </c>
      <c r="D57" s="1059"/>
      <c r="E57" s="1031">
        <f t="shared" si="7"/>
        <v>161</v>
      </c>
      <c r="F57" s="1062">
        <v>0</v>
      </c>
      <c r="G57" s="1061">
        <f>+E57-F57</f>
        <v>161</v>
      </c>
      <c r="H57" s="2571">
        <f t="shared" si="6"/>
        <v>1</v>
      </c>
      <c r="I57" s="1063"/>
      <c r="J57" s="2428"/>
      <c r="K57" s="102">
        <f t="shared" si="9"/>
        <v>0</v>
      </c>
      <c r="L57" s="102">
        <v>0</v>
      </c>
      <c r="N57" s="312">
        <f t="shared" si="12"/>
        <v>169</v>
      </c>
      <c r="O57" s="102">
        <f t="shared" si="10"/>
        <v>0</v>
      </c>
      <c r="P57" s="102">
        <f t="shared" si="11"/>
        <v>169</v>
      </c>
    </row>
    <row r="58" spans="1:16" ht="15">
      <c r="A58" s="2440" t="s">
        <v>660</v>
      </c>
      <c r="B58" s="1058" t="s">
        <v>54</v>
      </c>
      <c r="C58" s="1059">
        <v>10023</v>
      </c>
      <c r="D58" s="1059"/>
      <c r="E58" s="1031">
        <f t="shared" si="7"/>
        <v>10023</v>
      </c>
      <c r="F58" s="1062">
        <f>66.99+328.67+351.41+108.19+245.06+92.39+22.64+60.58+69.63+18.89+6.71+54.75+27.7+51.8+77.73+30.47+111.965+34.424+8.94+11.592+3.662+40.186+74.894+79.805+15.73+2.995+79.735+227.765+510.479+380.58+252.707+41.544+55.645</f>
        <v>3546.2579999999994</v>
      </c>
      <c r="G58" s="1061">
        <f t="shared" si="8"/>
        <v>6476.7420000000002</v>
      </c>
      <c r="H58" s="2571">
        <f t="shared" si="6"/>
        <v>0.64618796767434905</v>
      </c>
      <c r="I58" s="1066"/>
      <c r="J58" s="2428"/>
      <c r="K58" s="232">
        <f t="shared" si="9"/>
        <v>4.5474735088646412E-13</v>
      </c>
      <c r="L58" s="102">
        <v>3546.2579999999998</v>
      </c>
      <c r="N58" s="312">
        <f t="shared" si="12"/>
        <v>10551</v>
      </c>
      <c r="O58" s="102">
        <f t="shared" si="10"/>
        <v>4352.0079999999998</v>
      </c>
      <c r="P58" s="102">
        <f t="shared" si="11"/>
        <v>6198.9920000000002</v>
      </c>
    </row>
    <row r="59" spans="1:16" ht="21">
      <c r="A59" s="2440" t="s">
        <v>661</v>
      </c>
      <c r="B59" s="1069" t="s">
        <v>54</v>
      </c>
      <c r="C59" s="1059">
        <v>5985</v>
      </c>
      <c r="D59" s="1059"/>
      <c r="E59" s="1031">
        <f t="shared" si="7"/>
        <v>5985</v>
      </c>
      <c r="F59" s="1062">
        <f>74.214+44.49+175.8+137.99+12.52+81.51+89+27.7+5.88+7.81+7.93+15.96+151.89+4.71+218.69+60.03+186.62+51.08+322.2+136.07+74.83+473.13+183.27+172.17+49.49</f>
        <v>2764.9839999999999</v>
      </c>
      <c r="G59" s="1061">
        <f t="shared" si="8"/>
        <v>3220.0160000000001</v>
      </c>
      <c r="H59" s="2571">
        <f t="shared" si="6"/>
        <v>0.5380143692564745</v>
      </c>
      <c r="I59" s="1066"/>
      <c r="J59" s="2428"/>
      <c r="K59" s="102">
        <f t="shared" si="9"/>
        <v>3.0000000001564331E-3</v>
      </c>
      <c r="L59" s="102">
        <v>2764.9870000000001</v>
      </c>
      <c r="N59" s="312">
        <f t="shared" si="12"/>
        <v>6300</v>
      </c>
      <c r="O59" s="102">
        <f t="shared" si="10"/>
        <v>3457.7860000000001</v>
      </c>
      <c r="P59" s="102">
        <f t="shared" si="11"/>
        <v>2842.2139999999999</v>
      </c>
    </row>
    <row r="60" spans="1:16" ht="21">
      <c r="A60" s="2440" t="s">
        <v>662</v>
      </c>
      <c r="B60" s="1058" t="s">
        <v>54</v>
      </c>
      <c r="C60" s="1059">
        <v>19493</v>
      </c>
      <c r="D60" s="1059"/>
      <c r="E60" s="1031">
        <f t="shared" si="7"/>
        <v>19493</v>
      </c>
      <c r="F60" s="1062">
        <f>87.315+112.5+52.34+4.2+43.4+67.16+615.27+117.58+34.58+49.46+36.1+12.51+10.58+4.32+45.95+3.3+11.9+0.63+3.28+1.13+3.69+18.88+6.94+103.81+326.69+303.83+94.96+65.78+13.47</f>
        <v>2251.5550000000003</v>
      </c>
      <c r="G60" s="1061">
        <f t="shared" si="8"/>
        <v>17241.445</v>
      </c>
      <c r="H60" s="2571">
        <f t="shared" si="6"/>
        <v>0.8844941773970143</v>
      </c>
      <c r="I60" s="1064"/>
      <c r="J60" s="2428"/>
      <c r="K60" s="102">
        <f t="shared" si="9"/>
        <v>-4.0000000003601599E-3</v>
      </c>
      <c r="L60" s="102">
        <v>2251.5509999999999</v>
      </c>
      <c r="N60" s="312">
        <f t="shared" si="12"/>
        <v>20519</v>
      </c>
      <c r="O60" s="102">
        <f t="shared" si="10"/>
        <v>2767.3690000000001</v>
      </c>
      <c r="P60" s="102">
        <f t="shared" si="11"/>
        <v>17751.631000000001</v>
      </c>
    </row>
    <row r="61" spans="1:16" ht="15">
      <c r="A61" s="2440" t="s">
        <v>663</v>
      </c>
      <c r="B61" s="1058" t="s">
        <v>54</v>
      </c>
      <c r="C61" s="1059">
        <v>335</v>
      </c>
      <c r="D61" s="1059"/>
      <c r="E61" s="1031">
        <f t="shared" si="7"/>
        <v>335</v>
      </c>
      <c r="F61" s="1062">
        <f>41.429+46.51+11.8+12.9+31.46+3.63</f>
        <v>147.72899999999998</v>
      </c>
      <c r="G61" s="1061">
        <f t="shared" si="8"/>
        <v>187.27100000000002</v>
      </c>
      <c r="H61" s="2571">
        <f t="shared" si="6"/>
        <v>0.55901791044776128</v>
      </c>
      <c r="I61" s="1066"/>
      <c r="J61" s="2428"/>
      <c r="K61" s="102">
        <f t="shared" si="9"/>
        <v>-3.9999999999906777E-3</v>
      </c>
      <c r="L61" s="102">
        <v>147.72499999999999</v>
      </c>
      <c r="N61" s="312">
        <f t="shared" si="12"/>
        <v>353</v>
      </c>
      <c r="O61" s="102">
        <f t="shared" si="10"/>
        <v>147.72499999999999</v>
      </c>
      <c r="P61" s="102">
        <f t="shared" si="11"/>
        <v>205.27500000000001</v>
      </c>
    </row>
    <row r="62" spans="1:16" ht="15">
      <c r="A62" s="2440" t="s">
        <v>664</v>
      </c>
      <c r="B62" s="1058" t="s">
        <v>54</v>
      </c>
      <c r="C62" s="1059">
        <v>5306</v>
      </c>
      <c r="D62" s="1068"/>
      <c r="E62" s="1031">
        <f t="shared" si="7"/>
        <v>5306</v>
      </c>
      <c r="F62" s="1062">
        <f>137.97+201.73+220.43+218.45+22.76+46.71+0.11+117.49+26.05+132.8+4.3+59.73+6.52+10.83+17.81+8.91+38.86+12.55+18.68+68.23+145.87+76.43+412.73+241.64+165.765+1.73</f>
        <v>2415.085</v>
      </c>
      <c r="G62" s="1061">
        <f>+E62-F62</f>
        <v>2890.915</v>
      </c>
      <c r="H62" s="2571">
        <f t="shared" si="6"/>
        <v>0.54483886166603845</v>
      </c>
      <c r="I62" s="1064"/>
      <c r="J62" s="2428"/>
      <c r="K62" s="232">
        <f t="shared" si="9"/>
        <v>0</v>
      </c>
      <c r="L62" s="102">
        <v>2415.085</v>
      </c>
      <c r="N62" s="312">
        <f t="shared" si="12"/>
        <v>5585</v>
      </c>
      <c r="O62" s="102">
        <f t="shared" si="10"/>
        <v>3021.7849999999999</v>
      </c>
      <c r="P62" s="102">
        <f t="shared" si="11"/>
        <v>2563.2150000000001</v>
      </c>
    </row>
    <row r="63" spans="1:16" ht="15">
      <c r="A63" s="2440" t="s">
        <v>665</v>
      </c>
      <c r="B63" s="1058" t="s">
        <v>54</v>
      </c>
      <c r="C63" s="1059">
        <v>9792</v>
      </c>
      <c r="D63" s="1059"/>
      <c r="E63" s="1031">
        <f t="shared" si="7"/>
        <v>9792</v>
      </c>
      <c r="F63" s="1062">
        <f>73.36+162.7+47.56+34.87+29.11+1.16+287.295+118.418+17.629+119.927+54.718+19.057+21.694+9.259+5.165+7.295+18.836+1.625+4.915+7.663+75.485+4.822+24.608</f>
        <v>1147.1709999999996</v>
      </c>
      <c r="G63" s="1061">
        <f t="shared" si="8"/>
        <v>8644.8289999999997</v>
      </c>
      <c r="H63" s="2571">
        <f t="shared" si="6"/>
        <v>0.88284609885620913</v>
      </c>
      <c r="I63" s="1066"/>
      <c r="J63" s="2406"/>
      <c r="K63" s="232">
        <f t="shared" si="9"/>
        <v>4.5474735088646412E-13</v>
      </c>
      <c r="L63" s="102">
        <v>1147.171</v>
      </c>
      <c r="N63" s="312">
        <f t="shared" si="12"/>
        <v>10307</v>
      </c>
      <c r="O63" s="102">
        <f t="shared" si="10"/>
        <v>1428.2429999999999</v>
      </c>
      <c r="P63" s="102">
        <f t="shared" si="11"/>
        <v>8878.7569999999996</v>
      </c>
    </row>
    <row r="64" spans="1:16" ht="21">
      <c r="A64" s="2440" t="s">
        <v>666</v>
      </c>
      <c r="B64" s="1069" t="s">
        <v>54</v>
      </c>
      <c r="C64" s="1059">
        <v>12831</v>
      </c>
      <c r="D64" s="1059"/>
      <c r="E64" s="1031">
        <f t="shared" si="7"/>
        <v>12831</v>
      </c>
      <c r="F64" s="1062">
        <f>122.698+134.53+25.77+34.02+19.18+146.69+151.15+45.71+69.79+149.31+83.42+30.65+22.31+63.38+20.79+3.65+42.17+67.73+0.06+0.79+37.94+52.47+36.88+63.97+0.41+73.63+131.99+78.64+74.31+60.88+4.34+102.25+89.09+139.51+67.27</f>
        <v>2247.3780000000002</v>
      </c>
      <c r="G64" s="1061">
        <f t="shared" si="8"/>
        <v>10583.621999999999</v>
      </c>
      <c r="H64" s="2571">
        <f t="shared" si="6"/>
        <v>0.8248477905073649</v>
      </c>
      <c r="I64" s="1063"/>
      <c r="J64" s="2406"/>
      <c r="K64" s="102">
        <f t="shared" si="9"/>
        <v>3.9999999999054126E-3</v>
      </c>
      <c r="L64" s="102">
        <v>2247.3820000000001</v>
      </c>
      <c r="N64" s="312">
        <f t="shared" si="12"/>
        <v>13506</v>
      </c>
      <c r="O64" s="102">
        <f t="shared" si="10"/>
        <v>2935.4690000000001</v>
      </c>
      <c r="P64" s="102">
        <f t="shared" si="11"/>
        <v>10570.530999999999</v>
      </c>
    </row>
    <row r="65" spans="1:16" s="1415" customFormat="1" ht="21">
      <c r="A65" s="2440" t="s">
        <v>667</v>
      </c>
      <c r="B65" s="2402" t="s">
        <v>54</v>
      </c>
      <c r="C65" s="2401">
        <v>2893</v>
      </c>
      <c r="D65" s="2401"/>
      <c r="E65" s="1031">
        <f t="shared" si="7"/>
        <v>2893</v>
      </c>
      <c r="F65" s="2403">
        <f>26.25+9.51+9.07+20.09+37.85+1.35+7.87+0.87+18.06</f>
        <v>130.92000000000002</v>
      </c>
      <c r="G65" s="2404">
        <f t="shared" si="8"/>
        <v>2762.08</v>
      </c>
      <c r="H65" s="2571">
        <f t="shared" si="6"/>
        <v>0.95474593847217415</v>
      </c>
      <c r="I65" s="2409"/>
      <c r="J65" s="2406"/>
      <c r="K65" s="102">
        <f t="shared" si="9"/>
        <v>-3.0000000000143245E-3</v>
      </c>
      <c r="L65" s="2407">
        <v>130.917</v>
      </c>
      <c r="N65" s="312">
        <f t="shared" si="12"/>
        <v>3045</v>
      </c>
      <c r="O65" s="102">
        <f t="shared" si="10"/>
        <v>212.85300000000001</v>
      </c>
      <c r="P65" s="102">
        <f t="shared" si="11"/>
        <v>2832.1469999999999</v>
      </c>
    </row>
    <row r="66" spans="1:16" ht="21.75" customHeight="1">
      <c r="A66" s="2619" t="s">
        <v>668</v>
      </c>
      <c r="B66" s="1058" t="s">
        <v>54</v>
      </c>
      <c r="C66" s="1059">
        <v>4712</v>
      </c>
      <c r="D66" s="1068"/>
      <c r="E66" s="1031">
        <f t="shared" si="7"/>
        <v>4712</v>
      </c>
      <c r="F66" s="1062">
        <f>196.33+226.19+130.25+100.65+94.42+73.33+38.91+89.4+117.33+9.57+18.52+122.69+26.04+45.38+15.51+12.15+6.23+44.95+72.94+42.28+75.4+2.76+10.15+50.33+45.8+15.28+299.5+74.61+16.25+75.34+145.2+310.46+169.15+78.94+48.64</f>
        <v>2900.88</v>
      </c>
      <c r="G66" s="1061">
        <f t="shared" si="8"/>
        <v>1811.12</v>
      </c>
      <c r="H66" s="2571">
        <f t="shared" si="6"/>
        <v>0.38436332767402376</v>
      </c>
      <c r="I66" s="1066"/>
      <c r="J66" s="2406"/>
      <c r="K66" s="102">
        <f t="shared" si="9"/>
        <v>3.9999999999054126E-3</v>
      </c>
      <c r="L66" s="102">
        <v>2900.884</v>
      </c>
      <c r="N66" s="312">
        <f t="shared" si="12"/>
        <v>4949</v>
      </c>
      <c r="O66" s="102">
        <f t="shared" si="10"/>
        <v>3400.29</v>
      </c>
      <c r="P66" s="102">
        <f t="shared" si="11"/>
        <v>1548.71</v>
      </c>
    </row>
    <row r="67" spans="1:16" ht="21" customHeight="1">
      <c r="A67" s="2440" t="s">
        <v>669</v>
      </c>
      <c r="B67" s="1058" t="s">
        <v>54</v>
      </c>
      <c r="C67" s="1059">
        <v>799</v>
      </c>
      <c r="D67" s="1059"/>
      <c r="E67" s="1031">
        <f t="shared" si="7"/>
        <v>799</v>
      </c>
      <c r="F67" s="1062">
        <f>47.855+231.47+56.36+114.81+3.06+16.88+36.43+0.11+15.34+11.17+34.76+0.36+2+29.28+7.21+64.64+39.64</f>
        <v>711.375</v>
      </c>
      <c r="G67" s="1061">
        <f t="shared" si="8"/>
        <v>87.625</v>
      </c>
      <c r="H67" s="2571">
        <f t="shared" si="6"/>
        <v>0.10966833541927409</v>
      </c>
      <c r="I67" s="1482"/>
      <c r="J67" s="3230" t="s">
        <v>1142</v>
      </c>
      <c r="K67" s="102">
        <f t="shared" si="9"/>
        <v>0</v>
      </c>
      <c r="L67" s="102">
        <v>711.375</v>
      </c>
      <c r="N67" s="312">
        <f t="shared" si="12"/>
        <v>841</v>
      </c>
      <c r="O67" s="102">
        <f t="shared" si="10"/>
        <v>715.53200000000004</v>
      </c>
      <c r="P67" s="102">
        <f t="shared" si="11"/>
        <v>125.46799999999996</v>
      </c>
    </row>
    <row r="68" spans="1:16" ht="21">
      <c r="A68" s="3272" t="s">
        <v>670</v>
      </c>
      <c r="B68" s="1058" t="s">
        <v>54</v>
      </c>
      <c r="C68" s="1059">
        <v>661</v>
      </c>
      <c r="D68" s="1059"/>
      <c r="E68" s="1031">
        <f t="shared" si="7"/>
        <v>661</v>
      </c>
      <c r="F68" s="1062">
        <f>2.59+5.51+15.23+2.76+33.72+3.93</f>
        <v>63.739999999999995</v>
      </c>
      <c r="G68" s="1061">
        <f t="shared" si="8"/>
        <v>597.26</v>
      </c>
      <c r="H68" s="2571">
        <f t="shared" si="6"/>
        <v>0.90357034795763991</v>
      </c>
      <c r="I68" s="1063"/>
      <c r="J68" s="2406"/>
      <c r="K68" s="102">
        <f t="shared" si="9"/>
        <v>-3.9999999999977831E-3</v>
      </c>
      <c r="L68" s="102">
        <v>63.735999999999997</v>
      </c>
      <c r="N68" s="312">
        <f t="shared" si="12"/>
        <v>725</v>
      </c>
      <c r="O68" s="102">
        <f t="shared" si="10"/>
        <v>63.735999999999997</v>
      </c>
      <c r="P68" s="102">
        <f t="shared" si="11"/>
        <v>661.26400000000001</v>
      </c>
    </row>
    <row r="69" spans="1:16" ht="15">
      <c r="A69" s="2440" t="s">
        <v>671</v>
      </c>
      <c r="B69" s="1058" t="s">
        <v>54</v>
      </c>
      <c r="C69" s="1059">
        <v>2123</v>
      </c>
      <c r="D69" s="1059"/>
      <c r="E69" s="1031">
        <f t="shared" si="7"/>
        <v>2123</v>
      </c>
      <c r="F69" s="1062">
        <f>15.19+120.65+7.64+113.69+79.98+96.17+3.63+29.44+2.15+8.89+14.88+64.94+28.05</f>
        <v>585.29999999999995</v>
      </c>
      <c r="G69" s="1061">
        <f t="shared" si="8"/>
        <v>1537.7</v>
      </c>
      <c r="H69" s="2571">
        <f t="shared" si="6"/>
        <v>0.7243052284503062</v>
      </c>
      <c r="I69" s="1070"/>
      <c r="J69" s="2406"/>
      <c r="K69" s="102">
        <f t="shared" si="9"/>
        <v>2.0000000000663931E-3</v>
      </c>
      <c r="L69" s="102">
        <v>585.30200000000002</v>
      </c>
      <c r="N69" s="312">
        <f t="shared" si="12"/>
        <v>2235</v>
      </c>
      <c r="O69" s="102">
        <f t="shared" si="10"/>
        <v>809.77800000000002</v>
      </c>
      <c r="P69" s="102">
        <f t="shared" si="11"/>
        <v>1425.222</v>
      </c>
    </row>
    <row r="70" spans="1:16" ht="21">
      <c r="A70" s="2440" t="s">
        <v>672</v>
      </c>
      <c r="B70" s="1058" t="s">
        <v>54</v>
      </c>
      <c r="C70" s="1059">
        <v>1673</v>
      </c>
      <c r="D70" s="1059"/>
      <c r="E70" s="1031">
        <f t="shared" si="7"/>
        <v>1673</v>
      </c>
      <c r="F70" s="1062">
        <f>67.67+39.29+10+59.86+10.86+1.88+37.33+11.53+55.07+0.35</f>
        <v>293.84000000000003</v>
      </c>
      <c r="G70" s="1061">
        <f t="shared" si="8"/>
        <v>1379.1599999999999</v>
      </c>
      <c r="H70" s="2571">
        <f t="shared" si="6"/>
        <v>0.82436341900777044</v>
      </c>
      <c r="I70" s="1070"/>
      <c r="J70" s="2406"/>
      <c r="K70" s="102">
        <f t="shared" si="9"/>
        <v>-3.0000000000427463E-3</v>
      </c>
      <c r="L70" s="102">
        <v>293.83699999999999</v>
      </c>
      <c r="N70" s="312">
        <f t="shared" si="12"/>
        <v>1761</v>
      </c>
      <c r="O70" s="102">
        <f t="shared" si="10"/>
        <v>432.89600000000002</v>
      </c>
      <c r="P70" s="102">
        <f t="shared" si="11"/>
        <v>1328.104</v>
      </c>
    </row>
    <row r="71" spans="1:16" ht="15">
      <c r="A71" s="2440" t="s">
        <v>673</v>
      </c>
      <c r="B71" s="1058" t="s">
        <v>54</v>
      </c>
      <c r="C71" s="1059">
        <v>3126</v>
      </c>
      <c r="D71" s="1059"/>
      <c r="E71" s="1031">
        <f t="shared" si="7"/>
        <v>3126</v>
      </c>
      <c r="F71" s="1071">
        <f>274.092+644.22+26.07+59.91+38.09+44.54+5.75+0.23+3.2+0.33+23.09+9.51+3.5+3+1.64+0.64+1.58</f>
        <v>1139.3920000000001</v>
      </c>
      <c r="G71" s="1439">
        <f t="shared" si="8"/>
        <v>1986.6079999999999</v>
      </c>
      <c r="H71" s="2571">
        <f t="shared" si="6"/>
        <v>0.63551119641714648</v>
      </c>
      <c r="I71" s="1065"/>
      <c r="J71" s="2406"/>
      <c r="K71" s="102">
        <f t="shared" si="9"/>
        <v>9.9999999997635314E-4</v>
      </c>
      <c r="L71" s="102">
        <v>1139.393</v>
      </c>
      <c r="N71" s="312">
        <f t="shared" si="12"/>
        <v>3291</v>
      </c>
      <c r="O71" s="102">
        <f t="shared" si="10"/>
        <v>1218.578</v>
      </c>
      <c r="P71" s="102">
        <f t="shared" si="11"/>
        <v>2072.422</v>
      </c>
    </row>
    <row r="72" spans="1:16" ht="15">
      <c r="A72" s="2440" t="s">
        <v>674</v>
      </c>
      <c r="B72" s="1058" t="s">
        <v>54</v>
      </c>
      <c r="C72" s="1059">
        <v>3461</v>
      </c>
      <c r="D72" s="1059"/>
      <c r="E72" s="1031">
        <f t="shared" si="7"/>
        <v>3461</v>
      </c>
      <c r="F72" s="1071">
        <f>41.64+68.7+2.11+21.02+59.78+25.17+1.74+3.45+1.72+46.35+30.04+13.24+7.6+14.84+0.93+8.81+67.905+7.275+14.696+11.148</f>
        <v>448.1640000000001</v>
      </c>
      <c r="G72" s="1061">
        <f t="shared" si="8"/>
        <v>3012.8359999999998</v>
      </c>
      <c r="H72" s="2571">
        <f t="shared" si="6"/>
        <v>0.8705102571511123</v>
      </c>
      <c r="I72" s="1070"/>
      <c r="J72" s="2406"/>
      <c r="K72" s="232">
        <f t="shared" si="9"/>
        <v>-1.1368683772161603E-13</v>
      </c>
      <c r="L72" s="102">
        <v>448.16399999999999</v>
      </c>
      <c r="N72" s="312">
        <f t="shared" si="12"/>
        <v>3643</v>
      </c>
      <c r="O72" s="102">
        <f t="shared" si="10"/>
        <v>617.49599999999998</v>
      </c>
      <c r="P72" s="102">
        <f t="shared" si="11"/>
        <v>3025.5039999999999</v>
      </c>
    </row>
    <row r="73" spans="1:16" s="2387" customFormat="1" ht="15">
      <c r="A73" s="2440" t="s">
        <v>675</v>
      </c>
      <c r="B73" s="2422" t="s">
        <v>54</v>
      </c>
      <c r="C73" s="2423">
        <v>642</v>
      </c>
      <c r="D73" s="2423"/>
      <c r="E73" s="1031">
        <f t="shared" si="7"/>
        <v>642</v>
      </c>
      <c r="F73" s="2425">
        <f>46.73+57.19+60.77+15.16+18.92+14.84+31.05+9.22+48.52+11.82+1.05+51.48+8.24+19.43+12.19+48.13+1.59+39.94+71.88+20.33+6.4+14.89</f>
        <v>609.77</v>
      </c>
      <c r="G73" s="2418">
        <f t="shared" si="8"/>
        <v>32.230000000000018</v>
      </c>
      <c r="H73" s="2571">
        <f t="shared" si="6"/>
        <v>5.0202492211838035E-2</v>
      </c>
      <c r="I73" s="1188"/>
      <c r="J73" s="3230" t="s">
        <v>1142</v>
      </c>
      <c r="K73" s="102">
        <f t="shared" si="9"/>
        <v>-2.9999999999290594E-3</v>
      </c>
      <c r="L73" s="1830">
        <v>609.76700000000005</v>
      </c>
      <c r="N73" s="312">
        <f t="shared" si="12"/>
        <v>676</v>
      </c>
      <c r="O73" s="102">
        <f t="shared" si="10"/>
        <v>676</v>
      </c>
      <c r="P73" s="102">
        <f t="shared" si="11"/>
        <v>0</v>
      </c>
    </row>
    <row r="74" spans="1:16" ht="21">
      <c r="A74" s="2440" t="s">
        <v>676</v>
      </c>
      <c r="B74" s="1058" t="s">
        <v>54</v>
      </c>
      <c r="C74" s="1059">
        <v>3842</v>
      </c>
      <c r="D74" s="1059"/>
      <c r="E74" s="1031">
        <f t="shared" si="7"/>
        <v>3842</v>
      </c>
      <c r="F74" s="1071">
        <f>75.82+16.54+48.71+2.58+21.35+13.01+43.15</f>
        <v>221.16</v>
      </c>
      <c r="G74" s="1061">
        <f t="shared" si="8"/>
        <v>3620.84</v>
      </c>
      <c r="H74" s="2571">
        <f t="shared" si="6"/>
        <v>0.94243623112962005</v>
      </c>
      <c r="I74" s="1057"/>
      <c r="J74" s="2406"/>
      <c r="K74" s="102">
        <f t="shared" si="9"/>
        <v>-4.9999999999954525E-3</v>
      </c>
      <c r="L74" s="102">
        <v>221.155</v>
      </c>
      <c r="N74" s="312">
        <f t="shared" si="12"/>
        <v>4044</v>
      </c>
      <c r="O74" s="102">
        <f t="shared" si="10"/>
        <v>477.40599999999995</v>
      </c>
      <c r="P74" s="102">
        <f t="shared" si="11"/>
        <v>3566.5940000000001</v>
      </c>
    </row>
    <row r="75" spans="1:16" ht="21">
      <c r="A75" s="2440" t="s">
        <v>677</v>
      </c>
      <c r="B75" s="1058" t="s">
        <v>54</v>
      </c>
      <c r="C75" s="1059">
        <v>6164</v>
      </c>
      <c r="D75" s="1059"/>
      <c r="E75" s="1031">
        <f t="shared" si="7"/>
        <v>6164</v>
      </c>
      <c r="F75" s="1071">
        <f>280.16+42.14+48.285+67.669+1.686+43.229+72.53+45.066+12.495+0.2+0.95+24.1</f>
        <v>638.5100000000001</v>
      </c>
      <c r="G75" s="1061">
        <f t="shared" si="8"/>
        <v>5525.49</v>
      </c>
      <c r="H75" s="2571">
        <f t="shared" si="6"/>
        <v>0.89641304347826078</v>
      </c>
      <c r="I75" s="1057"/>
      <c r="J75" s="2406"/>
      <c r="K75" s="232">
        <f t="shared" si="9"/>
        <v>-1.1368683772161603E-13</v>
      </c>
      <c r="L75" s="102">
        <v>638.51</v>
      </c>
      <c r="N75" s="312">
        <f t="shared" si="12"/>
        <v>6488</v>
      </c>
      <c r="O75" s="102">
        <f t="shared" si="10"/>
        <v>881.31700000000001</v>
      </c>
      <c r="P75" s="102">
        <f t="shared" si="11"/>
        <v>5606.683</v>
      </c>
    </row>
    <row r="76" spans="1:16" ht="15">
      <c r="A76" s="2440" t="s">
        <v>678</v>
      </c>
      <c r="B76" s="1058" t="s">
        <v>54</v>
      </c>
      <c r="C76" s="1059">
        <v>335</v>
      </c>
      <c r="D76" s="1059"/>
      <c r="E76" s="1031">
        <f t="shared" si="7"/>
        <v>335</v>
      </c>
      <c r="F76" s="1071">
        <f>19.28+7.67</f>
        <v>26.950000000000003</v>
      </c>
      <c r="G76" s="1061">
        <f t="shared" si="8"/>
        <v>308.05</v>
      </c>
      <c r="H76" s="2571">
        <f t="shared" si="6"/>
        <v>0.91955223880597015</v>
      </c>
      <c r="I76" s="1057"/>
      <c r="J76" s="2406"/>
      <c r="K76" s="102">
        <f t="shared" si="9"/>
        <v>-3.5527136788005009E-15</v>
      </c>
      <c r="L76" s="102">
        <v>26.95</v>
      </c>
      <c r="N76" s="312">
        <f t="shared" si="12"/>
        <v>353</v>
      </c>
      <c r="O76" s="102">
        <f t="shared" si="10"/>
        <v>26.950000000000003</v>
      </c>
      <c r="P76" s="102">
        <f t="shared" si="11"/>
        <v>326.05</v>
      </c>
    </row>
    <row r="77" spans="1:16" ht="15">
      <c r="A77" s="2440" t="s">
        <v>679</v>
      </c>
      <c r="B77" s="1058" t="s">
        <v>54</v>
      </c>
      <c r="C77" s="1059">
        <v>447</v>
      </c>
      <c r="D77" s="1059"/>
      <c r="E77" s="1031">
        <f t="shared" si="7"/>
        <v>447</v>
      </c>
      <c r="F77" s="1071">
        <v>22.68</v>
      </c>
      <c r="G77" s="1061">
        <f t="shared" si="8"/>
        <v>424.32</v>
      </c>
      <c r="H77" s="2571">
        <f t="shared" si="6"/>
        <v>0.94926174496644289</v>
      </c>
      <c r="I77" s="1072"/>
      <c r="J77" s="2406"/>
      <c r="K77" s="102">
        <f t="shared" si="9"/>
        <v>-1.0000000000012221E-3</v>
      </c>
      <c r="L77" s="102">
        <v>22.678999999999998</v>
      </c>
      <c r="N77" s="312">
        <f t="shared" si="12"/>
        <v>471</v>
      </c>
      <c r="O77" s="102">
        <f t="shared" si="10"/>
        <v>22.678999999999998</v>
      </c>
      <c r="P77" s="102">
        <f t="shared" si="11"/>
        <v>448.32100000000003</v>
      </c>
    </row>
    <row r="78" spans="1:16" ht="21">
      <c r="A78" s="2440" t="s">
        <v>680</v>
      </c>
      <c r="B78" s="1058" t="s">
        <v>54</v>
      </c>
      <c r="C78" s="1059">
        <v>5612</v>
      </c>
      <c r="D78" s="1307"/>
      <c r="E78" s="1031">
        <f t="shared" si="7"/>
        <v>5612</v>
      </c>
      <c r="F78" s="1071">
        <f>14.855+25.44+9.89+166.41+124.41+12.49+2.57+37.04+37.8+0.3+138.63+84.31+77.26+0.28+126.61+61.44+78.58+4.59</f>
        <v>1002.905</v>
      </c>
      <c r="G78" s="1061">
        <f t="shared" si="8"/>
        <v>4609.0950000000003</v>
      </c>
      <c r="H78" s="2571">
        <f t="shared" si="6"/>
        <v>0.82129276550249475</v>
      </c>
      <c r="I78" s="1057"/>
      <c r="J78" s="2406"/>
      <c r="K78" s="102">
        <f t="shared" si="9"/>
        <v>-2.9999999999290594E-3</v>
      </c>
      <c r="L78" s="102">
        <v>1002.902</v>
      </c>
      <c r="N78" s="312">
        <f t="shared" si="12"/>
        <v>5907</v>
      </c>
      <c r="O78" s="102">
        <f t="shared" si="10"/>
        <v>1401.4760000000001</v>
      </c>
      <c r="P78" s="102">
        <f t="shared" si="11"/>
        <v>4505.5239999999994</v>
      </c>
    </row>
    <row r="79" spans="1:16" ht="15">
      <c r="A79" s="2440" t="s">
        <v>681</v>
      </c>
      <c r="B79" s="1058" t="s">
        <v>54</v>
      </c>
      <c r="C79" s="1059">
        <v>2165</v>
      </c>
      <c r="D79" s="1059"/>
      <c r="E79" s="1031">
        <f t="shared" si="7"/>
        <v>2165</v>
      </c>
      <c r="F79" s="1071">
        <f>0.79+45.48+8.33+5.48</f>
        <v>60.08</v>
      </c>
      <c r="G79" s="1061">
        <f t="shared" si="8"/>
        <v>2104.92</v>
      </c>
      <c r="H79" s="2571">
        <f t="shared" si="6"/>
        <v>0.97224942263279446</v>
      </c>
      <c r="I79" s="1070"/>
      <c r="J79" s="2406"/>
      <c r="K79" s="102">
        <f t="shared" si="9"/>
        <v>-1.9999999999953388E-3</v>
      </c>
      <c r="L79" s="102">
        <v>60.078000000000003</v>
      </c>
      <c r="N79" s="312">
        <f t="shared" si="12"/>
        <v>2279</v>
      </c>
      <c r="O79" s="102">
        <f t="shared" si="10"/>
        <v>68.682000000000002</v>
      </c>
      <c r="P79" s="102">
        <f t="shared" si="11"/>
        <v>2210.3180000000002</v>
      </c>
    </row>
    <row r="80" spans="1:16" ht="15">
      <c r="A80" s="2440" t="s">
        <v>682</v>
      </c>
      <c r="B80" s="1058" t="s">
        <v>54</v>
      </c>
      <c r="C80" s="1059">
        <v>14782</v>
      </c>
      <c r="D80" s="1059"/>
      <c r="E80" s="1031">
        <f t="shared" si="7"/>
        <v>14782</v>
      </c>
      <c r="F80" s="1071">
        <f>233.746+159.85+3.57+4+8.06+19.51+105.79+85.12+104.48+48.77+74.24+54.68+17.37+9.64+12.02+6.21+5.46+15.02+3.94+2.91+12.05+3.52+0.08+0.1+26.74+8.83-4</f>
        <v>1021.7059999999999</v>
      </c>
      <c r="G80" s="1061">
        <f t="shared" si="8"/>
        <v>13760.294</v>
      </c>
      <c r="H80" s="2571">
        <f t="shared" si="6"/>
        <v>0.93088174807197943</v>
      </c>
      <c r="I80" s="1070"/>
      <c r="J80" s="2406"/>
      <c r="K80" s="102">
        <f t="shared" si="9"/>
        <v>-2.9999999999290594E-3</v>
      </c>
      <c r="L80" s="102">
        <v>1021.703</v>
      </c>
      <c r="N80" s="312">
        <f t="shared" si="12"/>
        <v>15568</v>
      </c>
      <c r="O80" s="102">
        <f t="shared" si="10"/>
        <v>1535.479</v>
      </c>
      <c r="P80" s="102">
        <f t="shared" si="11"/>
        <v>14032.521000000001</v>
      </c>
    </row>
    <row r="81" spans="1:16" ht="23.25" customHeight="1">
      <c r="A81" s="2619" t="s">
        <v>683</v>
      </c>
      <c r="B81" s="1058" t="s">
        <v>54</v>
      </c>
      <c r="C81" s="1059">
        <v>1755</v>
      </c>
      <c r="D81" s="1068"/>
      <c r="E81" s="1031">
        <f t="shared" si="7"/>
        <v>1755</v>
      </c>
      <c r="F81" s="1071">
        <f>121.562+21.67+13.782+24.134+7.533+12.16+10.692+8.665+0.286+4.784+8.719+4.226+0.2+49.01</f>
        <v>287.423</v>
      </c>
      <c r="G81" s="1061">
        <f t="shared" si="8"/>
        <v>1467.577</v>
      </c>
      <c r="H81" s="2571">
        <f t="shared" si="6"/>
        <v>0.83622621082621085</v>
      </c>
      <c r="I81" s="1057"/>
      <c r="J81" s="2428"/>
      <c r="K81" s="232">
        <f t="shared" si="9"/>
        <v>0</v>
      </c>
      <c r="L81" s="102">
        <v>287.423</v>
      </c>
      <c r="N81" s="312">
        <f t="shared" si="12"/>
        <v>1883</v>
      </c>
      <c r="O81" s="102">
        <f t="shared" si="10"/>
        <v>377.185</v>
      </c>
      <c r="P81" s="102">
        <f t="shared" si="11"/>
        <v>1505.8150000000001</v>
      </c>
    </row>
    <row r="82" spans="1:16" ht="15">
      <c r="A82" s="2440" t="s">
        <v>684</v>
      </c>
      <c r="B82" s="1058" t="s">
        <v>54</v>
      </c>
      <c r="C82" s="1059">
        <v>5800</v>
      </c>
      <c r="D82" s="1068"/>
      <c r="E82" s="1031">
        <f t="shared" si="7"/>
        <v>5800</v>
      </c>
      <c r="F82" s="1071">
        <f>43.3+10.91+22.73+114.5+40.87+2.36+20.69+17.25+83.5+5.62+12.75+17.11+13.7+16.55+7.92+8.77+4.08+6.66+0.87+31.56+42.21+28.46</f>
        <v>552.37000000000012</v>
      </c>
      <c r="G82" s="1061">
        <f t="shared" si="8"/>
        <v>5247.63</v>
      </c>
      <c r="H82" s="2571">
        <f t="shared" si="6"/>
        <v>0.90476379310344834</v>
      </c>
      <c r="I82" s="1057"/>
      <c r="J82" s="2406"/>
      <c r="K82" s="102">
        <f t="shared" si="9"/>
        <v>3.9999999999054126E-3</v>
      </c>
      <c r="L82" s="102">
        <v>552.37400000000002</v>
      </c>
      <c r="N82" s="312">
        <f t="shared" si="12"/>
        <v>6105</v>
      </c>
      <c r="O82" s="102">
        <f t="shared" si="10"/>
        <v>801.38</v>
      </c>
      <c r="P82" s="102">
        <f t="shared" si="11"/>
        <v>5303.62</v>
      </c>
    </row>
    <row r="83" spans="1:16" ht="15">
      <c r="A83" s="2440" t="s">
        <v>685</v>
      </c>
      <c r="B83" s="1058" t="s">
        <v>54</v>
      </c>
      <c r="C83" s="1059">
        <v>0</v>
      </c>
      <c r="D83" s="1068"/>
      <c r="E83" s="1031">
        <f t="shared" si="7"/>
        <v>0</v>
      </c>
      <c r="F83" s="1071">
        <v>0</v>
      </c>
      <c r="G83" s="1061">
        <f t="shared" si="8"/>
        <v>0</v>
      </c>
      <c r="H83" s="2571" t="e">
        <f t="shared" si="6"/>
        <v>#DIV/0!</v>
      </c>
      <c r="I83" s="1070"/>
      <c r="J83" s="2406"/>
      <c r="K83" s="102">
        <f t="shared" si="9"/>
        <v>0</v>
      </c>
      <c r="L83" s="102">
        <v>0</v>
      </c>
      <c r="N83" s="312">
        <f t="shared" si="12"/>
        <v>0</v>
      </c>
      <c r="O83" s="102">
        <f t="shared" si="10"/>
        <v>0</v>
      </c>
      <c r="P83" s="102">
        <f t="shared" si="11"/>
        <v>0</v>
      </c>
    </row>
    <row r="84" spans="1:16" ht="21">
      <c r="A84" s="2619" t="s">
        <v>686</v>
      </c>
      <c r="B84" s="1058" t="s">
        <v>54</v>
      </c>
      <c r="C84" s="1059">
        <v>1405</v>
      </c>
      <c r="D84" s="1068"/>
      <c r="E84" s="1031">
        <f t="shared" si="7"/>
        <v>1405</v>
      </c>
      <c r="F84" s="1071">
        <f>156.136+97.19+9.27+0.59+21.37+0.24+7.49+6.36</f>
        <v>298.64600000000002</v>
      </c>
      <c r="G84" s="1061">
        <f t="shared" si="8"/>
        <v>1106.354</v>
      </c>
      <c r="H84" s="2571">
        <f t="shared" si="6"/>
        <v>0.78744056939501783</v>
      </c>
      <c r="I84" s="1056"/>
      <c r="J84" s="2406"/>
      <c r="K84" s="102">
        <f t="shared" si="9"/>
        <v>9.9999999997635314E-4</v>
      </c>
      <c r="L84" s="102">
        <v>298.64699999999999</v>
      </c>
      <c r="N84" s="312">
        <f t="shared" si="12"/>
        <v>1534</v>
      </c>
      <c r="O84" s="102">
        <f t="shared" si="10"/>
        <v>298.99700000000001</v>
      </c>
      <c r="P84" s="102">
        <f t="shared" si="11"/>
        <v>1235.0029999999999</v>
      </c>
    </row>
    <row r="85" spans="1:16" ht="21">
      <c r="A85" s="2619" t="s">
        <v>687</v>
      </c>
      <c r="B85" s="1058" t="s">
        <v>54</v>
      </c>
      <c r="C85" s="1059">
        <v>11043</v>
      </c>
      <c r="D85" s="1068"/>
      <c r="E85" s="1031">
        <f t="shared" si="7"/>
        <v>11043</v>
      </c>
      <c r="F85" s="1071">
        <f>246.297+606.315+96.904+49.633+32.41+109.543+329.88+421.608+85.425+2.272+106.063+22.131+19.269+93.789+58.803+5.248+54.228+0.679+4.05+20.216+31.545+34.989+0.224+53.205+30.914+10.7+80.968+1.484+21.435+41.628+16.913+23.103+15.97+0.843+173.701+10.687+42.329+19.554+11.277+3.74+3.44+137.665+241.715+599.972+278.432+225.046+214.565+24.854</f>
        <v>4715.6610000000001</v>
      </c>
      <c r="G85" s="1061">
        <f t="shared" si="8"/>
        <v>6327.3389999999999</v>
      </c>
      <c r="H85" s="2571">
        <f t="shared" si="6"/>
        <v>0.57297283346916594</v>
      </c>
      <c r="I85" s="1056"/>
      <c r="J85" s="2406"/>
      <c r="K85" s="232">
        <f t="shared" si="9"/>
        <v>0</v>
      </c>
      <c r="L85" s="102">
        <v>4715.6610000000001</v>
      </c>
      <c r="N85" s="312">
        <f t="shared" si="12"/>
        <v>11635</v>
      </c>
      <c r="O85" s="102">
        <f t="shared" si="10"/>
        <v>5739.9040000000005</v>
      </c>
      <c r="P85" s="102">
        <f t="shared" si="11"/>
        <v>5895.0959999999995</v>
      </c>
    </row>
    <row r="86" spans="1:16" ht="21">
      <c r="A86" s="2440" t="s">
        <v>688</v>
      </c>
      <c r="B86" s="1058" t="s">
        <v>54</v>
      </c>
      <c r="C86" s="1059">
        <v>6788</v>
      </c>
      <c r="D86" s="1068"/>
      <c r="E86" s="1031">
        <f t="shared" si="7"/>
        <v>6788</v>
      </c>
      <c r="F86" s="1071">
        <f>63.71+15.29+36.94+306.87+163.24+28.31+73.33+66.37+32.62+4.17+10.92+40.13+0.04+9.38+6.09+3.58+12.82+6.13+5.64+2.34+6.14+9.07+17.7+5.54+69.75+101.98+177.63+11.25+92.36+29.63+33.2</f>
        <v>1442.17</v>
      </c>
      <c r="G86" s="1073">
        <f t="shared" si="8"/>
        <v>5345.83</v>
      </c>
      <c r="H86" s="2571">
        <f t="shared" si="6"/>
        <v>0.78754124926340596</v>
      </c>
      <c r="I86" s="1074"/>
      <c r="J86" s="2406"/>
      <c r="K86" s="102">
        <f t="shared" si="9"/>
        <v>9.9999999997635314E-4</v>
      </c>
      <c r="L86" s="102">
        <v>1442.171</v>
      </c>
      <c r="N86" s="312">
        <f t="shared" si="12"/>
        <v>7145</v>
      </c>
      <c r="O86" s="102">
        <f t="shared" si="10"/>
        <v>1814.0730000000001</v>
      </c>
      <c r="P86" s="102">
        <f t="shared" si="11"/>
        <v>5330.9269999999997</v>
      </c>
    </row>
    <row r="87" spans="1:16" ht="15">
      <c r="A87" s="2440" t="s">
        <v>689</v>
      </c>
      <c r="B87" s="1058" t="s">
        <v>54</v>
      </c>
      <c r="C87" s="1059">
        <v>447</v>
      </c>
      <c r="D87" s="1068"/>
      <c r="E87" s="1031">
        <f t="shared" si="7"/>
        <v>447</v>
      </c>
      <c r="F87" s="1071">
        <f>18.58+12.75+15.97+0.36+8.42+2.39+0.2</f>
        <v>58.67</v>
      </c>
      <c r="G87" s="1061">
        <f t="shared" si="8"/>
        <v>388.33</v>
      </c>
      <c r="H87" s="2571">
        <f t="shared" si="6"/>
        <v>0.86874720357941826</v>
      </c>
      <c r="I87" s="1064"/>
      <c r="J87" s="2428"/>
      <c r="K87" s="102">
        <f t="shared" si="9"/>
        <v>-2.0000000000024443E-3</v>
      </c>
      <c r="L87" s="102">
        <v>58.667999999999999</v>
      </c>
      <c r="N87" s="312">
        <f t="shared" si="12"/>
        <v>471</v>
      </c>
      <c r="O87" s="102">
        <f t="shared" si="10"/>
        <v>59.26</v>
      </c>
      <c r="P87" s="102">
        <f t="shared" si="11"/>
        <v>411.74</v>
      </c>
    </row>
    <row r="88" spans="1:16" ht="15">
      <c r="A88" s="2440" t="s">
        <v>690</v>
      </c>
      <c r="B88" s="1058" t="s">
        <v>54</v>
      </c>
      <c r="C88" s="1059">
        <v>16306</v>
      </c>
      <c r="D88" s="1059"/>
      <c r="E88" s="1031">
        <f t="shared" si="7"/>
        <v>16306</v>
      </c>
      <c r="F88" s="1071">
        <f>206.813+265.85+0.25+25.02+20.97+68.45+424.55+533.82+44.32+6.55+143.93+197.29+119.19+45.11+137.44+73.01+0.84+3.5+2.93+1.47+15.85+0.03+387.25+260.58+233.06+9.68</f>
        <v>3227.7529999999997</v>
      </c>
      <c r="G88" s="1061">
        <f t="shared" si="8"/>
        <v>13078.246999999999</v>
      </c>
      <c r="H88" s="2571">
        <f t="shared" si="6"/>
        <v>0.80205120814424136</v>
      </c>
      <c r="I88" s="1063"/>
      <c r="J88" s="2428"/>
      <c r="K88" s="102">
        <f t="shared" si="9"/>
        <v>4.0000000003601599E-3</v>
      </c>
      <c r="L88" s="102">
        <v>3227.7570000000001</v>
      </c>
      <c r="N88" s="312">
        <f t="shared" si="12"/>
        <v>17164</v>
      </c>
      <c r="O88" s="102">
        <f t="shared" si="10"/>
        <v>3764.029</v>
      </c>
      <c r="P88" s="102">
        <f t="shared" si="11"/>
        <v>13399.971</v>
      </c>
    </row>
    <row r="89" spans="1:16" ht="15">
      <c r="A89" s="2440" t="s">
        <v>691</v>
      </c>
      <c r="B89" s="1058" t="s">
        <v>54</v>
      </c>
      <c r="C89" s="1059">
        <v>6317</v>
      </c>
      <c r="D89" s="1059"/>
      <c r="E89" s="1031">
        <f t="shared" si="7"/>
        <v>6317</v>
      </c>
      <c r="F89" s="1071">
        <f>140.733+217.69+68.69+47.73+436.49+398.58+85.11+119.6+34.27+90.38+50.75+4.7+166.18+5.89+254.49+32.79+49.59+6.71+3.92+1.86+22.97+65.14+1.125+31.869+88.459+66.133+74.265+3.63+55.034+59.119+25.173-30.234+233.308+140.22+641.925+275.001+244.018+86.474+59.314</f>
        <v>4359.0960000000005</v>
      </c>
      <c r="G89" s="1061">
        <f t="shared" si="8"/>
        <v>1957.9039999999995</v>
      </c>
      <c r="H89" s="2571">
        <f t="shared" si="6"/>
        <v>0.30994206110495481</v>
      </c>
      <c r="I89" s="1066"/>
      <c r="J89" s="2428"/>
      <c r="K89" s="232">
        <f t="shared" si="9"/>
        <v>-9.0949470177292824E-13</v>
      </c>
      <c r="L89" s="102">
        <v>4359.0959999999995</v>
      </c>
      <c r="N89" s="312">
        <f t="shared" si="12"/>
        <v>6649</v>
      </c>
      <c r="O89" s="102">
        <f t="shared" si="10"/>
        <v>5116.7039999999997</v>
      </c>
      <c r="P89" s="102">
        <f t="shared" si="11"/>
        <v>1532.2960000000003</v>
      </c>
    </row>
    <row r="90" spans="1:16" ht="21">
      <c r="A90" s="3376" t="s">
        <v>692</v>
      </c>
      <c r="B90" s="1058" t="s">
        <v>54</v>
      </c>
      <c r="C90" s="3377">
        <f>2100-300</f>
        <v>1800</v>
      </c>
      <c r="D90" s="1059"/>
      <c r="E90" s="1031">
        <f t="shared" si="7"/>
        <v>1800</v>
      </c>
      <c r="F90" s="1071">
        <f>7.826+142.26+37.68+23.79+6.97+31.61+38.39+1.85+18.48+8.85+4.85+3.55+2.56+5.44+3.05</f>
        <v>337.15600000000006</v>
      </c>
      <c r="G90" s="1061">
        <f t="shared" si="8"/>
        <v>1462.8440000000001</v>
      </c>
      <c r="H90" s="2571">
        <f t="shared" si="6"/>
        <v>0.81269111111111114</v>
      </c>
      <c r="I90" s="1057"/>
      <c r="J90" s="2406"/>
      <c r="K90" s="102">
        <f t="shared" si="9"/>
        <v>4.9999999999386091E-3</v>
      </c>
      <c r="L90" s="102">
        <v>337.161</v>
      </c>
      <c r="N90" s="312">
        <f t="shared" si="12"/>
        <v>1911</v>
      </c>
      <c r="O90" s="102">
        <f t="shared" si="10"/>
        <v>387.9</v>
      </c>
      <c r="P90" s="102">
        <f t="shared" si="11"/>
        <v>1523.1</v>
      </c>
    </row>
    <row r="91" spans="1:16" ht="21">
      <c r="A91" s="2440" t="s">
        <v>693</v>
      </c>
      <c r="B91" s="1058" t="s">
        <v>54</v>
      </c>
      <c r="C91" s="1059">
        <v>6433</v>
      </c>
      <c r="D91" s="1059"/>
      <c r="E91" s="1031">
        <f t="shared" si="7"/>
        <v>6433</v>
      </c>
      <c r="F91" s="1071">
        <f>45.155+135.68+12.14+4.42+117.9+187.52+258.24+9.41+92.01+18.79+55.04+14.59+57.5+17.625+7.877+17.534+20.948+4.345+21.912+46.493+32.812+31.144+12.49+43.505+2.104+16.104+15.549+57.195+21.744+78.485+78.75+337.17+219.171+91.94+57.225+4.545</f>
        <v>2245.0619999999999</v>
      </c>
      <c r="G91" s="1061">
        <f t="shared" si="8"/>
        <v>4187.9380000000001</v>
      </c>
      <c r="H91" s="2571">
        <f t="shared" si="6"/>
        <v>0.65100854966578581</v>
      </c>
      <c r="I91" s="1057"/>
      <c r="J91" s="2406"/>
      <c r="K91" s="232">
        <f t="shared" si="9"/>
        <v>0</v>
      </c>
      <c r="L91" s="102">
        <v>2245.0619999999999</v>
      </c>
      <c r="N91" s="312">
        <f t="shared" si="12"/>
        <v>6772</v>
      </c>
      <c r="O91" s="102">
        <f t="shared" si="10"/>
        <v>2823.056</v>
      </c>
      <c r="P91" s="102">
        <f t="shared" si="11"/>
        <v>3948.944</v>
      </c>
    </row>
    <row r="92" spans="1:16" ht="21">
      <c r="A92" s="2619" t="s">
        <v>694</v>
      </c>
      <c r="B92" s="1058" t="s">
        <v>54</v>
      </c>
      <c r="C92" s="2579">
        <v>3647</v>
      </c>
      <c r="D92" s="1068"/>
      <c r="E92" s="1031">
        <f t="shared" si="7"/>
        <v>3647</v>
      </c>
      <c r="F92" s="1071">
        <f>248.643+371.19+59.65+86.47+15.21+6.37+25.67+70.96+29.37+1.75+28.95+28.34+11.69+10.67+6.04+3.19+28.19+0.08+79.405+27.894</f>
        <v>1139.732</v>
      </c>
      <c r="G92" s="1061">
        <f t="shared" si="8"/>
        <v>2507.268</v>
      </c>
      <c r="H92" s="2571">
        <f t="shared" si="6"/>
        <v>0.68748779819029338</v>
      </c>
      <c r="I92" s="1188"/>
      <c r="J92" s="2428"/>
      <c r="K92" s="232">
        <f t="shared" si="9"/>
        <v>0</v>
      </c>
      <c r="L92" s="102">
        <v>1139.732</v>
      </c>
      <c r="N92" s="312">
        <f t="shared" si="12"/>
        <v>3860</v>
      </c>
      <c r="O92" s="102">
        <f t="shared" si="10"/>
        <v>1196.2570000000001</v>
      </c>
      <c r="P92" s="102">
        <f t="shared" si="11"/>
        <v>2663.7429999999999</v>
      </c>
    </row>
    <row r="93" spans="1:16" ht="15">
      <c r="A93" s="2440" t="s">
        <v>695</v>
      </c>
      <c r="B93" s="1058" t="s">
        <v>54</v>
      </c>
      <c r="C93" s="1059">
        <v>9888</v>
      </c>
      <c r="D93" s="1068"/>
      <c r="E93" s="1031">
        <f t="shared" si="7"/>
        <v>9888</v>
      </c>
      <c r="F93" s="1071">
        <f>145.14+316.61+62.34+38.96+126.42+26.09+8.06+28.5+55.29+42.9+70.46+18.85+3.09+6.46+9.22+1.77+28.26+14.05+11.96+8.9+5.91+14.78+0.96+20.23+16.72+11.16+73.13+57+270.93+224.06+115.41+79.18+40.19</f>
        <v>1952.9900000000005</v>
      </c>
      <c r="G93" s="1061">
        <f t="shared" si="8"/>
        <v>7935.0099999999993</v>
      </c>
      <c r="H93" s="2571">
        <f t="shared" si="6"/>
        <v>0.80248887540453062</v>
      </c>
      <c r="I93" s="1066"/>
      <c r="J93" s="2428"/>
      <c r="K93" s="102">
        <f t="shared" si="9"/>
        <v>-4.5474735088646412E-13</v>
      </c>
      <c r="L93" s="102">
        <v>1952.99</v>
      </c>
      <c r="N93" s="312">
        <f t="shared" si="12"/>
        <v>10408</v>
      </c>
      <c r="O93" s="102">
        <f t="shared" si="10"/>
        <v>2713.6320000000001</v>
      </c>
      <c r="P93" s="102">
        <f t="shared" si="11"/>
        <v>7694.3680000000004</v>
      </c>
    </row>
    <row r="94" spans="1:16" ht="15">
      <c r="A94" s="2440" t="s">
        <v>696</v>
      </c>
      <c r="B94" s="1058" t="s">
        <v>54</v>
      </c>
      <c r="C94" s="1059">
        <v>2293</v>
      </c>
      <c r="D94" s="1068"/>
      <c r="E94" s="1031">
        <f t="shared" si="7"/>
        <v>2293</v>
      </c>
      <c r="F94" s="1071">
        <f>93.47+272.08+57.85+36.25+101.96+86.81+49.86+30.29+94.94+17.07+5.93+6.09+38.52+0.1+66.9+15.94+5.1+4.32+5.82+73.66+44.65+2.97+13.11+2.31+11.23+4.43+68.09+16.22+1.72+28.12+29.27+16.593+92.62+150.38+253.988+0.05+89.652-59.032</f>
        <v>1829.3310000000004</v>
      </c>
      <c r="G94" s="1061">
        <f t="shared" si="8"/>
        <v>463.66899999999964</v>
      </c>
      <c r="H94" s="2571">
        <f t="shared" si="6"/>
        <v>0.2022106410815524</v>
      </c>
      <c r="I94" s="1057"/>
      <c r="J94" s="3230" t="s">
        <v>1142</v>
      </c>
      <c r="K94" s="232">
        <f t="shared" si="9"/>
        <v>-4.5474735088646412E-13</v>
      </c>
      <c r="L94" s="102">
        <v>1829.3309999999999</v>
      </c>
      <c r="N94" s="312">
        <f t="shared" si="12"/>
        <v>2414</v>
      </c>
      <c r="O94" s="102">
        <f t="shared" si="10"/>
        <v>1901.461</v>
      </c>
      <c r="P94" s="102">
        <f t="shared" si="11"/>
        <v>512.53899999999999</v>
      </c>
    </row>
    <row r="95" spans="1:16" ht="21">
      <c r="A95" s="2619" t="s">
        <v>697</v>
      </c>
      <c r="B95" s="1058" t="s">
        <v>54</v>
      </c>
      <c r="C95" s="1059">
        <v>1433</v>
      </c>
      <c r="D95" s="1059"/>
      <c r="E95" s="1031">
        <f t="shared" si="7"/>
        <v>1433</v>
      </c>
      <c r="F95" s="1071">
        <f>55.774+39.71+31.34+10.79+81.7+36.66+5.65+25.225+8.31+29.365+30.589+21.387+3.158+21.786+5.604+28.84+7.978+15.63+9.61+16.979</f>
        <v>486.08500000000004</v>
      </c>
      <c r="G95" s="1061">
        <f t="shared" si="8"/>
        <v>946.91499999999996</v>
      </c>
      <c r="H95" s="2571">
        <f t="shared" si="6"/>
        <v>0.66079204466154917</v>
      </c>
      <c r="I95" s="1057"/>
      <c r="J95" s="2406"/>
      <c r="K95" s="232">
        <f t="shared" si="9"/>
        <v>-5.6843418860808015E-14</v>
      </c>
      <c r="L95" s="102">
        <v>486.08499999999998</v>
      </c>
      <c r="N95" s="312">
        <f t="shared" si="12"/>
        <v>1609</v>
      </c>
      <c r="O95" s="102">
        <f t="shared" si="10"/>
        <v>616.279</v>
      </c>
      <c r="P95" s="102">
        <f t="shared" si="11"/>
        <v>992.721</v>
      </c>
    </row>
    <row r="96" spans="1:16" ht="21">
      <c r="A96" s="2619" t="s">
        <v>698</v>
      </c>
      <c r="B96" s="2400" t="s">
        <v>54</v>
      </c>
      <c r="C96" s="2401">
        <v>5078</v>
      </c>
      <c r="D96" s="1059"/>
      <c r="E96" s="1031">
        <f t="shared" si="7"/>
        <v>5078</v>
      </c>
      <c r="F96" s="1071">
        <f>114.255+144.507+2.999+15.133+62.097+10.518+10.669+67.414+31+33.62+61.12+66.27+6.84+28.748+72.51+1</f>
        <v>728.7</v>
      </c>
      <c r="G96" s="1061">
        <f t="shared" si="8"/>
        <v>4349.3</v>
      </c>
      <c r="H96" s="2571">
        <f t="shared" si="6"/>
        <v>0.85649862150452938</v>
      </c>
      <c r="I96" s="1064"/>
      <c r="J96" s="2428"/>
      <c r="K96" s="232">
        <f t="shared" si="9"/>
        <v>0</v>
      </c>
      <c r="L96" s="102">
        <v>728.7</v>
      </c>
      <c r="N96" s="312">
        <f t="shared" si="12"/>
        <v>5419</v>
      </c>
      <c r="O96" s="102">
        <f t="shared" si="10"/>
        <v>1146.7380000000001</v>
      </c>
      <c r="P96" s="102">
        <f t="shared" si="11"/>
        <v>4272.2619999999997</v>
      </c>
    </row>
    <row r="97" spans="1:17" ht="21">
      <c r="A97" s="2440" t="s">
        <v>699</v>
      </c>
      <c r="B97" s="1271" t="s">
        <v>54</v>
      </c>
      <c r="C97" s="1271">
        <v>1955</v>
      </c>
      <c r="D97" s="1278"/>
      <c r="E97" s="1031">
        <f t="shared" si="7"/>
        <v>1955</v>
      </c>
      <c r="F97" s="340">
        <f>23.13+13.48+4.09+8.69+65.06+17.16+142.83+10.61+20.36</f>
        <v>305.41000000000008</v>
      </c>
      <c r="G97" s="768">
        <f t="shared" si="8"/>
        <v>1649.59</v>
      </c>
      <c r="H97" s="2571">
        <f t="shared" si="6"/>
        <v>0.84378005115089505</v>
      </c>
      <c r="I97" s="768"/>
      <c r="J97" s="1415"/>
      <c r="K97" s="102">
        <f t="shared" si="9"/>
        <v>-1.00000000009004E-3</v>
      </c>
      <c r="L97" s="102">
        <v>305.40899999999999</v>
      </c>
      <c r="N97" s="312">
        <f t="shared" si="12"/>
        <v>2058</v>
      </c>
      <c r="O97" s="102">
        <f t="shared" si="10"/>
        <v>406.74900000000002</v>
      </c>
      <c r="P97" s="102">
        <f t="shared" si="11"/>
        <v>1651.251</v>
      </c>
    </row>
    <row r="98" spans="1:17" s="1415" customFormat="1" ht="21">
      <c r="A98" s="2440" t="s">
        <v>700</v>
      </c>
      <c r="B98" s="2400" t="s">
        <v>54</v>
      </c>
      <c r="C98" s="2401">
        <v>642</v>
      </c>
      <c r="D98" s="2427"/>
      <c r="E98" s="1031">
        <f t="shared" si="7"/>
        <v>642</v>
      </c>
      <c r="F98" s="2408">
        <f>29.93+76.96+9.76+10.55+2.38+0.51+23.69+5.31+19.47+112.88+2.28+7.62</f>
        <v>301.33999999999992</v>
      </c>
      <c r="G98" s="2404">
        <f t="shared" si="8"/>
        <v>340.66000000000008</v>
      </c>
      <c r="H98" s="2571">
        <f t="shared" si="6"/>
        <v>0.53062305295950174</v>
      </c>
      <c r="I98" s="2409"/>
      <c r="J98" s="2428"/>
      <c r="K98" s="102">
        <f t="shared" si="9"/>
        <v>4.0000000000759428E-3</v>
      </c>
      <c r="L98" s="2407">
        <v>301.34399999999999</v>
      </c>
      <c r="N98" s="312">
        <f t="shared" si="12"/>
        <v>676</v>
      </c>
      <c r="O98" s="102">
        <f t="shared" si="10"/>
        <v>316.66899999999998</v>
      </c>
      <c r="P98" s="102">
        <f t="shared" si="11"/>
        <v>359.33100000000002</v>
      </c>
    </row>
    <row r="99" spans="1:17" ht="21">
      <c r="A99" s="2440" t="s">
        <v>701</v>
      </c>
      <c r="B99" s="1069" t="s">
        <v>54</v>
      </c>
      <c r="C99" s="1059">
        <v>14601</v>
      </c>
      <c r="D99" s="1059"/>
      <c r="E99" s="1031">
        <f t="shared" si="7"/>
        <v>14601</v>
      </c>
      <c r="F99" s="1071">
        <f>851.47+641.13+263.54+181.52+192.51+213.04+144.07+38.98+346.93+67.56+26.3+203.42+18.3+47.42+61.59+29.29+66.43+36.42+108.52+3.23+95.46+2.71+0.79+9.77+8.68+59.08+37.41+1.47+13.12+157.41+4.35+25.13+287.58+127.8+1198.335+281.399+385.215+229.238+167.665</f>
        <v>6634.2820000000011</v>
      </c>
      <c r="G99" s="1061">
        <f t="shared" si="8"/>
        <v>7966.7179999999989</v>
      </c>
      <c r="H99" s="2571">
        <f t="shared" si="6"/>
        <v>0.54562824464077797</v>
      </c>
      <c r="I99" s="1057"/>
      <c r="J99" s="2406"/>
      <c r="K99" s="232">
        <f t="shared" si="9"/>
        <v>-9.0949470177292824E-13</v>
      </c>
      <c r="L99" s="102">
        <v>6634.2820000000002</v>
      </c>
      <c r="N99" s="312">
        <f t="shared" si="12"/>
        <v>15369</v>
      </c>
      <c r="O99" s="102">
        <f t="shared" si="10"/>
        <v>7873.1490000000003</v>
      </c>
      <c r="P99" s="102">
        <f t="shared" si="11"/>
        <v>7495.8509999999997</v>
      </c>
    </row>
    <row r="100" spans="1:17" ht="30" customHeight="1">
      <c r="A100" s="3183" t="s">
        <v>702</v>
      </c>
      <c r="B100" s="1058" t="s">
        <v>54</v>
      </c>
      <c r="C100" s="1059">
        <v>7332</v>
      </c>
      <c r="D100" s="1059"/>
      <c r="E100" s="1031">
        <f t="shared" si="7"/>
        <v>7332</v>
      </c>
      <c r="F100" s="1071">
        <f>90.592+60.27+1.5+48.31+9.42+403.63+152.33+1.83+0.88+13.48+76.66+44.2+0.38+5.18+0.5+18.14+1.05+6.66+12.13+14.65+1.03+0.01+0.01+1.85+62.45+82.77+147.14+42.26+4.47+11.42+10.44+138.19+85.83+228.82+81.67+23.35+58.06</f>
        <v>1941.5619999999997</v>
      </c>
      <c r="G100" s="1061">
        <f t="shared" si="8"/>
        <v>5390.4380000000001</v>
      </c>
      <c r="H100" s="2571">
        <f t="shared" si="6"/>
        <v>0.73519339879978174</v>
      </c>
      <c r="I100" s="1075"/>
      <c r="J100" s="2406"/>
      <c r="K100" s="102">
        <f t="shared" si="9"/>
        <v>2.0000000004074536E-3</v>
      </c>
      <c r="L100" s="102">
        <v>1941.5640000000001</v>
      </c>
      <c r="N100" s="312">
        <f t="shared" si="12"/>
        <v>7837</v>
      </c>
      <c r="O100" s="102">
        <f t="shared" si="10"/>
        <v>2533.1179999999999</v>
      </c>
      <c r="P100" s="102">
        <f t="shared" si="11"/>
        <v>5303.8819999999996</v>
      </c>
    </row>
    <row r="101" spans="1:17" s="1415" customFormat="1" ht="15">
      <c r="A101" s="2440" t="s">
        <v>703</v>
      </c>
      <c r="B101" s="2400" t="s">
        <v>54</v>
      </c>
      <c r="C101" s="2401">
        <v>3860.2979999999998</v>
      </c>
      <c r="D101" s="2401"/>
      <c r="E101" s="1031">
        <f t="shared" si="7"/>
        <v>3860.2979999999998</v>
      </c>
      <c r="F101" s="2408">
        <f>355.52+124.15+44.99+67.01+68.53+55.53+3.16+100.94+105.11+77.11+2.38+95.49+143.5+61.04+5.49+4.93+65.13+6.9+186.44+139.38+132.16+122.27+70.1+14.17+25.59+559.35+93.82+35.65+43.68+79.59</f>
        <v>2889.11</v>
      </c>
      <c r="G101" s="2404">
        <f t="shared" si="8"/>
        <v>971.18799999999965</v>
      </c>
      <c r="H101" s="2571">
        <f t="shared" si="6"/>
        <v>0.25158368602631187</v>
      </c>
      <c r="I101" s="2405"/>
      <c r="J101" s="2406"/>
      <c r="K101" s="102">
        <f t="shared" si="9"/>
        <v>1.9999999999527063E-3</v>
      </c>
      <c r="L101" s="2407">
        <v>2889.1120000000001</v>
      </c>
      <c r="N101" s="312">
        <f t="shared" si="12"/>
        <v>3860.2979999999998</v>
      </c>
      <c r="O101" s="102">
        <f t="shared" si="10"/>
        <v>3860.2979999999998</v>
      </c>
      <c r="P101" s="102">
        <f t="shared" si="11"/>
        <v>0</v>
      </c>
    </row>
    <row r="102" spans="1:17" ht="21">
      <c r="A102" s="2440" t="s">
        <v>704</v>
      </c>
      <c r="B102" s="1069" t="s">
        <v>54</v>
      </c>
      <c r="C102" s="1059">
        <v>838</v>
      </c>
      <c r="D102" s="1059"/>
      <c r="E102" s="1031">
        <f t="shared" si="7"/>
        <v>838</v>
      </c>
      <c r="F102" s="1071">
        <f>26.771+120.58+30.73+0.74+6.07+0.76+0.22+6.36+17.9+13.33+2.49</f>
        <v>225.95100000000002</v>
      </c>
      <c r="G102" s="1076">
        <f t="shared" ref="G102:G107" si="13">+E102-F102</f>
        <v>612.04899999999998</v>
      </c>
      <c r="H102" s="2571">
        <f t="shared" si="6"/>
        <v>0.73036873508353217</v>
      </c>
      <c r="I102" s="1070"/>
      <c r="J102" s="2406"/>
      <c r="K102" s="102">
        <f t="shared" si="9"/>
        <v>-2.8421709430404007E-14</v>
      </c>
      <c r="L102" s="102">
        <v>225.95099999999999</v>
      </c>
      <c r="N102" s="312">
        <f t="shared" si="12"/>
        <v>882</v>
      </c>
      <c r="O102" s="102">
        <f t="shared" si="10"/>
        <v>270.42099999999999</v>
      </c>
      <c r="P102" s="102">
        <f t="shared" si="11"/>
        <v>611.57899999999995</v>
      </c>
    </row>
    <row r="103" spans="1:17" ht="21">
      <c r="A103" s="2440" t="s">
        <v>705</v>
      </c>
      <c r="B103" s="1069" t="s">
        <v>54</v>
      </c>
      <c r="C103" s="1059">
        <v>0</v>
      </c>
      <c r="D103" s="1068"/>
      <c r="E103" s="1031">
        <f t="shared" si="7"/>
        <v>0</v>
      </c>
      <c r="F103" s="1071">
        <v>0</v>
      </c>
      <c r="G103" s="1076">
        <f t="shared" si="13"/>
        <v>0</v>
      </c>
      <c r="H103" s="2571" t="e">
        <f t="shared" si="6"/>
        <v>#DIV/0!</v>
      </c>
      <c r="I103" s="1070"/>
      <c r="J103" s="2406"/>
      <c r="K103" s="102">
        <f t="shared" si="9"/>
        <v>0</v>
      </c>
      <c r="L103" s="102">
        <v>0</v>
      </c>
      <c r="N103" s="312">
        <f t="shared" si="12"/>
        <v>0</v>
      </c>
      <c r="O103" s="102">
        <f t="shared" si="10"/>
        <v>0</v>
      </c>
      <c r="P103" s="102">
        <f t="shared" si="11"/>
        <v>0</v>
      </c>
    </row>
    <row r="104" spans="1:17" ht="15">
      <c r="A104" s="2440" t="s">
        <v>93</v>
      </c>
      <c r="B104" s="1069" t="s">
        <v>54</v>
      </c>
      <c r="C104" s="1059">
        <v>164</v>
      </c>
      <c r="D104" s="1059"/>
      <c r="E104" s="1031">
        <f t="shared" si="7"/>
        <v>164</v>
      </c>
      <c r="F104" s="1071">
        <f>50.044+57.45+1.69+5.5+18.23+7.03+0.8</f>
        <v>140.744</v>
      </c>
      <c r="G104" s="1076">
        <f t="shared" si="13"/>
        <v>23.256</v>
      </c>
      <c r="H104" s="2571">
        <f t="shared" si="6"/>
        <v>0.1418048780487805</v>
      </c>
      <c r="I104" s="1070"/>
      <c r="J104" s="3230" t="s">
        <v>1142</v>
      </c>
      <c r="K104" s="102">
        <f t="shared" si="9"/>
        <v>3.9999999999906777E-3</v>
      </c>
      <c r="L104" s="102">
        <v>140.74799999999999</v>
      </c>
      <c r="N104" s="312">
        <f t="shared" si="12"/>
        <v>174</v>
      </c>
      <c r="O104" s="102">
        <f t="shared" si="10"/>
        <v>151.13200000000001</v>
      </c>
      <c r="P104" s="102">
        <f t="shared" si="11"/>
        <v>22.867999999999995</v>
      </c>
    </row>
    <row r="105" spans="1:17" s="2082" customFormat="1" ht="15">
      <c r="A105" s="2440" t="s">
        <v>706</v>
      </c>
      <c r="B105" s="1069" t="s">
        <v>54</v>
      </c>
      <c r="C105" s="1059">
        <v>13309</v>
      </c>
      <c r="D105" s="1059"/>
      <c r="E105" s="1031">
        <f t="shared" si="7"/>
        <v>13309</v>
      </c>
      <c r="F105" s="2094">
        <f>2670.204+3327.32+317.57+404.28+395.71+190.65+230+281.05+116.51+102.07+66.98+45.91+20.2+25.7+45.68+16.07+17.01+11.68+12.21+5.58+14.08+15.45+6.73+2.5+4.94+8.54+8.59+7.21+10.4+0.3+8.36+1.82+3+0.45+2.04+31.7+0.09+1.05+0.03+28.83+6.62+0.66+6.02+30.91+42.12+0.02+104.91+45.22+84.96+1.33+3.14+1.9</f>
        <v>8786.3040000000001</v>
      </c>
      <c r="G105" s="1076">
        <f t="shared" si="13"/>
        <v>4522.6959999999999</v>
      </c>
      <c r="H105" s="2571">
        <f t="shared" si="6"/>
        <v>0.33982237583590053</v>
      </c>
      <c r="I105" s="1070"/>
      <c r="J105" s="2406"/>
      <c r="K105" s="102">
        <f t="shared" si="9"/>
        <v>0</v>
      </c>
      <c r="L105" s="102">
        <v>8786.3040000000001</v>
      </c>
      <c r="N105" s="312">
        <f t="shared" si="12"/>
        <v>14009</v>
      </c>
      <c r="O105" s="102">
        <f t="shared" si="10"/>
        <v>9363.0990000000002</v>
      </c>
      <c r="P105" s="102">
        <f t="shared" si="11"/>
        <v>4645.9009999999998</v>
      </c>
    </row>
    <row r="106" spans="1:17" s="2573" customFormat="1" ht="15">
      <c r="A106" s="2440" t="s">
        <v>1263</v>
      </c>
      <c r="B106" s="1069" t="s">
        <v>54</v>
      </c>
      <c r="C106" s="1059">
        <f>23999+1730</f>
        <v>25729</v>
      </c>
      <c r="D106" s="1059"/>
      <c r="E106" s="1031">
        <f t="shared" si="7"/>
        <v>25729</v>
      </c>
      <c r="F106" s="2094">
        <f>202.668+148.33+60+1+28+91+69+48+68.92+0.39</f>
        <v>717.30799999999999</v>
      </c>
      <c r="G106" s="1076">
        <f t="shared" si="13"/>
        <v>25011.691999999999</v>
      </c>
      <c r="H106" s="2571">
        <f t="shared" si="6"/>
        <v>0.97212064207703364</v>
      </c>
      <c r="I106" s="1070"/>
      <c r="J106" s="2406"/>
      <c r="K106" s="102">
        <f t="shared" si="9"/>
        <v>-3.0000000000427463E-3</v>
      </c>
      <c r="L106" s="102">
        <v>717.30499999999995</v>
      </c>
      <c r="N106" s="312"/>
    </row>
    <row r="107" spans="1:17" ht="15">
      <c r="A107" s="181" t="s">
        <v>52</v>
      </c>
      <c r="B107" s="1077" t="s">
        <v>54</v>
      </c>
      <c r="C107" s="1295">
        <f>SUM(C44:C106)</f>
        <v>348477.29800000001</v>
      </c>
      <c r="D107" s="1295">
        <f>SUM(D44:D106)</f>
        <v>0</v>
      </c>
      <c r="E107" s="1483">
        <f>SUM(E44:E106)</f>
        <v>348477.29800000001</v>
      </c>
      <c r="F107" s="2096">
        <f>SUM(F44:F106)</f>
        <v>98134.840000000026</v>
      </c>
      <c r="G107" s="2449">
        <f t="shared" si="13"/>
        <v>250342.45799999998</v>
      </c>
      <c r="H107" s="2571">
        <f t="shared" si="6"/>
        <v>0.71838957497885547</v>
      </c>
      <c r="I107" s="1078"/>
      <c r="J107" s="620"/>
      <c r="K107" s="621"/>
      <c r="L107" s="1330">
        <f>SUM(L44:L106)</f>
        <v>98134.83600000001</v>
      </c>
      <c r="M107" s="622"/>
      <c r="P107" s="1289" t="s">
        <v>1175</v>
      </c>
    </row>
    <row r="108" spans="1:17" ht="13.5">
      <c r="A108" s="194"/>
      <c r="B108" s="65"/>
      <c r="C108" s="1038"/>
      <c r="D108" s="1038"/>
      <c r="E108" s="1038"/>
      <c r="F108" s="195"/>
      <c r="G108" s="195"/>
      <c r="H108" s="1079"/>
      <c r="I108" s="1028"/>
      <c r="J108" s="1484" t="s">
        <v>507</v>
      </c>
      <c r="L108" s="1311" t="s">
        <v>506</v>
      </c>
      <c r="M108" s="1372" t="s">
        <v>517</v>
      </c>
      <c r="P108" s="3318">
        <v>7648</v>
      </c>
    </row>
    <row r="109" spans="1:17" ht="13.5">
      <c r="A109" s="665" t="s">
        <v>47</v>
      </c>
      <c r="B109" s="665" t="s">
        <v>48</v>
      </c>
      <c r="C109" s="252" t="s">
        <v>49</v>
      </c>
      <c r="D109" s="252"/>
      <c r="E109" s="252" t="s">
        <v>50</v>
      </c>
      <c r="F109" s="665" t="s">
        <v>20</v>
      </c>
      <c r="G109" s="665" t="s">
        <v>21</v>
      </c>
      <c r="H109" s="665" t="s">
        <v>51</v>
      </c>
      <c r="I109" s="165" t="s">
        <v>23</v>
      </c>
      <c r="J109" s="1377" t="s">
        <v>440</v>
      </c>
      <c r="K109" s="1434" t="s">
        <v>439</v>
      </c>
      <c r="L109" s="1435" t="s">
        <v>441</v>
      </c>
      <c r="M109" s="1415" t="s">
        <v>508</v>
      </c>
      <c r="N109" s="1372" t="s">
        <v>516</v>
      </c>
      <c r="P109" s="3433" t="s">
        <v>1284</v>
      </c>
    </row>
    <row r="110" spans="1:17" ht="21">
      <c r="A110" s="2440" t="s">
        <v>646</v>
      </c>
      <c r="B110" s="1030" t="s">
        <v>34</v>
      </c>
      <c r="C110" s="1069">
        <v>56</v>
      </c>
      <c r="D110" s="1069"/>
      <c r="E110" s="1031">
        <f t="shared" ref="E110:E141" si="14">+C110+G44+D110</f>
        <v>993.88300000000004</v>
      </c>
      <c r="F110" s="190">
        <f>L110</f>
        <v>10.015999999999991</v>
      </c>
      <c r="G110" s="1061">
        <f t="shared" ref="G110:G172" si="15">+E110-F110</f>
        <v>983.86700000000008</v>
      </c>
      <c r="H110" s="2571">
        <f>+G110/E110</f>
        <v>0.98992235504581527</v>
      </c>
      <c r="I110" s="1080"/>
      <c r="J110" s="2412"/>
      <c r="K110" s="955">
        <f>+F44</f>
        <v>132.11700000000002</v>
      </c>
      <c r="L110" s="956">
        <f>+M110-K110</f>
        <v>10.015999999999991</v>
      </c>
      <c r="M110">
        <v>142.13300000000001</v>
      </c>
      <c r="N110">
        <v>1</v>
      </c>
      <c r="P110">
        <v>142.13300000000001</v>
      </c>
      <c r="Q110">
        <f>+M110-P110</f>
        <v>0</v>
      </c>
    </row>
    <row r="111" spans="1:17" ht="18" customHeight="1">
      <c r="A111" s="2440" t="s">
        <v>647</v>
      </c>
      <c r="B111" s="1030" t="s">
        <v>34</v>
      </c>
      <c r="C111" s="1069">
        <v>125</v>
      </c>
      <c r="D111" s="1069"/>
      <c r="E111" s="1031">
        <f t="shared" si="14"/>
        <v>1925.47</v>
      </c>
      <c r="F111" s="190">
        <f t="shared" ref="F111:F172" si="16">L111</f>
        <v>221.35400000000004</v>
      </c>
      <c r="G111" s="1061">
        <f t="shared" si="15"/>
        <v>1704.116</v>
      </c>
      <c r="H111" s="2571">
        <f t="shared" ref="H111:H173" si="17">+G111/E111</f>
        <v>0.88503897749640348</v>
      </c>
      <c r="I111" s="1056"/>
      <c r="J111" s="2412"/>
      <c r="K111" s="955">
        <f t="shared" ref="K111:K172" si="18">+F45</f>
        <v>981.53</v>
      </c>
      <c r="L111" s="956">
        <f t="shared" ref="L111:L172" si="19">+M111-K111</f>
        <v>221.35400000000004</v>
      </c>
      <c r="M111">
        <v>1202.884</v>
      </c>
      <c r="N111">
        <v>2</v>
      </c>
      <c r="P111">
        <v>1202.884</v>
      </c>
      <c r="Q111" s="3433">
        <f t="shared" ref="Q111:Q172" si="20">+M111-P111</f>
        <v>0</v>
      </c>
    </row>
    <row r="112" spans="1:17" ht="21">
      <c r="A112" s="2440" t="s">
        <v>648</v>
      </c>
      <c r="B112" s="1030" t="s">
        <v>34</v>
      </c>
      <c r="C112" s="1069">
        <v>12</v>
      </c>
      <c r="D112" s="1069"/>
      <c r="E112" s="1031">
        <f t="shared" si="14"/>
        <v>19.53</v>
      </c>
      <c r="F112" s="190">
        <f t="shared" si="16"/>
        <v>7.2419999999999991</v>
      </c>
      <c r="G112" s="1073">
        <f t="shared" si="15"/>
        <v>12.288000000000002</v>
      </c>
      <c r="H112" s="2571">
        <f t="shared" si="17"/>
        <v>0.62918586789554543</v>
      </c>
      <c r="I112" s="1081"/>
      <c r="J112" s="2412"/>
      <c r="K112" s="955">
        <f t="shared" si="18"/>
        <v>9.4700000000000006</v>
      </c>
      <c r="L112" s="956">
        <f t="shared" si="19"/>
        <v>7.2419999999999991</v>
      </c>
      <c r="M112">
        <v>16.712</v>
      </c>
      <c r="N112" s="1372">
        <v>3</v>
      </c>
      <c r="P112">
        <v>16.712</v>
      </c>
      <c r="Q112" s="3433">
        <f t="shared" si="20"/>
        <v>0</v>
      </c>
    </row>
    <row r="113" spans="1:17" ht="15">
      <c r="A113" s="2440" t="s">
        <v>649</v>
      </c>
      <c r="B113" s="1030" t="s">
        <v>34</v>
      </c>
      <c r="C113" s="1069">
        <v>697</v>
      </c>
      <c r="D113" s="1069"/>
      <c r="E113" s="1031">
        <f t="shared" si="14"/>
        <v>8922.4599999999991</v>
      </c>
      <c r="F113" s="190">
        <f t="shared" si="16"/>
        <v>854.00900000000001</v>
      </c>
      <c r="G113" s="1073">
        <f t="shared" si="15"/>
        <v>8068.4509999999991</v>
      </c>
      <c r="H113" s="2571">
        <f t="shared" si="17"/>
        <v>0.90428547732351838</v>
      </c>
      <c r="I113" s="1066"/>
      <c r="J113" s="2412"/>
      <c r="K113" s="955">
        <f t="shared" si="18"/>
        <v>5022.54</v>
      </c>
      <c r="L113" s="956">
        <f t="shared" si="19"/>
        <v>854.00900000000001</v>
      </c>
      <c r="M113">
        <v>5876.549</v>
      </c>
      <c r="N113" s="1372">
        <v>4</v>
      </c>
      <c r="P113">
        <v>5876.549</v>
      </c>
      <c r="Q113" s="3433">
        <f t="shared" si="20"/>
        <v>0</v>
      </c>
    </row>
    <row r="114" spans="1:17" ht="15">
      <c r="A114" s="2440" t="s">
        <v>650</v>
      </c>
      <c r="B114" s="1030" t="s">
        <v>34</v>
      </c>
      <c r="C114" s="1069">
        <v>8</v>
      </c>
      <c r="D114" s="1069"/>
      <c r="E114" s="1031">
        <f t="shared" si="14"/>
        <v>169</v>
      </c>
      <c r="F114" s="190">
        <f t="shared" si="16"/>
        <v>0</v>
      </c>
      <c r="G114" s="1073">
        <f t="shared" si="15"/>
        <v>169</v>
      </c>
      <c r="H114" s="2571">
        <f t="shared" si="17"/>
        <v>1</v>
      </c>
      <c r="I114" s="1063"/>
      <c r="J114" s="2412"/>
      <c r="K114" s="955">
        <f t="shared" si="18"/>
        <v>0</v>
      </c>
      <c r="L114" s="956">
        <f t="shared" si="19"/>
        <v>0</v>
      </c>
      <c r="M114">
        <v>0</v>
      </c>
      <c r="N114" s="1372">
        <v>5</v>
      </c>
      <c r="P114">
        <v>0</v>
      </c>
      <c r="Q114" s="3433">
        <f t="shared" si="20"/>
        <v>0</v>
      </c>
    </row>
    <row r="115" spans="1:17" ht="15">
      <c r="A115" s="2440" t="s">
        <v>651</v>
      </c>
      <c r="B115" s="1030" t="s">
        <v>34</v>
      </c>
      <c r="C115" s="1069">
        <v>527</v>
      </c>
      <c r="D115" s="1069"/>
      <c r="E115" s="1031">
        <f t="shared" si="14"/>
        <v>8491.3630000000012</v>
      </c>
      <c r="F115" s="190">
        <f t="shared" si="16"/>
        <v>495.62700000000041</v>
      </c>
      <c r="G115" s="1073">
        <f t="shared" si="15"/>
        <v>7995.7360000000008</v>
      </c>
      <c r="H115" s="2571">
        <f t="shared" si="17"/>
        <v>0.94163163204776423</v>
      </c>
      <c r="I115" s="1081"/>
      <c r="J115" s="2412"/>
      <c r="K115" s="955">
        <f t="shared" si="18"/>
        <v>2049.6369999999997</v>
      </c>
      <c r="L115" s="956">
        <f t="shared" si="19"/>
        <v>495.62700000000041</v>
      </c>
      <c r="M115">
        <v>2545.2640000000001</v>
      </c>
      <c r="N115" s="1372">
        <v>6</v>
      </c>
      <c r="P115">
        <v>2545.2640000000001</v>
      </c>
      <c r="Q115" s="3433">
        <f t="shared" si="20"/>
        <v>0</v>
      </c>
    </row>
    <row r="116" spans="1:17" ht="21">
      <c r="A116" s="2440" t="s">
        <v>652</v>
      </c>
      <c r="B116" s="1030" t="s">
        <v>34</v>
      </c>
      <c r="C116" s="1069">
        <v>551</v>
      </c>
      <c r="D116" s="1069"/>
      <c r="E116" s="1031">
        <f t="shared" si="14"/>
        <v>7912.2089999999998</v>
      </c>
      <c r="F116" s="190">
        <f t="shared" si="16"/>
        <v>296.77299999999968</v>
      </c>
      <c r="G116" s="1073">
        <f t="shared" si="15"/>
        <v>7615.4359999999997</v>
      </c>
      <c r="H116" s="2571">
        <f t="shared" si="17"/>
        <v>0.96249176431006811</v>
      </c>
      <c r="I116" s="1081"/>
      <c r="J116" s="2412"/>
      <c r="K116" s="955">
        <f t="shared" si="18"/>
        <v>3105.7910000000002</v>
      </c>
      <c r="L116" s="956">
        <f t="shared" si="19"/>
        <v>296.77299999999968</v>
      </c>
      <c r="M116">
        <v>3402.5639999999999</v>
      </c>
      <c r="N116" s="1372">
        <v>7</v>
      </c>
      <c r="P116">
        <v>3402.5639999999999</v>
      </c>
      <c r="Q116" s="3433">
        <f t="shared" si="20"/>
        <v>0</v>
      </c>
    </row>
    <row r="117" spans="1:17" ht="21">
      <c r="A117" s="2440" t="s">
        <v>653</v>
      </c>
      <c r="B117" s="1030" t="s">
        <v>34</v>
      </c>
      <c r="C117" s="1069">
        <v>431</v>
      </c>
      <c r="D117" s="1069"/>
      <c r="E117" s="1031">
        <f t="shared" si="14"/>
        <v>3491.840000000002</v>
      </c>
      <c r="F117" s="190">
        <f t="shared" si="16"/>
        <v>899.3620000000019</v>
      </c>
      <c r="G117" s="1073">
        <f t="shared" si="15"/>
        <v>2592.4780000000001</v>
      </c>
      <c r="H117" s="2571">
        <f t="shared" si="17"/>
        <v>0.74243894336510219</v>
      </c>
      <c r="I117" s="1082"/>
      <c r="J117" s="2412"/>
      <c r="K117" s="955">
        <f t="shared" si="18"/>
        <v>5133.159999999998</v>
      </c>
      <c r="L117" s="956">
        <f t="shared" si="19"/>
        <v>899.3620000000019</v>
      </c>
      <c r="M117">
        <v>6032.5219999999999</v>
      </c>
      <c r="N117" s="1372">
        <v>8</v>
      </c>
      <c r="P117">
        <v>6032.5219999999999</v>
      </c>
      <c r="Q117" s="3433">
        <f t="shared" si="20"/>
        <v>0</v>
      </c>
    </row>
    <row r="118" spans="1:17" ht="15">
      <c r="A118" s="2440" t="s">
        <v>654</v>
      </c>
      <c r="B118" s="1030" t="s">
        <v>34</v>
      </c>
      <c r="C118" s="1069">
        <v>202</v>
      </c>
      <c r="D118" s="1069"/>
      <c r="E118" s="1031">
        <f t="shared" si="14"/>
        <v>869.2700000000001</v>
      </c>
      <c r="F118" s="190">
        <f t="shared" si="16"/>
        <v>73.672000000000139</v>
      </c>
      <c r="G118" s="1061">
        <f t="shared" si="15"/>
        <v>795.59799999999996</v>
      </c>
      <c r="H118" s="2571">
        <f t="shared" si="17"/>
        <v>0.91524842684091234</v>
      </c>
      <c r="I118" s="1083"/>
      <c r="J118" s="2412"/>
      <c r="K118" s="955">
        <f t="shared" si="18"/>
        <v>565.7299999999999</v>
      </c>
      <c r="L118" s="956">
        <f t="shared" si="19"/>
        <v>73.672000000000139</v>
      </c>
      <c r="M118">
        <v>639.40200000000004</v>
      </c>
      <c r="N118" s="1372">
        <v>9</v>
      </c>
      <c r="P118">
        <v>639.40200000000004</v>
      </c>
      <c r="Q118" s="3433">
        <f t="shared" si="20"/>
        <v>0</v>
      </c>
    </row>
    <row r="119" spans="1:17" s="2387" customFormat="1" ht="15">
      <c r="A119" s="2619" t="s">
        <v>655</v>
      </c>
      <c r="B119" s="1405" t="s">
        <v>34</v>
      </c>
      <c r="C119" s="1406">
        <v>35</v>
      </c>
      <c r="D119" s="1406"/>
      <c r="E119" s="1031">
        <f t="shared" si="14"/>
        <v>466.09000000000003</v>
      </c>
      <c r="F119" s="1932">
        <f t="shared" si="16"/>
        <v>-9.9999999999766942E-4</v>
      </c>
      <c r="G119" s="2418">
        <f t="shared" si="15"/>
        <v>466.09100000000001</v>
      </c>
      <c r="H119" s="2571">
        <f t="shared" si="17"/>
        <v>1.0000021455083781</v>
      </c>
      <c r="I119" s="2419"/>
      <c r="J119" s="2412"/>
      <c r="K119" s="955">
        <f t="shared" si="18"/>
        <v>38.909999999999997</v>
      </c>
      <c r="L119" s="2420">
        <f t="shared" si="19"/>
        <v>-9.9999999999766942E-4</v>
      </c>
      <c r="M119" s="2387">
        <v>38.908999999999999</v>
      </c>
      <c r="N119" s="2387">
        <v>10</v>
      </c>
      <c r="P119" s="2387">
        <v>38.908999999999999</v>
      </c>
      <c r="Q119" s="3433">
        <f t="shared" si="20"/>
        <v>0</v>
      </c>
    </row>
    <row r="120" spans="1:17" ht="15">
      <c r="A120" s="2440" t="s">
        <v>656</v>
      </c>
      <c r="B120" s="1030" t="s">
        <v>34</v>
      </c>
      <c r="C120" s="1069">
        <v>1442</v>
      </c>
      <c r="D120" s="1069"/>
      <c r="E120" s="1031">
        <f t="shared" si="14"/>
        <v>18664.258000000002</v>
      </c>
      <c r="F120" s="190">
        <f t="shared" si="16"/>
        <v>1348.0110000000022</v>
      </c>
      <c r="G120" s="1061">
        <f t="shared" si="15"/>
        <v>17316.246999999999</v>
      </c>
      <c r="H120" s="2571">
        <f t="shared" si="17"/>
        <v>0.9277758054994738</v>
      </c>
      <c r="I120" s="1084"/>
      <c r="J120" s="2412"/>
      <c r="K120" s="955">
        <f t="shared" si="18"/>
        <v>10173.741999999998</v>
      </c>
      <c r="L120" s="956">
        <f t="shared" si="19"/>
        <v>1348.0110000000022</v>
      </c>
      <c r="M120">
        <v>11521.753000000001</v>
      </c>
      <c r="N120" s="1372">
        <v>11</v>
      </c>
      <c r="P120">
        <v>11521.753000000001</v>
      </c>
      <c r="Q120" s="3433">
        <f t="shared" si="20"/>
        <v>0</v>
      </c>
    </row>
    <row r="121" spans="1:17" ht="15">
      <c r="A121" s="2440" t="s">
        <v>657</v>
      </c>
      <c r="B121" s="1030" t="s">
        <v>34</v>
      </c>
      <c r="C121" s="1069">
        <v>94</v>
      </c>
      <c r="D121" s="1069"/>
      <c r="E121" s="1031">
        <f t="shared" si="14"/>
        <v>1619.2370000000001</v>
      </c>
      <c r="F121" s="190">
        <f t="shared" si="16"/>
        <v>11.535999999999945</v>
      </c>
      <c r="G121" s="1061">
        <f t="shared" si="15"/>
        <v>1607.701</v>
      </c>
      <c r="H121" s="2571">
        <f t="shared" si="17"/>
        <v>0.99287565686801871</v>
      </c>
      <c r="I121" s="1083"/>
      <c r="J121" s="2412"/>
      <c r="K121" s="955">
        <f t="shared" si="18"/>
        <v>265.76300000000003</v>
      </c>
      <c r="L121" s="956">
        <f t="shared" si="19"/>
        <v>11.535999999999945</v>
      </c>
      <c r="M121">
        <v>277.29899999999998</v>
      </c>
      <c r="N121" s="1372">
        <v>12</v>
      </c>
      <c r="P121">
        <v>277.29899999999998</v>
      </c>
      <c r="Q121" s="3433">
        <f t="shared" si="20"/>
        <v>0</v>
      </c>
    </row>
    <row r="122" spans="1:17" ht="15">
      <c r="A122" s="2440" t="s">
        <v>658</v>
      </c>
      <c r="B122" s="1030" t="s">
        <v>34</v>
      </c>
      <c r="C122" s="1069">
        <v>285</v>
      </c>
      <c r="D122" s="1068"/>
      <c r="E122" s="1031">
        <f t="shared" si="14"/>
        <v>5036.9380000000001</v>
      </c>
      <c r="F122" s="190">
        <f t="shared" si="16"/>
        <v>187.83800000000008</v>
      </c>
      <c r="G122" s="1061">
        <f t="shared" si="15"/>
        <v>4849.1000000000004</v>
      </c>
      <c r="H122" s="2571">
        <f t="shared" si="17"/>
        <v>0.96270789912442845</v>
      </c>
      <c r="I122" s="1083"/>
      <c r="J122" s="2412"/>
      <c r="K122" s="955">
        <f t="shared" si="18"/>
        <v>656.0619999999999</v>
      </c>
      <c r="L122" s="956">
        <f t="shared" si="19"/>
        <v>187.83800000000008</v>
      </c>
      <c r="M122">
        <v>843.9</v>
      </c>
      <c r="N122" s="1372">
        <v>13</v>
      </c>
      <c r="P122">
        <v>843.9</v>
      </c>
      <c r="Q122" s="3433">
        <f t="shared" si="20"/>
        <v>0</v>
      </c>
    </row>
    <row r="123" spans="1:17" ht="15">
      <c r="A123" s="2440" t="s">
        <v>659</v>
      </c>
      <c r="B123" s="1030" t="s">
        <v>34</v>
      </c>
      <c r="C123" s="1069">
        <v>8</v>
      </c>
      <c r="D123" s="1069"/>
      <c r="E123" s="1031">
        <f t="shared" si="14"/>
        <v>169</v>
      </c>
      <c r="F123" s="190">
        <f t="shared" si="16"/>
        <v>0</v>
      </c>
      <c r="G123" s="1061">
        <f t="shared" si="15"/>
        <v>169</v>
      </c>
      <c r="H123" s="2571">
        <f t="shared" si="17"/>
        <v>1</v>
      </c>
      <c r="I123" s="1083"/>
      <c r="J123" s="2412"/>
      <c r="K123" s="955">
        <f t="shared" si="18"/>
        <v>0</v>
      </c>
      <c r="L123" s="956">
        <f t="shared" si="19"/>
        <v>0</v>
      </c>
      <c r="M123">
        <v>0</v>
      </c>
      <c r="N123" s="1372">
        <v>14</v>
      </c>
      <c r="P123">
        <v>0</v>
      </c>
      <c r="Q123" s="3433">
        <f t="shared" si="20"/>
        <v>0</v>
      </c>
    </row>
    <row r="124" spans="1:17" ht="15">
      <c r="A124" s="2440" t="s">
        <v>660</v>
      </c>
      <c r="B124" s="1030" t="s">
        <v>34</v>
      </c>
      <c r="C124" s="1069">
        <v>528</v>
      </c>
      <c r="D124" s="1069"/>
      <c r="E124" s="1031">
        <f t="shared" si="14"/>
        <v>7004.7420000000002</v>
      </c>
      <c r="F124" s="190">
        <f t="shared" si="16"/>
        <v>805.75000000000045</v>
      </c>
      <c r="G124" s="1061">
        <f t="shared" si="15"/>
        <v>6198.9920000000002</v>
      </c>
      <c r="H124" s="2571">
        <f t="shared" si="17"/>
        <v>0.88497078122220629</v>
      </c>
      <c r="I124" s="1080"/>
      <c r="J124" s="2412"/>
      <c r="K124" s="955">
        <f t="shared" si="18"/>
        <v>3546.2579999999994</v>
      </c>
      <c r="L124" s="956">
        <f t="shared" si="19"/>
        <v>805.75000000000045</v>
      </c>
      <c r="M124">
        <v>4352.0079999999998</v>
      </c>
      <c r="N124" s="1372">
        <v>15</v>
      </c>
      <c r="P124">
        <v>4352.0079999999998</v>
      </c>
      <c r="Q124" s="3433">
        <f t="shared" si="20"/>
        <v>0</v>
      </c>
    </row>
    <row r="125" spans="1:17" ht="21">
      <c r="A125" s="2440" t="s">
        <v>661</v>
      </c>
      <c r="B125" s="1030" t="s">
        <v>34</v>
      </c>
      <c r="C125" s="1069">
        <v>315</v>
      </c>
      <c r="D125" s="1069"/>
      <c r="E125" s="1031">
        <f t="shared" si="14"/>
        <v>3535.0160000000001</v>
      </c>
      <c r="F125" s="190">
        <f t="shared" si="16"/>
        <v>692.80200000000013</v>
      </c>
      <c r="G125" s="1061">
        <f t="shared" si="15"/>
        <v>2842.2139999999999</v>
      </c>
      <c r="H125" s="2571">
        <f t="shared" si="17"/>
        <v>0.80401729440545666</v>
      </c>
      <c r="I125" s="1080"/>
      <c r="J125" s="2412"/>
      <c r="K125" s="955">
        <f t="shared" si="18"/>
        <v>2764.9839999999999</v>
      </c>
      <c r="L125" s="956">
        <f t="shared" si="19"/>
        <v>692.80200000000013</v>
      </c>
      <c r="M125">
        <v>3457.7860000000001</v>
      </c>
      <c r="N125" s="1372">
        <v>16</v>
      </c>
      <c r="P125">
        <v>3457.7860000000001</v>
      </c>
      <c r="Q125" s="3433">
        <f t="shared" si="20"/>
        <v>0</v>
      </c>
    </row>
    <row r="126" spans="1:17" ht="21">
      <c r="A126" s="2440" t="s">
        <v>662</v>
      </c>
      <c r="B126" s="1030" t="s">
        <v>34</v>
      </c>
      <c r="C126" s="1069">
        <v>1026</v>
      </c>
      <c r="D126" s="1069"/>
      <c r="E126" s="1031">
        <f t="shared" si="14"/>
        <v>18267.445</v>
      </c>
      <c r="F126" s="190">
        <f t="shared" si="16"/>
        <v>515.81399999999985</v>
      </c>
      <c r="G126" s="1061">
        <f t="shared" si="15"/>
        <v>17751.631000000001</v>
      </c>
      <c r="H126" s="2571">
        <f t="shared" si="17"/>
        <v>0.97176321045444514</v>
      </c>
      <c r="I126" s="1085"/>
      <c r="J126" s="2412"/>
      <c r="K126" s="955">
        <f t="shared" si="18"/>
        <v>2251.5550000000003</v>
      </c>
      <c r="L126" s="956">
        <f t="shared" si="19"/>
        <v>515.81399999999985</v>
      </c>
      <c r="M126">
        <v>2767.3690000000001</v>
      </c>
      <c r="N126" s="1372">
        <v>17</v>
      </c>
      <c r="P126">
        <v>2767.3690000000001</v>
      </c>
      <c r="Q126" s="3433">
        <f t="shared" si="20"/>
        <v>0</v>
      </c>
    </row>
    <row r="127" spans="1:17" ht="15">
      <c r="A127" s="2440" t="s">
        <v>663</v>
      </c>
      <c r="B127" s="1030" t="s">
        <v>34</v>
      </c>
      <c r="C127" s="1069">
        <v>18</v>
      </c>
      <c r="D127" s="1069"/>
      <c r="E127" s="1031">
        <f t="shared" si="14"/>
        <v>205.27100000000002</v>
      </c>
      <c r="F127" s="190">
        <f t="shared" si="16"/>
        <v>-3.9999999999906777E-3</v>
      </c>
      <c r="G127" s="1061">
        <f>+E127-F127</f>
        <v>205.27500000000001</v>
      </c>
      <c r="H127" s="2571">
        <f t="shared" si="17"/>
        <v>1.0000194864350054</v>
      </c>
      <c r="I127" s="1075"/>
      <c r="J127" s="2412"/>
      <c r="K127" s="955">
        <f t="shared" si="18"/>
        <v>147.72899999999998</v>
      </c>
      <c r="L127" s="956">
        <f t="shared" si="19"/>
        <v>-3.9999999999906777E-3</v>
      </c>
      <c r="M127">
        <v>147.72499999999999</v>
      </c>
      <c r="N127" s="1372">
        <v>18</v>
      </c>
      <c r="P127">
        <v>147.72499999999999</v>
      </c>
      <c r="Q127" s="3433">
        <f t="shared" si="20"/>
        <v>0</v>
      </c>
    </row>
    <row r="128" spans="1:17" ht="15">
      <c r="A128" s="2440" t="s">
        <v>664</v>
      </c>
      <c r="B128" s="1030" t="s">
        <v>34</v>
      </c>
      <c r="C128" s="1069">
        <v>279</v>
      </c>
      <c r="D128" s="1069"/>
      <c r="E128" s="1031">
        <f t="shared" si="14"/>
        <v>3169.915</v>
      </c>
      <c r="F128" s="190">
        <f t="shared" si="16"/>
        <v>606.69999999999982</v>
      </c>
      <c r="G128" s="1061">
        <f t="shared" si="15"/>
        <v>2563.2150000000001</v>
      </c>
      <c r="H128" s="2571">
        <f t="shared" si="17"/>
        <v>0.8086068553888669</v>
      </c>
      <c r="I128" s="1080"/>
      <c r="J128" s="2412"/>
      <c r="K128" s="955">
        <f t="shared" si="18"/>
        <v>2415.085</v>
      </c>
      <c r="L128" s="956">
        <f t="shared" si="19"/>
        <v>606.69999999999982</v>
      </c>
      <c r="M128">
        <v>3021.7849999999999</v>
      </c>
      <c r="N128" s="1372">
        <v>19</v>
      </c>
      <c r="P128">
        <v>3021.7849999999999</v>
      </c>
      <c r="Q128" s="3433">
        <f t="shared" si="20"/>
        <v>0</v>
      </c>
    </row>
    <row r="129" spans="1:17" ht="15">
      <c r="A129" s="2440" t="s">
        <v>665</v>
      </c>
      <c r="B129" s="1030" t="s">
        <v>34</v>
      </c>
      <c r="C129" s="1069">
        <v>515</v>
      </c>
      <c r="D129" s="1069"/>
      <c r="E129" s="1031">
        <f t="shared" si="14"/>
        <v>9159.8289999999997</v>
      </c>
      <c r="F129" s="190">
        <f t="shared" si="16"/>
        <v>281.07200000000034</v>
      </c>
      <c r="G129" s="1061">
        <f>+E129-F129</f>
        <v>8878.7569999999996</v>
      </c>
      <c r="H129" s="2571">
        <f t="shared" si="17"/>
        <v>0.96931471100606792</v>
      </c>
      <c r="I129" s="1075"/>
      <c r="J129" s="2412"/>
      <c r="K129" s="955">
        <f t="shared" si="18"/>
        <v>1147.1709999999996</v>
      </c>
      <c r="L129" s="956">
        <f t="shared" si="19"/>
        <v>281.07200000000034</v>
      </c>
      <c r="M129">
        <v>1428.2429999999999</v>
      </c>
      <c r="N129" s="1372">
        <v>20</v>
      </c>
      <c r="P129">
        <v>1428.2429999999999</v>
      </c>
      <c r="Q129" s="3433">
        <f t="shared" si="20"/>
        <v>0</v>
      </c>
    </row>
    <row r="130" spans="1:17" ht="21">
      <c r="A130" s="2440" t="s">
        <v>666</v>
      </c>
      <c r="B130" s="1069" t="s">
        <v>34</v>
      </c>
      <c r="C130" s="1069">
        <v>675</v>
      </c>
      <c r="D130" s="1069"/>
      <c r="E130" s="1031">
        <f t="shared" si="14"/>
        <v>11258.621999999999</v>
      </c>
      <c r="F130" s="190">
        <f t="shared" si="16"/>
        <v>688.09099999999989</v>
      </c>
      <c r="G130" s="1061">
        <f>+E130-F130</f>
        <v>10570.530999999999</v>
      </c>
      <c r="H130" s="2571">
        <f t="shared" si="17"/>
        <v>0.9388831954745438</v>
      </c>
      <c r="I130" s="1056"/>
      <c r="J130" s="2412"/>
      <c r="K130" s="955">
        <f t="shared" si="18"/>
        <v>2247.3780000000002</v>
      </c>
      <c r="L130" s="956">
        <f t="shared" si="19"/>
        <v>688.09099999999989</v>
      </c>
      <c r="M130">
        <v>2935.4690000000001</v>
      </c>
      <c r="N130" s="1372">
        <v>21</v>
      </c>
      <c r="P130">
        <v>2935.4690000000001</v>
      </c>
      <c r="Q130" s="3433">
        <f t="shared" si="20"/>
        <v>0</v>
      </c>
    </row>
    <row r="131" spans="1:17" s="1415" customFormat="1" ht="21">
      <c r="A131" s="2440" t="s">
        <v>667</v>
      </c>
      <c r="B131" s="2410" t="s">
        <v>34</v>
      </c>
      <c r="C131" s="2402">
        <v>152</v>
      </c>
      <c r="D131" s="2402"/>
      <c r="E131" s="1031">
        <f t="shared" si="14"/>
        <v>2914.08</v>
      </c>
      <c r="F131" s="2411">
        <f t="shared" si="16"/>
        <v>81.932999999999993</v>
      </c>
      <c r="G131" s="2404">
        <f t="shared" si="15"/>
        <v>2832.1469999999999</v>
      </c>
      <c r="H131" s="2571">
        <f t="shared" si="17"/>
        <v>0.97188375061769061</v>
      </c>
      <c r="I131" s="2429"/>
      <c r="J131" s="2412"/>
      <c r="K131" s="955">
        <f t="shared" si="18"/>
        <v>130.92000000000002</v>
      </c>
      <c r="L131" s="2413">
        <f t="shared" si="19"/>
        <v>81.932999999999993</v>
      </c>
      <c r="M131" s="1415">
        <v>212.85300000000001</v>
      </c>
      <c r="N131" s="1415">
        <v>22</v>
      </c>
      <c r="P131" s="1415">
        <v>212.85300000000001</v>
      </c>
      <c r="Q131" s="3433">
        <f t="shared" si="20"/>
        <v>0</v>
      </c>
    </row>
    <row r="132" spans="1:17" ht="24.75" customHeight="1">
      <c r="A132" s="2440" t="s">
        <v>668</v>
      </c>
      <c r="B132" s="1030" t="s">
        <v>34</v>
      </c>
      <c r="C132" s="1069">
        <v>237</v>
      </c>
      <c r="D132" s="1068"/>
      <c r="E132" s="1031">
        <f t="shared" si="14"/>
        <v>2048.12</v>
      </c>
      <c r="F132" s="190">
        <f t="shared" si="16"/>
        <v>499.40999999999985</v>
      </c>
      <c r="G132" s="1061">
        <f t="shared" si="15"/>
        <v>1548.71</v>
      </c>
      <c r="H132" s="2571">
        <f t="shared" si="17"/>
        <v>0.75616174833505856</v>
      </c>
      <c r="I132" s="1086"/>
      <c r="J132" s="2412"/>
      <c r="K132" s="955">
        <f t="shared" si="18"/>
        <v>2900.88</v>
      </c>
      <c r="L132" s="956">
        <f t="shared" si="19"/>
        <v>499.40999999999985</v>
      </c>
      <c r="M132">
        <v>3400.29</v>
      </c>
      <c r="N132" s="1372">
        <v>23</v>
      </c>
      <c r="P132">
        <v>3400.29</v>
      </c>
      <c r="Q132" s="3433">
        <f t="shared" si="20"/>
        <v>0</v>
      </c>
    </row>
    <row r="133" spans="1:17" ht="22.5" customHeight="1">
      <c r="A133" s="2440" t="s">
        <v>669</v>
      </c>
      <c r="B133" s="1030" t="s">
        <v>34</v>
      </c>
      <c r="C133" s="1069">
        <v>42</v>
      </c>
      <c r="D133" s="1069"/>
      <c r="E133" s="1031">
        <f t="shared" si="14"/>
        <v>129.625</v>
      </c>
      <c r="F133" s="190">
        <f t="shared" si="16"/>
        <v>4.1570000000000391</v>
      </c>
      <c r="G133" s="1061">
        <f t="shared" si="15"/>
        <v>125.46799999999996</v>
      </c>
      <c r="H133" s="2571">
        <f t="shared" si="17"/>
        <v>0.96793056894889073</v>
      </c>
      <c r="I133" s="1056"/>
      <c r="J133" s="2412"/>
      <c r="K133" s="955">
        <f t="shared" si="18"/>
        <v>711.375</v>
      </c>
      <c r="L133" s="956">
        <f t="shared" si="19"/>
        <v>4.1570000000000391</v>
      </c>
      <c r="M133">
        <v>715.53200000000004</v>
      </c>
      <c r="N133" s="1372">
        <v>24</v>
      </c>
      <c r="P133">
        <v>715.53200000000004</v>
      </c>
      <c r="Q133" s="3433">
        <f t="shared" si="20"/>
        <v>0</v>
      </c>
    </row>
    <row r="134" spans="1:17" ht="21">
      <c r="A134" s="3272" t="s">
        <v>670</v>
      </c>
      <c r="B134" s="1030" t="s">
        <v>34</v>
      </c>
      <c r="C134" s="1069">
        <v>64</v>
      </c>
      <c r="D134" s="1069"/>
      <c r="E134" s="1031">
        <f t="shared" si="14"/>
        <v>661.26</v>
      </c>
      <c r="F134" s="190">
        <f t="shared" si="16"/>
        <v>-3.9999999999977831E-3</v>
      </c>
      <c r="G134" s="1061">
        <f t="shared" si="15"/>
        <v>661.26400000000001</v>
      </c>
      <c r="H134" s="2571">
        <f t="shared" si="17"/>
        <v>1.0000060490578593</v>
      </c>
      <c r="I134" s="1086"/>
      <c r="J134" s="2412"/>
      <c r="K134" s="955">
        <f t="shared" si="18"/>
        <v>63.739999999999995</v>
      </c>
      <c r="L134" s="956">
        <f t="shared" si="19"/>
        <v>-3.9999999999977831E-3</v>
      </c>
      <c r="M134">
        <v>63.735999999999997</v>
      </c>
      <c r="N134" s="1372">
        <v>25</v>
      </c>
      <c r="P134">
        <v>63.735999999999997</v>
      </c>
      <c r="Q134" s="3433">
        <f t="shared" si="20"/>
        <v>0</v>
      </c>
    </row>
    <row r="135" spans="1:17" ht="15">
      <c r="A135" s="2440" t="s">
        <v>671</v>
      </c>
      <c r="B135" s="1030" t="s">
        <v>34</v>
      </c>
      <c r="C135" s="1069">
        <v>112</v>
      </c>
      <c r="D135" s="1069"/>
      <c r="E135" s="1031">
        <f t="shared" si="14"/>
        <v>1649.7</v>
      </c>
      <c r="F135" s="190">
        <f t="shared" si="16"/>
        <v>224.47800000000007</v>
      </c>
      <c r="G135" s="1061">
        <f>+E135-F135</f>
        <v>1425.222</v>
      </c>
      <c r="H135" s="2571">
        <f t="shared" si="17"/>
        <v>0.86392798690671024</v>
      </c>
      <c r="I135" s="1057"/>
      <c r="J135" s="2412"/>
      <c r="K135" s="955">
        <f t="shared" si="18"/>
        <v>585.29999999999995</v>
      </c>
      <c r="L135" s="956">
        <f t="shared" si="19"/>
        <v>224.47800000000007</v>
      </c>
      <c r="M135">
        <v>809.77800000000002</v>
      </c>
      <c r="N135" s="1372">
        <v>26</v>
      </c>
      <c r="P135">
        <v>809.77800000000002</v>
      </c>
      <c r="Q135" s="3433">
        <f t="shared" si="20"/>
        <v>0</v>
      </c>
    </row>
    <row r="136" spans="1:17" ht="21">
      <c r="A136" s="2440" t="s">
        <v>672</v>
      </c>
      <c r="B136" s="1030" t="s">
        <v>34</v>
      </c>
      <c r="C136" s="1069">
        <v>88</v>
      </c>
      <c r="D136" s="1069"/>
      <c r="E136" s="1031">
        <f t="shared" si="14"/>
        <v>1467.1599999999999</v>
      </c>
      <c r="F136" s="190">
        <f t="shared" si="16"/>
        <v>139.05599999999998</v>
      </c>
      <c r="G136" s="1061">
        <f t="shared" si="15"/>
        <v>1328.1039999999998</v>
      </c>
      <c r="H136" s="2571">
        <f t="shared" si="17"/>
        <v>0.90522097112789335</v>
      </c>
      <c r="I136" s="1075"/>
      <c r="J136" s="2412"/>
      <c r="K136" s="955">
        <f t="shared" si="18"/>
        <v>293.84000000000003</v>
      </c>
      <c r="L136" s="956">
        <f t="shared" si="19"/>
        <v>139.05599999999998</v>
      </c>
      <c r="M136">
        <v>432.89600000000002</v>
      </c>
      <c r="N136" s="1372">
        <v>27</v>
      </c>
      <c r="P136">
        <v>432.89600000000002</v>
      </c>
      <c r="Q136" s="3433">
        <f t="shared" si="20"/>
        <v>0</v>
      </c>
    </row>
    <row r="137" spans="1:17" ht="15">
      <c r="A137" s="2440" t="s">
        <v>673</v>
      </c>
      <c r="B137" s="1030" t="s">
        <v>34</v>
      </c>
      <c r="C137" s="1069">
        <v>165</v>
      </c>
      <c r="D137" s="1069"/>
      <c r="E137" s="1031">
        <f t="shared" si="14"/>
        <v>2151.6080000000002</v>
      </c>
      <c r="F137" s="190">
        <f t="shared" si="16"/>
        <v>79.185999999999922</v>
      </c>
      <c r="G137" s="1061">
        <f t="shared" si="15"/>
        <v>2072.4220000000005</v>
      </c>
      <c r="H137" s="2571">
        <f t="shared" si="17"/>
        <v>0.96319682767492976</v>
      </c>
      <c r="I137" s="270"/>
      <c r="J137" s="2412"/>
      <c r="K137" s="955">
        <f t="shared" si="18"/>
        <v>1139.3920000000001</v>
      </c>
      <c r="L137" s="956">
        <f t="shared" si="19"/>
        <v>79.185999999999922</v>
      </c>
      <c r="M137">
        <v>1218.578</v>
      </c>
      <c r="N137" s="1372">
        <v>28</v>
      </c>
      <c r="P137">
        <v>1218.578</v>
      </c>
      <c r="Q137" s="3433">
        <f t="shared" si="20"/>
        <v>0</v>
      </c>
    </row>
    <row r="138" spans="1:17" ht="15">
      <c r="A138" s="2440" t="s">
        <v>674</v>
      </c>
      <c r="B138" s="1030" t="s">
        <v>34</v>
      </c>
      <c r="C138" s="1069">
        <v>182</v>
      </c>
      <c r="D138" s="1069"/>
      <c r="E138" s="1031">
        <f t="shared" si="14"/>
        <v>3194.8359999999998</v>
      </c>
      <c r="F138" s="190">
        <f t="shared" si="16"/>
        <v>169.33199999999988</v>
      </c>
      <c r="G138" s="1061">
        <f t="shared" si="15"/>
        <v>3025.5039999999999</v>
      </c>
      <c r="H138" s="2571">
        <f t="shared" si="17"/>
        <v>0.9469982183749025</v>
      </c>
      <c r="I138" s="1056"/>
      <c r="J138" s="2412"/>
      <c r="K138" s="955">
        <f t="shared" si="18"/>
        <v>448.1640000000001</v>
      </c>
      <c r="L138" s="956">
        <f t="shared" si="19"/>
        <v>169.33199999999988</v>
      </c>
      <c r="M138">
        <v>617.49599999999998</v>
      </c>
      <c r="N138" s="1372">
        <v>29</v>
      </c>
      <c r="P138">
        <v>617.49599999999998</v>
      </c>
      <c r="Q138" s="3433">
        <f t="shared" si="20"/>
        <v>0</v>
      </c>
    </row>
    <row r="139" spans="1:17" s="2387" customFormat="1" ht="15">
      <c r="A139" s="2440" t="s">
        <v>675</v>
      </c>
      <c r="B139" s="1405" t="s">
        <v>34</v>
      </c>
      <c r="C139" s="1406">
        <v>34</v>
      </c>
      <c r="D139" s="1406"/>
      <c r="E139" s="1031">
        <f t="shared" si="14"/>
        <v>66.230000000000018</v>
      </c>
      <c r="F139" s="1932">
        <f t="shared" si="16"/>
        <v>66.230000000000018</v>
      </c>
      <c r="G139" s="2418">
        <f>+E139-F139</f>
        <v>0</v>
      </c>
      <c r="H139" s="2571">
        <f t="shared" si="17"/>
        <v>0</v>
      </c>
      <c r="I139" s="2421"/>
      <c r="J139" s="2412"/>
      <c r="K139" s="955">
        <f t="shared" si="18"/>
        <v>609.77</v>
      </c>
      <c r="L139" s="2420">
        <f t="shared" si="19"/>
        <v>66.230000000000018</v>
      </c>
      <c r="M139" s="2387">
        <v>676</v>
      </c>
      <c r="N139" s="2387">
        <v>30</v>
      </c>
      <c r="P139" s="2387">
        <v>676</v>
      </c>
      <c r="Q139" s="3433">
        <f t="shared" si="20"/>
        <v>0</v>
      </c>
    </row>
    <row r="140" spans="1:17" ht="21">
      <c r="A140" s="2440" t="s">
        <v>676</v>
      </c>
      <c r="B140" s="1030" t="s">
        <v>34</v>
      </c>
      <c r="C140" s="1069">
        <v>202</v>
      </c>
      <c r="D140" s="1069"/>
      <c r="E140" s="1031">
        <f t="shared" si="14"/>
        <v>3822.84</v>
      </c>
      <c r="F140" s="190">
        <f t="shared" si="16"/>
        <v>256.24599999999998</v>
      </c>
      <c r="G140" s="1061">
        <f t="shared" si="15"/>
        <v>3566.5940000000001</v>
      </c>
      <c r="H140" s="2571">
        <f t="shared" si="17"/>
        <v>0.93296972931119271</v>
      </c>
      <c r="I140" s="1075"/>
      <c r="J140" s="2412"/>
      <c r="K140" s="955">
        <f t="shared" si="18"/>
        <v>221.16</v>
      </c>
      <c r="L140" s="956">
        <f t="shared" si="19"/>
        <v>256.24599999999998</v>
      </c>
      <c r="M140">
        <v>477.40600000000001</v>
      </c>
      <c r="N140" s="1372">
        <v>31</v>
      </c>
      <c r="P140">
        <v>477.40600000000001</v>
      </c>
      <c r="Q140" s="3433">
        <f t="shared" si="20"/>
        <v>0</v>
      </c>
    </row>
    <row r="141" spans="1:17" ht="21">
      <c r="A141" s="2440" t="s">
        <v>677</v>
      </c>
      <c r="B141" s="1030" t="s">
        <v>34</v>
      </c>
      <c r="C141" s="1069">
        <v>324</v>
      </c>
      <c r="D141" s="1069"/>
      <c r="E141" s="1031">
        <f t="shared" si="14"/>
        <v>5849.49</v>
      </c>
      <c r="F141" s="190">
        <f t="shared" si="16"/>
        <v>242.8069999999999</v>
      </c>
      <c r="G141" s="1061">
        <f t="shared" si="15"/>
        <v>5606.683</v>
      </c>
      <c r="H141" s="2571">
        <f t="shared" si="17"/>
        <v>0.95849091117345275</v>
      </c>
      <c r="I141" s="1080"/>
      <c r="J141" s="2412"/>
      <c r="K141" s="955">
        <f t="shared" si="18"/>
        <v>638.5100000000001</v>
      </c>
      <c r="L141" s="956">
        <f t="shared" si="19"/>
        <v>242.8069999999999</v>
      </c>
      <c r="M141">
        <v>881.31700000000001</v>
      </c>
      <c r="N141" s="1372">
        <v>32</v>
      </c>
      <c r="P141">
        <v>881.31700000000001</v>
      </c>
      <c r="Q141" s="3433">
        <f t="shared" si="20"/>
        <v>0</v>
      </c>
    </row>
    <row r="142" spans="1:17" ht="15">
      <c r="A142" s="2440" t="s">
        <v>678</v>
      </c>
      <c r="B142" s="1030" t="s">
        <v>34</v>
      </c>
      <c r="C142" s="1069">
        <v>18</v>
      </c>
      <c r="D142" s="1069"/>
      <c r="E142" s="1031">
        <f t="shared" ref="E142:E172" si="21">+C142+G76+D142</f>
        <v>326.05</v>
      </c>
      <c r="F142" s="190">
        <f t="shared" si="16"/>
        <v>0</v>
      </c>
      <c r="G142" s="1061">
        <f t="shared" si="15"/>
        <v>326.05</v>
      </c>
      <c r="H142" s="2571">
        <f t="shared" si="17"/>
        <v>1</v>
      </c>
      <c r="I142" s="1080"/>
      <c r="J142" s="2412"/>
      <c r="K142" s="955">
        <f t="shared" si="18"/>
        <v>26.950000000000003</v>
      </c>
      <c r="L142" s="956">
        <f t="shared" si="19"/>
        <v>0</v>
      </c>
      <c r="M142">
        <v>26.95</v>
      </c>
      <c r="N142" s="1372">
        <v>33</v>
      </c>
      <c r="P142">
        <v>26.95</v>
      </c>
      <c r="Q142" s="3433">
        <f t="shared" si="20"/>
        <v>0</v>
      </c>
    </row>
    <row r="143" spans="1:17" ht="15">
      <c r="A143" s="2440" t="s">
        <v>679</v>
      </c>
      <c r="B143" s="1030" t="s">
        <v>34</v>
      </c>
      <c r="C143" s="1069">
        <v>24</v>
      </c>
      <c r="D143" s="1069"/>
      <c r="E143" s="1031">
        <f t="shared" si="21"/>
        <v>448.32</v>
      </c>
      <c r="F143" s="190">
        <f t="shared" si="16"/>
        <v>-1.0000000000012221E-3</v>
      </c>
      <c r="G143" s="1061">
        <f t="shared" si="15"/>
        <v>448.32099999999997</v>
      </c>
      <c r="H143" s="2571">
        <f t="shared" si="17"/>
        <v>1.0000022305496075</v>
      </c>
      <c r="I143" s="1087"/>
      <c r="J143" s="2412"/>
      <c r="K143" s="955">
        <f t="shared" si="18"/>
        <v>22.68</v>
      </c>
      <c r="L143" s="956">
        <f t="shared" si="19"/>
        <v>-1.0000000000012221E-3</v>
      </c>
      <c r="M143">
        <v>22.678999999999998</v>
      </c>
      <c r="N143" s="1372">
        <v>34</v>
      </c>
      <c r="P143">
        <v>22.678999999999998</v>
      </c>
      <c r="Q143" s="3433">
        <f t="shared" si="20"/>
        <v>0</v>
      </c>
    </row>
    <row r="144" spans="1:17" ht="21">
      <c r="A144" s="2440" t="s">
        <v>680</v>
      </c>
      <c r="B144" s="1030" t="s">
        <v>34</v>
      </c>
      <c r="C144" s="1069">
        <v>295</v>
      </c>
      <c r="D144" s="1069"/>
      <c r="E144" s="1031">
        <f t="shared" si="21"/>
        <v>4904.0950000000003</v>
      </c>
      <c r="F144" s="190">
        <f t="shared" si="16"/>
        <v>398.57100000000014</v>
      </c>
      <c r="G144" s="1061">
        <f t="shared" si="15"/>
        <v>4505.5240000000003</v>
      </c>
      <c r="H144" s="2571">
        <f t="shared" si="17"/>
        <v>0.91872690068198115</v>
      </c>
      <c r="I144" s="1075"/>
      <c r="J144" s="2412"/>
      <c r="K144" s="955">
        <f t="shared" si="18"/>
        <v>1002.905</v>
      </c>
      <c r="L144" s="956">
        <f t="shared" si="19"/>
        <v>398.57100000000014</v>
      </c>
      <c r="M144">
        <v>1401.4760000000001</v>
      </c>
      <c r="N144" s="1372">
        <v>35</v>
      </c>
      <c r="P144">
        <v>1401.4760000000001</v>
      </c>
      <c r="Q144" s="3433">
        <f t="shared" si="20"/>
        <v>0</v>
      </c>
    </row>
    <row r="145" spans="1:17" ht="15">
      <c r="A145" s="2440" t="s">
        <v>681</v>
      </c>
      <c r="B145" s="1030" t="s">
        <v>34</v>
      </c>
      <c r="C145" s="1069">
        <v>114</v>
      </c>
      <c r="D145" s="1069"/>
      <c r="E145" s="1031">
        <f t="shared" si="21"/>
        <v>2218.92</v>
      </c>
      <c r="F145" s="190">
        <f t="shared" si="16"/>
        <v>8.6020000000000039</v>
      </c>
      <c r="G145" s="1061">
        <f t="shared" si="15"/>
        <v>2210.3180000000002</v>
      </c>
      <c r="H145" s="2571">
        <f t="shared" si="17"/>
        <v>0.99612333928217334</v>
      </c>
      <c r="I145" s="1080"/>
      <c r="J145" s="2412"/>
      <c r="K145" s="955">
        <f t="shared" si="18"/>
        <v>60.08</v>
      </c>
      <c r="L145" s="956">
        <f t="shared" si="19"/>
        <v>8.6020000000000039</v>
      </c>
      <c r="M145">
        <v>68.682000000000002</v>
      </c>
      <c r="N145" s="1372">
        <v>36</v>
      </c>
      <c r="P145">
        <v>68.682000000000002</v>
      </c>
      <c r="Q145" s="3433">
        <f t="shared" si="20"/>
        <v>0</v>
      </c>
    </row>
    <row r="146" spans="1:17" ht="15">
      <c r="A146" s="2440" t="s">
        <v>682</v>
      </c>
      <c r="B146" s="1030" t="s">
        <v>34</v>
      </c>
      <c r="C146" s="1069">
        <v>786</v>
      </c>
      <c r="D146" s="1069"/>
      <c r="E146" s="1031">
        <f t="shared" si="21"/>
        <v>14546.294</v>
      </c>
      <c r="F146" s="190">
        <f t="shared" si="16"/>
        <v>513.77300000000014</v>
      </c>
      <c r="G146" s="1061">
        <f t="shared" si="15"/>
        <v>14032.521000000001</v>
      </c>
      <c r="H146" s="2571">
        <f t="shared" si="17"/>
        <v>0.96468014464715213</v>
      </c>
      <c r="I146" s="1080"/>
      <c r="J146" s="2412"/>
      <c r="K146" s="955">
        <f t="shared" si="18"/>
        <v>1021.7059999999999</v>
      </c>
      <c r="L146" s="956">
        <f t="shared" si="19"/>
        <v>513.77300000000014</v>
      </c>
      <c r="M146">
        <v>1535.479</v>
      </c>
      <c r="N146" s="1372">
        <v>37</v>
      </c>
      <c r="P146">
        <v>1535.479</v>
      </c>
      <c r="Q146" s="3433">
        <f t="shared" si="20"/>
        <v>0</v>
      </c>
    </row>
    <row r="147" spans="1:17" ht="23.25" customHeight="1">
      <c r="A147" s="2619" t="s">
        <v>683</v>
      </c>
      <c r="B147" s="1030" t="s">
        <v>34</v>
      </c>
      <c r="C147" s="1069">
        <v>128</v>
      </c>
      <c r="D147" s="1069"/>
      <c r="E147" s="1031">
        <f t="shared" si="21"/>
        <v>1595.577</v>
      </c>
      <c r="F147" s="190">
        <f t="shared" si="16"/>
        <v>89.762</v>
      </c>
      <c r="G147" s="1061">
        <f t="shared" si="15"/>
        <v>1505.8150000000001</v>
      </c>
      <c r="H147" s="2571">
        <f t="shared" si="17"/>
        <v>0.94374323520582215</v>
      </c>
      <c r="I147" s="1080"/>
      <c r="J147" s="2412"/>
      <c r="K147" s="955">
        <f t="shared" si="18"/>
        <v>287.423</v>
      </c>
      <c r="L147" s="956">
        <f t="shared" si="19"/>
        <v>89.762</v>
      </c>
      <c r="M147">
        <v>377.185</v>
      </c>
      <c r="N147" s="1372">
        <v>38</v>
      </c>
      <c r="P147">
        <v>377.185</v>
      </c>
      <c r="Q147" s="3433">
        <f t="shared" si="20"/>
        <v>0</v>
      </c>
    </row>
    <row r="148" spans="1:17" ht="15">
      <c r="A148" s="2440" t="s">
        <v>684</v>
      </c>
      <c r="B148" s="1030" t="s">
        <v>34</v>
      </c>
      <c r="C148" s="1069">
        <v>305</v>
      </c>
      <c r="D148" s="1069"/>
      <c r="E148" s="1031">
        <f t="shared" si="21"/>
        <v>5552.63</v>
      </c>
      <c r="F148" s="190">
        <f t="shared" si="16"/>
        <v>249.00999999999988</v>
      </c>
      <c r="G148" s="1061">
        <f t="shared" si="15"/>
        <v>5303.62</v>
      </c>
      <c r="H148" s="2571">
        <f t="shared" si="17"/>
        <v>0.95515458440414713</v>
      </c>
      <c r="I148" s="1057"/>
      <c r="J148" s="2412"/>
      <c r="K148" s="955">
        <f t="shared" si="18"/>
        <v>552.37000000000012</v>
      </c>
      <c r="L148" s="956">
        <f t="shared" si="19"/>
        <v>249.00999999999988</v>
      </c>
      <c r="M148">
        <v>801.38</v>
      </c>
      <c r="N148" s="1372">
        <v>39</v>
      </c>
      <c r="P148">
        <v>801.38</v>
      </c>
      <c r="Q148" s="3433">
        <f t="shared" si="20"/>
        <v>0</v>
      </c>
    </row>
    <row r="149" spans="1:17" ht="15">
      <c r="A149" s="2440" t="s">
        <v>685</v>
      </c>
      <c r="B149" s="1030" t="s">
        <v>34</v>
      </c>
      <c r="C149" s="1069">
        <v>0</v>
      </c>
      <c r="D149" s="1069"/>
      <c r="E149" s="1031">
        <f t="shared" si="21"/>
        <v>0</v>
      </c>
      <c r="F149" s="190">
        <f t="shared" si="16"/>
        <v>0</v>
      </c>
      <c r="G149" s="1061">
        <f t="shared" si="15"/>
        <v>0</v>
      </c>
      <c r="H149" s="2571" t="e">
        <f t="shared" si="17"/>
        <v>#DIV/0!</v>
      </c>
      <c r="I149" s="1086"/>
      <c r="J149" s="2412"/>
      <c r="K149" s="955">
        <f t="shared" si="18"/>
        <v>0</v>
      </c>
      <c r="L149" s="956">
        <f t="shared" si="19"/>
        <v>0</v>
      </c>
      <c r="M149">
        <v>0</v>
      </c>
      <c r="N149" s="1372">
        <v>40</v>
      </c>
      <c r="P149">
        <v>0</v>
      </c>
      <c r="Q149" s="3433">
        <f t="shared" si="20"/>
        <v>0</v>
      </c>
    </row>
    <row r="150" spans="1:17" ht="21">
      <c r="A150" s="2619" t="s">
        <v>686</v>
      </c>
      <c r="B150" s="1030" t="s">
        <v>34</v>
      </c>
      <c r="C150" s="1069">
        <v>129</v>
      </c>
      <c r="D150" s="1069"/>
      <c r="E150" s="1031">
        <f t="shared" si="21"/>
        <v>1235.354</v>
      </c>
      <c r="F150" s="190">
        <f t="shared" si="16"/>
        <v>0.35099999999999909</v>
      </c>
      <c r="G150" s="1061">
        <f t="shared" si="15"/>
        <v>1235.0030000000002</v>
      </c>
      <c r="H150" s="2571">
        <f t="shared" si="17"/>
        <v>0.99971587091635283</v>
      </c>
      <c r="I150" s="1075"/>
      <c r="J150" s="2412"/>
      <c r="K150" s="955">
        <f t="shared" si="18"/>
        <v>298.64600000000002</v>
      </c>
      <c r="L150" s="956">
        <f t="shared" si="19"/>
        <v>0.35099999999999909</v>
      </c>
      <c r="M150">
        <v>298.99700000000001</v>
      </c>
      <c r="N150" s="1372">
        <v>41</v>
      </c>
      <c r="P150">
        <v>298.99700000000001</v>
      </c>
      <c r="Q150" s="3433">
        <f t="shared" si="20"/>
        <v>0</v>
      </c>
    </row>
    <row r="151" spans="1:17" ht="21">
      <c r="A151" s="2619" t="s">
        <v>687</v>
      </c>
      <c r="B151" s="1030" t="s">
        <v>34</v>
      </c>
      <c r="C151" s="1069">
        <v>592</v>
      </c>
      <c r="D151" s="1069"/>
      <c r="E151" s="1031">
        <f t="shared" si="21"/>
        <v>6919.3389999999999</v>
      </c>
      <c r="F151" s="190">
        <f t="shared" si="16"/>
        <v>1024.2430000000004</v>
      </c>
      <c r="G151" s="1061">
        <f t="shared" si="15"/>
        <v>5895.0959999999995</v>
      </c>
      <c r="H151" s="2571">
        <f t="shared" si="17"/>
        <v>0.85197386628982907</v>
      </c>
      <c r="I151" s="1063"/>
      <c r="J151" s="2412"/>
      <c r="K151" s="955">
        <f t="shared" si="18"/>
        <v>4715.6610000000001</v>
      </c>
      <c r="L151" s="956">
        <f t="shared" si="19"/>
        <v>1024.2430000000004</v>
      </c>
      <c r="M151">
        <v>5739.9040000000005</v>
      </c>
      <c r="N151" s="1372">
        <v>42</v>
      </c>
      <c r="P151">
        <v>5739.9040000000005</v>
      </c>
      <c r="Q151" s="3433">
        <f t="shared" si="20"/>
        <v>0</v>
      </c>
    </row>
    <row r="152" spans="1:17" ht="21">
      <c r="A152" s="2440" t="s">
        <v>688</v>
      </c>
      <c r="B152" s="1030" t="s">
        <v>34</v>
      </c>
      <c r="C152" s="1069">
        <v>357</v>
      </c>
      <c r="D152" s="1069"/>
      <c r="E152" s="1031">
        <f t="shared" si="21"/>
        <v>5702.83</v>
      </c>
      <c r="F152" s="190">
        <f t="shared" si="16"/>
        <v>371.90300000000002</v>
      </c>
      <c r="G152" s="1061">
        <f t="shared" si="15"/>
        <v>5330.9269999999997</v>
      </c>
      <c r="H152" s="2571">
        <f t="shared" si="17"/>
        <v>0.93478623771004921</v>
      </c>
      <c r="I152" s="1075"/>
      <c r="J152" s="2412"/>
      <c r="K152" s="955">
        <f t="shared" si="18"/>
        <v>1442.17</v>
      </c>
      <c r="L152" s="956">
        <f t="shared" si="19"/>
        <v>371.90300000000002</v>
      </c>
      <c r="M152">
        <v>1814.0730000000001</v>
      </c>
      <c r="N152" s="1372">
        <v>43</v>
      </c>
      <c r="P152">
        <v>1814.0730000000001</v>
      </c>
      <c r="Q152" s="3433">
        <f t="shared" si="20"/>
        <v>0</v>
      </c>
    </row>
    <row r="153" spans="1:17" ht="15">
      <c r="A153" s="2440" t="s">
        <v>689</v>
      </c>
      <c r="B153" s="1030" t="s">
        <v>34</v>
      </c>
      <c r="C153" s="1069">
        <v>24</v>
      </c>
      <c r="D153" s="1068"/>
      <c r="E153" s="1031">
        <f t="shared" si="21"/>
        <v>412.33</v>
      </c>
      <c r="F153" s="190">
        <f t="shared" si="16"/>
        <v>0.58999999999999631</v>
      </c>
      <c r="G153" s="1061">
        <f t="shared" si="15"/>
        <v>411.74</v>
      </c>
      <c r="H153" s="2571">
        <f t="shared" si="17"/>
        <v>0.99856910726845005</v>
      </c>
      <c r="I153" s="1087"/>
      <c r="J153" s="2412"/>
      <c r="K153" s="955">
        <f t="shared" si="18"/>
        <v>58.67</v>
      </c>
      <c r="L153" s="956">
        <f t="shared" si="19"/>
        <v>0.58999999999999631</v>
      </c>
      <c r="M153">
        <v>59.26</v>
      </c>
      <c r="N153" s="1372">
        <v>44</v>
      </c>
      <c r="P153">
        <v>59.26</v>
      </c>
      <c r="Q153" s="3433">
        <f t="shared" si="20"/>
        <v>0</v>
      </c>
    </row>
    <row r="154" spans="1:17" ht="15">
      <c r="A154" s="2440" t="s">
        <v>690</v>
      </c>
      <c r="B154" s="1030" t="s">
        <v>34</v>
      </c>
      <c r="C154" s="1069">
        <v>858</v>
      </c>
      <c r="D154" s="1069"/>
      <c r="E154" s="1031">
        <f t="shared" si="21"/>
        <v>13936.246999999999</v>
      </c>
      <c r="F154" s="190">
        <f t="shared" si="16"/>
        <v>536.27600000000029</v>
      </c>
      <c r="G154" s="1061">
        <f t="shared" si="15"/>
        <v>13399.971</v>
      </c>
      <c r="H154" s="2571">
        <f t="shared" si="17"/>
        <v>0.96151933874306328</v>
      </c>
      <c r="I154" s="1088"/>
      <c r="J154" s="2412"/>
      <c r="K154" s="955">
        <f t="shared" si="18"/>
        <v>3227.7529999999997</v>
      </c>
      <c r="L154" s="956">
        <f t="shared" si="19"/>
        <v>536.27600000000029</v>
      </c>
      <c r="M154">
        <v>3764.029</v>
      </c>
      <c r="N154" s="1372">
        <v>45</v>
      </c>
      <c r="P154">
        <v>3764.029</v>
      </c>
      <c r="Q154" s="3433">
        <f t="shared" si="20"/>
        <v>0</v>
      </c>
    </row>
    <row r="155" spans="1:17" ht="15">
      <c r="A155" s="2440" t="s">
        <v>691</v>
      </c>
      <c r="B155" s="1030" t="s">
        <v>34</v>
      </c>
      <c r="C155" s="1069">
        <v>332</v>
      </c>
      <c r="D155" s="1069"/>
      <c r="E155" s="1031">
        <f t="shared" si="21"/>
        <v>2289.9039999999995</v>
      </c>
      <c r="F155" s="190">
        <f t="shared" si="16"/>
        <v>757.60799999999927</v>
      </c>
      <c r="G155" s="1061">
        <f t="shared" si="15"/>
        <v>1532.2960000000003</v>
      </c>
      <c r="H155" s="2571">
        <f t="shared" si="17"/>
        <v>0.66915294265611158</v>
      </c>
      <c r="I155" s="1075"/>
      <c r="J155" s="2412"/>
      <c r="K155" s="955">
        <f t="shared" si="18"/>
        <v>4359.0960000000005</v>
      </c>
      <c r="L155" s="956">
        <f t="shared" si="19"/>
        <v>757.60799999999927</v>
      </c>
      <c r="M155">
        <v>5116.7039999999997</v>
      </c>
      <c r="N155" s="1372">
        <v>46</v>
      </c>
      <c r="P155">
        <v>5116.7039999999997</v>
      </c>
      <c r="Q155" s="3433">
        <f t="shared" si="20"/>
        <v>0</v>
      </c>
    </row>
    <row r="156" spans="1:17" ht="21">
      <c r="A156" s="3376" t="s">
        <v>692</v>
      </c>
      <c r="B156" s="1405" t="s">
        <v>34</v>
      </c>
      <c r="C156" s="1406">
        <v>111</v>
      </c>
      <c r="D156" s="1307"/>
      <c r="E156" s="1031">
        <f t="shared" si="21"/>
        <v>1573.8440000000001</v>
      </c>
      <c r="F156" s="190">
        <f t="shared" si="16"/>
        <v>50.743999999999915</v>
      </c>
      <c r="G156" s="1061">
        <f t="shared" si="15"/>
        <v>1523.1000000000001</v>
      </c>
      <c r="H156" s="2571">
        <f t="shared" si="17"/>
        <v>0.96775792264036342</v>
      </c>
      <c r="I156" s="1080"/>
      <c r="J156" s="2412"/>
      <c r="K156" s="955">
        <f t="shared" si="18"/>
        <v>337.15600000000006</v>
      </c>
      <c r="L156" s="956">
        <f t="shared" si="19"/>
        <v>50.743999999999915</v>
      </c>
      <c r="M156">
        <v>387.9</v>
      </c>
      <c r="N156" s="1372">
        <v>47</v>
      </c>
      <c r="P156">
        <v>387.9</v>
      </c>
      <c r="Q156" s="3433">
        <f t="shared" si="20"/>
        <v>0</v>
      </c>
    </row>
    <row r="157" spans="1:17" ht="21">
      <c r="A157" s="2440" t="s">
        <v>693</v>
      </c>
      <c r="B157" s="1030" t="s">
        <v>34</v>
      </c>
      <c r="C157" s="1069">
        <v>339</v>
      </c>
      <c r="D157" s="1069"/>
      <c r="E157" s="1031">
        <f t="shared" si="21"/>
        <v>4526.9380000000001</v>
      </c>
      <c r="F157" s="190">
        <f t="shared" si="16"/>
        <v>577.99400000000014</v>
      </c>
      <c r="G157" s="1061">
        <f t="shared" si="15"/>
        <v>3948.944</v>
      </c>
      <c r="H157" s="2571">
        <f t="shared" si="17"/>
        <v>0.87232120254352941</v>
      </c>
      <c r="I157" s="1080"/>
      <c r="J157" s="2412"/>
      <c r="K157" s="955">
        <f t="shared" si="18"/>
        <v>2245.0619999999999</v>
      </c>
      <c r="L157" s="956">
        <f t="shared" si="19"/>
        <v>577.99400000000014</v>
      </c>
      <c r="M157">
        <v>2823.056</v>
      </c>
      <c r="N157" s="1372">
        <v>48</v>
      </c>
      <c r="P157">
        <v>2823.056</v>
      </c>
      <c r="Q157" s="3433">
        <f t="shared" si="20"/>
        <v>0</v>
      </c>
    </row>
    <row r="158" spans="1:17" ht="21">
      <c r="A158" s="2440" t="s">
        <v>694</v>
      </c>
      <c r="B158" s="1030" t="s">
        <v>34</v>
      </c>
      <c r="C158" s="1069">
        <v>213</v>
      </c>
      <c r="D158" s="1069"/>
      <c r="E158" s="1031">
        <f t="shared" si="21"/>
        <v>2720.268</v>
      </c>
      <c r="F158" s="190">
        <f t="shared" si="16"/>
        <v>56.525000000000091</v>
      </c>
      <c r="G158" s="1061">
        <f t="shared" si="15"/>
        <v>2663.7429999999999</v>
      </c>
      <c r="H158" s="2571">
        <f t="shared" si="17"/>
        <v>0.9792207973626128</v>
      </c>
      <c r="I158" s="270"/>
      <c r="J158" s="2412"/>
      <c r="K158" s="955">
        <f t="shared" si="18"/>
        <v>1139.732</v>
      </c>
      <c r="L158" s="956">
        <f t="shared" si="19"/>
        <v>56.525000000000091</v>
      </c>
      <c r="M158">
        <v>1196.2570000000001</v>
      </c>
      <c r="N158" s="1372">
        <v>49</v>
      </c>
      <c r="P158">
        <v>1196.2570000000001</v>
      </c>
      <c r="Q158" s="3433">
        <f t="shared" si="20"/>
        <v>0</v>
      </c>
    </row>
    <row r="159" spans="1:17" ht="15">
      <c r="A159" s="2440" t="s">
        <v>695</v>
      </c>
      <c r="B159" s="1030" t="s">
        <v>34</v>
      </c>
      <c r="C159" s="1069">
        <v>520</v>
      </c>
      <c r="D159" s="1069"/>
      <c r="E159" s="1031">
        <f t="shared" si="21"/>
        <v>8455.0099999999984</v>
      </c>
      <c r="F159" s="190">
        <f t="shared" si="16"/>
        <v>760.6419999999996</v>
      </c>
      <c r="G159" s="1061">
        <f t="shared" si="15"/>
        <v>7694.3679999999986</v>
      </c>
      <c r="H159" s="2571">
        <f t="shared" si="17"/>
        <v>0.91003653455170364</v>
      </c>
      <c r="I159" s="1057"/>
      <c r="J159" s="2412"/>
      <c r="K159" s="955">
        <f t="shared" si="18"/>
        <v>1952.9900000000005</v>
      </c>
      <c r="L159" s="956">
        <f t="shared" si="19"/>
        <v>760.6419999999996</v>
      </c>
      <c r="M159">
        <v>2713.6320000000001</v>
      </c>
      <c r="N159" s="1372">
        <v>50</v>
      </c>
      <c r="P159">
        <v>2713.6320000000001</v>
      </c>
      <c r="Q159" s="3433">
        <f t="shared" si="20"/>
        <v>0</v>
      </c>
    </row>
    <row r="160" spans="1:17" ht="15">
      <c r="A160" s="2440" t="s">
        <v>696</v>
      </c>
      <c r="B160" s="1030" t="s">
        <v>34</v>
      </c>
      <c r="C160" s="1069">
        <v>121</v>
      </c>
      <c r="D160" s="1069"/>
      <c r="E160" s="1031">
        <f t="shared" si="21"/>
        <v>584.66899999999964</v>
      </c>
      <c r="F160" s="190">
        <f>L160</f>
        <v>72.129999999999654</v>
      </c>
      <c r="G160" s="1061">
        <f t="shared" si="15"/>
        <v>512.53899999999999</v>
      </c>
      <c r="H160" s="2571">
        <f t="shared" si="17"/>
        <v>0.87663105107334283</v>
      </c>
      <c r="I160" s="1057"/>
      <c r="J160" s="2412"/>
      <c r="K160" s="955">
        <f t="shared" si="18"/>
        <v>1829.3310000000004</v>
      </c>
      <c r="L160" s="956">
        <f t="shared" si="19"/>
        <v>72.129999999999654</v>
      </c>
      <c r="M160">
        <v>1901.461</v>
      </c>
      <c r="N160" s="1372">
        <v>51</v>
      </c>
      <c r="P160">
        <v>1901.461</v>
      </c>
      <c r="Q160" s="3433">
        <f t="shared" si="20"/>
        <v>0</v>
      </c>
    </row>
    <row r="161" spans="1:17" ht="21">
      <c r="A161" s="2619" t="s">
        <v>697</v>
      </c>
      <c r="B161" s="1030" t="s">
        <v>34</v>
      </c>
      <c r="C161" s="1069">
        <v>176</v>
      </c>
      <c r="D161" s="1069"/>
      <c r="E161" s="1031">
        <f t="shared" si="21"/>
        <v>1122.915</v>
      </c>
      <c r="F161" s="190">
        <f t="shared" si="16"/>
        <v>130.19399999999996</v>
      </c>
      <c r="G161" s="1061">
        <f t="shared" si="15"/>
        <v>992.721</v>
      </c>
      <c r="H161" s="2571">
        <f t="shared" si="17"/>
        <v>0.88405711919424002</v>
      </c>
      <c r="I161" s="1057"/>
      <c r="J161" s="2412"/>
      <c r="K161" s="955">
        <f t="shared" si="18"/>
        <v>486.08500000000004</v>
      </c>
      <c r="L161" s="956">
        <f t="shared" si="19"/>
        <v>130.19399999999996</v>
      </c>
      <c r="M161">
        <v>616.279</v>
      </c>
      <c r="N161" s="1372">
        <v>52</v>
      </c>
      <c r="P161">
        <v>616.279</v>
      </c>
      <c r="Q161" s="3433">
        <f t="shared" si="20"/>
        <v>0</v>
      </c>
    </row>
    <row r="162" spans="1:17" ht="21">
      <c r="A162" s="2619" t="s">
        <v>698</v>
      </c>
      <c r="B162" s="2410" t="s">
        <v>34</v>
      </c>
      <c r="C162" s="2402">
        <v>341</v>
      </c>
      <c r="D162" s="1069"/>
      <c r="E162" s="1031">
        <f t="shared" si="21"/>
        <v>4690.3</v>
      </c>
      <c r="F162" s="190">
        <f t="shared" si="16"/>
        <v>418.03800000000001</v>
      </c>
      <c r="G162" s="1061">
        <f t="shared" si="15"/>
        <v>4272.2620000000006</v>
      </c>
      <c r="H162" s="2571">
        <f t="shared" si="17"/>
        <v>0.91087179924525097</v>
      </c>
      <c r="I162" s="1072"/>
      <c r="J162" s="2412"/>
      <c r="K162" s="955">
        <f t="shared" si="18"/>
        <v>728.7</v>
      </c>
      <c r="L162" s="956">
        <f t="shared" si="19"/>
        <v>418.03800000000001</v>
      </c>
      <c r="M162">
        <v>1146.7380000000001</v>
      </c>
      <c r="N162" s="1372">
        <v>53</v>
      </c>
      <c r="P162">
        <v>1146.7380000000001</v>
      </c>
      <c r="Q162" s="3433">
        <f t="shared" si="20"/>
        <v>0</v>
      </c>
    </row>
    <row r="163" spans="1:17" ht="21">
      <c r="A163" s="2440" t="s">
        <v>699</v>
      </c>
      <c r="B163" s="1030" t="s">
        <v>34</v>
      </c>
      <c r="C163" s="1069">
        <v>103</v>
      </c>
      <c r="D163" s="1069"/>
      <c r="E163" s="1031">
        <f t="shared" si="21"/>
        <v>1752.59</v>
      </c>
      <c r="F163" s="190">
        <f t="shared" si="16"/>
        <v>101.33899999999994</v>
      </c>
      <c r="G163" s="1061">
        <f t="shared" si="15"/>
        <v>1651.251</v>
      </c>
      <c r="H163" s="2571">
        <f t="shared" si="17"/>
        <v>0.94217757718576511</v>
      </c>
      <c r="I163" s="1057"/>
      <c r="J163" s="2412"/>
      <c r="K163" s="955">
        <f t="shared" si="18"/>
        <v>305.41000000000008</v>
      </c>
      <c r="L163" s="956">
        <f t="shared" si="19"/>
        <v>101.33899999999994</v>
      </c>
      <c r="M163">
        <v>406.74900000000002</v>
      </c>
      <c r="N163" s="1372">
        <v>54</v>
      </c>
      <c r="P163">
        <v>406.74900000000002</v>
      </c>
      <c r="Q163" s="3433">
        <f t="shared" si="20"/>
        <v>0</v>
      </c>
    </row>
    <row r="164" spans="1:17" s="1415" customFormat="1" ht="21">
      <c r="A164" s="2440" t="s">
        <v>700</v>
      </c>
      <c r="B164" s="2410" t="s">
        <v>34</v>
      </c>
      <c r="C164" s="2402">
        <v>34</v>
      </c>
      <c r="D164" s="2402"/>
      <c r="E164" s="1031">
        <f t="shared" si="21"/>
        <v>374.66000000000008</v>
      </c>
      <c r="F164" s="2411">
        <f t="shared" si="16"/>
        <v>15.329000000000065</v>
      </c>
      <c r="G164" s="2404">
        <f t="shared" si="15"/>
        <v>359.33100000000002</v>
      </c>
      <c r="H164" s="2571">
        <f t="shared" si="17"/>
        <v>0.9590855709176318</v>
      </c>
      <c r="I164" s="2429"/>
      <c r="J164" s="2412"/>
      <c r="K164" s="955">
        <f t="shared" si="18"/>
        <v>301.33999999999992</v>
      </c>
      <c r="L164" s="2413">
        <f t="shared" si="19"/>
        <v>15.329000000000065</v>
      </c>
      <c r="M164" s="1415">
        <v>316.66899999999998</v>
      </c>
      <c r="N164" s="1415">
        <v>55</v>
      </c>
      <c r="P164" s="1415">
        <v>316.66899999999998</v>
      </c>
      <c r="Q164" s="3433">
        <f t="shared" si="20"/>
        <v>0</v>
      </c>
    </row>
    <row r="165" spans="1:17" ht="21">
      <c r="A165" s="2440" t="s">
        <v>701</v>
      </c>
      <c r="B165" s="1030" t="s">
        <v>34</v>
      </c>
      <c r="C165" s="1069">
        <v>768</v>
      </c>
      <c r="D165" s="1069"/>
      <c r="E165" s="1031">
        <f t="shared" si="21"/>
        <v>8734.7179999999989</v>
      </c>
      <c r="F165" s="190">
        <f t="shared" si="16"/>
        <v>1238.8669999999993</v>
      </c>
      <c r="G165" s="1061">
        <f>+E165-F165</f>
        <v>7495.8509999999997</v>
      </c>
      <c r="H165" s="2571">
        <f t="shared" si="17"/>
        <v>0.85816748749072391</v>
      </c>
      <c r="I165" s="1057"/>
      <c r="J165" s="2412"/>
      <c r="K165" s="955">
        <f t="shared" si="18"/>
        <v>6634.2820000000011</v>
      </c>
      <c r="L165" s="956">
        <f t="shared" si="19"/>
        <v>1238.8669999999993</v>
      </c>
      <c r="M165">
        <v>7873.1490000000003</v>
      </c>
      <c r="N165" s="1372">
        <v>56</v>
      </c>
      <c r="P165">
        <v>7873.1490000000003</v>
      </c>
      <c r="Q165" s="3433">
        <f t="shared" si="20"/>
        <v>0</v>
      </c>
    </row>
    <row r="166" spans="1:17" ht="21">
      <c r="A166" s="3183" t="s">
        <v>702</v>
      </c>
      <c r="B166" s="1030" t="s">
        <v>34</v>
      </c>
      <c r="C166" s="1069">
        <v>505</v>
      </c>
      <c r="D166" s="1069"/>
      <c r="E166" s="1031">
        <f t="shared" si="21"/>
        <v>5895.4380000000001</v>
      </c>
      <c r="F166" s="190">
        <f t="shared" si="16"/>
        <v>591.55600000000027</v>
      </c>
      <c r="G166" s="1061">
        <f t="shared" si="15"/>
        <v>5303.8819999999996</v>
      </c>
      <c r="H166" s="2571">
        <f t="shared" si="17"/>
        <v>0.89965868524102865</v>
      </c>
      <c r="I166" s="1057"/>
      <c r="J166" s="2412"/>
      <c r="K166" s="955">
        <f t="shared" si="18"/>
        <v>1941.5619999999997</v>
      </c>
      <c r="L166" s="956">
        <f t="shared" si="19"/>
        <v>591.55600000000027</v>
      </c>
      <c r="M166">
        <v>2533.1179999999999</v>
      </c>
      <c r="N166" s="1372">
        <v>57</v>
      </c>
      <c r="P166">
        <v>2533.1179999999999</v>
      </c>
      <c r="Q166" s="3433">
        <f t="shared" si="20"/>
        <v>0</v>
      </c>
    </row>
    <row r="167" spans="1:17" s="1415" customFormat="1" ht="15">
      <c r="A167" s="2440" t="s">
        <v>703</v>
      </c>
      <c r="B167" s="2410" t="s">
        <v>34</v>
      </c>
      <c r="C167" s="2402">
        <v>0</v>
      </c>
      <c r="D167" s="2402"/>
      <c r="E167" s="1031">
        <f t="shared" si="21"/>
        <v>971.18799999999965</v>
      </c>
      <c r="F167" s="2411">
        <f t="shared" si="16"/>
        <v>971.18799999999965</v>
      </c>
      <c r="G167" s="2404">
        <f>+E167-F167</f>
        <v>0</v>
      </c>
      <c r="H167" s="2571">
        <f t="shared" si="17"/>
        <v>0</v>
      </c>
      <c r="I167" s="2430"/>
      <c r="J167" s="2412"/>
      <c r="K167" s="955">
        <f t="shared" si="18"/>
        <v>2889.11</v>
      </c>
      <c r="L167" s="2413">
        <f t="shared" si="19"/>
        <v>971.18799999999965</v>
      </c>
      <c r="M167" s="1415">
        <v>3860.2979999999998</v>
      </c>
      <c r="N167" s="1415">
        <v>58</v>
      </c>
      <c r="P167" s="1415">
        <v>3860.2979999999998</v>
      </c>
      <c r="Q167" s="3433">
        <f t="shared" si="20"/>
        <v>0</v>
      </c>
    </row>
    <row r="168" spans="1:17" ht="21">
      <c r="A168" s="2440" t="s">
        <v>704</v>
      </c>
      <c r="B168" s="1030" t="s">
        <v>34</v>
      </c>
      <c r="C168" s="1069">
        <v>44</v>
      </c>
      <c r="D168" s="1069"/>
      <c r="E168" s="1031">
        <f t="shared" si="21"/>
        <v>656.04899999999998</v>
      </c>
      <c r="F168" s="190">
        <f t="shared" si="16"/>
        <v>44.46999999999997</v>
      </c>
      <c r="G168" s="1061">
        <f>+E168-F168</f>
        <v>611.57899999999995</v>
      </c>
      <c r="H168" s="2571">
        <f t="shared" si="17"/>
        <v>0.93221542903045351</v>
      </c>
      <c r="I168" s="1070"/>
      <c r="J168" s="2412"/>
      <c r="K168" s="955">
        <f t="shared" si="18"/>
        <v>225.95100000000002</v>
      </c>
      <c r="L168" s="956">
        <f t="shared" si="19"/>
        <v>44.46999999999997</v>
      </c>
      <c r="M168">
        <v>270.42099999999999</v>
      </c>
      <c r="N168" s="1372">
        <v>59</v>
      </c>
      <c r="P168">
        <v>270.42099999999999</v>
      </c>
      <c r="Q168" s="3433">
        <f t="shared" si="20"/>
        <v>0</v>
      </c>
    </row>
    <row r="169" spans="1:17" ht="21">
      <c r="A169" s="2440" t="s">
        <v>705</v>
      </c>
      <c r="B169" s="1030" t="s">
        <v>34</v>
      </c>
      <c r="C169" s="1069">
        <v>0</v>
      </c>
      <c r="D169" s="1069"/>
      <c r="E169" s="1031">
        <f t="shared" si="21"/>
        <v>0</v>
      </c>
      <c r="F169" s="190">
        <f t="shared" si="16"/>
        <v>0</v>
      </c>
      <c r="G169" s="1061">
        <f t="shared" si="15"/>
        <v>0</v>
      </c>
      <c r="H169" s="2571" t="e">
        <f t="shared" si="17"/>
        <v>#DIV/0!</v>
      </c>
      <c r="I169" s="1089"/>
      <c r="J169" s="2412"/>
      <c r="K169" s="955">
        <f t="shared" si="18"/>
        <v>0</v>
      </c>
      <c r="L169" s="956">
        <f t="shared" si="19"/>
        <v>0</v>
      </c>
      <c r="M169">
        <v>0</v>
      </c>
      <c r="N169" s="1372">
        <v>60</v>
      </c>
      <c r="P169">
        <v>0</v>
      </c>
      <c r="Q169" s="3433">
        <f t="shared" si="20"/>
        <v>0</v>
      </c>
    </row>
    <row r="170" spans="1:17" ht="15">
      <c r="A170" s="2440" t="s">
        <v>93</v>
      </c>
      <c r="B170" s="1030" t="s">
        <v>34</v>
      </c>
      <c r="C170" s="1069">
        <v>10</v>
      </c>
      <c r="D170" s="1069"/>
      <c r="E170" s="1031">
        <f t="shared" si="21"/>
        <v>33.256</v>
      </c>
      <c r="F170" s="190">
        <f t="shared" si="16"/>
        <v>10.388000000000005</v>
      </c>
      <c r="G170" s="1061">
        <f t="shared" si="15"/>
        <v>22.867999999999995</v>
      </c>
      <c r="H170" s="2571">
        <f t="shared" si="17"/>
        <v>0.68763531392831356</v>
      </c>
      <c r="I170" s="1089"/>
      <c r="J170" s="2412"/>
      <c r="K170" s="955">
        <f t="shared" si="18"/>
        <v>140.744</v>
      </c>
      <c r="L170" s="956">
        <f t="shared" si="19"/>
        <v>10.388000000000005</v>
      </c>
      <c r="M170">
        <v>151.13200000000001</v>
      </c>
      <c r="N170" s="1372">
        <v>61</v>
      </c>
      <c r="P170">
        <v>151.13200000000001</v>
      </c>
      <c r="Q170" s="3433">
        <f t="shared" si="20"/>
        <v>0</v>
      </c>
    </row>
    <row r="171" spans="1:17" s="2082" customFormat="1" ht="15">
      <c r="A171" s="2440" t="s">
        <v>706</v>
      </c>
      <c r="B171" s="1030" t="s">
        <v>34</v>
      </c>
      <c r="C171" s="2095">
        <v>700</v>
      </c>
      <c r="D171" s="1069"/>
      <c r="E171" s="1031">
        <f t="shared" si="21"/>
        <v>5222.6959999999999</v>
      </c>
      <c r="F171" s="190">
        <f t="shared" si="16"/>
        <v>576.79500000000007</v>
      </c>
      <c r="G171" s="1061">
        <f t="shared" si="15"/>
        <v>4645.9009999999998</v>
      </c>
      <c r="H171" s="2571">
        <f t="shared" si="17"/>
        <v>0.88955991311766947</v>
      </c>
      <c r="I171" s="1089"/>
      <c r="J171" s="2412"/>
      <c r="K171" s="955">
        <f t="shared" si="18"/>
        <v>8786.3040000000001</v>
      </c>
      <c r="L171" s="956">
        <f t="shared" si="19"/>
        <v>576.79500000000007</v>
      </c>
      <c r="M171" s="2082">
        <v>9363.0990000000002</v>
      </c>
      <c r="P171" s="2082">
        <v>9363.0990000000002</v>
      </c>
      <c r="Q171" s="3433">
        <f t="shared" si="20"/>
        <v>0</v>
      </c>
    </row>
    <row r="172" spans="1:17" s="2573" customFormat="1" ht="15">
      <c r="A172" s="2440" t="s">
        <v>1263</v>
      </c>
      <c r="B172" s="1030" t="s">
        <v>34</v>
      </c>
      <c r="C172" s="2095">
        <v>91</v>
      </c>
      <c r="D172" s="1069"/>
      <c r="E172" s="1031">
        <f t="shared" si="21"/>
        <v>25102.691999999999</v>
      </c>
      <c r="F172" s="190">
        <f t="shared" si="16"/>
        <v>183.93399999999997</v>
      </c>
      <c r="G172" s="1061">
        <f t="shared" si="15"/>
        <v>24918.757999999998</v>
      </c>
      <c r="H172" s="2571">
        <f t="shared" si="17"/>
        <v>0.99267273804737755</v>
      </c>
      <c r="I172" s="1089"/>
      <c r="J172" s="2412"/>
      <c r="K172" s="955">
        <f t="shared" si="18"/>
        <v>717.30799999999999</v>
      </c>
      <c r="L172" s="956">
        <f t="shared" si="19"/>
        <v>183.93399999999997</v>
      </c>
      <c r="M172" s="2573">
        <v>901.24199999999996</v>
      </c>
      <c r="P172" s="2573">
        <v>901.24199999999996</v>
      </c>
      <c r="Q172" s="3433">
        <f t="shared" si="20"/>
        <v>0</v>
      </c>
    </row>
    <row r="173" spans="1:17" ht="15.75" thickBot="1">
      <c r="A173" s="181" t="s">
        <v>52</v>
      </c>
      <c r="B173" s="1041" t="s">
        <v>34</v>
      </c>
      <c r="C173" s="1485">
        <f>SUM(C110:C172)</f>
        <v>17469</v>
      </c>
      <c r="D173" s="1459">
        <f>SUM(D110:D172)</f>
        <v>0</v>
      </c>
      <c r="E173" s="1297">
        <f>+SUM(E110:E172)</f>
        <v>267811.45799999993</v>
      </c>
      <c r="F173" s="2097">
        <f>SUM(F110:F172)</f>
        <v>19509.316000000006</v>
      </c>
      <c r="G173" s="1486">
        <f>+E173-F173</f>
        <v>248302.14199999993</v>
      </c>
      <c r="H173" s="2571">
        <f t="shared" si="17"/>
        <v>0.92715279568060904</v>
      </c>
      <c r="I173" s="179"/>
      <c r="J173" s="213">
        <f>SUM(J110:J170)</f>
        <v>0</v>
      </c>
      <c r="K173" s="3326">
        <f>SUM(K110:K172)</f>
        <v>98134.840000000026</v>
      </c>
      <c r="L173" s="2406">
        <f>SUM(L110:L172)</f>
        <v>19509.316000000006</v>
      </c>
      <c r="M173" s="2406">
        <f>SUM(M110:M172)</f>
        <v>117644.15599999996</v>
      </c>
      <c r="N173" s="2406"/>
      <c r="O173" s="213"/>
    </row>
    <row r="174" spans="1:17" ht="13.5" thickBot="1">
      <c r="C174" s="1090"/>
      <c r="D174" s="700"/>
      <c r="G174" s="1378"/>
      <c r="J174" s="211"/>
      <c r="K174" s="169"/>
      <c r="L174" s="169"/>
    </row>
    <row r="175" spans="1:17" ht="13.5">
      <c r="A175" s="3608" t="s">
        <v>55</v>
      </c>
      <c r="B175" s="3609"/>
      <c r="C175" s="63"/>
      <c r="D175" s="63"/>
      <c r="E175" s="63"/>
      <c r="F175" s="193"/>
      <c r="G175" s="65"/>
      <c r="H175" s="64"/>
      <c r="I175" s="1028"/>
      <c r="J175" s="211"/>
      <c r="K175" s="1020"/>
      <c r="L175" s="169"/>
    </row>
    <row r="176" spans="1:17" ht="5.0999999999999996" customHeight="1">
      <c r="A176" s="64"/>
      <c r="B176" s="65"/>
      <c r="C176" s="63"/>
      <c r="D176" s="63"/>
      <c r="E176" s="63"/>
      <c r="F176" s="193"/>
      <c r="G176" s="65"/>
      <c r="H176" s="64"/>
      <c r="I176" s="1028"/>
      <c r="J176" s="211"/>
      <c r="K176" s="169"/>
      <c r="L176" s="169"/>
    </row>
    <row r="177" spans="1:12" ht="13.5">
      <c r="A177" s="665" t="s">
        <v>47</v>
      </c>
      <c r="B177" s="665" t="s">
        <v>48</v>
      </c>
      <c r="C177" s="252" t="s">
        <v>49</v>
      </c>
      <c r="D177" s="252"/>
      <c r="E177" s="252" t="s">
        <v>50</v>
      </c>
      <c r="F177" s="665" t="s">
        <v>20</v>
      </c>
      <c r="G177" s="665" t="s">
        <v>21</v>
      </c>
      <c r="H177" s="665" t="s">
        <v>51</v>
      </c>
      <c r="I177" s="165" t="s">
        <v>23</v>
      </c>
      <c r="J177" s="211"/>
      <c r="K177" s="169"/>
      <c r="L177" s="169"/>
    </row>
    <row r="178" spans="1:12" ht="15">
      <c r="A178" s="1945" t="s">
        <v>56</v>
      </c>
      <c r="B178" s="166" t="s">
        <v>32</v>
      </c>
      <c r="C178" s="1092">
        <v>17127</v>
      </c>
      <c r="D178" s="1092">
        <v>-300</v>
      </c>
      <c r="E178" s="2106">
        <f>+C178+D178</f>
        <v>16827</v>
      </c>
      <c r="F178" s="2107">
        <f>+SUM('RAE S.común'!B91:B94)</f>
        <v>9740.4210000000003</v>
      </c>
      <c r="G178" s="1094">
        <f>+E178-F178</f>
        <v>7086.5789999999997</v>
      </c>
      <c r="H178" s="2571">
        <f>+G178/E178</f>
        <v>0.4211433410590123</v>
      </c>
      <c r="I178" s="1034"/>
      <c r="J178" s="211"/>
      <c r="K178" s="169"/>
      <c r="L178" s="169"/>
    </row>
    <row r="179" spans="1:12" ht="15">
      <c r="A179" s="1091" t="s">
        <v>57</v>
      </c>
      <c r="B179" s="166" t="s">
        <v>32</v>
      </c>
      <c r="C179" s="1092">
        <v>3416</v>
      </c>
      <c r="D179" s="1092"/>
      <c r="E179" s="2106">
        <f t="shared" ref="E179:E194" si="22">+C179+D179</f>
        <v>3416</v>
      </c>
      <c r="F179" s="2107">
        <f>+SUM('RAE S.común'!B107:B110)</f>
        <v>1572.3290000000002</v>
      </c>
      <c r="G179" s="1094">
        <f t="shared" ref="G179:G194" si="23">+E179-F179</f>
        <v>1843.6709999999998</v>
      </c>
      <c r="H179" s="2571">
        <f t="shared" ref="H179:H194" si="24">+G179/E179</f>
        <v>0.53971633489461357</v>
      </c>
      <c r="I179" s="1072"/>
      <c r="J179" s="211"/>
      <c r="K179" s="169"/>
      <c r="L179" s="169"/>
    </row>
    <row r="180" spans="1:12" ht="15">
      <c r="A180" s="1091" t="s">
        <v>58</v>
      </c>
      <c r="B180" s="166" t="s">
        <v>32</v>
      </c>
      <c r="C180" s="888">
        <v>1.2909999999999999</v>
      </c>
      <c r="D180" s="888"/>
      <c r="E180" s="2106">
        <f t="shared" si="22"/>
        <v>1.2909999999999999</v>
      </c>
      <c r="F180" s="2107">
        <f>+SUM('RAE S.común'!B123:B126)</f>
        <v>0</v>
      </c>
      <c r="G180" s="1094">
        <f t="shared" si="23"/>
        <v>1.2909999999999999</v>
      </c>
      <c r="H180" s="2571">
        <f t="shared" si="24"/>
        <v>1</v>
      </c>
      <c r="I180" s="1034"/>
      <c r="J180" s="211"/>
    </row>
    <row r="181" spans="1:12" ht="15">
      <c r="A181" s="1091" t="s">
        <v>102</v>
      </c>
      <c r="B181" s="166" t="s">
        <v>32</v>
      </c>
      <c r="C181" s="888">
        <v>3.5000000000000003E-2</v>
      </c>
      <c r="D181" s="888"/>
      <c r="E181" s="2106">
        <f t="shared" si="22"/>
        <v>3.5000000000000003E-2</v>
      </c>
      <c r="F181" s="2107">
        <f>+SUM('RAE S.común'!B139:B142)</f>
        <v>0</v>
      </c>
      <c r="G181" s="1094">
        <f t="shared" si="23"/>
        <v>3.5000000000000003E-2</v>
      </c>
      <c r="H181" s="2571">
        <f t="shared" si="24"/>
        <v>1</v>
      </c>
      <c r="I181" s="1034"/>
      <c r="J181" s="211"/>
    </row>
    <row r="182" spans="1:12" ht="15.75" customHeight="1">
      <c r="A182" s="1294" t="s">
        <v>59</v>
      </c>
      <c r="B182" s="166" t="s">
        <v>32</v>
      </c>
      <c r="C182" s="1092">
        <v>12148</v>
      </c>
      <c r="D182" s="1092"/>
      <c r="E182" s="2106">
        <f t="shared" si="22"/>
        <v>12148</v>
      </c>
      <c r="F182" s="2107">
        <f>+SUM('RAE S.común'!B155:B158)</f>
        <v>8361.6939999999995</v>
      </c>
      <c r="G182" s="1094">
        <f t="shared" si="23"/>
        <v>3786.3060000000005</v>
      </c>
      <c r="H182" s="2571">
        <f t="shared" si="24"/>
        <v>0.31168142904181761</v>
      </c>
      <c r="I182" s="1034"/>
      <c r="J182" s="211"/>
    </row>
    <row r="183" spans="1:12" ht="15">
      <c r="A183" s="1091" t="s">
        <v>103</v>
      </c>
      <c r="B183" s="166" t="s">
        <v>32</v>
      </c>
      <c r="C183" s="888">
        <v>5.1999999999999998E-2</v>
      </c>
      <c r="D183" s="888"/>
      <c r="E183" s="2106">
        <f t="shared" si="22"/>
        <v>5.1999999999999998E-2</v>
      </c>
      <c r="F183" s="2107">
        <f>+SUM('RAE S.común'!B171:B174)</f>
        <v>0</v>
      </c>
      <c r="G183" s="1094">
        <f t="shared" si="23"/>
        <v>5.1999999999999998E-2</v>
      </c>
      <c r="H183" s="2571">
        <f t="shared" si="24"/>
        <v>1</v>
      </c>
      <c r="I183" s="1034"/>
      <c r="J183" s="211"/>
    </row>
    <row r="184" spans="1:12" ht="15">
      <c r="A184" s="1091" t="s">
        <v>104</v>
      </c>
      <c r="B184" s="166" t="s">
        <v>32</v>
      </c>
      <c r="C184" s="888">
        <v>0.22</v>
      </c>
      <c r="D184" s="888"/>
      <c r="E184" s="2106">
        <f t="shared" si="22"/>
        <v>0.22</v>
      </c>
      <c r="F184" s="2107">
        <f>+SUM('RAE S.común'!B187:B190)</f>
        <v>0</v>
      </c>
      <c r="G184" s="1094">
        <f t="shared" si="23"/>
        <v>0.22</v>
      </c>
      <c r="H184" s="2571">
        <f t="shared" si="24"/>
        <v>1</v>
      </c>
      <c r="I184" s="1034"/>
      <c r="J184" s="211"/>
    </row>
    <row r="185" spans="1:12" ht="15">
      <c r="A185" s="1091" t="s">
        <v>105</v>
      </c>
      <c r="B185" s="166" t="s">
        <v>32</v>
      </c>
      <c r="C185" s="888">
        <v>0.01</v>
      </c>
      <c r="D185" s="888"/>
      <c r="E185" s="2106">
        <f t="shared" si="22"/>
        <v>0.01</v>
      </c>
      <c r="F185" s="2107">
        <f>+SUM('RAE S.común'!B203:B206)</f>
        <v>0</v>
      </c>
      <c r="G185" s="1094">
        <f t="shared" si="23"/>
        <v>0.01</v>
      </c>
      <c r="H185" s="2571">
        <f t="shared" si="24"/>
        <v>1</v>
      </c>
      <c r="I185" s="1034"/>
      <c r="J185" s="211"/>
    </row>
    <row r="186" spans="1:12" ht="15">
      <c r="A186" s="1091" t="s">
        <v>106</v>
      </c>
      <c r="B186" s="166" t="s">
        <v>32</v>
      </c>
      <c r="C186" s="888">
        <v>0.438</v>
      </c>
      <c r="D186" s="888"/>
      <c r="E186" s="2106">
        <f t="shared" si="22"/>
        <v>0.438</v>
      </c>
      <c r="F186" s="2107">
        <f>+SUM('RAE S.común'!B219:B222)</f>
        <v>0</v>
      </c>
      <c r="G186" s="1094">
        <f t="shared" si="23"/>
        <v>0.438</v>
      </c>
      <c r="H186" s="2571">
        <f t="shared" si="24"/>
        <v>1</v>
      </c>
      <c r="I186" s="1034"/>
      <c r="J186" s="211"/>
    </row>
    <row r="187" spans="1:12" ht="15">
      <c r="A187" s="1091" t="s">
        <v>107</v>
      </c>
      <c r="B187" s="166" t="s">
        <v>32</v>
      </c>
      <c r="C187" s="1092">
        <v>771</v>
      </c>
      <c r="D187" s="1092"/>
      <c r="E187" s="2106">
        <f t="shared" si="22"/>
        <v>771</v>
      </c>
      <c r="F187" s="2107">
        <f>+SUM('RAE S.común'!B235:B238)</f>
        <v>685.75199999999995</v>
      </c>
      <c r="G187" s="1094">
        <f t="shared" si="23"/>
        <v>85.248000000000047</v>
      </c>
      <c r="H187" s="2571">
        <f t="shared" si="24"/>
        <v>0.11056809338521408</v>
      </c>
      <c r="I187" s="1072"/>
      <c r="J187" s="3230" t="s">
        <v>1127</v>
      </c>
    </row>
    <row r="188" spans="1:12" ht="15">
      <c r="A188" s="1091" t="s">
        <v>108</v>
      </c>
      <c r="B188" s="166" t="s">
        <v>32</v>
      </c>
      <c r="C188" s="888">
        <v>5.0000000000000001E-3</v>
      </c>
      <c r="D188" s="888"/>
      <c r="E188" s="2106">
        <f t="shared" si="22"/>
        <v>5.0000000000000001E-3</v>
      </c>
      <c r="F188" s="2107">
        <f>+SUM('RAE S.común'!B251:B254)</f>
        <v>0</v>
      </c>
      <c r="G188" s="1094">
        <f t="shared" si="23"/>
        <v>5.0000000000000001E-3</v>
      </c>
      <c r="H188" s="2571">
        <f t="shared" si="24"/>
        <v>1</v>
      </c>
      <c r="I188" s="1034"/>
      <c r="J188" s="211"/>
    </row>
    <row r="189" spans="1:12" ht="15">
      <c r="A189" s="1091" t="s">
        <v>109</v>
      </c>
      <c r="B189" s="166" t="s">
        <v>32</v>
      </c>
      <c r="C189" s="888">
        <v>0.223</v>
      </c>
      <c r="D189" s="888"/>
      <c r="E189" s="2106">
        <f t="shared" si="22"/>
        <v>0.223</v>
      </c>
      <c r="F189" s="2107">
        <f>+SUM('RAE S.común'!B267:B270)</f>
        <v>0</v>
      </c>
      <c r="G189" s="1094">
        <f t="shared" si="23"/>
        <v>0.223</v>
      </c>
      <c r="H189" s="2571">
        <f t="shared" si="24"/>
        <v>1</v>
      </c>
      <c r="I189" s="1089"/>
      <c r="J189" s="211"/>
    </row>
    <row r="190" spans="1:12" ht="15">
      <c r="A190" s="1945" t="s">
        <v>125</v>
      </c>
      <c r="B190" s="166" t="s">
        <v>32</v>
      </c>
      <c r="C190" s="1092">
        <v>3914</v>
      </c>
      <c r="D190" s="1092"/>
      <c r="E190" s="2106">
        <f t="shared" si="22"/>
        <v>3914</v>
      </c>
      <c r="F190" s="2107">
        <f>+SUM('RAE S.común'!B283:B286)</f>
        <v>1493.1089999999999</v>
      </c>
      <c r="G190" s="1094">
        <f t="shared" si="23"/>
        <v>2420.8910000000001</v>
      </c>
      <c r="H190" s="2571">
        <f t="shared" si="24"/>
        <v>0.6185209504343383</v>
      </c>
      <c r="I190" s="1089"/>
      <c r="J190" s="211"/>
    </row>
    <row r="191" spans="1:12" ht="15">
      <c r="A191" s="1091" t="s">
        <v>126</v>
      </c>
      <c r="B191" s="166" t="s">
        <v>32</v>
      </c>
      <c r="C191" s="1092">
        <v>6663</v>
      </c>
      <c r="D191" s="1092"/>
      <c r="E191" s="2106">
        <f t="shared" si="22"/>
        <v>6663</v>
      </c>
      <c r="F191" s="2107">
        <f>+SUM('RAE S.común'!B299:B302)</f>
        <v>2945.71</v>
      </c>
      <c r="G191" s="1094">
        <f t="shared" si="23"/>
        <v>3717.29</v>
      </c>
      <c r="H191" s="2571">
        <f t="shared" si="24"/>
        <v>0.55790034518985443</v>
      </c>
      <c r="I191" s="1070"/>
      <c r="J191" s="211"/>
    </row>
    <row r="192" spans="1:12" ht="15">
      <c r="A192" s="1091" t="s">
        <v>127</v>
      </c>
      <c r="B192" s="166" t="s">
        <v>32</v>
      </c>
      <c r="C192" s="888">
        <v>3.5000000000000003E-2</v>
      </c>
      <c r="D192" s="888"/>
      <c r="E192" s="2106">
        <f t="shared" si="22"/>
        <v>3.5000000000000003E-2</v>
      </c>
      <c r="F192" s="2107">
        <f>+SUM('RAE S.común'!B315:B318)</f>
        <v>0</v>
      </c>
      <c r="G192" s="1094">
        <f t="shared" si="23"/>
        <v>3.5000000000000003E-2</v>
      </c>
      <c r="H192" s="2571">
        <f t="shared" si="24"/>
        <v>1</v>
      </c>
      <c r="I192" s="1089"/>
      <c r="J192" s="211"/>
    </row>
    <row r="193" spans="1:11" ht="15">
      <c r="A193" s="1091" t="s">
        <v>129</v>
      </c>
      <c r="B193" s="166" t="s">
        <v>32</v>
      </c>
      <c r="C193" s="888">
        <v>5.0000000000000001E-3</v>
      </c>
      <c r="D193" s="888"/>
      <c r="E193" s="2106">
        <f t="shared" si="22"/>
        <v>5.0000000000000001E-3</v>
      </c>
      <c r="F193" s="2107">
        <f>+SUM('RAE S.común'!B331:B334)</f>
        <v>0</v>
      </c>
      <c r="G193" s="1094">
        <f t="shared" si="23"/>
        <v>5.0000000000000001E-3</v>
      </c>
      <c r="H193" s="2571">
        <f t="shared" si="24"/>
        <v>1</v>
      </c>
      <c r="I193" s="1089"/>
      <c r="J193" s="211"/>
    </row>
    <row r="194" spans="1:11" ht="15">
      <c r="A194" s="1091" t="s">
        <v>60</v>
      </c>
      <c r="B194" s="166" t="s">
        <v>32</v>
      </c>
      <c r="C194" s="888">
        <v>0.29499999999999998</v>
      </c>
      <c r="D194" s="888"/>
      <c r="E194" s="1093">
        <f t="shared" si="22"/>
        <v>0.29499999999999998</v>
      </c>
      <c r="F194" s="2107">
        <f>+SUM('RAE S.común'!B347:B350)</f>
        <v>0</v>
      </c>
      <c r="G194" s="1094">
        <f t="shared" si="23"/>
        <v>0.29499999999999998</v>
      </c>
      <c r="H194" s="2571">
        <f t="shared" si="24"/>
        <v>1</v>
      </c>
      <c r="I194" s="1089"/>
      <c r="J194" s="211"/>
    </row>
    <row r="195" spans="1:11" ht="13.5">
      <c r="A195" s="181" t="s">
        <v>52</v>
      </c>
      <c r="B195" s="181" t="s">
        <v>32</v>
      </c>
      <c r="C195" s="1095">
        <f>SUM(C178:C194)</f>
        <v>44041.608999999997</v>
      </c>
      <c r="D195" s="1096"/>
      <c r="E195" s="1097">
        <f>SUM(E178:E194)</f>
        <v>43741.608999999997</v>
      </c>
      <c r="F195" s="2108">
        <f>SUM(F178:F194)</f>
        <v>24799.014999999999</v>
      </c>
      <c r="G195" s="1094">
        <f>+E195-F195</f>
        <v>18942.593999999997</v>
      </c>
      <c r="H195" s="64"/>
      <c r="I195" s="1028"/>
      <c r="J195" s="211"/>
    </row>
    <row r="196" spans="1:11" ht="5.0999999999999996" customHeight="1">
      <c r="A196" s="194"/>
      <c r="B196" s="65"/>
      <c r="C196" s="1038"/>
      <c r="D196" s="1038"/>
      <c r="E196" s="1038"/>
      <c r="F196" s="195"/>
      <c r="G196" s="195"/>
      <c r="H196" s="64"/>
      <c r="I196" s="1028"/>
      <c r="J196" s="211"/>
    </row>
    <row r="197" spans="1:11" ht="13.5">
      <c r="A197" s="665" t="s">
        <v>47</v>
      </c>
      <c r="B197" s="665" t="s">
        <v>48</v>
      </c>
      <c r="C197" s="252" t="s">
        <v>49</v>
      </c>
      <c r="D197" s="252"/>
      <c r="E197" s="252" t="s">
        <v>50</v>
      </c>
      <c r="F197" s="665" t="s">
        <v>20</v>
      </c>
      <c r="G197" s="665" t="s">
        <v>21</v>
      </c>
      <c r="H197" s="665" t="s">
        <v>51</v>
      </c>
      <c r="I197" s="165" t="s">
        <v>23</v>
      </c>
      <c r="J197" s="211"/>
    </row>
    <row r="198" spans="1:11" ht="15">
      <c r="A198" s="1945" t="s">
        <v>56</v>
      </c>
      <c r="B198" s="1309" t="s">
        <v>33</v>
      </c>
      <c r="C198" s="1310">
        <v>3392</v>
      </c>
      <c r="D198" s="1096"/>
      <c r="E198" s="1099">
        <f>+C198+G178+D198</f>
        <v>10478.579</v>
      </c>
      <c r="F198" s="182">
        <f>+SUM('RAE S.común'!B95:B98)</f>
        <v>3517.2649999999999</v>
      </c>
      <c r="G198" s="1098">
        <f>+E198-F198</f>
        <v>6961.3140000000003</v>
      </c>
      <c r="H198" s="2571">
        <f t="shared" ref="H198:H214" si="25">+G198/E198</f>
        <v>0.66433759768380818</v>
      </c>
      <c r="I198" s="179"/>
      <c r="J198" s="211"/>
    </row>
    <row r="199" spans="1:11" ht="15">
      <c r="A199" s="1091" t="s">
        <v>57</v>
      </c>
      <c r="B199" s="196" t="s">
        <v>33</v>
      </c>
      <c r="C199" s="1092">
        <v>402</v>
      </c>
      <c r="D199" s="1096"/>
      <c r="E199" s="1099">
        <f t="shared" ref="E199:E214" si="26">+C199+G179+D199</f>
        <v>2245.6709999999998</v>
      </c>
      <c r="F199" s="182">
        <f>+SUM('RAE S.común'!B111:B114)</f>
        <v>360.90199999999999</v>
      </c>
      <c r="G199" s="1098">
        <f t="shared" ref="G199:G214" si="27">+E199-F199</f>
        <v>1884.7689999999998</v>
      </c>
      <c r="H199" s="2571">
        <f t="shared" si="25"/>
        <v>0.83928990488811583</v>
      </c>
      <c r="I199" s="179"/>
      <c r="J199" s="211"/>
      <c r="K199" s="1316"/>
    </row>
    <row r="200" spans="1:11" ht="15">
      <c r="A200" s="1091" t="s">
        <v>58</v>
      </c>
      <c r="B200" s="196" t="s">
        <v>33</v>
      </c>
      <c r="C200" s="888">
        <v>0.152</v>
      </c>
      <c r="D200" s="1099"/>
      <c r="E200" s="1099">
        <f t="shared" si="26"/>
        <v>1.4429999999999998</v>
      </c>
      <c r="F200" s="182">
        <f>+SUM('RAE S.común'!B127:B130)</f>
        <v>0</v>
      </c>
      <c r="G200" s="1098">
        <f t="shared" si="27"/>
        <v>1.4429999999999998</v>
      </c>
      <c r="H200" s="2571">
        <f t="shared" si="25"/>
        <v>1</v>
      </c>
      <c r="I200" s="179"/>
      <c r="J200" s="211"/>
    </row>
    <row r="201" spans="1:11" ht="15">
      <c r="A201" s="1091" t="s">
        <v>102</v>
      </c>
      <c r="B201" s="196" t="s">
        <v>33</v>
      </c>
      <c r="C201" s="888">
        <v>4.0000000000000001E-3</v>
      </c>
      <c r="D201" s="1099"/>
      <c r="E201" s="1099">
        <f t="shared" si="26"/>
        <v>3.9000000000000007E-2</v>
      </c>
      <c r="F201" s="182">
        <f>+SUM('RAE S.común'!B143:B146)</f>
        <v>0</v>
      </c>
      <c r="G201" s="1098">
        <f t="shared" si="27"/>
        <v>3.9000000000000007E-2</v>
      </c>
      <c r="H201" s="2571">
        <f t="shared" si="25"/>
        <v>1</v>
      </c>
      <c r="I201" s="179"/>
      <c r="J201" s="211"/>
    </row>
    <row r="202" spans="1:11" ht="15.75" customHeight="1">
      <c r="A202" s="1294" t="s">
        <v>59</v>
      </c>
      <c r="B202" s="196" t="s">
        <v>33</v>
      </c>
      <c r="C202" s="1092">
        <v>1429</v>
      </c>
      <c r="D202" s="1096"/>
      <c r="E202" s="1099">
        <f t="shared" si="26"/>
        <v>5215.3060000000005</v>
      </c>
      <c r="F202" s="182">
        <f>+SUM('RAE S.común'!B159:B162)</f>
        <v>2445.549</v>
      </c>
      <c r="G202" s="1098">
        <f t="shared" si="27"/>
        <v>2769.7570000000005</v>
      </c>
      <c r="H202" s="2571">
        <f t="shared" si="25"/>
        <v>0.53108235643316049</v>
      </c>
      <c r="I202" s="179"/>
      <c r="J202" s="211"/>
      <c r="K202" s="1311" t="s">
        <v>130</v>
      </c>
    </row>
    <row r="203" spans="1:11" ht="15">
      <c r="A203" s="1091" t="s">
        <v>103</v>
      </c>
      <c r="B203" s="196" t="s">
        <v>33</v>
      </c>
      <c r="C203" s="888">
        <v>6.0000000000000001E-3</v>
      </c>
      <c r="D203" s="1099"/>
      <c r="E203" s="1099">
        <f t="shared" si="26"/>
        <v>5.7999999999999996E-2</v>
      </c>
      <c r="F203" s="182">
        <f>+SUM('RAE S.común'!B175:B178)</f>
        <v>6.5000000000000002E-2</v>
      </c>
      <c r="G203" s="1098">
        <f t="shared" si="27"/>
        <v>-7.0000000000000062E-3</v>
      </c>
      <c r="H203" s="2571">
        <f t="shared" si="25"/>
        <v>-0.12068965517241391</v>
      </c>
      <c r="I203" s="3250" t="s">
        <v>1155</v>
      </c>
      <c r="J203" s="211"/>
    </row>
    <row r="204" spans="1:11" ht="15">
      <c r="A204" s="1091" t="s">
        <v>104</v>
      </c>
      <c r="B204" s="196" t="s">
        <v>33</v>
      </c>
      <c r="C204" s="888">
        <v>2.5999999999999999E-2</v>
      </c>
      <c r="D204" s="1099"/>
      <c r="E204" s="1099">
        <f t="shared" si="26"/>
        <v>0.246</v>
      </c>
      <c r="F204" s="182">
        <f>+SUM('RAE S.común'!B191:B194)</f>
        <v>0</v>
      </c>
      <c r="G204" s="1098">
        <f t="shared" si="27"/>
        <v>0.246</v>
      </c>
      <c r="H204" s="2571">
        <f t="shared" si="25"/>
        <v>1</v>
      </c>
      <c r="I204" s="179"/>
      <c r="J204" s="211"/>
    </row>
    <row r="205" spans="1:11" ht="15">
      <c r="A205" s="1091" t="s">
        <v>105</v>
      </c>
      <c r="B205" s="196" t="s">
        <v>33</v>
      </c>
      <c r="C205" s="888">
        <v>1E-3</v>
      </c>
      <c r="D205" s="1099"/>
      <c r="E205" s="1099">
        <f t="shared" si="26"/>
        <v>1.0999999999999999E-2</v>
      </c>
      <c r="F205" s="182">
        <f>+SUM('RAE S.común'!B207:B210)</f>
        <v>0</v>
      </c>
      <c r="G205" s="1098">
        <f t="shared" si="27"/>
        <v>1.0999999999999999E-2</v>
      </c>
      <c r="H205" s="2571">
        <f t="shared" si="25"/>
        <v>1</v>
      </c>
      <c r="I205" s="179"/>
      <c r="J205" s="211"/>
    </row>
    <row r="206" spans="1:11" ht="15">
      <c r="A206" s="1091" t="s">
        <v>106</v>
      </c>
      <c r="B206" s="196" t="s">
        <v>33</v>
      </c>
      <c r="C206" s="888">
        <v>5.1999999999999998E-2</v>
      </c>
      <c r="D206" s="1099"/>
      <c r="E206" s="1099">
        <f t="shared" si="26"/>
        <v>0.49</v>
      </c>
      <c r="F206" s="182">
        <f>+SUM('RAE S.común'!B223:B226)</f>
        <v>0</v>
      </c>
      <c r="G206" s="1098">
        <f t="shared" si="27"/>
        <v>0.49</v>
      </c>
      <c r="H206" s="2571">
        <f t="shared" si="25"/>
        <v>1</v>
      </c>
      <c r="I206" s="179"/>
      <c r="J206" s="211"/>
    </row>
    <row r="207" spans="1:11" ht="15">
      <c r="A207" s="1091" t="s">
        <v>107</v>
      </c>
      <c r="B207" s="196" t="s">
        <v>33</v>
      </c>
      <c r="C207" s="1092">
        <v>91</v>
      </c>
      <c r="D207" s="1096"/>
      <c r="E207" s="1099">
        <f t="shared" si="26"/>
        <v>176.24800000000005</v>
      </c>
      <c r="F207" s="182">
        <f>+SUM('RAE S.común'!B239:B242)</f>
        <v>0.1</v>
      </c>
      <c r="G207" s="1098">
        <f>+E207-F207</f>
        <v>176.14800000000005</v>
      </c>
      <c r="H207" s="2571">
        <f t="shared" si="25"/>
        <v>0.99943261767509417</v>
      </c>
      <c r="I207" s="179"/>
      <c r="J207" s="211"/>
    </row>
    <row r="208" spans="1:11" ht="15">
      <c r="A208" s="1091" t="s">
        <v>108</v>
      </c>
      <c r="B208" s="196" t="s">
        <v>33</v>
      </c>
      <c r="C208" s="888">
        <v>1E-3</v>
      </c>
      <c r="D208" s="1099"/>
      <c r="E208" s="1099">
        <f t="shared" si="26"/>
        <v>6.0000000000000001E-3</v>
      </c>
      <c r="F208" s="182">
        <f>+SUM('RAE S.común'!B255:B258)</f>
        <v>0</v>
      </c>
      <c r="G208" s="1098">
        <f t="shared" si="27"/>
        <v>6.0000000000000001E-3</v>
      </c>
      <c r="H208" s="2571">
        <f t="shared" si="25"/>
        <v>1</v>
      </c>
      <c r="I208" s="1089"/>
      <c r="J208" s="211"/>
    </row>
    <row r="209" spans="1:10" ht="15">
      <c r="A209" s="1091" t="s">
        <v>109</v>
      </c>
      <c r="B209" s="196" t="s">
        <v>33</v>
      </c>
      <c r="C209" s="888">
        <v>2.5999999999999999E-2</v>
      </c>
      <c r="D209" s="1099"/>
      <c r="E209" s="1099">
        <f t="shared" si="26"/>
        <v>0.249</v>
      </c>
      <c r="F209" s="182">
        <f>+SUM('RAE S.común'!B271:B274)</f>
        <v>0</v>
      </c>
      <c r="G209" s="1098">
        <f t="shared" si="27"/>
        <v>0.249</v>
      </c>
      <c r="H209" s="2571">
        <f t="shared" si="25"/>
        <v>1</v>
      </c>
      <c r="I209" s="1034"/>
      <c r="J209" s="211"/>
    </row>
    <row r="210" spans="1:10" ht="15">
      <c r="A210" s="1945" t="s">
        <v>125</v>
      </c>
      <c r="B210" s="196" t="s">
        <v>33</v>
      </c>
      <c r="C210" s="1092">
        <v>519</v>
      </c>
      <c r="D210" s="1096"/>
      <c r="E210" s="1099">
        <f t="shared" si="26"/>
        <v>2939.8910000000001</v>
      </c>
      <c r="F210" s="182">
        <f>+SUM('RAE S.común'!B287:B290)</f>
        <v>855.20600000000002</v>
      </c>
      <c r="G210" s="1098">
        <f t="shared" si="27"/>
        <v>2084.6849999999999</v>
      </c>
      <c r="H210" s="2571">
        <f t="shared" si="25"/>
        <v>0.70910282047871842</v>
      </c>
      <c r="I210" s="1034"/>
      <c r="J210" s="211"/>
    </row>
    <row r="211" spans="1:10" ht="15">
      <c r="A211" s="1091" t="s">
        <v>126</v>
      </c>
      <c r="B211" s="196" t="s">
        <v>33</v>
      </c>
      <c r="C211" s="1092">
        <v>784</v>
      </c>
      <c r="D211" s="1096"/>
      <c r="E211" s="1099">
        <f t="shared" si="26"/>
        <v>4501.29</v>
      </c>
      <c r="F211" s="182">
        <f>+SUM('RAE S.común'!B303:B306)</f>
        <v>1065.5509999999999</v>
      </c>
      <c r="G211" s="1098">
        <f t="shared" si="27"/>
        <v>3435.739</v>
      </c>
      <c r="H211" s="2571">
        <f t="shared" si="25"/>
        <v>0.76327874898084769</v>
      </c>
      <c r="I211" s="1034"/>
      <c r="J211" s="211"/>
    </row>
    <row r="212" spans="1:10" ht="15">
      <c r="A212" s="1091" t="s">
        <v>127</v>
      </c>
      <c r="B212" s="196" t="s">
        <v>33</v>
      </c>
      <c r="C212" s="888">
        <v>4.0000000000000001E-3</v>
      </c>
      <c r="D212" s="1099"/>
      <c r="E212" s="1099">
        <f t="shared" si="26"/>
        <v>3.9000000000000007E-2</v>
      </c>
      <c r="F212" s="182">
        <f>+SUM('RAE S.común'!B319:B322)</f>
        <v>0</v>
      </c>
      <c r="G212" s="1098">
        <f t="shared" si="27"/>
        <v>3.9000000000000007E-2</v>
      </c>
      <c r="H212" s="2571">
        <f t="shared" si="25"/>
        <v>1</v>
      </c>
      <c r="I212" s="1034"/>
      <c r="J212" s="211"/>
    </row>
    <row r="213" spans="1:10" ht="15">
      <c r="A213" s="1091" t="s">
        <v>129</v>
      </c>
      <c r="B213" s="196" t="s">
        <v>33</v>
      </c>
      <c r="C213" s="888">
        <v>1E-3</v>
      </c>
      <c r="D213" s="1099"/>
      <c r="E213" s="1099">
        <f t="shared" si="26"/>
        <v>6.0000000000000001E-3</v>
      </c>
      <c r="F213" s="182">
        <f>+SUM('RAE S.común'!B335:B338)</f>
        <v>0</v>
      </c>
      <c r="G213" s="1098">
        <f t="shared" si="27"/>
        <v>6.0000000000000001E-3</v>
      </c>
      <c r="H213" s="2571">
        <f t="shared" si="25"/>
        <v>1</v>
      </c>
      <c r="I213" s="1034"/>
      <c r="J213" s="211"/>
    </row>
    <row r="214" spans="1:10" ht="15" customHeight="1">
      <c r="A214" s="1091" t="s">
        <v>60</v>
      </c>
      <c r="B214" s="196" t="s">
        <v>33</v>
      </c>
      <c r="C214" s="888">
        <v>3.5000000000000003E-2</v>
      </c>
      <c r="D214" s="1099"/>
      <c r="E214" s="1099">
        <f t="shared" si="26"/>
        <v>0.32999999999999996</v>
      </c>
      <c r="F214" s="182">
        <f>+SUM('RAE S.común'!B351:B354)</f>
        <v>0</v>
      </c>
      <c r="G214" s="1098">
        <f t="shared" si="27"/>
        <v>0.32999999999999996</v>
      </c>
      <c r="H214" s="2571">
        <f t="shared" si="25"/>
        <v>1</v>
      </c>
      <c r="I214" s="179"/>
      <c r="J214" s="211"/>
    </row>
    <row r="215" spans="1:10" ht="13.5">
      <c r="A215" s="181" t="s">
        <v>52</v>
      </c>
      <c r="B215" s="1100" t="s">
        <v>33</v>
      </c>
      <c r="C215" s="1036">
        <f>SUM(C198:C214)</f>
        <v>6617.308</v>
      </c>
      <c r="D215" s="1036"/>
      <c r="E215" s="1101">
        <f>SUM(E198:E214)</f>
        <v>25559.902000000006</v>
      </c>
      <c r="F215" s="1101">
        <f>SUM(F198:F214)</f>
        <v>8244.6380000000008</v>
      </c>
      <c r="G215" s="1098">
        <f>+E215-F215</f>
        <v>17315.264000000003</v>
      </c>
      <c r="H215" s="64"/>
      <c r="I215" s="1028"/>
      <c r="J215" s="211"/>
    </row>
    <row r="216" spans="1:10" ht="5.0999999999999996" customHeight="1">
      <c r="A216" s="197"/>
      <c r="B216" s="198"/>
      <c r="C216" s="1038"/>
      <c r="D216" s="1038"/>
      <c r="E216" s="1038"/>
      <c r="F216" s="199"/>
      <c r="G216" s="195"/>
      <c r="H216" s="64"/>
      <c r="I216" s="1028"/>
      <c r="J216" s="211"/>
    </row>
    <row r="217" spans="1:10" ht="13.5">
      <c r="A217" s="665" t="s">
        <v>47</v>
      </c>
      <c r="B217" s="665" t="s">
        <v>48</v>
      </c>
      <c r="C217" s="252" t="s">
        <v>49</v>
      </c>
      <c r="D217" s="252" t="s">
        <v>459</v>
      </c>
      <c r="E217" s="252" t="s">
        <v>50</v>
      </c>
      <c r="F217" s="665" t="s">
        <v>20</v>
      </c>
      <c r="G217" s="665" t="s">
        <v>21</v>
      </c>
      <c r="H217" s="665" t="s">
        <v>51</v>
      </c>
      <c r="I217" s="165" t="s">
        <v>23</v>
      </c>
      <c r="J217" s="211"/>
    </row>
    <row r="218" spans="1:10" ht="15">
      <c r="A218" s="1945" t="s">
        <v>56</v>
      </c>
      <c r="B218" s="196" t="s">
        <v>34</v>
      </c>
      <c r="C218" s="1092">
        <v>996</v>
      </c>
      <c r="D218" s="1096"/>
      <c r="E218" s="1099">
        <f>+C218+G198+D218</f>
        <v>7957.3140000000003</v>
      </c>
      <c r="F218" s="1102">
        <f>+SUM('RAE S.común'!B99:B102)</f>
        <v>2243.4369999999999</v>
      </c>
      <c r="G218" s="1103">
        <f>+E218-F218</f>
        <v>5713.8770000000004</v>
      </c>
      <c r="H218" s="2571">
        <f t="shared" ref="H218:H234" si="28">+G218/E218</f>
        <v>0.71806604590443457</v>
      </c>
      <c r="I218" s="179"/>
      <c r="J218" s="211"/>
    </row>
    <row r="219" spans="1:10" ht="15">
      <c r="A219" s="1091" t="s">
        <v>57</v>
      </c>
      <c r="B219" s="196" t="s">
        <v>34</v>
      </c>
      <c r="C219" s="1092">
        <v>201</v>
      </c>
      <c r="D219" s="1096"/>
      <c r="E219" s="1099">
        <f t="shared" ref="E219:E234" si="29">+C219+G199+D219</f>
        <v>2085.7689999999998</v>
      </c>
      <c r="F219" s="1102">
        <f>+SUM('RAE S.común'!B115:B118)</f>
        <v>419.75799999999992</v>
      </c>
      <c r="G219" s="1103">
        <f t="shared" ref="G219:G234" si="30">+E219-F219</f>
        <v>1666.011</v>
      </c>
      <c r="H219" s="2571">
        <f t="shared" si="28"/>
        <v>0.79875144371212736</v>
      </c>
      <c r="I219" s="179"/>
      <c r="J219" s="211"/>
    </row>
    <row r="220" spans="1:10" ht="15">
      <c r="A220" s="1091" t="s">
        <v>58</v>
      </c>
      <c r="B220" s="196" t="s">
        <v>34</v>
      </c>
      <c r="C220" s="888">
        <v>7.5999999999999998E-2</v>
      </c>
      <c r="D220" s="1099"/>
      <c r="E220" s="1099">
        <f t="shared" si="29"/>
        <v>1.5189999999999999</v>
      </c>
      <c r="F220" s="1102">
        <f>+SUM('RAE S.común'!B131:B134)</f>
        <v>0</v>
      </c>
      <c r="G220" s="1102">
        <f t="shared" si="30"/>
        <v>1.5189999999999999</v>
      </c>
      <c r="H220" s="2571">
        <f t="shared" si="28"/>
        <v>1</v>
      </c>
      <c r="I220" s="179"/>
      <c r="J220" s="211"/>
    </row>
    <row r="221" spans="1:10" ht="15">
      <c r="A221" s="1091" t="s">
        <v>102</v>
      </c>
      <c r="B221" s="196" t="s">
        <v>34</v>
      </c>
      <c r="C221" s="888">
        <v>2E-3</v>
      </c>
      <c r="D221" s="1099"/>
      <c r="E221" s="1099">
        <f t="shared" si="29"/>
        <v>4.1000000000000009E-2</v>
      </c>
      <c r="F221" s="1102">
        <f>+SUM('RAE S.común'!B147:B150)</f>
        <v>0</v>
      </c>
      <c r="G221" s="1102">
        <f t="shared" si="30"/>
        <v>4.1000000000000009E-2</v>
      </c>
      <c r="H221" s="2571">
        <f t="shared" si="28"/>
        <v>1</v>
      </c>
      <c r="I221" s="179"/>
      <c r="J221" s="211"/>
    </row>
    <row r="222" spans="1:10" ht="17.25" customHeight="1">
      <c r="A222" s="1091" t="s">
        <v>59</v>
      </c>
      <c r="B222" s="196" t="s">
        <v>34</v>
      </c>
      <c r="C222" s="1092">
        <v>714</v>
      </c>
      <c r="D222" s="1113"/>
      <c r="E222" s="1099">
        <f t="shared" si="29"/>
        <v>3483.7570000000005</v>
      </c>
      <c r="F222" s="1102">
        <f>+SUM('RAE S.común'!B163:B166)</f>
        <v>1602.779</v>
      </c>
      <c r="G222" s="1103">
        <f t="shared" si="30"/>
        <v>1880.9780000000005</v>
      </c>
      <c r="H222" s="2571">
        <f t="shared" si="28"/>
        <v>0.53992801449699279</v>
      </c>
      <c r="I222" s="1487"/>
      <c r="J222" s="1484"/>
    </row>
    <row r="223" spans="1:10" ht="15">
      <c r="A223" s="1091" t="s">
        <v>103</v>
      </c>
      <c r="B223" s="196" t="s">
        <v>34</v>
      </c>
      <c r="C223" s="888">
        <v>3.0000000000000001E-3</v>
      </c>
      <c r="D223" s="1099"/>
      <c r="E223" s="1099">
        <f t="shared" si="29"/>
        <v>-4.0000000000000062E-3</v>
      </c>
      <c r="F223" s="1102">
        <f>+SUM('RAE S.común'!B179:B182)</f>
        <v>0</v>
      </c>
      <c r="G223" s="182">
        <f t="shared" si="30"/>
        <v>-4.0000000000000062E-3</v>
      </c>
      <c r="H223" s="2571">
        <f t="shared" si="28"/>
        <v>1</v>
      </c>
      <c r="I223" s="179"/>
      <c r="J223" s="211"/>
    </row>
    <row r="224" spans="1:10" ht="15">
      <c r="A224" s="1091" t="s">
        <v>104</v>
      </c>
      <c r="B224" s="196" t="s">
        <v>34</v>
      </c>
      <c r="C224" s="888">
        <v>1.2999999999999999E-2</v>
      </c>
      <c r="D224" s="1099"/>
      <c r="E224" s="1099">
        <f t="shared" si="29"/>
        <v>0.25900000000000001</v>
      </c>
      <c r="F224" s="1102">
        <f>+SUM('RAE S.común'!B195:B198)</f>
        <v>0</v>
      </c>
      <c r="G224" s="1102">
        <f t="shared" si="30"/>
        <v>0.25900000000000001</v>
      </c>
      <c r="H224" s="2571">
        <f t="shared" si="28"/>
        <v>1</v>
      </c>
      <c r="I224" s="179"/>
      <c r="J224" s="211"/>
    </row>
    <row r="225" spans="1:15" ht="15">
      <c r="A225" s="1091" t="s">
        <v>105</v>
      </c>
      <c r="B225" s="196" t="s">
        <v>34</v>
      </c>
      <c r="C225" s="888">
        <v>1E-3</v>
      </c>
      <c r="D225" s="1099"/>
      <c r="E225" s="1099">
        <f t="shared" si="29"/>
        <v>1.2E-2</v>
      </c>
      <c r="F225" s="1102">
        <f>+SUM('RAE S.común'!B211:B214)</f>
        <v>0</v>
      </c>
      <c r="G225" s="1102">
        <f t="shared" si="30"/>
        <v>1.2E-2</v>
      </c>
      <c r="H225" s="2571">
        <f t="shared" si="28"/>
        <v>1</v>
      </c>
      <c r="I225" s="179"/>
      <c r="J225" s="211"/>
    </row>
    <row r="226" spans="1:15" ht="15">
      <c r="A226" s="1091" t="s">
        <v>106</v>
      </c>
      <c r="B226" s="196" t="s">
        <v>34</v>
      </c>
      <c r="C226" s="888">
        <v>2.5999999999999999E-2</v>
      </c>
      <c r="D226" s="1099"/>
      <c r="E226" s="1099">
        <f t="shared" si="29"/>
        <v>0.51600000000000001</v>
      </c>
      <c r="F226" s="1102">
        <f>+SUM('RAE S.común'!B227:B230)</f>
        <v>0</v>
      </c>
      <c r="G226" s="1102">
        <f>+E226-F226</f>
        <v>0.51600000000000001</v>
      </c>
      <c r="H226" s="2571">
        <f t="shared" si="28"/>
        <v>1</v>
      </c>
      <c r="I226" s="179"/>
      <c r="J226" s="211"/>
    </row>
    <row r="227" spans="1:15" ht="15">
      <c r="A227" s="1091" t="s">
        <v>107</v>
      </c>
      <c r="B227" s="196" t="s">
        <v>34</v>
      </c>
      <c r="C227" s="1092">
        <v>45</v>
      </c>
      <c r="D227" s="1096"/>
      <c r="E227" s="1099">
        <f t="shared" si="29"/>
        <v>221.14800000000005</v>
      </c>
      <c r="F227" s="1102">
        <f>+SUM('RAE S.común'!B243:B246)</f>
        <v>69.965000000000003</v>
      </c>
      <c r="G227" s="1103">
        <f t="shared" si="30"/>
        <v>151.18300000000005</v>
      </c>
      <c r="H227" s="2571">
        <f t="shared" si="28"/>
        <v>0.68362815851827741</v>
      </c>
      <c r="I227" s="179"/>
      <c r="J227" s="211"/>
    </row>
    <row r="228" spans="1:15" ht="15">
      <c r="A228" s="1091" t="s">
        <v>108</v>
      </c>
      <c r="B228" s="196" t="s">
        <v>34</v>
      </c>
      <c r="C228" s="888">
        <v>0</v>
      </c>
      <c r="D228" s="1099"/>
      <c r="E228" s="1099">
        <f t="shared" si="29"/>
        <v>6.0000000000000001E-3</v>
      </c>
      <c r="F228" s="1102">
        <f>+SUM('RAE S.común'!B259:B262)</f>
        <v>0</v>
      </c>
      <c r="G228" s="1102">
        <f t="shared" si="30"/>
        <v>6.0000000000000001E-3</v>
      </c>
      <c r="H228" s="2571">
        <f t="shared" si="28"/>
        <v>1</v>
      </c>
      <c r="I228" s="1034"/>
      <c r="J228" s="211"/>
    </row>
    <row r="229" spans="1:15" ht="15">
      <c r="A229" s="1091" t="s">
        <v>109</v>
      </c>
      <c r="B229" s="196" t="s">
        <v>34</v>
      </c>
      <c r="C229" s="888">
        <v>1.2999999999999999E-2</v>
      </c>
      <c r="D229" s="1099"/>
      <c r="E229" s="1099">
        <f t="shared" si="29"/>
        <v>0.26200000000000001</v>
      </c>
      <c r="F229" s="1102">
        <f>+SUM('RAE S.común'!B275:B278)</f>
        <v>0</v>
      </c>
      <c r="G229" s="1102">
        <f t="shared" si="30"/>
        <v>0.26200000000000001</v>
      </c>
      <c r="H229" s="2571">
        <f t="shared" si="28"/>
        <v>1</v>
      </c>
      <c r="I229" s="179"/>
      <c r="J229" s="211"/>
    </row>
    <row r="230" spans="1:15" ht="15">
      <c r="A230" s="1945" t="s">
        <v>125</v>
      </c>
      <c r="B230" s="196" t="s">
        <v>34</v>
      </c>
      <c r="C230" s="1092">
        <v>260</v>
      </c>
      <c r="D230" s="1096"/>
      <c r="E230" s="1099">
        <f t="shared" si="29"/>
        <v>2344.6849999999999</v>
      </c>
      <c r="F230" s="1102">
        <f>+SUM('RAE S.común'!B291:B294)</f>
        <v>197.96899999999999</v>
      </c>
      <c r="G230" s="1103">
        <f t="shared" si="30"/>
        <v>2146.7159999999999</v>
      </c>
      <c r="H230" s="2571">
        <f t="shared" si="28"/>
        <v>0.9155669098407675</v>
      </c>
      <c r="I230" s="179"/>
      <c r="J230" s="211"/>
    </row>
    <row r="231" spans="1:15" ht="15">
      <c r="A231" s="1091" t="s">
        <v>126</v>
      </c>
      <c r="B231" s="196" t="s">
        <v>34</v>
      </c>
      <c r="C231" s="1092">
        <v>392</v>
      </c>
      <c r="D231" s="1096"/>
      <c r="E231" s="1099">
        <f t="shared" si="29"/>
        <v>3827.739</v>
      </c>
      <c r="F231" s="1102">
        <f>+SUM('RAE S.común'!B307:B310)</f>
        <v>745.62000000000012</v>
      </c>
      <c r="G231" s="1103">
        <f t="shared" si="30"/>
        <v>3082.1189999999997</v>
      </c>
      <c r="H231" s="2571">
        <f t="shared" si="28"/>
        <v>0.80520615433810916</v>
      </c>
      <c r="I231" s="179"/>
      <c r="J231" s="211"/>
    </row>
    <row r="232" spans="1:15" ht="15">
      <c r="A232" s="1091" t="s">
        <v>127</v>
      </c>
      <c r="B232" s="196" t="s">
        <v>34</v>
      </c>
      <c r="C232" s="888">
        <v>2E-3</v>
      </c>
      <c r="D232" s="1099"/>
      <c r="E232" s="1099">
        <f t="shared" si="29"/>
        <v>4.1000000000000009E-2</v>
      </c>
      <c r="F232" s="1102">
        <f>+SUM('RAE S.común'!B323:B326)</f>
        <v>0</v>
      </c>
      <c r="G232" s="1102">
        <f t="shared" si="30"/>
        <v>4.1000000000000009E-2</v>
      </c>
      <c r="H232" s="2571">
        <f t="shared" si="28"/>
        <v>1</v>
      </c>
      <c r="I232" s="179"/>
      <c r="J232" s="211"/>
    </row>
    <row r="233" spans="1:15" ht="15">
      <c r="A233" s="1091" t="s">
        <v>129</v>
      </c>
      <c r="B233" s="196" t="s">
        <v>34</v>
      </c>
      <c r="C233" s="888">
        <v>0</v>
      </c>
      <c r="D233" s="1099"/>
      <c r="E233" s="1099">
        <f t="shared" si="29"/>
        <v>6.0000000000000001E-3</v>
      </c>
      <c r="F233" s="1102">
        <f>+SUM('RAE S.común'!B339:B342)</f>
        <v>0</v>
      </c>
      <c r="G233" s="1102">
        <f t="shared" si="30"/>
        <v>6.0000000000000001E-3</v>
      </c>
      <c r="H233" s="2571">
        <f t="shared" si="28"/>
        <v>1</v>
      </c>
      <c r="I233" s="179"/>
      <c r="J233" s="211"/>
    </row>
    <row r="234" spans="1:15" ht="15" customHeight="1">
      <c r="A234" s="1091" t="s">
        <v>60</v>
      </c>
      <c r="B234" s="196" t="s">
        <v>34</v>
      </c>
      <c r="C234" s="888">
        <v>1.7000000000000001E-2</v>
      </c>
      <c r="D234" s="1099"/>
      <c r="E234" s="1099">
        <f t="shared" si="29"/>
        <v>0.34699999999999998</v>
      </c>
      <c r="F234" s="1102">
        <f>+SUM('RAE S.común'!B355:B358)</f>
        <v>0.08</v>
      </c>
      <c r="G234" s="1102">
        <f t="shared" si="30"/>
        <v>0.26699999999999996</v>
      </c>
      <c r="H234" s="2571">
        <f t="shared" si="28"/>
        <v>0.7694524495677233</v>
      </c>
      <c r="I234" s="179"/>
      <c r="J234" s="211"/>
    </row>
    <row r="235" spans="1:15" ht="13.5">
      <c r="A235" s="181" t="s">
        <v>52</v>
      </c>
      <c r="B235" s="1100" t="s">
        <v>34</v>
      </c>
      <c r="C235" s="1036">
        <f>SUM(C218:C234)</f>
        <v>2608.1529999999998</v>
      </c>
      <c r="D235" s="1036"/>
      <c r="E235" s="1036">
        <f>SUM(E218:E234)</f>
        <v>19923.417000000005</v>
      </c>
      <c r="F235" s="1042">
        <f>SUM(F218:F234)</f>
        <v>5279.6080000000002</v>
      </c>
      <c r="G235" s="1104">
        <f>+E235-F235</f>
        <v>14643.809000000005</v>
      </c>
      <c r="H235" s="64"/>
      <c r="I235" s="1028"/>
      <c r="J235" s="211"/>
    </row>
    <row r="236" spans="1:15" ht="13.5">
      <c r="A236" s="197"/>
      <c r="B236" s="198"/>
      <c r="C236" s="1038">
        <f>+C235+C215+C195</f>
        <v>53267.069999999992</v>
      </c>
      <c r="D236" s="1038"/>
      <c r="E236" s="1038"/>
      <c r="F236" s="199"/>
      <c r="G236" s="195"/>
      <c r="H236" s="64"/>
      <c r="I236" s="1028"/>
      <c r="J236" s="211"/>
    </row>
    <row r="237" spans="1:15" ht="13.5">
      <c r="A237" s="3608" t="s">
        <v>61</v>
      </c>
      <c r="B237" s="3609"/>
      <c r="C237" s="1038"/>
      <c r="D237" s="1038"/>
      <c r="E237" s="1038"/>
      <c r="F237" s="199"/>
      <c r="G237" s="195"/>
      <c r="H237" s="64"/>
      <c r="I237" s="1028"/>
      <c r="J237" s="211"/>
    </row>
    <row r="238" spans="1:15" ht="5.0999999999999996" customHeight="1">
      <c r="A238" s="194"/>
      <c r="B238" s="65"/>
      <c r="C238" s="1038"/>
      <c r="D238" s="1038"/>
      <c r="E238" s="1038"/>
      <c r="F238" s="195"/>
      <c r="G238" s="195"/>
      <c r="H238" s="1079"/>
      <c r="I238" s="1028"/>
      <c r="J238" s="211"/>
    </row>
    <row r="239" spans="1:15" ht="13.5">
      <c r="A239" s="665" t="s">
        <v>47</v>
      </c>
      <c r="B239" s="665" t="s">
        <v>48</v>
      </c>
      <c r="C239" s="252" t="s">
        <v>49</v>
      </c>
      <c r="D239" s="252" t="s">
        <v>316</v>
      </c>
      <c r="E239" s="252" t="s">
        <v>50</v>
      </c>
      <c r="F239" s="665" t="s">
        <v>20</v>
      </c>
      <c r="G239" s="665" t="s">
        <v>21</v>
      </c>
      <c r="H239" s="665" t="s">
        <v>51</v>
      </c>
      <c r="I239" s="165" t="s">
        <v>23</v>
      </c>
      <c r="J239" s="211"/>
    </row>
    <row r="240" spans="1:15" ht="15">
      <c r="A240" s="1476" t="s">
        <v>62</v>
      </c>
      <c r="B240" s="1487" t="s">
        <v>38</v>
      </c>
      <c r="C240" s="1942">
        <v>338.37900000000002</v>
      </c>
      <c r="D240" s="1942"/>
      <c r="E240" s="1942">
        <f>+C240+D240</f>
        <v>338.37900000000002</v>
      </c>
      <c r="F240" s="1942">
        <f>+SUM('RAE S.común'!B365:B370)</f>
        <v>0</v>
      </c>
      <c r="G240" s="1099">
        <f>+E240-F240</f>
        <v>338.37900000000002</v>
      </c>
      <c r="H240" s="2571">
        <f t="shared" ref="H240:H251" si="31">1-+F240/E240</f>
        <v>1</v>
      </c>
      <c r="I240" s="179"/>
      <c r="J240" s="211"/>
      <c r="K240" s="3257"/>
      <c r="L240" s="1926"/>
      <c r="M240" s="3258"/>
      <c r="N240" s="169"/>
      <c r="O240" s="169"/>
    </row>
    <row r="241" spans="1:15" s="1919" customFormat="1" ht="15">
      <c r="A241" s="1476" t="s">
        <v>594</v>
      </c>
      <c r="B241" s="1487" t="s">
        <v>38</v>
      </c>
      <c r="C241" s="1942">
        <v>3764.578</v>
      </c>
      <c r="D241" s="1942"/>
      <c r="E241" s="1942">
        <f t="shared" ref="E241:E243" si="32">+C241</f>
        <v>3764.578</v>
      </c>
      <c r="F241" s="1942">
        <f>+SUM('RAE S.común'!B381:B386)</f>
        <v>1355.6160000000002</v>
      </c>
      <c r="G241" s="1099">
        <f t="shared" ref="G241:G243" si="33">+E241-F241</f>
        <v>2408.9619999999995</v>
      </c>
      <c r="H241" s="2571">
        <f t="shared" si="31"/>
        <v>0.63990226793016369</v>
      </c>
      <c r="I241" s="179"/>
      <c r="J241" s="211"/>
      <c r="K241" s="3257"/>
      <c r="L241" s="1926"/>
      <c r="M241" s="3258"/>
      <c r="N241" s="169"/>
      <c r="O241" s="169"/>
    </row>
    <row r="242" spans="1:15" ht="15">
      <c r="A242" s="1476" t="s">
        <v>526</v>
      </c>
      <c r="B242" s="1487" t="s">
        <v>38</v>
      </c>
      <c r="C242" s="1942">
        <v>6722.674</v>
      </c>
      <c r="D242" s="2113"/>
      <c r="E242" s="1942">
        <f t="shared" si="32"/>
        <v>6722.674</v>
      </c>
      <c r="F242" s="1954">
        <f>+SUM('RAE S.común'!B397:B402)</f>
        <v>485.995</v>
      </c>
      <c r="G242" s="1099">
        <f t="shared" si="33"/>
        <v>6236.6790000000001</v>
      </c>
      <c r="H242" s="2571">
        <f t="shared" si="31"/>
        <v>0.92770808163537311</v>
      </c>
      <c r="I242" s="179"/>
      <c r="J242" s="213"/>
      <c r="K242" s="3259"/>
      <c r="L242" s="3260"/>
      <c r="M242" s="3258"/>
      <c r="N242" s="169"/>
      <c r="O242" s="169"/>
    </row>
    <row r="243" spans="1:15" s="1919" customFormat="1" ht="15">
      <c r="A243" s="1476" t="s">
        <v>595</v>
      </c>
      <c r="B243" s="1487" t="s">
        <v>38</v>
      </c>
      <c r="C243" s="1942">
        <v>1883.1590000000001</v>
      </c>
      <c r="D243" s="2113"/>
      <c r="E243" s="1942">
        <f t="shared" si="32"/>
        <v>1883.1590000000001</v>
      </c>
      <c r="F243" s="1954">
        <f>+SUM('RAE S.común'!B413:B418)</f>
        <v>364.54899999999998</v>
      </c>
      <c r="G243" s="1099">
        <f t="shared" si="33"/>
        <v>1518.6100000000001</v>
      </c>
      <c r="H243" s="2571">
        <f t="shared" si="31"/>
        <v>0.80641623994575073</v>
      </c>
      <c r="I243" s="179"/>
      <c r="J243" s="213"/>
      <c r="K243" s="3259"/>
      <c r="L243" s="3260"/>
      <c r="M243" s="3258"/>
      <c r="N243" s="169"/>
      <c r="O243" s="169"/>
    </row>
    <row r="244" spans="1:15" ht="15">
      <c r="A244" s="1476" t="s">
        <v>63</v>
      </c>
      <c r="B244" s="1487" t="s">
        <v>38</v>
      </c>
      <c r="C244" s="1942">
        <v>850.15599999999995</v>
      </c>
      <c r="D244" s="1942"/>
      <c r="E244" s="1942">
        <f t="shared" ref="E244:E250" si="34">+C244</f>
        <v>850.15599999999995</v>
      </c>
      <c r="F244" s="1942">
        <f>+SUM('RAE S.común'!B429:B434)</f>
        <v>111.82599999999999</v>
      </c>
      <c r="G244" s="1105">
        <f t="shared" ref="G244:G251" si="35">+E244-F244</f>
        <v>738.32999999999993</v>
      </c>
      <c r="H244" s="2571">
        <f t="shared" si="31"/>
        <v>0.86846414069888356</v>
      </c>
      <c r="I244" s="179"/>
      <c r="J244" s="211"/>
      <c r="K244" s="3257"/>
      <c r="L244" s="1926"/>
      <c r="M244" s="3258"/>
      <c r="N244" s="169"/>
      <c r="O244" s="169"/>
    </row>
    <row r="245" spans="1:15" ht="15">
      <c r="A245" s="1476" t="s">
        <v>530</v>
      </c>
      <c r="B245" s="1487" t="s">
        <v>38</v>
      </c>
      <c r="C245" s="1942">
        <v>13.737</v>
      </c>
      <c r="D245" s="1954"/>
      <c r="E245" s="1954">
        <f t="shared" si="34"/>
        <v>13.737</v>
      </c>
      <c r="F245" s="1954">
        <f>+SUM('RAE S.común'!B445:B450)</f>
        <v>0</v>
      </c>
      <c r="G245" s="1050">
        <f t="shared" si="35"/>
        <v>13.737</v>
      </c>
      <c r="H245" s="2571">
        <f t="shared" si="31"/>
        <v>1</v>
      </c>
      <c r="I245" s="179"/>
      <c r="J245" s="211"/>
      <c r="K245" s="3259"/>
      <c r="L245" s="3260"/>
      <c r="M245" s="3258"/>
      <c r="N245" s="169"/>
      <c r="O245" s="169"/>
    </row>
    <row r="246" spans="1:15" ht="15">
      <c r="A246" s="1819" t="s">
        <v>529</v>
      </c>
      <c r="B246" s="1487" t="s">
        <v>38</v>
      </c>
      <c r="C246" s="1942">
        <v>0</v>
      </c>
      <c r="D246" s="1954"/>
      <c r="E246" s="1954">
        <f t="shared" si="34"/>
        <v>0</v>
      </c>
      <c r="F246" s="1954">
        <f>+SUM('RAE S.común'!B461:B466)</f>
        <v>0</v>
      </c>
      <c r="G246" s="1050">
        <f t="shared" si="35"/>
        <v>0</v>
      </c>
      <c r="H246" s="2571" t="e">
        <f t="shared" si="31"/>
        <v>#DIV/0!</v>
      </c>
      <c r="I246" s="179"/>
      <c r="J246" s="211"/>
      <c r="K246" s="3259"/>
      <c r="L246" s="3260"/>
      <c r="M246" s="3258"/>
      <c r="N246" s="169"/>
      <c r="O246" s="169"/>
    </row>
    <row r="247" spans="1:15" ht="15">
      <c r="A247" s="1779" t="s">
        <v>64</v>
      </c>
      <c r="B247" s="1487" t="s">
        <v>38</v>
      </c>
      <c r="C247" s="1942">
        <v>1730.93</v>
      </c>
      <c r="D247" s="2114"/>
      <c r="E247" s="1954">
        <f>+C247+D247</f>
        <v>1730.93</v>
      </c>
      <c r="F247" s="1954">
        <f>+SUM('RAE S.común'!B477:B482)</f>
        <v>162.923</v>
      </c>
      <c r="G247" s="1050">
        <f>+E247-F247</f>
        <v>1568.0070000000001</v>
      </c>
      <c r="H247" s="2571">
        <f t="shared" si="31"/>
        <v>0.90587545423558435</v>
      </c>
      <c r="I247" s="179"/>
      <c r="J247" s="211"/>
      <c r="K247" s="3259"/>
      <c r="L247" s="3260"/>
      <c r="M247" s="3258"/>
      <c r="N247" s="169"/>
      <c r="O247" s="169"/>
    </row>
    <row r="248" spans="1:15" ht="15">
      <c r="A248" s="1476" t="s">
        <v>527</v>
      </c>
      <c r="B248" s="1487" t="s">
        <v>38</v>
      </c>
      <c r="C248" s="1942">
        <v>48.326000000000001</v>
      </c>
      <c r="D248" s="1954"/>
      <c r="E248" s="1954">
        <f t="shared" si="34"/>
        <v>48.326000000000001</v>
      </c>
      <c r="F248" s="1954">
        <f>+SUM('RAE S.común'!B493:B498)</f>
        <v>0</v>
      </c>
      <c r="G248" s="1050">
        <f t="shared" si="35"/>
        <v>48.326000000000001</v>
      </c>
      <c r="H248" s="2571">
        <f t="shared" si="31"/>
        <v>1</v>
      </c>
      <c r="I248" s="179"/>
      <c r="J248" s="211"/>
      <c r="K248" s="3259"/>
      <c r="L248" s="3260"/>
      <c r="M248" s="3258"/>
      <c r="N248" s="169"/>
      <c r="O248" s="169"/>
    </row>
    <row r="249" spans="1:15" ht="15">
      <c r="A249" s="1476" t="s">
        <v>528</v>
      </c>
      <c r="B249" s="1487" t="s">
        <v>38</v>
      </c>
      <c r="C249" s="1942">
        <v>0</v>
      </c>
      <c r="D249" s="1954"/>
      <c r="E249" s="1954">
        <f t="shared" si="34"/>
        <v>0</v>
      </c>
      <c r="F249" s="1954">
        <f>+SUM('RAE S.común'!B509:B514)</f>
        <v>0</v>
      </c>
      <c r="G249" s="1050">
        <f t="shared" si="35"/>
        <v>0</v>
      </c>
      <c r="H249" s="2571" t="e">
        <f t="shared" si="31"/>
        <v>#DIV/0!</v>
      </c>
      <c r="I249" s="179"/>
      <c r="J249" s="211"/>
      <c r="K249" s="3259"/>
      <c r="L249" s="3260"/>
      <c r="M249" s="3258"/>
      <c r="N249" s="169"/>
      <c r="O249" s="169"/>
    </row>
    <row r="250" spans="1:15" ht="15">
      <c r="A250" s="1476" t="s">
        <v>123</v>
      </c>
      <c r="B250" s="1487" t="s">
        <v>38</v>
      </c>
      <c r="C250" s="1942">
        <v>3604.0189999999998</v>
      </c>
      <c r="D250" s="1954"/>
      <c r="E250" s="1954">
        <f t="shared" si="34"/>
        <v>3604.0189999999998</v>
      </c>
      <c r="F250" s="1954">
        <f>+SUM('RAE S.común'!B525:B530)</f>
        <v>228.01600000000002</v>
      </c>
      <c r="G250" s="1050">
        <f t="shared" si="35"/>
        <v>3376.0029999999997</v>
      </c>
      <c r="H250" s="2571">
        <f t="shared" si="31"/>
        <v>0.93673285296220687</v>
      </c>
      <c r="I250" s="179"/>
      <c r="J250" s="211"/>
      <c r="K250" s="3259"/>
      <c r="L250" s="3260"/>
      <c r="M250" s="3258"/>
      <c r="N250" s="169"/>
      <c r="O250" s="169"/>
    </row>
    <row r="251" spans="1:15" ht="15">
      <c r="A251" s="1476" t="s">
        <v>60</v>
      </c>
      <c r="B251" s="1487" t="s">
        <v>38</v>
      </c>
      <c r="C251" s="1942">
        <v>194.042</v>
      </c>
      <c r="D251" s="1954"/>
      <c r="E251" s="1954">
        <f>+C251</f>
        <v>194.042</v>
      </c>
      <c r="F251" s="1954">
        <f>+SUM('RAE S.común'!B541:B546)</f>
        <v>111.47299999999998</v>
      </c>
      <c r="G251" s="1050">
        <f t="shared" si="35"/>
        <v>82.569000000000017</v>
      </c>
      <c r="H251" s="2571">
        <f t="shared" si="31"/>
        <v>0.42552127889838287</v>
      </c>
      <c r="I251" s="1106"/>
      <c r="J251" s="3230" t="s">
        <v>1127</v>
      </c>
      <c r="K251" s="3259"/>
      <c r="L251" s="3260"/>
      <c r="M251" s="3258"/>
      <c r="N251" s="169"/>
      <c r="O251" s="169"/>
    </row>
    <row r="252" spans="1:15" ht="13.5">
      <c r="A252" s="181" t="s">
        <v>52</v>
      </c>
      <c r="B252" s="890" t="s">
        <v>38</v>
      </c>
      <c r="C252" s="1925">
        <f>SUM(C240:C251)</f>
        <v>19150</v>
      </c>
      <c r="D252" s="1107"/>
      <c r="E252" s="1107">
        <f>SUM(E240:E251)</f>
        <v>19150</v>
      </c>
      <c r="F252" s="1107">
        <f>SUM(F240:F251)</f>
        <v>2820.3980000000006</v>
      </c>
      <c r="G252" s="1107">
        <f>+E252-F252</f>
        <v>16329.601999999999</v>
      </c>
      <c r="H252" s="1079"/>
      <c r="I252" s="1028"/>
      <c r="J252" s="211"/>
      <c r="K252" s="169"/>
      <c r="L252" s="169"/>
      <c r="M252" s="3258"/>
      <c r="N252" s="3258"/>
      <c r="O252" s="3258"/>
    </row>
    <row r="253" spans="1:15" ht="12.75" customHeight="1">
      <c r="A253" s="194"/>
      <c r="B253" s="65"/>
      <c r="C253" s="1926"/>
      <c r="D253" s="1108"/>
      <c r="E253" s="1108"/>
      <c r="F253" s="1109"/>
      <c r="G253" s="1109"/>
      <c r="H253" s="1079"/>
      <c r="I253" s="1028"/>
      <c r="J253" s="211"/>
    </row>
    <row r="254" spans="1:15" ht="13.5">
      <c r="A254" s="665" t="s">
        <v>47</v>
      </c>
      <c r="B254" s="665" t="s">
        <v>48</v>
      </c>
      <c r="C254" s="1927" t="s">
        <v>49</v>
      </c>
      <c r="D254" s="252" t="s">
        <v>316</v>
      </c>
      <c r="E254" s="1110" t="s">
        <v>50</v>
      </c>
      <c r="F254" s="1111" t="s">
        <v>20</v>
      </c>
      <c r="G254" s="1111" t="s">
        <v>21</v>
      </c>
      <c r="H254" s="665" t="s">
        <v>51</v>
      </c>
      <c r="I254" s="165" t="s">
        <v>23</v>
      </c>
      <c r="J254" s="211"/>
    </row>
    <row r="255" spans="1:15" ht="15">
      <c r="A255" s="16" t="s">
        <v>62</v>
      </c>
      <c r="B255" s="166" t="s">
        <v>39</v>
      </c>
      <c r="C255" s="1099">
        <v>84.585999999999999</v>
      </c>
      <c r="D255" s="1099"/>
      <c r="E255" s="1096">
        <f>+C255+G240+D255</f>
        <v>422.96500000000003</v>
      </c>
      <c r="F255" s="1099">
        <f>+SUM('RAE S.común'!B371:B376)</f>
        <v>0</v>
      </c>
      <c r="G255" s="1099">
        <f t="shared" ref="G255:G266" si="36">+E255-F255</f>
        <v>422.96500000000003</v>
      </c>
      <c r="H255" s="2571">
        <f t="shared" ref="H255:H266" si="37">1-+F255/E255</f>
        <v>1</v>
      </c>
      <c r="I255" s="178"/>
      <c r="J255" s="211">
        <f>+F240+F255</f>
        <v>0</v>
      </c>
    </row>
    <row r="256" spans="1:15" s="1919" customFormat="1" ht="15">
      <c r="A256" s="1476" t="s">
        <v>594</v>
      </c>
      <c r="B256" s="166" t="s">
        <v>39</v>
      </c>
      <c r="C256" s="1099">
        <v>941.04899999999998</v>
      </c>
      <c r="D256" s="1099"/>
      <c r="E256" s="1096">
        <f t="shared" ref="E256:E266" si="38">+C256+G241+D256</f>
        <v>3350.0109999999995</v>
      </c>
      <c r="F256" s="1099">
        <f>+SUM('RAE S.común'!B387:B392)</f>
        <v>171.84699999999998</v>
      </c>
      <c r="G256" s="1099">
        <f t="shared" si="36"/>
        <v>3178.1639999999998</v>
      </c>
      <c r="H256" s="2571">
        <f t="shared" si="37"/>
        <v>0.94870255649906821</v>
      </c>
      <c r="I256" s="178"/>
      <c r="J256" s="3452">
        <f t="shared" ref="J256:J266" si="39">+F241+F256</f>
        <v>1527.4630000000002</v>
      </c>
    </row>
    <row r="257" spans="1:10" ht="15">
      <c r="A257" s="1476" t="s">
        <v>526</v>
      </c>
      <c r="B257" s="166" t="s">
        <v>39</v>
      </c>
      <c r="C257" s="1099">
        <v>1680.498</v>
      </c>
      <c r="D257" s="1050"/>
      <c r="E257" s="1096">
        <f t="shared" si="38"/>
        <v>7917.1769999999997</v>
      </c>
      <c r="F257" s="1050">
        <f>+SUM('RAE S.común'!B403:B408)</f>
        <v>41.018000000000001</v>
      </c>
      <c r="G257" s="1099">
        <f t="shared" si="36"/>
        <v>7876.1589999999997</v>
      </c>
      <c r="H257" s="2571">
        <f t="shared" si="37"/>
        <v>0.99481911292371006</v>
      </c>
      <c r="I257" s="178"/>
      <c r="J257" s="3434">
        <f t="shared" si="39"/>
        <v>527.01300000000003</v>
      </c>
    </row>
    <row r="258" spans="1:10" s="1919" customFormat="1" ht="15">
      <c r="A258" s="1476" t="s">
        <v>595</v>
      </c>
      <c r="B258" s="166" t="s">
        <v>39</v>
      </c>
      <c r="C258" s="1099">
        <v>470.74200000000002</v>
      </c>
      <c r="D258" s="1050"/>
      <c r="E258" s="1096">
        <f t="shared" si="38"/>
        <v>1989.3520000000001</v>
      </c>
      <c r="F258" s="1050">
        <f>+SUM('RAE S.común'!B419:B424)</f>
        <v>98.722000000000008</v>
      </c>
      <c r="G258" s="1099">
        <f t="shared" si="36"/>
        <v>1890.63</v>
      </c>
      <c r="H258" s="2571">
        <f t="shared" si="37"/>
        <v>0.95037479541076697</v>
      </c>
      <c r="I258" s="178"/>
      <c r="J258" s="3434">
        <f t="shared" si="39"/>
        <v>463.27099999999996</v>
      </c>
    </row>
    <row r="259" spans="1:10" ht="15">
      <c r="A259" s="1476" t="s">
        <v>63</v>
      </c>
      <c r="B259" s="166" t="s">
        <v>39</v>
      </c>
      <c r="C259" s="1099">
        <v>212.517</v>
      </c>
      <c r="D259" s="1099"/>
      <c r="E259" s="1096">
        <f t="shared" si="38"/>
        <v>950.84699999999998</v>
      </c>
      <c r="F259" s="1099">
        <f>+SUM('RAE S.común'!B435:B440)</f>
        <v>0</v>
      </c>
      <c r="G259" s="1099">
        <f t="shared" si="36"/>
        <v>950.84699999999998</v>
      </c>
      <c r="H259" s="2571">
        <f t="shared" si="37"/>
        <v>1</v>
      </c>
      <c r="I259" s="179"/>
      <c r="J259" s="3434">
        <f t="shared" si="39"/>
        <v>111.82599999999999</v>
      </c>
    </row>
    <row r="260" spans="1:10" ht="15">
      <c r="A260" s="16" t="s">
        <v>530</v>
      </c>
      <c r="B260" s="166" t="s">
        <v>39</v>
      </c>
      <c r="C260" s="1099">
        <v>3.4340000000000002</v>
      </c>
      <c r="D260" s="1050"/>
      <c r="E260" s="1096">
        <f t="shared" si="38"/>
        <v>17.170999999999999</v>
      </c>
      <c r="F260" s="1050">
        <f>+SUM('RAE S.común'!B451:B456)</f>
        <v>0</v>
      </c>
      <c r="G260" s="1050">
        <f t="shared" si="36"/>
        <v>17.170999999999999</v>
      </c>
      <c r="H260" s="2571">
        <f t="shared" si="37"/>
        <v>1</v>
      </c>
      <c r="I260" s="179"/>
      <c r="J260" s="211">
        <f t="shared" si="39"/>
        <v>0</v>
      </c>
    </row>
    <row r="261" spans="1:10" ht="15">
      <c r="A261" s="77" t="s">
        <v>529</v>
      </c>
      <c r="B261" s="166" t="s">
        <v>39</v>
      </c>
      <c r="C261" s="1099">
        <v>0</v>
      </c>
      <c r="D261" s="1050"/>
      <c r="E261" s="1096">
        <f t="shared" si="38"/>
        <v>0</v>
      </c>
      <c r="F261" s="1050">
        <f>+SUM('RAE S.común'!B467:B472)</f>
        <v>0</v>
      </c>
      <c r="G261" s="1050">
        <f t="shared" si="36"/>
        <v>0</v>
      </c>
      <c r="H261" s="2571" t="e">
        <f t="shared" si="37"/>
        <v>#DIV/0!</v>
      </c>
      <c r="I261" s="179"/>
      <c r="J261" s="211">
        <f t="shared" si="39"/>
        <v>0</v>
      </c>
    </row>
    <row r="262" spans="1:10" ht="15">
      <c r="A262" s="16" t="s">
        <v>64</v>
      </c>
      <c r="B262" s="166" t="s">
        <v>39</v>
      </c>
      <c r="C262" s="1099">
        <v>582.67399999999998</v>
      </c>
      <c r="D262" s="1050"/>
      <c r="E262" s="1096">
        <f t="shared" si="38"/>
        <v>2150.681</v>
      </c>
      <c r="F262" s="1050">
        <f>+SUM('RAE S.común'!B483:B488)</f>
        <v>1.7000000000000002</v>
      </c>
      <c r="G262" s="1050">
        <f t="shared" si="36"/>
        <v>2148.9810000000002</v>
      </c>
      <c r="H262" s="2571">
        <f t="shared" si="37"/>
        <v>0.99920955269516953</v>
      </c>
      <c r="I262" s="179"/>
      <c r="J262" s="3434">
        <f t="shared" si="39"/>
        <v>164.62299999999999</v>
      </c>
    </row>
    <row r="263" spans="1:10" ht="15">
      <c r="A263" s="16" t="s">
        <v>527</v>
      </c>
      <c r="B263" s="166" t="s">
        <v>39</v>
      </c>
      <c r="C263" s="1099">
        <v>12.08</v>
      </c>
      <c r="D263" s="1050"/>
      <c r="E263" s="1096">
        <f>+C263+G248+D263</f>
        <v>60.405999999999999</v>
      </c>
      <c r="F263" s="1050">
        <f>+SUM('RAE S.común'!B499:B504)</f>
        <v>0</v>
      </c>
      <c r="G263" s="1050">
        <f t="shared" si="36"/>
        <v>60.405999999999999</v>
      </c>
      <c r="H263" s="2571">
        <f t="shared" si="37"/>
        <v>1</v>
      </c>
      <c r="I263" s="179"/>
      <c r="J263" s="211">
        <f t="shared" si="39"/>
        <v>0</v>
      </c>
    </row>
    <row r="264" spans="1:10" ht="15">
      <c r="A264" s="16" t="s">
        <v>528</v>
      </c>
      <c r="B264" s="166" t="s">
        <v>39</v>
      </c>
      <c r="C264" s="1099">
        <v>0</v>
      </c>
      <c r="D264" s="1050"/>
      <c r="E264" s="1096">
        <f t="shared" si="38"/>
        <v>0</v>
      </c>
      <c r="F264" s="1050">
        <f>+SUM('RAE S.común'!B515:B520)</f>
        <v>0</v>
      </c>
      <c r="G264" s="1050">
        <f t="shared" si="36"/>
        <v>0</v>
      </c>
      <c r="H264" s="2571" t="e">
        <f t="shared" si="37"/>
        <v>#DIV/0!</v>
      </c>
      <c r="I264" s="179"/>
      <c r="J264" s="211">
        <f t="shared" si="39"/>
        <v>0</v>
      </c>
    </row>
    <row r="265" spans="1:10" ht="15">
      <c r="A265" s="16" t="s">
        <v>123</v>
      </c>
      <c r="B265" s="166" t="s">
        <v>39</v>
      </c>
      <c r="C265" s="1099">
        <v>900.91399999999999</v>
      </c>
      <c r="D265" s="1050"/>
      <c r="E265" s="1096">
        <f t="shared" si="38"/>
        <v>4276.9169999999995</v>
      </c>
      <c r="F265" s="1050">
        <f>+SUM('RAE S.común'!B531:B536)</f>
        <v>888.94099999999992</v>
      </c>
      <c r="G265" s="1050">
        <f t="shared" si="36"/>
        <v>3387.9759999999997</v>
      </c>
      <c r="H265" s="2571">
        <f t="shared" si="37"/>
        <v>0.79215378741275555</v>
      </c>
      <c r="I265" s="179"/>
      <c r="J265" s="1484">
        <f t="shared" si="39"/>
        <v>1116.9569999999999</v>
      </c>
    </row>
    <row r="266" spans="1:10" ht="15">
      <c r="A266" s="16" t="s">
        <v>60</v>
      </c>
      <c r="B266" s="166" t="s">
        <v>39</v>
      </c>
      <c r="C266" s="1099">
        <v>48.506</v>
      </c>
      <c r="D266" s="1050"/>
      <c r="E266" s="1096">
        <f t="shared" si="38"/>
        <v>131.07500000000002</v>
      </c>
      <c r="F266" s="1050">
        <f>+SUM('RAE S.común'!B547:B552)</f>
        <v>28.98</v>
      </c>
      <c r="G266" s="1050">
        <f t="shared" si="36"/>
        <v>102.09500000000001</v>
      </c>
      <c r="H266" s="2571">
        <f t="shared" si="37"/>
        <v>0.77890520694259013</v>
      </c>
      <c r="I266" s="179"/>
      <c r="J266" s="3435">
        <f t="shared" si="39"/>
        <v>140.45299999999997</v>
      </c>
    </row>
    <row r="267" spans="1:10" ht="13.5">
      <c r="A267" s="181" t="s">
        <v>52</v>
      </c>
      <c r="B267" s="1100" t="s">
        <v>39</v>
      </c>
      <c r="C267" s="1925">
        <f>SUM(C255:C266)</f>
        <v>4937</v>
      </c>
      <c r="D267" s="1107"/>
      <c r="E267" s="1095">
        <f t="shared" ref="E267" si="40">+C267+G252</f>
        <v>21266.601999999999</v>
      </c>
      <c r="F267" s="1107">
        <f>SUM(F255:F266)</f>
        <v>1231.2079999999999</v>
      </c>
      <c r="G267" s="1107">
        <f>+E267-F267</f>
        <v>20035.394</v>
      </c>
      <c r="H267" s="1079"/>
      <c r="I267" s="65"/>
      <c r="J267" s="211">
        <f>SUM(J255:J266)</f>
        <v>4051.6060000000002</v>
      </c>
    </row>
    <row r="268" spans="1:10">
      <c r="C268" s="931"/>
      <c r="E268" s="1112"/>
      <c r="F268" s="931">
        <f>+F252+F267</f>
        <v>4051.6060000000007</v>
      </c>
      <c r="J268" s="211"/>
    </row>
    <row r="269" spans="1:10">
      <c r="C269" s="1112"/>
      <c r="G269" s="669"/>
      <c r="J269" s="211"/>
    </row>
    <row r="270" spans="1:10" ht="30">
      <c r="C270" s="2115"/>
      <c r="J270" s="211"/>
    </row>
    <row r="271" spans="1:10">
      <c r="J271" s="131"/>
    </row>
  </sheetData>
  <mergeCells count="7">
    <mergeCell ref="A175:B175"/>
    <mergeCell ref="A237:B237"/>
    <mergeCell ref="A2:I2"/>
    <mergeCell ref="A5:B5"/>
    <mergeCell ref="A42:B42"/>
    <mergeCell ref="G41:H41"/>
    <mergeCell ref="A22:B22"/>
  </mergeCells>
  <phoneticPr fontId="0" type="noConversion"/>
  <conditionalFormatting sqref="H8:H9 H13:H14 H18:H19 H107 H25:H27 H31:H33 H37:H39 H178:H194 H110:H173 H198:H214 H218:H234 H240:H251 H255:H266">
    <cfRule type="cellIs" dxfId="79" priority="12602" stopIfTrue="1" operator="lessThan">
      <formula>0</formula>
    </cfRule>
    <cfRule type="cellIs" dxfId="78" priority="12603" stopIfTrue="1" operator="lessThan">
      <formula>0</formula>
    </cfRule>
  </conditionalFormatting>
  <conditionalFormatting sqref="H8:H9 H13:H14 H18:H19 H107 H25:H27 H31:H33 H37:H39 H178:H194 H110:H173 H198:H214 H218:H234 H240:H251 H255:H266">
    <cfRule type="cellIs" dxfId="77" priority="12590" stopIfTrue="1" operator="lessThan">
      <formula>0.05</formula>
    </cfRule>
    <cfRule type="cellIs" dxfId="76" priority="12591" stopIfTrue="1" operator="lessThan">
      <formula>0</formula>
    </cfRule>
  </conditionalFormatting>
  <conditionalFormatting sqref="H8:H9 H13:H14 H18:H19 H107 H25:H27 H31:H33 H37:H39 H178:H194 H110:H173 H198:H214 H218:H234 H240:H251 H255:H266">
    <cfRule type="cellIs" dxfId="75" priority="12009" stopIfTrue="1" operator="lessThan">
      <formula>0.05</formula>
    </cfRule>
  </conditionalFormatting>
  <conditionalFormatting sqref="H198:H214 H218:H234">
    <cfRule type="cellIs" dxfId="74" priority="4356" stopIfTrue="1" operator="lessThan">
      <formula>0.05</formula>
    </cfRule>
  </conditionalFormatting>
  <conditionalFormatting sqref="H44:H107">
    <cfRule type="cellIs" dxfId="73" priority="57" operator="lessThan">
      <formula>0.05</formula>
    </cfRule>
    <cfRule type="cellIs" dxfId="72" priority="58" operator="lessThan">
      <formula>0.1</formula>
    </cfRule>
    <cfRule type="cellIs" dxfId="71" priority="59" operator="lessThan">
      <formula>0.2</formula>
    </cfRule>
    <cfRule type="cellIs" dxfId="70" priority="60" operator="lessThan">
      <formula>0.5</formula>
    </cfRule>
  </conditionalFormatting>
  <conditionalFormatting sqref="H110:H173">
    <cfRule type="cellIs" dxfId="69" priority="53" operator="lessThan">
      <formula>0.05</formula>
    </cfRule>
    <cfRule type="cellIs" dxfId="68" priority="54" operator="lessThan">
      <formula>0.1</formula>
    </cfRule>
    <cfRule type="cellIs" dxfId="67" priority="55" operator="lessThan">
      <formula>0.2</formula>
    </cfRule>
    <cfRule type="cellIs" dxfId="66" priority="56" operator="lessThan">
      <formula>0.5</formula>
    </cfRule>
  </conditionalFormatting>
  <conditionalFormatting sqref="H178:H194">
    <cfRule type="cellIs" dxfId="65" priority="49" operator="lessThan">
      <formula>0.05</formula>
    </cfRule>
    <cfRule type="cellIs" dxfId="64" priority="50" operator="lessThan">
      <formula>0.1</formula>
    </cfRule>
    <cfRule type="cellIs" dxfId="63" priority="51" operator="lessThan">
      <formula>0.2</formula>
    </cfRule>
    <cfRule type="cellIs" dxfId="62" priority="52" operator="lessThan">
      <formula>0.5</formula>
    </cfRule>
  </conditionalFormatting>
  <conditionalFormatting sqref="H198:H214">
    <cfRule type="cellIs" dxfId="61" priority="45" operator="lessThan">
      <formula>0.05</formula>
    </cfRule>
    <cfRule type="cellIs" dxfId="60" priority="46" operator="lessThan">
      <formula>0.1</formula>
    </cfRule>
    <cfRule type="cellIs" dxfId="59" priority="47" operator="lessThan">
      <formula>0.2</formula>
    </cfRule>
    <cfRule type="cellIs" dxfId="58" priority="48" operator="lessThan">
      <formula>0.5</formula>
    </cfRule>
  </conditionalFormatting>
  <conditionalFormatting sqref="H218:H234">
    <cfRule type="cellIs" dxfId="57" priority="41" operator="lessThan">
      <formula>0.05</formula>
    </cfRule>
    <cfRule type="cellIs" dxfId="56" priority="42" operator="lessThan">
      <formula>0.1</formula>
    </cfRule>
    <cfRule type="cellIs" dxfId="55" priority="43" operator="lessThan">
      <formula>0.2</formula>
    </cfRule>
    <cfRule type="cellIs" dxfId="54" priority="44" operator="lessThan">
      <formula>0.5</formula>
    </cfRule>
  </conditionalFormatting>
  <conditionalFormatting sqref="H240:H251">
    <cfRule type="cellIs" dxfId="53" priority="40" stopIfTrue="1" operator="lessThan">
      <formula>0.05</formula>
    </cfRule>
  </conditionalFormatting>
  <conditionalFormatting sqref="H240:H251">
    <cfRule type="cellIs" dxfId="52" priority="36" operator="lessThan">
      <formula>0.05</formula>
    </cfRule>
    <cfRule type="cellIs" dxfId="51" priority="37" operator="lessThan">
      <formula>0.1</formula>
    </cfRule>
    <cfRule type="cellIs" dxfId="50" priority="38" operator="lessThan">
      <formula>0.2</formula>
    </cfRule>
    <cfRule type="cellIs" dxfId="49" priority="39" operator="lessThan">
      <formula>0.5</formula>
    </cfRule>
  </conditionalFormatting>
  <conditionalFormatting sqref="H255:H266">
    <cfRule type="cellIs" dxfId="48" priority="35" stopIfTrue="1" operator="lessThan">
      <formula>0.05</formula>
    </cfRule>
  </conditionalFormatting>
  <conditionalFormatting sqref="H255:H266">
    <cfRule type="cellIs" dxfId="47" priority="31" operator="lessThan">
      <formula>0.05</formula>
    </cfRule>
    <cfRule type="cellIs" dxfId="46" priority="32" operator="lessThan">
      <formula>0.1</formula>
    </cfRule>
    <cfRule type="cellIs" dxfId="45" priority="33" operator="lessThan">
      <formula>0.2</formula>
    </cfRule>
    <cfRule type="cellIs" dxfId="44" priority="34" operator="lessThan">
      <formula>0.5</formula>
    </cfRule>
  </conditionalFormatting>
  <conditionalFormatting sqref="H198:H214">
    <cfRule type="cellIs" dxfId="43" priority="27" operator="lessThan">
      <formula>0.05</formula>
    </cfRule>
    <cfRule type="cellIs" dxfId="42" priority="28" operator="lessThan">
      <formula>0.1</formula>
    </cfRule>
    <cfRule type="cellIs" dxfId="41" priority="29" operator="lessThan">
      <formula>0.2</formula>
    </cfRule>
    <cfRule type="cellIs" dxfId="40" priority="30" operator="lessThan">
      <formula>0.5</formula>
    </cfRule>
  </conditionalFormatting>
  <conditionalFormatting sqref="H218:H234">
    <cfRule type="cellIs" dxfId="39" priority="23" operator="lessThan">
      <formula>0.05</formula>
    </cfRule>
    <cfRule type="cellIs" dxfId="38" priority="24" operator="lessThan">
      <formula>0.1</formula>
    </cfRule>
    <cfRule type="cellIs" dxfId="37" priority="25" operator="lessThan">
      <formula>0.2</formula>
    </cfRule>
    <cfRule type="cellIs" dxfId="36" priority="26" operator="lessThan">
      <formula>0.5</formula>
    </cfRule>
  </conditionalFormatting>
  <conditionalFormatting sqref="H240:H251">
    <cfRule type="cellIs" dxfId="35" priority="19" operator="lessThan">
      <formula>0.05</formula>
    </cfRule>
    <cfRule type="cellIs" dxfId="34" priority="20" operator="lessThan">
      <formula>0.1</formula>
    </cfRule>
    <cfRule type="cellIs" dxfId="33" priority="21" operator="lessThan">
      <formula>0.2</formula>
    </cfRule>
    <cfRule type="cellIs" dxfId="32" priority="22" operator="lessThan">
      <formula>0.5</formula>
    </cfRule>
  </conditionalFormatting>
  <conditionalFormatting sqref="H255:H266">
    <cfRule type="cellIs" dxfId="31" priority="15" operator="lessThan">
      <formula>0.05</formula>
    </cfRule>
    <cfRule type="cellIs" dxfId="30" priority="16" operator="lessThan">
      <formula>0.1</formula>
    </cfRule>
    <cfRule type="cellIs" dxfId="29" priority="17" operator="lessThan">
      <formula>0.2</formula>
    </cfRule>
    <cfRule type="cellIs" dxfId="28" priority="18" operator="lessThan">
      <formula>0.5</formula>
    </cfRule>
  </conditionalFormatting>
  <pageMargins left="1.3385826771653544" right="0.74803149606299213" top="0.98425196850393704" bottom="0.98425196850393704" header="0" footer="0"/>
  <pageSetup paperSize="5" scale="90" orientation="landscape" r:id="rId1"/>
  <headerFooter alignWithMargins="0"/>
  <rowBreaks count="2" manualBreakCount="2">
    <brk id="40" max="16383" man="1"/>
    <brk id="107" max="16383" man="1"/>
  </rowBreaks>
  <legacyDrawing r:id="rId2"/>
</worksheet>
</file>

<file path=xl/worksheets/sheet8.xml><?xml version="1.0" encoding="utf-8"?>
<worksheet xmlns="http://schemas.openxmlformats.org/spreadsheetml/2006/main" xmlns:r="http://schemas.openxmlformats.org/officeDocument/2006/relationships">
  <sheetPr>
    <tabColor rgb="FFFFFF00"/>
  </sheetPr>
  <dimension ref="A2:DR553"/>
  <sheetViews>
    <sheetView workbookViewId="0"/>
  </sheetViews>
  <sheetFormatPr baseColWidth="10" defaultRowHeight="12.75"/>
  <cols>
    <col min="1" max="1" width="11.42578125" style="82"/>
    <col min="2" max="2" width="15.140625" style="85" customWidth="1"/>
    <col min="3" max="7" width="10" style="82" customWidth="1"/>
    <col min="8" max="8" width="12.85546875" style="82" customWidth="1"/>
    <col min="9" max="33" width="10" style="82" customWidth="1"/>
    <col min="34" max="16384" width="11.42578125" style="82"/>
  </cols>
  <sheetData>
    <row r="2" spans="1:34" ht="15">
      <c r="A2" s="3569" t="s">
        <v>565</v>
      </c>
      <c r="B2" s="3570"/>
      <c r="C2" s="3570"/>
      <c r="D2" s="3570"/>
      <c r="E2" s="3570"/>
      <c r="F2" s="3570"/>
      <c r="G2" s="3570"/>
      <c r="H2" s="3570"/>
      <c r="I2" s="3570"/>
      <c r="J2" s="3570"/>
      <c r="K2" s="3570"/>
      <c r="L2" s="3570"/>
      <c r="M2" s="3570"/>
      <c r="N2" s="3570"/>
      <c r="O2" s="3570"/>
      <c r="P2" s="3570"/>
      <c r="Q2" s="3570"/>
      <c r="R2" s="3570"/>
      <c r="S2" s="3570"/>
      <c r="T2" s="3571"/>
      <c r="U2" s="11"/>
      <c r="V2" s="11"/>
      <c r="W2" s="11"/>
      <c r="X2" s="11"/>
      <c r="Y2" s="11"/>
      <c r="Z2" s="11"/>
      <c r="AA2" s="11"/>
      <c r="AB2" s="11"/>
      <c r="AC2" s="11"/>
      <c r="AD2" s="11"/>
      <c r="AE2" s="11"/>
      <c r="AF2" s="11"/>
      <c r="AG2" s="11"/>
      <c r="AH2" s="1"/>
    </row>
    <row r="3" spans="1:34" s="83" customFormat="1" ht="15">
      <c r="A3" s="50"/>
      <c r="B3" s="73"/>
      <c r="C3" s="50"/>
      <c r="D3" s="50"/>
      <c r="E3" s="50"/>
      <c r="F3" s="50"/>
      <c r="G3" s="50"/>
      <c r="H3" s="50"/>
      <c r="I3" s="50"/>
      <c r="J3" s="50"/>
      <c r="K3" s="50"/>
      <c r="L3" s="50"/>
      <c r="M3" s="50"/>
      <c r="N3" s="50"/>
      <c r="O3" s="50"/>
      <c r="P3" s="50"/>
      <c r="Q3" s="50"/>
      <c r="R3" s="50"/>
      <c r="S3" s="50"/>
      <c r="T3" s="50"/>
      <c r="U3" s="11"/>
      <c r="V3" s="11"/>
      <c r="W3" s="11"/>
      <c r="X3" s="11"/>
      <c r="Y3" s="11"/>
      <c r="Z3" s="11"/>
      <c r="AA3" s="11"/>
      <c r="AB3" s="11"/>
      <c r="AC3" s="11"/>
      <c r="AD3" s="11"/>
      <c r="AE3" s="11"/>
      <c r="AF3" s="11"/>
      <c r="AG3" s="11"/>
      <c r="AH3" s="11"/>
    </row>
    <row r="4" spans="1:34" ht="15">
      <c r="A4" s="3591" t="s">
        <v>95</v>
      </c>
      <c r="B4" s="3592"/>
      <c r="C4" s="3592"/>
      <c r="D4" s="3592"/>
      <c r="E4" s="3592"/>
      <c r="F4" s="3592"/>
      <c r="G4" s="3592"/>
      <c r="H4" s="3592"/>
      <c r="I4" s="3592"/>
      <c r="J4" s="3592"/>
      <c r="K4" s="3592"/>
      <c r="L4" s="3592"/>
      <c r="M4" s="3592"/>
      <c r="N4" s="3592"/>
      <c r="O4" s="3592"/>
      <c r="P4" s="3592"/>
      <c r="Q4" s="3592"/>
      <c r="R4" s="3593"/>
      <c r="S4" s="11"/>
      <c r="T4" s="11"/>
      <c r="U4" s="11"/>
      <c r="V4" s="11"/>
      <c r="W4" s="11"/>
      <c r="X4" s="11"/>
      <c r="Y4" s="11"/>
      <c r="Z4" s="11"/>
      <c r="AA4" s="11"/>
      <c r="AB4" s="11"/>
      <c r="AC4" s="11"/>
      <c r="AD4" s="11"/>
      <c r="AE4" s="11"/>
      <c r="AF4" s="11"/>
      <c r="AG4" s="11"/>
      <c r="AH4" s="1"/>
    </row>
    <row r="5" spans="1:34" ht="5.0999999999999996" customHeight="1">
      <c r="A5" s="50"/>
      <c r="B5" s="74"/>
      <c r="C5" s="13"/>
      <c r="D5" s="52"/>
      <c r="E5" s="52"/>
      <c r="F5" s="52"/>
      <c r="G5" s="52"/>
      <c r="H5" s="52"/>
      <c r="I5" s="52"/>
      <c r="J5" s="52"/>
      <c r="K5" s="52"/>
      <c r="L5" s="52"/>
      <c r="M5" s="52"/>
      <c r="N5" s="52"/>
      <c r="O5" s="52"/>
      <c r="P5" s="52"/>
      <c r="Q5" s="52"/>
      <c r="R5" s="52"/>
      <c r="S5" s="52"/>
      <c r="T5" s="52"/>
      <c r="U5" s="52"/>
      <c r="V5" s="52"/>
      <c r="W5" s="52"/>
      <c r="X5" s="52"/>
      <c r="Y5" s="52"/>
      <c r="Z5" s="52"/>
      <c r="AA5" s="52"/>
      <c r="AB5" s="52"/>
      <c r="AC5" s="52"/>
      <c r="AD5" s="52"/>
      <c r="AE5" s="52"/>
      <c r="AF5" s="52"/>
      <c r="AG5" s="52"/>
      <c r="AH5" s="13"/>
    </row>
    <row r="6" spans="1:34" ht="15">
      <c r="A6" s="3569" t="s">
        <v>90</v>
      </c>
      <c r="B6" s="3570"/>
      <c r="C6" s="3570"/>
      <c r="D6" s="3570"/>
      <c r="E6" s="3570"/>
      <c r="F6" s="3570"/>
      <c r="G6" s="3570"/>
      <c r="H6" s="3571"/>
      <c r="I6" s="43"/>
      <c r="J6" s="172"/>
      <c r="K6" s="43"/>
      <c r="L6" s="43"/>
      <c r="M6" s="43"/>
      <c r="N6" s="43"/>
      <c r="O6" s="43"/>
      <c r="P6" s="43"/>
      <c r="Q6" s="43"/>
      <c r="R6" s="43"/>
      <c r="S6" s="11"/>
      <c r="T6" s="11"/>
      <c r="U6" s="11"/>
      <c r="V6" s="11"/>
      <c r="W6" s="11"/>
      <c r="X6" s="11"/>
      <c r="Y6" s="11"/>
      <c r="Z6" s="11"/>
      <c r="AA6" s="11"/>
      <c r="AB6" s="11"/>
      <c r="AC6" s="11"/>
      <c r="AD6" s="11"/>
      <c r="AE6" s="11"/>
      <c r="AF6" s="11"/>
      <c r="AG6" s="11"/>
      <c r="AH6" s="11"/>
    </row>
    <row r="7" spans="1:34" ht="15">
      <c r="A7" s="5" t="s">
        <v>72</v>
      </c>
      <c r="B7" s="71" t="s">
        <v>73</v>
      </c>
      <c r="C7" s="5">
        <v>1</v>
      </c>
      <c r="D7" s="30">
        <v>2</v>
      </c>
      <c r="E7" s="30">
        <v>3</v>
      </c>
      <c r="F7" s="30">
        <v>4</v>
      </c>
      <c r="G7" s="30">
        <v>5</v>
      </c>
      <c r="H7" s="30">
        <v>6</v>
      </c>
      <c r="I7" s="30">
        <v>7</v>
      </c>
      <c r="J7" s="30">
        <v>8</v>
      </c>
      <c r="K7" s="30">
        <v>9</v>
      </c>
      <c r="L7" s="30">
        <v>10</v>
      </c>
      <c r="M7" s="30">
        <v>11</v>
      </c>
      <c r="N7" s="30">
        <v>12</v>
      </c>
      <c r="O7" s="30">
        <v>13</v>
      </c>
      <c r="P7" s="30">
        <v>14</v>
      </c>
      <c r="Q7" s="30">
        <v>15</v>
      </c>
      <c r="R7" s="30">
        <v>16</v>
      </c>
      <c r="S7" s="30">
        <v>17</v>
      </c>
      <c r="T7" s="30">
        <v>18</v>
      </c>
      <c r="U7" s="30">
        <v>19</v>
      </c>
      <c r="V7" s="30">
        <v>20</v>
      </c>
      <c r="W7" s="30">
        <v>21</v>
      </c>
      <c r="X7" s="30">
        <v>22</v>
      </c>
      <c r="Y7" s="30">
        <v>23</v>
      </c>
      <c r="Z7" s="30">
        <v>24</v>
      </c>
      <c r="AA7" s="30">
        <v>25</v>
      </c>
      <c r="AB7" s="30">
        <v>26</v>
      </c>
      <c r="AC7" s="30">
        <v>27</v>
      </c>
      <c r="AD7" s="30">
        <v>28</v>
      </c>
      <c r="AE7" s="30">
        <v>29</v>
      </c>
      <c r="AF7" s="30">
        <v>30</v>
      </c>
      <c r="AG7" s="30">
        <v>31</v>
      </c>
      <c r="AH7" s="39" t="s">
        <v>74</v>
      </c>
    </row>
    <row r="8" spans="1:34" ht="15">
      <c r="A8" s="128" t="s">
        <v>75</v>
      </c>
      <c r="B8" s="119">
        <f t="shared" ref="B8:B19" si="0">+AH8</f>
        <v>0</v>
      </c>
      <c r="C8" s="688" t="s">
        <v>111</v>
      </c>
      <c r="D8" s="688" t="s">
        <v>111</v>
      </c>
      <c r="E8" s="688" t="s">
        <v>111</v>
      </c>
      <c r="F8" s="688" t="s">
        <v>111</v>
      </c>
      <c r="G8" s="688" t="s">
        <v>111</v>
      </c>
      <c r="H8" s="688" t="s">
        <v>111</v>
      </c>
      <c r="I8" s="688" t="s">
        <v>111</v>
      </c>
      <c r="J8" s="688" t="s">
        <v>111</v>
      </c>
      <c r="K8" s="688" t="s">
        <v>111</v>
      </c>
      <c r="L8" s="688" t="s">
        <v>111</v>
      </c>
      <c r="M8" s="688" t="s">
        <v>111</v>
      </c>
      <c r="N8" s="688" t="s">
        <v>111</v>
      </c>
      <c r="O8" s="688" t="s">
        <v>111</v>
      </c>
      <c r="P8" s="688" t="s">
        <v>111</v>
      </c>
      <c r="Q8" s="688" t="s">
        <v>111</v>
      </c>
      <c r="R8" s="688" t="s">
        <v>111</v>
      </c>
      <c r="S8" s="688" t="s">
        <v>111</v>
      </c>
      <c r="T8" s="688" t="s">
        <v>111</v>
      </c>
      <c r="U8" s="688" t="s">
        <v>111</v>
      </c>
      <c r="V8" s="688" t="s">
        <v>111</v>
      </c>
      <c r="W8" s="688" t="s">
        <v>111</v>
      </c>
      <c r="X8" s="688" t="s">
        <v>111</v>
      </c>
      <c r="Y8" s="688" t="s">
        <v>111</v>
      </c>
      <c r="Z8" s="688" t="s">
        <v>111</v>
      </c>
      <c r="AA8" s="688" t="s">
        <v>111</v>
      </c>
      <c r="AB8" s="688" t="s">
        <v>111</v>
      </c>
      <c r="AC8" s="688" t="s">
        <v>111</v>
      </c>
      <c r="AD8" s="688" t="s">
        <v>111</v>
      </c>
      <c r="AE8" s="688" t="s">
        <v>111</v>
      </c>
      <c r="AF8" s="688" t="s">
        <v>111</v>
      </c>
      <c r="AG8" s="688" t="s">
        <v>111</v>
      </c>
      <c r="AH8" s="53">
        <f>SUM(C8:AG8)</f>
        <v>0</v>
      </c>
    </row>
    <row r="9" spans="1:34" ht="15">
      <c r="A9" s="128" t="s">
        <v>76</v>
      </c>
      <c r="B9" s="119">
        <f t="shared" si="0"/>
        <v>0</v>
      </c>
      <c r="C9" s="688" t="s">
        <v>111</v>
      </c>
      <c r="D9" s="688" t="s">
        <v>111</v>
      </c>
      <c r="E9" s="688" t="s">
        <v>111</v>
      </c>
      <c r="F9" s="688" t="s">
        <v>111</v>
      </c>
      <c r="G9" s="688" t="s">
        <v>111</v>
      </c>
      <c r="H9" s="688" t="s">
        <v>111</v>
      </c>
      <c r="I9" s="688" t="s">
        <v>111</v>
      </c>
      <c r="J9" s="688" t="s">
        <v>111</v>
      </c>
      <c r="K9" s="688" t="s">
        <v>111</v>
      </c>
      <c r="L9" s="688" t="s">
        <v>111</v>
      </c>
      <c r="M9" s="688" t="s">
        <v>111</v>
      </c>
      <c r="N9" s="688" t="s">
        <v>111</v>
      </c>
      <c r="O9" s="688" t="s">
        <v>111</v>
      </c>
      <c r="P9" s="688" t="s">
        <v>111</v>
      </c>
      <c r="Q9" s="688" t="s">
        <v>111</v>
      </c>
      <c r="R9" s="688" t="s">
        <v>111</v>
      </c>
      <c r="S9" s="688" t="s">
        <v>111</v>
      </c>
      <c r="T9" s="688" t="s">
        <v>111</v>
      </c>
      <c r="U9" s="688" t="s">
        <v>111</v>
      </c>
      <c r="V9" s="688" t="s">
        <v>111</v>
      </c>
      <c r="W9" s="688" t="s">
        <v>111</v>
      </c>
      <c r="X9" s="688" t="s">
        <v>111</v>
      </c>
      <c r="Y9" s="688" t="s">
        <v>111</v>
      </c>
      <c r="Z9" s="688" t="s">
        <v>111</v>
      </c>
      <c r="AA9" s="688" t="s">
        <v>111</v>
      </c>
      <c r="AB9" s="688" t="s">
        <v>111</v>
      </c>
      <c r="AC9" s="688" t="s">
        <v>111</v>
      </c>
      <c r="AD9" s="688" t="s">
        <v>111</v>
      </c>
      <c r="AE9" s="688" t="s">
        <v>111</v>
      </c>
      <c r="AF9" s="688" t="s">
        <v>111</v>
      </c>
      <c r="AG9" s="688" t="s">
        <v>111</v>
      </c>
      <c r="AH9" s="53">
        <f t="shared" ref="AH9:AH19" si="1">SUM(C9:AG9)</f>
        <v>0</v>
      </c>
    </row>
    <row r="10" spans="1:34" ht="15">
      <c r="A10" s="128" t="s">
        <v>77</v>
      </c>
      <c r="B10" s="119">
        <f t="shared" si="0"/>
        <v>2001.2860000000005</v>
      </c>
      <c r="C10" s="688" t="s">
        <v>111</v>
      </c>
      <c r="D10" s="688" t="s">
        <v>111</v>
      </c>
      <c r="E10" s="688" t="s">
        <v>111</v>
      </c>
      <c r="F10" s="688" t="s">
        <v>111</v>
      </c>
      <c r="G10" s="688" t="s">
        <v>111</v>
      </c>
      <c r="H10" s="18">
        <v>366.74</v>
      </c>
      <c r="I10" s="18">
        <v>177.465</v>
      </c>
      <c r="J10" s="18">
        <v>223.15600000000001</v>
      </c>
      <c r="K10" s="18">
        <v>0</v>
      </c>
      <c r="L10" s="276">
        <v>0</v>
      </c>
      <c r="M10" s="276">
        <v>111.11</v>
      </c>
      <c r="N10" s="276">
        <v>172.35499999999999</v>
      </c>
      <c r="O10" s="276">
        <v>123.595</v>
      </c>
      <c r="P10" s="276">
        <v>0</v>
      </c>
      <c r="Q10" s="276">
        <v>0</v>
      </c>
      <c r="R10" s="276">
        <v>144.38999999999999</v>
      </c>
      <c r="S10" s="276">
        <v>77.38</v>
      </c>
      <c r="T10" s="276">
        <v>143.41</v>
      </c>
      <c r="U10" s="276">
        <v>48.145000000000003</v>
      </c>
      <c r="V10" s="276">
        <v>5.08</v>
      </c>
      <c r="W10" s="276">
        <v>35.914999999999999</v>
      </c>
      <c r="X10" s="276">
        <v>0</v>
      </c>
      <c r="Y10" s="276">
        <v>103.16</v>
      </c>
      <c r="Z10" s="276">
        <v>1.4</v>
      </c>
      <c r="AA10" s="276">
        <v>0</v>
      </c>
      <c r="AB10" s="276">
        <v>75.88</v>
      </c>
      <c r="AC10" s="276">
        <v>100.19</v>
      </c>
      <c r="AD10" s="276">
        <v>91.915000000000006</v>
      </c>
      <c r="AE10" s="276">
        <v>0</v>
      </c>
      <c r="AF10" s="276">
        <v>0</v>
      </c>
      <c r="AG10" s="276">
        <v>0</v>
      </c>
      <c r="AH10" s="53">
        <f t="shared" si="1"/>
        <v>2001.2860000000005</v>
      </c>
    </row>
    <row r="11" spans="1:34" ht="15">
      <c r="A11" s="128" t="s">
        <v>78</v>
      </c>
      <c r="B11" s="119">
        <f t="shared" si="0"/>
        <v>1673.287</v>
      </c>
      <c r="C11" s="1287">
        <v>77.14</v>
      </c>
      <c r="D11" s="1287">
        <v>85.094999999999999</v>
      </c>
      <c r="E11" s="1287">
        <v>104.09</v>
      </c>
      <c r="F11" s="1287">
        <v>90.575000000000003</v>
      </c>
      <c r="G11" s="1287">
        <v>124.94199999999999</v>
      </c>
      <c r="H11" s="1287">
        <v>103.325</v>
      </c>
      <c r="I11" s="1287">
        <v>0</v>
      </c>
      <c r="J11" s="1287">
        <v>87.435000000000002</v>
      </c>
      <c r="K11" s="1287">
        <v>139.17500000000001</v>
      </c>
      <c r="L11" s="1287">
        <v>127.58</v>
      </c>
      <c r="M11" s="1287">
        <v>51.85</v>
      </c>
      <c r="N11" s="1287">
        <v>0</v>
      </c>
      <c r="O11" s="1287">
        <v>0</v>
      </c>
      <c r="P11" s="1287">
        <v>177.10499999999999</v>
      </c>
      <c r="Q11" s="1287">
        <v>107.93</v>
      </c>
      <c r="R11" s="1287">
        <v>127.47499999999999</v>
      </c>
      <c r="S11" s="1287">
        <v>0</v>
      </c>
      <c r="T11" s="1287">
        <v>140.56</v>
      </c>
      <c r="U11" s="1287">
        <v>76.52</v>
      </c>
      <c r="V11" s="1287">
        <v>0</v>
      </c>
      <c r="W11" s="1287">
        <v>44.01</v>
      </c>
      <c r="X11" s="1287">
        <v>0</v>
      </c>
      <c r="Y11" s="1287">
        <v>0</v>
      </c>
      <c r="Z11" s="1287">
        <v>0</v>
      </c>
      <c r="AA11" s="1287">
        <v>4.3099999999999996</v>
      </c>
      <c r="AB11" s="1287">
        <v>4.17</v>
      </c>
      <c r="AC11" s="1287">
        <v>0</v>
      </c>
      <c r="AD11" s="1287">
        <v>0</v>
      </c>
      <c r="AE11" s="1287">
        <v>0</v>
      </c>
      <c r="AF11" s="1287">
        <v>0</v>
      </c>
      <c r="AG11" s="1287">
        <v>0</v>
      </c>
      <c r="AH11" s="53">
        <f t="shared" si="1"/>
        <v>1673.287</v>
      </c>
    </row>
    <row r="12" spans="1:34" ht="15">
      <c r="A12" s="132" t="s">
        <v>79</v>
      </c>
      <c r="B12" s="119">
        <f>+AH12</f>
        <v>436.50299999999999</v>
      </c>
      <c r="C12" s="49">
        <v>0</v>
      </c>
      <c r="D12" s="49">
        <v>0</v>
      </c>
      <c r="E12" s="49">
        <v>0</v>
      </c>
      <c r="F12" s="49">
        <v>0</v>
      </c>
      <c r="G12" s="49">
        <v>0</v>
      </c>
      <c r="H12" s="49">
        <v>0</v>
      </c>
      <c r="I12" s="49">
        <v>104.93</v>
      </c>
      <c r="J12" s="49">
        <v>95.31</v>
      </c>
      <c r="K12" s="49">
        <v>0</v>
      </c>
      <c r="L12" s="49">
        <v>11.955</v>
      </c>
      <c r="M12" s="49">
        <v>0</v>
      </c>
      <c r="N12" s="49">
        <v>0</v>
      </c>
      <c r="O12" s="49">
        <v>0</v>
      </c>
      <c r="P12" s="49">
        <v>0</v>
      </c>
      <c r="Q12" s="49">
        <v>0</v>
      </c>
      <c r="R12" s="49">
        <v>0</v>
      </c>
      <c r="S12" s="49">
        <v>139.31800000000001</v>
      </c>
      <c r="T12" s="49">
        <v>53.704999999999998</v>
      </c>
      <c r="U12" s="49">
        <v>0</v>
      </c>
      <c r="V12" s="49">
        <v>0</v>
      </c>
      <c r="W12" s="49">
        <v>0</v>
      </c>
      <c r="X12" s="49">
        <v>0</v>
      </c>
      <c r="Y12" s="49">
        <v>21.34</v>
      </c>
      <c r="Z12" s="49">
        <v>9.9450000000000003</v>
      </c>
      <c r="AA12" s="49">
        <v>0</v>
      </c>
      <c r="AB12" s="49">
        <v>0</v>
      </c>
      <c r="AC12" s="49">
        <v>0</v>
      </c>
      <c r="AD12" s="49">
        <v>0</v>
      </c>
      <c r="AE12" s="49">
        <v>0</v>
      </c>
      <c r="AF12" s="49">
        <v>0</v>
      </c>
      <c r="AG12" s="49">
        <v>0</v>
      </c>
      <c r="AH12" s="53">
        <f t="shared" si="1"/>
        <v>436.50299999999999</v>
      </c>
    </row>
    <row r="13" spans="1:34" ht="15">
      <c r="A13" s="132" t="s">
        <v>80</v>
      </c>
      <c r="B13" s="119">
        <f t="shared" si="0"/>
        <v>0</v>
      </c>
      <c r="C13" s="49"/>
      <c r="D13" s="18"/>
      <c r="E13" s="18"/>
      <c r="F13" s="18"/>
      <c r="G13" s="18"/>
      <c r="H13" s="1287"/>
      <c r="I13" s="1287"/>
      <c r="J13" s="1287"/>
      <c r="K13" s="1287"/>
      <c r="L13" s="1287"/>
      <c r="M13" s="1287"/>
      <c r="N13" s="1287"/>
      <c r="O13" s="1287"/>
      <c r="P13" s="1287"/>
      <c r="Q13" s="1287"/>
      <c r="R13" s="1287"/>
      <c r="S13" s="1287"/>
      <c r="T13" s="1287"/>
      <c r="U13" s="1287"/>
      <c r="V13" s="1287"/>
      <c r="W13" s="1287"/>
      <c r="X13" s="1287"/>
      <c r="Y13" s="18"/>
      <c r="Z13" s="18"/>
      <c r="AA13" s="18"/>
      <c r="AB13" s="18"/>
      <c r="AC13" s="18"/>
      <c r="AD13" s="18"/>
      <c r="AE13" s="18"/>
      <c r="AF13" s="18"/>
      <c r="AG13" s="18"/>
      <c r="AH13" s="53">
        <f t="shared" si="1"/>
        <v>0</v>
      </c>
    </row>
    <row r="14" spans="1:34" ht="15">
      <c r="A14" s="132" t="s">
        <v>81</v>
      </c>
      <c r="B14" s="119">
        <f t="shared" si="0"/>
        <v>0</v>
      </c>
      <c r="C14" s="49"/>
      <c r="D14" s="18"/>
      <c r="E14" s="18"/>
      <c r="F14" s="18"/>
      <c r="G14" s="18"/>
      <c r="H14" s="18"/>
      <c r="I14" s="18"/>
      <c r="J14" s="49"/>
      <c r="K14" s="49"/>
      <c r="L14" s="18"/>
      <c r="M14" s="18"/>
      <c r="N14" s="18"/>
      <c r="O14" s="18"/>
      <c r="P14" s="18"/>
      <c r="Q14" s="18"/>
      <c r="R14" s="18"/>
      <c r="S14" s="18"/>
      <c r="T14" s="18"/>
      <c r="U14" s="18"/>
      <c r="V14" s="18"/>
      <c r="W14" s="81"/>
      <c r="X14" s="81"/>
      <c r="Y14" s="81"/>
      <c r="Z14" s="81"/>
      <c r="AA14" s="81"/>
      <c r="AB14" s="81"/>
      <c r="AC14" s="81"/>
      <c r="AD14" s="81"/>
      <c r="AE14" s="81"/>
      <c r="AF14" s="81" t="s">
        <v>112</v>
      </c>
      <c r="AG14" s="81" t="s">
        <v>112</v>
      </c>
      <c r="AH14" s="53">
        <f t="shared" si="1"/>
        <v>0</v>
      </c>
    </row>
    <row r="15" spans="1:34" ht="15">
      <c r="A15" s="132" t="s">
        <v>82</v>
      </c>
      <c r="B15" s="119">
        <f t="shared" si="0"/>
        <v>0</v>
      </c>
      <c r="C15" s="81" t="s">
        <v>112</v>
      </c>
      <c r="D15" s="81" t="s">
        <v>112</v>
      </c>
      <c r="E15" s="81" t="s">
        <v>112</v>
      </c>
      <c r="F15" s="81" t="s">
        <v>112</v>
      </c>
      <c r="G15" s="81" t="s">
        <v>112</v>
      </c>
      <c r="H15" s="81" t="s">
        <v>112</v>
      </c>
      <c r="I15" s="81" t="s">
        <v>112</v>
      </c>
      <c r="J15" s="81" t="s">
        <v>112</v>
      </c>
      <c r="K15" s="81" t="s">
        <v>112</v>
      </c>
      <c r="L15" s="81" t="s">
        <v>112</v>
      </c>
      <c r="M15" s="81" t="s">
        <v>112</v>
      </c>
      <c r="N15" s="81" t="s">
        <v>112</v>
      </c>
      <c r="O15" s="81" t="s">
        <v>112</v>
      </c>
      <c r="P15" s="81" t="s">
        <v>112</v>
      </c>
      <c r="Q15" s="81" t="s">
        <v>112</v>
      </c>
      <c r="R15" s="81" t="s">
        <v>112</v>
      </c>
      <c r="S15" s="81" t="s">
        <v>112</v>
      </c>
      <c r="T15" s="81" t="s">
        <v>112</v>
      </c>
      <c r="U15" s="81" t="s">
        <v>112</v>
      </c>
      <c r="V15" s="81" t="s">
        <v>112</v>
      </c>
      <c r="W15" s="81" t="s">
        <v>112</v>
      </c>
      <c r="X15" s="81" t="s">
        <v>112</v>
      </c>
      <c r="Y15" s="81" t="s">
        <v>112</v>
      </c>
      <c r="Z15" s="81" t="s">
        <v>112</v>
      </c>
      <c r="AA15" s="81" t="s">
        <v>112</v>
      </c>
      <c r="AB15" s="81" t="s">
        <v>112</v>
      </c>
      <c r="AC15" s="81" t="s">
        <v>112</v>
      </c>
      <c r="AD15" s="81" t="s">
        <v>112</v>
      </c>
      <c r="AE15" s="81" t="s">
        <v>112</v>
      </c>
      <c r="AF15" s="81" t="s">
        <v>112</v>
      </c>
      <c r="AG15" s="81" t="s">
        <v>112</v>
      </c>
      <c r="AH15" s="53">
        <f t="shared" si="1"/>
        <v>0</v>
      </c>
    </row>
    <row r="16" spans="1:34" ht="15">
      <c r="A16" s="144" t="s">
        <v>83</v>
      </c>
      <c r="B16" s="119">
        <f t="shared" si="0"/>
        <v>0</v>
      </c>
      <c r="C16" s="81" t="s">
        <v>112</v>
      </c>
      <c r="D16" s="81" t="s">
        <v>112</v>
      </c>
      <c r="E16" s="81" t="s">
        <v>112</v>
      </c>
      <c r="F16" s="81" t="s">
        <v>112</v>
      </c>
      <c r="G16" s="81" t="s">
        <v>112</v>
      </c>
      <c r="H16" s="81" t="s">
        <v>112</v>
      </c>
      <c r="I16" s="81" t="s">
        <v>112</v>
      </c>
      <c r="J16" s="81" t="s">
        <v>112</v>
      </c>
      <c r="K16" s="81" t="s">
        <v>112</v>
      </c>
      <c r="L16" s="81" t="s">
        <v>112</v>
      </c>
      <c r="M16" s="81" t="s">
        <v>112</v>
      </c>
      <c r="N16" s="81" t="s">
        <v>112</v>
      </c>
      <c r="O16" s="81" t="s">
        <v>112</v>
      </c>
      <c r="P16" s="81" t="s">
        <v>112</v>
      </c>
      <c r="Q16" s="81" t="s">
        <v>112</v>
      </c>
      <c r="R16" s="81" t="s">
        <v>112</v>
      </c>
      <c r="S16" s="81" t="s">
        <v>112</v>
      </c>
      <c r="T16" s="81" t="s">
        <v>112</v>
      </c>
      <c r="U16" s="81" t="s">
        <v>112</v>
      </c>
      <c r="V16" s="81" t="s">
        <v>112</v>
      </c>
      <c r="W16" s="81" t="s">
        <v>112</v>
      </c>
      <c r="X16" s="81" t="s">
        <v>112</v>
      </c>
      <c r="Y16" s="81" t="s">
        <v>112</v>
      </c>
      <c r="Z16" s="81" t="s">
        <v>112</v>
      </c>
      <c r="AA16" s="81" t="s">
        <v>112</v>
      </c>
      <c r="AB16" s="81" t="s">
        <v>112</v>
      </c>
      <c r="AC16" s="81" t="s">
        <v>112</v>
      </c>
      <c r="AD16" s="81" t="s">
        <v>112</v>
      </c>
      <c r="AE16" s="81" t="s">
        <v>112</v>
      </c>
      <c r="AF16" s="81" t="s">
        <v>112</v>
      </c>
      <c r="AG16" s="81" t="s">
        <v>112</v>
      </c>
      <c r="AH16" s="53">
        <f t="shared" si="1"/>
        <v>0</v>
      </c>
    </row>
    <row r="17" spans="1:34" ht="15">
      <c r="A17" s="144" t="s">
        <v>84</v>
      </c>
      <c r="B17" s="119">
        <f t="shared" si="0"/>
        <v>0</v>
      </c>
      <c r="C17" s="81" t="s">
        <v>112</v>
      </c>
      <c r="D17" s="81" t="s">
        <v>112</v>
      </c>
      <c r="E17" s="81" t="s">
        <v>112</v>
      </c>
      <c r="F17" s="81" t="s">
        <v>112</v>
      </c>
      <c r="G17" s="81" t="s">
        <v>112</v>
      </c>
      <c r="H17" s="81" t="s">
        <v>112</v>
      </c>
      <c r="I17" s="81" t="s">
        <v>112</v>
      </c>
      <c r="J17" s="81" t="s">
        <v>112</v>
      </c>
      <c r="K17" s="81" t="s">
        <v>112</v>
      </c>
      <c r="L17" s="81" t="s">
        <v>112</v>
      </c>
      <c r="M17" s="81" t="s">
        <v>112</v>
      </c>
      <c r="N17" s="81" t="s">
        <v>112</v>
      </c>
      <c r="O17" s="81" t="s">
        <v>112</v>
      </c>
      <c r="P17" s="81" t="s">
        <v>112</v>
      </c>
      <c r="Q17" s="81" t="s">
        <v>112</v>
      </c>
      <c r="R17" s="81" t="s">
        <v>112</v>
      </c>
      <c r="S17" s="81" t="s">
        <v>112</v>
      </c>
      <c r="T17" s="81" t="s">
        <v>112</v>
      </c>
      <c r="U17" s="81" t="s">
        <v>112</v>
      </c>
      <c r="V17" s="81" t="s">
        <v>112</v>
      </c>
      <c r="W17" s="81" t="s">
        <v>112</v>
      </c>
      <c r="X17" s="3179"/>
      <c r="Y17" s="3179"/>
      <c r="Z17" s="3179"/>
      <c r="AA17" s="3179"/>
      <c r="AB17" s="3179"/>
      <c r="AC17" s="3179"/>
      <c r="AD17" s="3179"/>
      <c r="AE17" s="3179"/>
      <c r="AF17" s="3180"/>
      <c r="AG17" s="3181"/>
      <c r="AH17" s="53">
        <f t="shared" si="1"/>
        <v>0</v>
      </c>
    </row>
    <row r="18" spans="1:34" ht="15">
      <c r="A18" s="144" t="s">
        <v>85</v>
      </c>
      <c r="B18" s="119">
        <f t="shared" si="0"/>
        <v>0</v>
      </c>
      <c r="C18" s="49"/>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53"/>
      <c r="AF18" s="18"/>
      <c r="AG18" s="53"/>
      <c r="AH18" s="53">
        <f t="shared" si="1"/>
        <v>0</v>
      </c>
    </row>
    <row r="19" spans="1:34" ht="15">
      <c r="A19" s="144" t="s">
        <v>86</v>
      </c>
      <c r="B19" s="119">
        <f t="shared" si="0"/>
        <v>0</v>
      </c>
      <c r="C19" s="49"/>
      <c r="D19" s="18"/>
      <c r="E19" s="18"/>
      <c r="F19" s="18"/>
      <c r="G19" s="18"/>
      <c r="H19" s="18"/>
      <c r="I19" s="18"/>
      <c r="J19" s="18"/>
      <c r="K19" s="18"/>
      <c r="L19" s="18"/>
      <c r="M19" s="18"/>
      <c r="N19" s="18"/>
      <c r="O19" s="18"/>
      <c r="P19" s="1280" t="s">
        <v>111</v>
      </c>
      <c r="Q19" s="1280" t="s">
        <v>111</v>
      </c>
      <c r="R19" s="1280" t="s">
        <v>111</v>
      </c>
      <c r="S19" s="1280" t="s">
        <v>111</v>
      </c>
      <c r="T19" s="1280" t="s">
        <v>111</v>
      </c>
      <c r="U19" s="1280" t="s">
        <v>111</v>
      </c>
      <c r="V19" s="1280" t="s">
        <v>111</v>
      </c>
      <c r="W19" s="1280" t="s">
        <v>111</v>
      </c>
      <c r="X19" s="1280" t="s">
        <v>111</v>
      </c>
      <c r="Y19" s="1280" t="s">
        <v>111</v>
      </c>
      <c r="Z19" s="1280" t="s">
        <v>111</v>
      </c>
      <c r="AA19" s="1280" t="s">
        <v>111</v>
      </c>
      <c r="AB19" s="1280" t="s">
        <v>111</v>
      </c>
      <c r="AC19" s="1280" t="s">
        <v>111</v>
      </c>
      <c r="AD19" s="1280" t="s">
        <v>111</v>
      </c>
      <c r="AE19" s="1280" t="s">
        <v>111</v>
      </c>
      <c r="AF19" s="1280" t="s">
        <v>111</v>
      </c>
      <c r="AG19" s="1280" t="s">
        <v>111</v>
      </c>
      <c r="AH19" s="53">
        <f t="shared" si="1"/>
        <v>0</v>
      </c>
    </row>
    <row r="20" spans="1:34" ht="15">
      <c r="A20" s="88" t="s">
        <v>52</v>
      </c>
      <c r="B20" s="90">
        <f>SUM(B8:B19)</f>
        <v>4111.076</v>
      </c>
      <c r="C20" s="46">
        <f>SUM(C8:C18)</f>
        <v>77.14</v>
      </c>
      <c r="D20" s="53">
        <f>SUM(D8:D18)</f>
        <v>85.094999999999999</v>
      </c>
      <c r="E20" s="53">
        <v>0</v>
      </c>
      <c r="F20" s="53">
        <f t="shared" ref="F20:AC20" si="2">SUM(F8:F18)</f>
        <v>90.575000000000003</v>
      </c>
      <c r="G20" s="53">
        <f t="shared" si="2"/>
        <v>124.94199999999999</v>
      </c>
      <c r="H20" s="53">
        <f t="shared" si="2"/>
        <v>470.065</v>
      </c>
      <c r="I20" s="53">
        <f t="shared" si="2"/>
        <v>282.39499999999998</v>
      </c>
      <c r="J20" s="53">
        <f t="shared" si="2"/>
        <v>405.90100000000001</v>
      </c>
      <c r="K20" s="53">
        <f t="shared" si="2"/>
        <v>139.17500000000001</v>
      </c>
      <c r="L20" s="53">
        <f t="shared" si="2"/>
        <v>139.535</v>
      </c>
      <c r="M20" s="53">
        <f t="shared" si="2"/>
        <v>162.96</v>
      </c>
      <c r="N20" s="53">
        <f t="shared" si="2"/>
        <v>172.35499999999999</v>
      </c>
      <c r="O20" s="53">
        <f t="shared" si="2"/>
        <v>123.595</v>
      </c>
      <c r="P20" s="53">
        <f t="shared" si="2"/>
        <v>177.10499999999999</v>
      </c>
      <c r="Q20" s="53">
        <f t="shared" si="2"/>
        <v>107.93</v>
      </c>
      <c r="R20" s="53">
        <f t="shared" si="2"/>
        <v>271.86500000000001</v>
      </c>
      <c r="S20" s="53">
        <f t="shared" si="2"/>
        <v>216.69800000000001</v>
      </c>
      <c r="T20" s="53">
        <f t="shared" si="2"/>
        <v>337.67500000000001</v>
      </c>
      <c r="U20" s="53">
        <f t="shared" si="2"/>
        <v>124.66499999999999</v>
      </c>
      <c r="V20" s="53">
        <f t="shared" si="2"/>
        <v>5.08</v>
      </c>
      <c r="W20" s="53">
        <f t="shared" si="2"/>
        <v>79.924999999999997</v>
      </c>
      <c r="X20" s="53">
        <f t="shared" si="2"/>
        <v>0</v>
      </c>
      <c r="Y20" s="53">
        <f t="shared" si="2"/>
        <v>124.5</v>
      </c>
      <c r="Z20" s="53">
        <f t="shared" si="2"/>
        <v>11.345000000000001</v>
      </c>
      <c r="AA20" s="53">
        <f t="shared" si="2"/>
        <v>4.3099999999999996</v>
      </c>
      <c r="AB20" s="53">
        <f t="shared" si="2"/>
        <v>80.05</v>
      </c>
      <c r="AC20" s="53">
        <f t="shared" si="2"/>
        <v>100.19</v>
      </c>
      <c r="AD20" s="53">
        <v>0</v>
      </c>
      <c r="AE20" s="53">
        <f>SUM(AE8:AE18)</f>
        <v>0</v>
      </c>
      <c r="AF20" s="53">
        <f>SUM(AF8:AF18)</f>
        <v>0</v>
      </c>
      <c r="AG20" s="53">
        <f>SUM(AG8:AG18)</f>
        <v>0</v>
      </c>
      <c r="AH20" s="46">
        <f>SUM(AH8:AH18)</f>
        <v>4111.076</v>
      </c>
    </row>
    <row r="21" spans="1:34" ht="5.0999999999999996" customHeight="1">
      <c r="A21" s="51"/>
      <c r="B21" s="74"/>
      <c r="C21" s="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
    </row>
    <row r="22" spans="1:34" ht="15" customHeight="1">
      <c r="A22" s="3569" t="s">
        <v>60</v>
      </c>
      <c r="B22" s="3570"/>
      <c r="C22" s="3570"/>
      <c r="D22" s="3570"/>
      <c r="E22" s="3570"/>
      <c r="F22" s="3570"/>
      <c r="G22" s="3570"/>
      <c r="H22" s="357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
    </row>
    <row r="23" spans="1:34" ht="15" customHeight="1">
      <c r="A23" s="5" t="s">
        <v>72</v>
      </c>
      <c r="B23" s="71" t="s">
        <v>73</v>
      </c>
      <c r="C23" s="5">
        <v>1</v>
      </c>
      <c r="D23" s="30">
        <v>2</v>
      </c>
      <c r="E23" s="30">
        <v>3</v>
      </c>
      <c r="F23" s="30">
        <v>4</v>
      </c>
      <c r="G23" s="30">
        <v>5</v>
      </c>
      <c r="H23" s="30">
        <v>6</v>
      </c>
      <c r="I23" s="30">
        <v>7</v>
      </c>
      <c r="J23" s="30">
        <v>8</v>
      </c>
      <c r="K23" s="30">
        <v>9</v>
      </c>
      <c r="L23" s="30">
        <v>10</v>
      </c>
      <c r="M23" s="30">
        <v>11</v>
      </c>
      <c r="N23" s="30">
        <v>12</v>
      </c>
      <c r="O23" s="30">
        <v>13</v>
      </c>
      <c r="P23" s="30">
        <v>14</v>
      </c>
      <c r="Q23" s="30">
        <v>15</v>
      </c>
      <c r="R23" s="30">
        <v>16</v>
      </c>
      <c r="S23" s="30">
        <v>17</v>
      </c>
      <c r="T23" s="30">
        <v>18</v>
      </c>
      <c r="U23" s="30">
        <v>19</v>
      </c>
      <c r="V23" s="30">
        <v>20</v>
      </c>
      <c r="W23" s="30">
        <v>21</v>
      </c>
      <c r="X23" s="30">
        <v>22</v>
      </c>
      <c r="Y23" s="30">
        <v>23</v>
      </c>
      <c r="Z23" s="30">
        <v>24</v>
      </c>
      <c r="AA23" s="30">
        <v>25</v>
      </c>
      <c r="AB23" s="30">
        <v>26</v>
      </c>
      <c r="AC23" s="30">
        <v>27</v>
      </c>
      <c r="AD23" s="30">
        <v>28</v>
      </c>
      <c r="AE23" s="30">
        <v>29</v>
      </c>
      <c r="AF23" s="30">
        <v>30</v>
      </c>
      <c r="AG23" s="30">
        <v>31</v>
      </c>
      <c r="AH23" s="39" t="s">
        <v>74</v>
      </c>
    </row>
    <row r="24" spans="1:34" ht="15">
      <c r="A24" s="128" t="s">
        <v>75</v>
      </c>
      <c r="B24" s="174">
        <f t="shared" ref="B24:B35" si="3">+AH24</f>
        <v>9.5299999999999994</v>
      </c>
      <c r="C24" s="1280">
        <v>0</v>
      </c>
      <c r="D24" s="1280">
        <v>0</v>
      </c>
      <c r="E24" s="1280">
        <v>3.5</v>
      </c>
      <c r="F24" s="1280">
        <v>0</v>
      </c>
      <c r="G24" s="1280">
        <v>0</v>
      </c>
      <c r="H24" s="1280">
        <v>0.5</v>
      </c>
      <c r="I24" s="1280">
        <v>4</v>
      </c>
      <c r="J24" s="1280">
        <v>0.53</v>
      </c>
      <c r="K24" s="1280">
        <v>0</v>
      </c>
      <c r="L24" s="1280">
        <v>0</v>
      </c>
      <c r="M24" s="1280">
        <v>0</v>
      </c>
      <c r="N24" s="1280">
        <v>0</v>
      </c>
      <c r="O24" s="1280">
        <v>0</v>
      </c>
      <c r="P24" s="1280">
        <v>0.8</v>
      </c>
      <c r="Q24" s="1280">
        <v>0</v>
      </c>
      <c r="R24" s="1280">
        <v>0</v>
      </c>
      <c r="S24" s="1280">
        <v>0</v>
      </c>
      <c r="T24" s="1280">
        <v>0</v>
      </c>
      <c r="U24" s="1280">
        <v>0</v>
      </c>
      <c r="V24" s="1280">
        <v>0</v>
      </c>
      <c r="W24" s="1280">
        <v>0</v>
      </c>
      <c r="X24" s="1280">
        <v>0</v>
      </c>
      <c r="Y24" s="1280">
        <v>0</v>
      </c>
      <c r="Z24" s="1280">
        <v>0</v>
      </c>
      <c r="AA24" s="1280">
        <v>0</v>
      </c>
      <c r="AB24" s="1280">
        <v>0</v>
      </c>
      <c r="AC24" s="1280">
        <v>0</v>
      </c>
      <c r="AD24" s="1280">
        <v>0</v>
      </c>
      <c r="AE24" s="1280">
        <v>0</v>
      </c>
      <c r="AF24" s="1280">
        <v>0</v>
      </c>
      <c r="AG24" s="1280">
        <v>0.2</v>
      </c>
      <c r="AH24" s="53">
        <f>SUM(C24:AG24)</f>
        <v>9.5299999999999994</v>
      </c>
    </row>
    <row r="25" spans="1:34" ht="15">
      <c r="A25" s="128" t="s">
        <v>76</v>
      </c>
      <c r="B25" s="174">
        <f t="shared" si="3"/>
        <v>0.30000000000000004</v>
      </c>
      <c r="C25" s="1280">
        <v>0</v>
      </c>
      <c r="D25" s="1280">
        <v>0</v>
      </c>
      <c r="E25" s="1280">
        <v>0</v>
      </c>
      <c r="F25" s="1280">
        <v>0</v>
      </c>
      <c r="G25" s="1280">
        <v>0</v>
      </c>
      <c r="H25" s="1280">
        <v>0</v>
      </c>
      <c r="I25" s="1280">
        <v>0</v>
      </c>
      <c r="J25" s="1280">
        <v>0</v>
      </c>
      <c r="K25" s="1280">
        <v>0.2</v>
      </c>
      <c r="L25" s="1280">
        <v>0</v>
      </c>
      <c r="M25" s="1280">
        <v>0.1</v>
      </c>
      <c r="N25" s="1280">
        <v>0</v>
      </c>
      <c r="O25" s="1280">
        <v>0</v>
      </c>
      <c r="P25" s="1280">
        <v>0</v>
      </c>
      <c r="Q25" s="1280">
        <v>0</v>
      </c>
      <c r="R25" s="1280">
        <v>0</v>
      </c>
      <c r="S25" s="1280">
        <v>0</v>
      </c>
      <c r="T25" s="1280">
        <v>0</v>
      </c>
      <c r="U25" s="1280">
        <v>0</v>
      </c>
      <c r="V25" s="1280">
        <v>0</v>
      </c>
      <c r="W25" s="1280">
        <v>0</v>
      </c>
      <c r="X25" s="1280">
        <v>0</v>
      </c>
      <c r="Y25" s="1280">
        <v>0</v>
      </c>
      <c r="Z25" s="1280">
        <v>0</v>
      </c>
      <c r="AA25" s="1280">
        <v>0</v>
      </c>
      <c r="AB25" s="1280">
        <v>0</v>
      </c>
      <c r="AC25" s="1280">
        <v>0</v>
      </c>
      <c r="AD25" s="1280">
        <v>0</v>
      </c>
      <c r="AE25" s="1280">
        <v>0</v>
      </c>
      <c r="AF25" s="1280">
        <v>0</v>
      </c>
      <c r="AG25" s="1280">
        <v>0</v>
      </c>
      <c r="AH25" s="53">
        <f t="shared" ref="AH25:AH35" si="4">SUM(C25:AG25)</f>
        <v>0.30000000000000004</v>
      </c>
    </row>
    <row r="26" spans="1:34" ht="15">
      <c r="A26" s="128" t="s">
        <v>77</v>
      </c>
      <c r="B26" s="174">
        <f t="shared" si="3"/>
        <v>500.73900000000009</v>
      </c>
      <c r="C26" s="1280">
        <v>0</v>
      </c>
      <c r="D26" s="1280">
        <v>0</v>
      </c>
      <c r="E26" s="1280">
        <v>0</v>
      </c>
      <c r="F26" s="1280">
        <v>0</v>
      </c>
      <c r="G26" s="1280">
        <v>0</v>
      </c>
      <c r="H26" s="1287">
        <v>46.67</v>
      </c>
      <c r="I26" s="1287">
        <v>45.94</v>
      </c>
      <c r="J26" s="1287">
        <v>75.384</v>
      </c>
      <c r="K26" s="1287">
        <v>0</v>
      </c>
      <c r="L26" s="1287">
        <v>0</v>
      </c>
      <c r="M26" s="1287">
        <v>16.2</v>
      </c>
      <c r="N26" s="1287">
        <v>81.584999999999994</v>
      </c>
      <c r="O26" s="1287">
        <v>56.914999999999999</v>
      </c>
      <c r="P26" s="1287">
        <v>0</v>
      </c>
      <c r="Q26" s="1287">
        <v>0.8</v>
      </c>
      <c r="R26" s="1287">
        <v>3.13</v>
      </c>
      <c r="S26" s="1287">
        <v>33.6</v>
      </c>
      <c r="T26" s="1287">
        <v>33.24</v>
      </c>
      <c r="U26" s="1287">
        <v>27.7</v>
      </c>
      <c r="V26" s="1287">
        <v>3.3</v>
      </c>
      <c r="W26" s="1287">
        <v>27</v>
      </c>
      <c r="X26" s="1287">
        <v>0.5</v>
      </c>
      <c r="Y26" s="1287">
        <v>0</v>
      </c>
      <c r="Z26" s="1287">
        <v>0</v>
      </c>
      <c r="AA26" s="1287">
        <v>0</v>
      </c>
      <c r="AB26" s="1287">
        <v>18.765000000000001</v>
      </c>
      <c r="AC26" s="1287">
        <v>18.975000000000001</v>
      </c>
      <c r="AD26" s="1287">
        <v>11.035</v>
      </c>
      <c r="AE26" s="1287">
        <v>0</v>
      </c>
      <c r="AF26" s="1287">
        <v>0</v>
      </c>
      <c r="AG26" s="1287">
        <v>0</v>
      </c>
      <c r="AH26" s="53">
        <f t="shared" si="4"/>
        <v>500.73900000000009</v>
      </c>
    </row>
    <row r="27" spans="1:34" ht="15">
      <c r="A27" s="128" t="s">
        <v>78</v>
      </c>
      <c r="B27" s="174">
        <f t="shared" si="3"/>
        <v>418.2</v>
      </c>
      <c r="C27" s="1287">
        <v>21.89</v>
      </c>
      <c r="D27" s="1287">
        <v>16.309999999999999</v>
      </c>
      <c r="E27" s="1287">
        <v>8</v>
      </c>
      <c r="F27" s="1287">
        <v>15.425000000000001</v>
      </c>
      <c r="G27" s="1287">
        <v>27.524999999999999</v>
      </c>
      <c r="H27" s="1287">
        <v>0</v>
      </c>
      <c r="I27" s="1287">
        <v>0</v>
      </c>
      <c r="J27" s="1287">
        <v>0</v>
      </c>
      <c r="K27" s="1287">
        <v>32.020000000000003</v>
      </c>
      <c r="L27" s="1287">
        <v>38.700000000000003</v>
      </c>
      <c r="M27" s="1287">
        <v>23.79</v>
      </c>
      <c r="N27" s="1287">
        <v>0</v>
      </c>
      <c r="O27" s="1287">
        <v>0</v>
      </c>
      <c r="P27" s="1287">
        <v>40.365000000000002</v>
      </c>
      <c r="Q27" s="1287">
        <v>31.91</v>
      </c>
      <c r="R27" s="1287">
        <v>84.1</v>
      </c>
      <c r="S27" s="1287">
        <v>0</v>
      </c>
      <c r="T27" s="1287">
        <v>37.064999999999998</v>
      </c>
      <c r="U27" s="1287">
        <v>27</v>
      </c>
      <c r="V27" s="1287">
        <v>0</v>
      </c>
      <c r="W27" s="1287">
        <v>11.6</v>
      </c>
      <c r="X27" s="1287">
        <v>0</v>
      </c>
      <c r="Y27" s="1287">
        <v>0</v>
      </c>
      <c r="Z27" s="1287">
        <v>0</v>
      </c>
      <c r="AA27" s="1287">
        <v>2.5</v>
      </c>
      <c r="AB27" s="1287">
        <v>0</v>
      </c>
      <c r="AC27" s="1287">
        <v>0</v>
      </c>
      <c r="AD27" s="1287">
        <v>0</v>
      </c>
      <c r="AE27" s="1287">
        <v>0</v>
      </c>
      <c r="AF27" s="1287">
        <v>0</v>
      </c>
      <c r="AG27" s="1287">
        <v>0</v>
      </c>
      <c r="AH27" s="53">
        <f t="shared" si="4"/>
        <v>418.2</v>
      </c>
    </row>
    <row r="28" spans="1:34" ht="15">
      <c r="A28" s="132" t="s">
        <v>79</v>
      </c>
      <c r="B28" s="174">
        <f t="shared" si="3"/>
        <v>107.46000000000001</v>
      </c>
      <c r="C28" s="1287">
        <v>0</v>
      </c>
      <c r="D28" s="1287">
        <v>0</v>
      </c>
      <c r="E28" s="1287">
        <v>0</v>
      </c>
      <c r="F28" s="1287">
        <v>0</v>
      </c>
      <c r="G28" s="1287">
        <v>0</v>
      </c>
      <c r="H28" s="1287">
        <v>0</v>
      </c>
      <c r="I28" s="1287">
        <v>24.7</v>
      </c>
      <c r="J28" s="1287">
        <v>8.6050000000000004</v>
      </c>
      <c r="K28" s="1287">
        <v>0</v>
      </c>
      <c r="L28" s="1287">
        <v>0</v>
      </c>
      <c r="M28" s="1287">
        <v>0</v>
      </c>
      <c r="N28" s="1287">
        <v>0</v>
      </c>
      <c r="O28" s="1287">
        <v>0</v>
      </c>
      <c r="P28" s="1287">
        <v>0</v>
      </c>
      <c r="Q28" s="1287">
        <v>0</v>
      </c>
      <c r="R28" s="1287">
        <v>14.19</v>
      </c>
      <c r="S28" s="1287">
        <v>27.875</v>
      </c>
      <c r="T28" s="1287">
        <v>8.5950000000000006</v>
      </c>
      <c r="U28" s="1287">
        <v>0</v>
      </c>
      <c r="V28" s="1287">
        <v>0.57999999999999996</v>
      </c>
      <c r="W28" s="1287">
        <v>0.05</v>
      </c>
      <c r="X28" s="1287">
        <v>17.87</v>
      </c>
      <c r="Y28" s="1287">
        <v>4.4950000000000001</v>
      </c>
      <c r="Z28" s="1287">
        <v>0</v>
      </c>
      <c r="AA28" s="1287">
        <v>0</v>
      </c>
      <c r="AB28" s="1287">
        <v>0</v>
      </c>
      <c r="AC28" s="1287">
        <v>0</v>
      </c>
      <c r="AD28" s="1287">
        <v>0</v>
      </c>
      <c r="AE28" s="1287">
        <v>0</v>
      </c>
      <c r="AF28" s="1287">
        <v>0</v>
      </c>
      <c r="AG28" s="1287">
        <v>0.5</v>
      </c>
      <c r="AH28" s="267">
        <f t="shared" si="4"/>
        <v>107.46000000000001</v>
      </c>
    </row>
    <row r="29" spans="1:34" ht="15">
      <c r="A29" s="132" t="s">
        <v>80</v>
      </c>
      <c r="B29" s="174">
        <f t="shared" si="3"/>
        <v>6.9990000000000006</v>
      </c>
      <c r="C29" s="1287">
        <v>0</v>
      </c>
      <c r="D29" s="1287">
        <v>0</v>
      </c>
      <c r="E29" s="1287">
        <v>0</v>
      </c>
      <c r="F29" s="1287">
        <v>0</v>
      </c>
      <c r="G29" s="1287">
        <v>0.18</v>
      </c>
      <c r="H29" s="1287">
        <v>0</v>
      </c>
      <c r="I29" s="1287">
        <v>0.81</v>
      </c>
      <c r="J29" s="1287">
        <v>0.2</v>
      </c>
      <c r="K29" s="1287">
        <v>0.4</v>
      </c>
      <c r="L29" s="1287">
        <v>0.7</v>
      </c>
      <c r="M29" s="1287">
        <v>0</v>
      </c>
      <c r="N29" s="1287">
        <v>0.9</v>
      </c>
      <c r="O29" s="1287">
        <v>0.36</v>
      </c>
      <c r="P29" s="1287">
        <v>0.2</v>
      </c>
      <c r="Q29" s="1287">
        <v>2.0049999999999999</v>
      </c>
      <c r="R29" s="1287">
        <v>0</v>
      </c>
      <c r="S29" s="1287">
        <v>0</v>
      </c>
      <c r="T29" s="1287">
        <v>0.4</v>
      </c>
      <c r="U29" s="1287">
        <v>0.14399999999999999</v>
      </c>
      <c r="V29" s="1287">
        <v>0</v>
      </c>
      <c r="W29" s="1287">
        <v>0</v>
      </c>
      <c r="X29" s="1287">
        <v>0.5</v>
      </c>
      <c r="Y29" s="1287">
        <v>0</v>
      </c>
      <c r="Z29" s="1287">
        <v>0</v>
      </c>
      <c r="AA29" s="1287">
        <v>0</v>
      </c>
      <c r="AB29" s="1287">
        <v>0.2</v>
      </c>
      <c r="AC29" s="1287">
        <v>0</v>
      </c>
      <c r="AD29" s="1287">
        <v>0</v>
      </c>
      <c r="AE29" s="1287">
        <v>0</v>
      </c>
      <c r="AF29" s="1287">
        <v>0</v>
      </c>
      <c r="AG29" s="1287">
        <v>0</v>
      </c>
      <c r="AH29" s="53">
        <f t="shared" si="4"/>
        <v>6.9990000000000006</v>
      </c>
    </row>
    <row r="30" spans="1:34" ht="15">
      <c r="A30" s="132" t="s">
        <v>81</v>
      </c>
      <c r="B30" s="174">
        <f t="shared" si="3"/>
        <v>4.1610000000000005</v>
      </c>
      <c r="C30" s="1287">
        <v>0</v>
      </c>
      <c r="D30" s="1287">
        <v>0.3</v>
      </c>
      <c r="E30" s="1287">
        <v>0</v>
      </c>
      <c r="F30" s="1287">
        <v>0</v>
      </c>
      <c r="G30" s="1287">
        <v>0</v>
      </c>
      <c r="H30" s="1287">
        <v>0</v>
      </c>
      <c r="I30" s="1287">
        <v>0</v>
      </c>
      <c r="J30" s="1287">
        <v>0</v>
      </c>
      <c r="K30" s="1287">
        <v>0</v>
      </c>
      <c r="L30" s="1287">
        <v>0</v>
      </c>
      <c r="M30" s="1287">
        <v>0</v>
      </c>
      <c r="N30" s="1287">
        <v>0.27</v>
      </c>
      <c r="O30" s="1287">
        <v>0.36</v>
      </c>
      <c r="P30" s="1287">
        <v>0.72</v>
      </c>
      <c r="Q30" s="1287">
        <v>0</v>
      </c>
      <c r="R30" s="1287">
        <v>0</v>
      </c>
      <c r="S30" s="1287">
        <v>0.2</v>
      </c>
      <c r="T30" s="1287">
        <v>0</v>
      </c>
      <c r="U30" s="1287">
        <v>0</v>
      </c>
      <c r="V30" s="1287">
        <v>0.9</v>
      </c>
      <c r="W30" s="1280">
        <v>0</v>
      </c>
      <c r="X30" s="1280">
        <v>0</v>
      </c>
      <c r="Y30" s="1280">
        <v>0.30599999999999999</v>
      </c>
      <c r="Z30" s="1280">
        <v>0.64</v>
      </c>
      <c r="AA30" s="1280">
        <v>0</v>
      </c>
      <c r="AB30" s="1280">
        <v>0</v>
      </c>
      <c r="AC30" s="1280">
        <v>0</v>
      </c>
      <c r="AD30" s="1280">
        <v>0.12</v>
      </c>
      <c r="AE30" s="1280">
        <v>0</v>
      </c>
      <c r="AF30" s="81">
        <v>0.27</v>
      </c>
      <c r="AG30" s="81">
        <v>7.4999999999999997E-2</v>
      </c>
      <c r="AH30" s="53">
        <f t="shared" si="4"/>
        <v>4.1610000000000005</v>
      </c>
    </row>
    <row r="31" spans="1:34" ht="15">
      <c r="A31" s="132" t="s">
        <v>82</v>
      </c>
      <c r="B31" s="174">
        <f t="shared" si="3"/>
        <v>2.9260000000000006</v>
      </c>
      <c r="C31" s="81">
        <v>0.37</v>
      </c>
      <c r="D31" s="81">
        <v>0.18</v>
      </c>
      <c r="E31" s="81">
        <v>0</v>
      </c>
      <c r="F31" s="81">
        <v>0.45</v>
      </c>
      <c r="G31" s="81">
        <v>0</v>
      </c>
      <c r="H31" s="81">
        <v>0.18</v>
      </c>
      <c r="I31" s="81">
        <v>0</v>
      </c>
      <c r="J31" s="81">
        <v>0</v>
      </c>
      <c r="K31" s="81">
        <v>0</v>
      </c>
      <c r="L31" s="81">
        <v>0</v>
      </c>
      <c r="M31" s="81">
        <v>0</v>
      </c>
      <c r="N31" s="81">
        <v>0</v>
      </c>
      <c r="O31" s="81">
        <v>0</v>
      </c>
      <c r="P31" s="81">
        <v>0</v>
      </c>
      <c r="Q31" s="81">
        <v>0</v>
      </c>
      <c r="R31" s="81">
        <v>0</v>
      </c>
      <c r="S31" s="81">
        <v>0</v>
      </c>
      <c r="T31" s="81">
        <v>0</v>
      </c>
      <c r="U31" s="81">
        <v>0.72</v>
      </c>
      <c r="V31" s="81">
        <v>5.3999999999999999E-2</v>
      </c>
      <c r="W31" s="81">
        <v>0.09</v>
      </c>
      <c r="X31" s="81">
        <v>0</v>
      </c>
      <c r="Y31" s="81">
        <v>0.18</v>
      </c>
      <c r="Z31" s="81">
        <v>7.1999999999999995E-2</v>
      </c>
      <c r="AA31" s="81">
        <v>0</v>
      </c>
      <c r="AB31" s="81">
        <v>0.18</v>
      </c>
      <c r="AC31" s="81">
        <v>0.18</v>
      </c>
      <c r="AD31" s="81">
        <v>0</v>
      </c>
      <c r="AE31" s="81">
        <v>0</v>
      </c>
      <c r="AF31" s="81">
        <v>0.27</v>
      </c>
      <c r="AG31" s="81">
        <v>0</v>
      </c>
      <c r="AH31" s="53">
        <f t="shared" si="4"/>
        <v>2.9260000000000006</v>
      </c>
    </row>
    <row r="32" spans="1:34" ht="15">
      <c r="A32" s="144" t="s">
        <v>83</v>
      </c>
      <c r="B32" s="36">
        <f t="shared" si="3"/>
        <v>7.2610000000000001</v>
      </c>
      <c r="C32" s="688">
        <v>0</v>
      </c>
      <c r="D32" s="688">
        <v>0</v>
      </c>
      <c r="E32" s="688">
        <v>0</v>
      </c>
      <c r="F32" s="688">
        <v>1</v>
      </c>
      <c r="G32" s="688">
        <v>0.37</v>
      </c>
      <c r="H32" s="688">
        <v>1.08</v>
      </c>
      <c r="I32" s="688">
        <v>0.30599999999999999</v>
      </c>
      <c r="J32" s="688">
        <v>1</v>
      </c>
      <c r="K32" s="688">
        <v>0</v>
      </c>
      <c r="L32" s="688">
        <v>0</v>
      </c>
      <c r="M32" s="688">
        <v>0</v>
      </c>
      <c r="N32" s="688">
        <v>0.20599999999999999</v>
      </c>
      <c r="O32" s="688">
        <v>0</v>
      </c>
      <c r="P32" s="688">
        <v>0.18</v>
      </c>
      <c r="Q32" s="688">
        <v>0.06</v>
      </c>
      <c r="R32" s="688">
        <v>0</v>
      </c>
      <c r="S32" s="688">
        <v>0</v>
      </c>
      <c r="T32" s="688">
        <v>0</v>
      </c>
      <c r="U32" s="688">
        <v>0</v>
      </c>
      <c r="V32" s="688">
        <v>7.1999999999999995E-2</v>
      </c>
      <c r="W32" s="688">
        <v>0</v>
      </c>
      <c r="X32" s="688">
        <v>0</v>
      </c>
      <c r="Y32" s="688">
        <v>0</v>
      </c>
      <c r="Z32" s="688">
        <v>0.54</v>
      </c>
      <c r="AA32" s="688">
        <v>1.4</v>
      </c>
      <c r="AB32" s="688">
        <v>0</v>
      </c>
      <c r="AC32" s="688">
        <v>0</v>
      </c>
      <c r="AD32" s="688">
        <v>0</v>
      </c>
      <c r="AE32" s="688">
        <v>0.32700000000000001</v>
      </c>
      <c r="AF32" s="688">
        <v>0.72</v>
      </c>
      <c r="AG32" s="688">
        <v>0</v>
      </c>
      <c r="AH32" s="53">
        <f t="shared" si="4"/>
        <v>7.2610000000000001</v>
      </c>
    </row>
    <row r="33" spans="1:34" ht="15">
      <c r="A33" s="144" t="s">
        <v>84</v>
      </c>
      <c r="B33" s="36">
        <f t="shared" si="3"/>
        <v>12.882</v>
      </c>
      <c r="C33" s="688">
        <v>0.72</v>
      </c>
      <c r="D33" s="688">
        <v>0.5</v>
      </c>
      <c r="E33" s="688">
        <v>1.54</v>
      </c>
      <c r="F33" s="688">
        <v>1.2</v>
      </c>
      <c r="G33" s="688">
        <v>2.4500000000000002</v>
      </c>
      <c r="H33" s="688">
        <v>0</v>
      </c>
      <c r="I33" s="688">
        <v>0</v>
      </c>
      <c r="J33" s="688">
        <v>0.37</v>
      </c>
      <c r="K33" s="688">
        <v>1.18</v>
      </c>
      <c r="L33" s="688">
        <v>0.36</v>
      </c>
      <c r="M33" s="688">
        <v>0.35</v>
      </c>
      <c r="N33" s="688">
        <v>0.14399999999999999</v>
      </c>
      <c r="O33" s="688">
        <v>0</v>
      </c>
      <c r="P33" s="688">
        <v>0.18</v>
      </c>
      <c r="Q33" s="688">
        <v>0.16200000000000001</v>
      </c>
      <c r="R33" s="688">
        <v>0.54</v>
      </c>
      <c r="S33" s="688">
        <v>0.18</v>
      </c>
      <c r="T33" s="688">
        <v>0.09</v>
      </c>
      <c r="U33" s="688">
        <v>0</v>
      </c>
      <c r="V33" s="688">
        <v>0</v>
      </c>
      <c r="W33" s="688">
        <v>0</v>
      </c>
      <c r="X33" s="1287">
        <v>0.36</v>
      </c>
      <c r="Y33" s="1287">
        <v>0.18</v>
      </c>
      <c r="Z33" s="1287">
        <v>0.27</v>
      </c>
      <c r="AA33" s="1287">
        <v>0.9</v>
      </c>
      <c r="AB33" s="1287">
        <v>0</v>
      </c>
      <c r="AC33" s="1287">
        <v>0</v>
      </c>
      <c r="AD33" s="1287">
        <v>0</v>
      </c>
      <c r="AE33" s="1488">
        <v>0.72</v>
      </c>
      <c r="AF33" s="1287">
        <v>0.30599999999999999</v>
      </c>
      <c r="AG33" s="1488">
        <v>0.18</v>
      </c>
      <c r="AH33" s="53">
        <f t="shared" si="4"/>
        <v>12.882</v>
      </c>
    </row>
    <row r="34" spans="1:34" ht="15">
      <c r="A34" s="144" t="s">
        <v>85</v>
      </c>
      <c r="B34" s="36">
        <f t="shared" si="3"/>
        <v>11.678000000000001</v>
      </c>
      <c r="C34" s="49">
        <v>0</v>
      </c>
      <c r="D34" s="18">
        <v>0.28799999999999998</v>
      </c>
      <c r="E34" s="18">
        <v>0</v>
      </c>
      <c r="F34" s="18">
        <v>2.4300000000000002</v>
      </c>
      <c r="G34" s="18">
        <v>0.18</v>
      </c>
      <c r="H34" s="18">
        <v>2.92</v>
      </c>
      <c r="I34" s="18">
        <v>0</v>
      </c>
      <c r="J34" s="18">
        <v>7.1999999999999995E-2</v>
      </c>
      <c r="K34" s="18">
        <v>0.36</v>
      </c>
      <c r="L34" s="18">
        <v>0</v>
      </c>
      <c r="M34" s="18">
        <v>0.72</v>
      </c>
      <c r="N34" s="18">
        <v>0</v>
      </c>
      <c r="O34" s="18">
        <v>0.11799999999999999</v>
      </c>
      <c r="P34" s="18">
        <v>0.36</v>
      </c>
      <c r="Q34" s="18">
        <v>0</v>
      </c>
      <c r="R34" s="18">
        <v>0</v>
      </c>
      <c r="S34" s="18">
        <v>0</v>
      </c>
      <c r="T34" s="18">
        <v>0.72</v>
      </c>
      <c r="U34" s="18">
        <v>1.08</v>
      </c>
      <c r="V34" s="18">
        <v>0.54</v>
      </c>
      <c r="W34" s="18">
        <v>0</v>
      </c>
      <c r="X34" s="18">
        <v>0</v>
      </c>
      <c r="Y34" s="18">
        <v>0</v>
      </c>
      <c r="Z34" s="18">
        <v>0</v>
      </c>
      <c r="AA34" s="18">
        <v>0</v>
      </c>
      <c r="AB34" s="18">
        <v>0.72</v>
      </c>
      <c r="AC34" s="18">
        <v>0.09</v>
      </c>
      <c r="AD34" s="18">
        <v>0.36</v>
      </c>
      <c r="AE34" s="53">
        <v>0.72</v>
      </c>
      <c r="AF34" s="18">
        <v>0</v>
      </c>
      <c r="AG34" s="53">
        <v>0</v>
      </c>
      <c r="AH34" s="53">
        <f t="shared" si="4"/>
        <v>11.678000000000001</v>
      </c>
    </row>
    <row r="35" spans="1:34" ht="15">
      <c r="A35" s="144" t="s">
        <v>86</v>
      </c>
      <c r="B35" s="36">
        <f t="shared" si="3"/>
        <v>8.759999999999998</v>
      </c>
      <c r="C35" s="49">
        <v>0</v>
      </c>
      <c r="D35" s="18">
        <v>0.3</v>
      </c>
      <c r="E35" s="18">
        <v>0.54</v>
      </c>
      <c r="F35" s="18">
        <v>0</v>
      </c>
      <c r="G35" s="18">
        <v>1.26</v>
      </c>
      <c r="H35" s="18">
        <v>0</v>
      </c>
      <c r="I35" s="18">
        <v>0.75600000000000001</v>
      </c>
      <c r="J35" s="18">
        <v>0</v>
      </c>
      <c r="K35" s="18">
        <v>0</v>
      </c>
      <c r="L35" s="18">
        <v>0</v>
      </c>
      <c r="M35" s="18">
        <v>0.63</v>
      </c>
      <c r="N35" s="18">
        <v>0.95399999999999996</v>
      </c>
      <c r="O35" s="18">
        <v>0.54</v>
      </c>
      <c r="P35" s="1287">
        <v>0</v>
      </c>
      <c r="Q35" s="1280">
        <v>0</v>
      </c>
      <c r="R35" s="1280">
        <v>0</v>
      </c>
      <c r="S35" s="1280">
        <v>0</v>
      </c>
      <c r="T35" s="1280">
        <v>0</v>
      </c>
      <c r="U35" s="1280">
        <v>0.72</v>
      </c>
      <c r="V35" s="1280">
        <v>0</v>
      </c>
      <c r="W35" s="1280">
        <v>0.63</v>
      </c>
      <c r="X35" s="1280">
        <v>0</v>
      </c>
      <c r="Y35" s="1280">
        <v>0</v>
      </c>
      <c r="Z35" s="1280">
        <v>0</v>
      </c>
      <c r="AA35" s="1280">
        <v>0</v>
      </c>
      <c r="AB35" s="1280">
        <v>0</v>
      </c>
      <c r="AC35" s="1280">
        <v>0.72</v>
      </c>
      <c r="AD35" s="1280">
        <v>0</v>
      </c>
      <c r="AE35" s="1280">
        <v>0</v>
      </c>
      <c r="AF35" s="1280">
        <v>0.72</v>
      </c>
      <c r="AG35" s="1280">
        <v>0.99</v>
      </c>
      <c r="AH35" s="53">
        <f t="shared" si="4"/>
        <v>8.759999999999998</v>
      </c>
    </row>
    <row r="36" spans="1:34" ht="15">
      <c r="A36" s="88" t="s">
        <v>74</v>
      </c>
      <c r="B36" s="91">
        <f>SUM(B24:B35)</f>
        <v>1090.8960000000002</v>
      </c>
      <c r="C36" s="46">
        <f>SUM(C24:C34)</f>
        <v>22.98</v>
      </c>
      <c r="D36" s="53">
        <f>SUM(D24:D34)</f>
        <v>17.577999999999999</v>
      </c>
      <c r="E36" s="53">
        <v>0</v>
      </c>
      <c r="F36" s="53">
        <f t="shared" ref="F36:AC36" si="5">SUM(F24:F34)</f>
        <v>20.504999999999999</v>
      </c>
      <c r="G36" s="53">
        <f t="shared" si="5"/>
        <v>30.704999999999998</v>
      </c>
      <c r="H36" s="53">
        <f t="shared" si="5"/>
        <v>51.35</v>
      </c>
      <c r="I36" s="53">
        <f t="shared" si="5"/>
        <v>75.756</v>
      </c>
      <c r="J36" s="53">
        <f t="shared" si="5"/>
        <v>86.161000000000016</v>
      </c>
      <c r="K36" s="53">
        <f t="shared" si="5"/>
        <v>34.160000000000004</v>
      </c>
      <c r="L36" s="53">
        <f t="shared" si="5"/>
        <v>39.760000000000005</v>
      </c>
      <c r="M36" s="53">
        <f t="shared" si="5"/>
        <v>41.160000000000004</v>
      </c>
      <c r="N36" s="53">
        <f t="shared" si="5"/>
        <v>83.105000000000004</v>
      </c>
      <c r="O36" s="53">
        <f t="shared" si="5"/>
        <v>57.753</v>
      </c>
      <c r="P36" s="53">
        <f t="shared" si="5"/>
        <v>42.805</v>
      </c>
      <c r="Q36" s="53">
        <f t="shared" si="5"/>
        <v>34.937000000000005</v>
      </c>
      <c r="R36" s="53">
        <f t="shared" si="5"/>
        <v>101.96</v>
      </c>
      <c r="S36" s="53">
        <f t="shared" si="5"/>
        <v>61.855000000000004</v>
      </c>
      <c r="T36" s="53">
        <f t="shared" si="5"/>
        <v>80.110000000000014</v>
      </c>
      <c r="U36" s="53">
        <f t="shared" si="5"/>
        <v>56.643999999999998</v>
      </c>
      <c r="V36" s="53">
        <f t="shared" si="5"/>
        <v>5.4460000000000006</v>
      </c>
      <c r="W36" s="53">
        <f t="shared" si="5"/>
        <v>38.74</v>
      </c>
      <c r="X36" s="53">
        <f t="shared" si="5"/>
        <v>19.23</v>
      </c>
      <c r="Y36" s="53">
        <f t="shared" si="5"/>
        <v>5.1609999999999996</v>
      </c>
      <c r="Z36" s="53">
        <f t="shared" si="5"/>
        <v>1.522</v>
      </c>
      <c r="AA36" s="53">
        <f t="shared" si="5"/>
        <v>4.8</v>
      </c>
      <c r="AB36" s="53">
        <f t="shared" si="5"/>
        <v>19.864999999999998</v>
      </c>
      <c r="AC36" s="53">
        <f t="shared" si="5"/>
        <v>19.245000000000001</v>
      </c>
      <c r="AD36" s="53">
        <v>0</v>
      </c>
      <c r="AE36" s="53">
        <f>SUM(AE24:AE34)</f>
        <v>1.7669999999999999</v>
      </c>
      <c r="AF36" s="53">
        <f>SUM(AF24:AF34)</f>
        <v>1.5660000000000001</v>
      </c>
      <c r="AG36" s="53">
        <f>SUM(AG24:AG34)</f>
        <v>0.95499999999999985</v>
      </c>
      <c r="AH36" s="46">
        <f>SUM(AH24:AH34)</f>
        <v>1082.1360000000002</v>
      </c>
    </row>
    <row r="37" spans="1:34" ht="15">
      <c r="A37" s="135"/>
      <c r="B37" s="233"/>
      <c r="C37" s="13"/>
      <c r="D37" s="52"/>
      <c r="E37" s="52"/>
      <c r="F37" s="52"/>
      <c r="G37" s="52"/>
      <c r="H37" s="52"/>
      <c r="I37" s="52"/>
      <c r="J37" s="52"/>
      <c r="K37" s="52"/>
      <c r="L37" s="52"/>
      <c r="M37" s="52"/>
      <c r="N37" s="52"/>
      <c r="O37" s="52"/>
      <c r="P37" s="52"/>
      <c r="Q37" s="52"/>
      <c r="R37" s="52"/>
      <c r="S37" s="52"/>
      <c r="T37" s="52"/>
      <c r="U37" s="52"/>
      <c r="V37" s="52"/>
      <c r="W37" s="52"/>
      <c r="X37" s="52"/>
      <c r="Y37" s="52"/>
      <c r="Z37" s="52"/>
      <c r="AA37" s="52"/>
      <c r="AB37" s="52"/>
      <c r="AC37" s="52"/>
      <c r="AD37" s="52"/>
      <c r="AE37" s="52"/>
      <c r="AF37" s="52"/>
      <c r="AG37" s="52"/>
      <c r="AH37" s="13"/>
    </row>
    <row r="38" spans="1:34" ht="15">
      <c r="A38" s="3613" t="s">
        <v>70</v>
      </c>
      <c r="B38" s="3614"/>
      <c r="C38" s="3614"/>
      <c r="D38" s="3614"/>
      <c r="E38" s="3614"/>
      <c r="F38" s="3614"/>
      <c r="G38" s="3614"/>
      <c r="H38" s="3614"/>
      <c r="I38" s="3614"/>
      <c r="J38" s="3614"/>
      <c r="K38" s="3614"/>
      <c r="L38" s="3614"/>
      <c r="M38" s="3614"/>
      <c r="N38" s="3614"/>
      <c r="O38" s="3614"/>
      <c r="P38" s="3614"/>
      <c r="Q38" s="3614"/>
      <c r="R38" s="3614"/>
      <c r="S38" s="52"/>
      <c r="T38" s="52"/>
      <c r="U38" s="52"/>
      <c r="V38" s="52"/>
      <c r="W38" s="52"/>
      <c r="X38" s="52"/>
      <c r="Y38" s="52"/>
      <c r="Z38" s="52"/>
      <c r="AA38" s="52"/>
      <c r="AB38" s="52"/>
      <c r="AC38" s="52"/>
      <c r="AD38" s="52"/>
      <c r="AE38" s="52"/>
      <c r="AF38" s="52"/>
      <c r="AG38" s="52"/>
      <c r="AH38" s="13"/>
    </row>
    <row r="39" spans="1:34" ht="15">
      <c r="A39" s="244" t="s">
        <v>188</v>
      </c>
      <c r="B39" s="245"/>
      <c r="C39" s="246"/>
      <c r="D39" s="243"/>
      <c r="E39" s="243"/>
      <c r="F39" s="243"/>
      <c r="G39" s="243"/>
      <c r="H39" s="34"/>
      <c r="I39" s="34"/>
      <c r="J39" s="34"/>
      <c r="K39" s="34"/>
      <c r="L39" s="34"/>
      <c r="M39" s="34"/>
      <c r="N39" s="34"/>
      <c r="O39" s="34"/>
      <c r="P39" s="34"/>
      <c r="Q39" s="34"/>
      <c r="R39" s="34"/>
      <c r="S39" s="52"/>
      <c r="T39" s="52"/>
      <c r="U39" s="52"/>
      <c r="V39" s="52"/>
      <c r="W39" s="52"/>
      <c r="X39" s="52"/>
      <c r="Y39" s="52"/>
      <c r="Z39" s="52"/>
      <c r="AA39" s="52"/>
      <c r="AB39" s="52"/>
      <c r="AC39" s="52"/>
      <c r="AD39" s="52"/>
      <c r="AE39" s="52"/>
      <c r="AF39" s="52"/>
      <c r="AG39" s="52"/>
      <c r="AH39" s="13"/>
    </row>
    <row r="40" spans="1:34" ht="15">
      <c r="A40" s="128" t="s">
        <v>72</v>
      </c>
      <c r="B40" s="28" t="s">
        <v>73</v>
      </c>
      <c r="C40" s="72">
        <v>1</v>
      </c>
      <c r="D40" s="35">
        <v>2</v>
      </c>
      <c r="E40" s="35">
        <v>3</v>
      </c>
      <c r="F40" s="35">
        <v>4</v>
      </c>
      <c r="G40" s="35">
        <v>5</v>
      </c>
      <c r="H40" s="35">
        <v>6</v>
      </c>
      <c r="I40" s="35">
        <v>7</v>
      </c>
      <c r="J40" s="35">
        <v>8</v>
      </c>
      <c r="K40" s="35">
        <v>9</v>
      </c>
      <c r="L40" s="35">
        <v>10</v>
      </c>
      <c r="M40" s="35">
        <v>11</v>
      </c>
      <c r="N40" s="35">
        <v>12</v>
      </c>
      <c r="O40" s="35">
        <v>13</v>
      </c>
      <c r="P40" s="35">
        <v>14</v>
      </c>
      <c r="Q40" s="35">
        <v>15</v>
      </c>
      <c r="R40" s="35">
        <v>16</v>
      </c>
      <c r="S40" s="30">
        <v>17</v>
      </c>
      <c r="T40" s="30">
        <v>18</v>
      </c>
      <c r="U40" s="30">
        <v>19</v>
      </c>
      <c r="V40" s="30">
        <v>20</v>
      </c>
      <c r="W40" s="30">
        <v>21</v>
      </c>
      <c r="X40" s="30">
        <v>22</v>
      </c>
      <c r="Y40" s="30">
        <v>23</v>
      </c>
      <c r="Z40" s="30">
        <v>24</v>
      </c>
      <c r="AA40" s="30">
        <v>25</v>
      </c>
      <c r="AB40" s="30">
        <v>26</v>
      </c>
      <c r="AC40" s="30">
        <v>27</v>
      </c>
      <c r="AD40" s="30">
        <v>28</v>
      </c>
      <c r="AE40" s="30">
        <v>29</v>
      </c>
      <c r="AF40" s="30">
        <v>30</v>
      </c>
      <c r="AG40" s="30">
        <v>31</v>
      </c>
      <c r="AH40" s="39" t="s">
        <v>74</v>
      </c>
    </row>
    <row r="41" spans="1:34" ht="15">
      <c r="A41" s="128" t="s">
        <v>75</v>
      </c>
      <c r="B41" s="28">
        <f t="shared" ref="B41:B52" si="6">+AH41</f>
        <v>0</v>
      </c>
      <c r="C41" s="688" t="s">
        <v>111</v>
      </c>
      <c r="D41" s="688" t="s">
        <v>111</v>
      </c>
      <c r="E41" s="688" t="s">
        <v>111</v>
      </c>
      <c r="F41" s="688" t="s">
        <v>111</v>
      </c>
      <c r="G41" s="688" t="s">
        <v>111</v>
      </c>
      <c r="H41" s="688" t="s">
        <v>111</v>
      </c>
      <c r="I41" s="688" t="s">
        <v>111</v>
      </c>
      <c r="J41" s="688" t="s">
        <v>111</v>
      </c>
      <c r="K41" s="688" t="s">
        <v>111</v>
      </c>
      <c r="L41" s="688" t="s">
        <v>111</v>
      </c>
      <c r="M41" s="688" t="s">
        <v>111</v>
      </c>
      <c r="N41" s="688" t="s">
        <v>111</v>
      </c>
      <c r="O41" s="688" t="s">
        <v>111</v>
      </c>
      <c r="P41" s="688" t="s">
        <v>111</v>
      </c>
      <c r="Q41" s="688" t="s">
        <v>111</v>
      </c>
      <c r="R41" s="688" t="s">
        <v>111</v>
      </c>
      <c r="S41" s="688" t="s">
        <v>111</v>
      </c>
      <c r="T41" s="688" t="s">
        <v>111</v>
      </c>
      <c r="U41" s="688" t="s">
        <v>111</v>
      </c>
      <c r="V41" s="688" t="s">
        <v>111</v>
      </c>
      <c r="W41" s="688" t="s">
        <v>111</v>
      </c>
      <c r="X41" s="688" t="s">
        <v>111</v>
      </c>
      <c r="Y41" s="688" t="s">
        <v>111</v>
      </c>
      <c r="Z41" s="688" t="s">
        <v>111</v>
      </c>
      <c r="AA41" s="688" t="s">
        <v>111</v>
      </c>
      <c r="AB41" s="688" t="s">
        <v>111</v>
      </c>
      <c r="AC41" s="688" t="s">
        <v>111</v>
      </c>
      <c r="AD41" s="688" t="s">
        <v>111</v>
      </c>
      <c r="AE41" s="688" t="s">
        <v>111</v>
      </c>
      <c r="AF41" s="688" t="s">
        <v>111</v>
      </c>
      <c r="AG41" s="688" t="s">
        <v>111</v>
      </c>
      <c r="AH41" s="53">
        <f>SUM(C41:AG41)</f>
        <v>0</v>
      </c>
    </row>
    <row r="42" spans="1:34" ht="15">
      <c r="A42" s="128" t="s">
        <v>76</v>
      </c>
      <c r="B42" s="28">
        <f t="shared" si="6"/>
        <v>0</v>
      </c>
      <c r="C42" s="688" t="s">
        <v>111</v>
      </c>
      <c r="D42" s="688" t="s">
        <v>111</v>
      </c>
      <c r="E42" s="688" t="s">
        <v>111</v>
      </c>
      <c r="F42" s="688" t="s">
        <v>111</v>
      </c>
      <c r="G42" s="688" t="s">
        <v>111</v>
      </c>
      <c r="H42" s="688" t="s">
        <v>111</v>
      </c>
      <c r="I42" s="688" t="s">
        <v>111</v>
      </c>
      <c r="J42" s="688" t="s">
        <v>111</v>
      </c>
      <c r="K42" s="688" t="s">
        <v>111</v>
      </c>
      <c r="L42" s="688" t="s">
        <v>111</v>
      </c>
      <c r="M42" s="688" t="s">
        <v>111</v>
      </c>
      <c r="N42" s="688" t="s">
        <v>111</v>
      </c>
      <c r="O42" s="688" t="s">
        <v>111</v>
      </c>
      <c r="P42" s="688" t="s">
        <v>111</v>
      </c>
      <c r="Q42" s="688" t="s">
        <v>111</v>
      </c>
      <c r="R42" s="688" t="s">
        <v>111</v>
      </c>
      <c r="S42" s="688" t="s">
        <v>111</v>
      </c>
      <c r="T42" s="688" t="s">
        <v>111</v>
      </c>
      <c r="U42" s="688" t="s">
        <v>111</v>
      </c>
      <c r="V42" s="688" t="s">
        <v>111</v>
      </c>
      <c r="W42" s="688" t="s">
        <v>111</v>
      </c>
      <c r="X42" s="688" t="s">
        <v>111</v>
      </c>
      <c r="Y42" s="688" t="s">
        <v>111</v>
      </c>
      <c r="Z42" s="688" t="s">
        <v>111</v>
      </c>
      <c r="AA42" s="688" t="s">
        <v>111</v>
      </c>
      <c r="AB42" s="688" t="s">
        <v>111</v>
      </c>
      <c r="AC42" s="688" t="s">
        <v>111</v>
      </c>
      <c r="AD42" s="688" t="s">
        <v>111</v>
      </c>
      <c r="AE42" s="688" t="s">
        <v>111</v>
      </c>
      <c r="AF42" s="688" t="s">
        <v>111</v>
      </c>
      <c r="AG42" s="688" t="s">
        <v>111</v>
      </c>
      <c r="AH42" s="53">
        <f t="shared" ref="AH42:AH52" si="7">SUM(C42:AG42)</f>
        <v>0</v>
      </c>
    </row>
    <row r="43" spans="1:34" ht="15">
      <c r="A43" s="128" t="s">
        <v>77</v>
      </c>
      <c r="B43" s="28">
        <f t="shared" si="6"/>
        <v>726.52300000000002</v>
      </c>
      <c r="C43" s="688" t="s">
        <v>111</v>
      </c>
      <c r="D43" s="688" t="s">
        <v>111</v>
      </c>
      <c r="E43" s="688" t="s">
        <v>111</v>
      </c>
      <c r="F43" s="688" t="s">
        <v>111</v>
      </c>
      <c r="G43" s="688" t="s">
        <v>111</v>
      </c>
      <c r="H43" s="1287"/>
      <c r="I43" s="1287">
        <v>56.8</v>
      </c>
      <c r="J43" s="1287"/>
      <c r="K43" s="2465">
        <v>73.47</v>
      </c>
      <c r="L43" s="2465"/>
      <c r="M43" s="2465"/>
      <c r="N43" s="2465"/>
      <c r="O43" s="2465"/>
      <c r="P43" s="2465">
        <v>68.48</v>
      </c>
      <c r="Q43" s="2465">
        <v>115.748</v>
      </c>
      <c r="R43" s="2465"/>
      <c r="S43" s="2465">
        <v>123.73</v>
      </c>
      <c r="T43" s="2465">
        <v>61.7</v>
      </c>
      <c r="U43" s="2465"/>
      <c r="V43" s="2465"/>
      <c r="W43" s="2465">
        <v>92.1</v>
      </c>
      <c r="X43" s="2465"/>
      <c r="Y43" s="2465"/>
      <c r="Z43" s="2465"/>
      <c r="AA43" s="2465">
        <v>38.942</v>
      </c>
      <c r="AB43" s="2465">
        <v>5.6959999999999997</v>
      </c>
      <c r="AC43" s="2465">
        <v>0.93799999999999994</v>
      </c>
      <c r="AD43" s="2465">
        <v>31.655999999999999</v>
      </c>
      <c r="AE43" s="2465">
        <v>25.384</v>
      </c>
      <c r="AF43" s="2465"/>
      <c r="AG43" s="2465">
        <v>31.879000000000001</v>
      </c>
      <c r="AH43" s="53">
        <f t="shared" si="7"/>
        <v>726.52300000000002</v>
      </c>
    </row>
    <row r="44" spans="1:34" ht="15">
      <c r="A44" s="128" t="s">
        <v>78</v>
      </c>
      <c r="B44" s="28">
        <f t="shared" si="6"/>
        <v>539.84500000000014</v>
      </c>
      <c r="C44" s="1930">
        <v>72.63</v>
      </c>
      <c r="D44" s="1930">
        <v>16.98</v>
      </c>
      <c r="E44" s="1930"/>
      <c r="F44" s="1930">
        <v>76.790000000000006</v>
      </c>
      <c r="G44" s="1930">
        <v>48.712000000000003</v>
      </c>
      <c r="H44" s="1930"/>
      <c r="I44" s="1930"/>
      <c r="J44" s="1930"/>
      <c r="K44" s="1930">
        <v>79.078000000000003</v>
      </c>
      <c r="L44" s="1287">
        <v>89.143000000000001</v>
      </c>
      <c r="M44" s="2465"/>
      <c r="N44" s="2465"/>
      <c r="O44" s="2465"/>
      <c r="P44" s="2465">
        <v>22.826000000000001</v>
      </c>
      <c r="Q44" s="2465">
        <v>16.13</v>
      </c>
      <c r="R44" s="2465">
        <v>117.32599999999999</v>
      </c>
      <c r="S44" s="2465"/>
      <c r="T44" s="2465"/>
      <c r="U44" s="2465"/>
      <c r="V44" s="2465"/>
      <c r="W44" s="2465"/>
      <c r="X44" s="2465"/>
      <c r="Y44" s="2465">
        <v>0.15</v>
      </c>
      <c r="Z44" s="2465">
        <v>0.08</v>
      </c>
      <c r="AA44" s="2465"/>
      <c r="AB44" s="2465"/>
      <c r="AC44" s="2465"/>
      <c r="AD44" s="2465"/>
      <c r="AE44" s="2465"/>
      <c r="AF44" s="2465"/>
      <c r="AG44" s="2465"/>
      <c r="AH44" s="53">
        <f t="shared" si="7"/>
        <v>539.84500000000014</v>
      </c>
    </row>
    <row r="45" spans="1:34" ht="15">
      <c r="A45" s="132" t="s">
        <v>79</v>
      </c>
      <c r="B45" s="28">
        <f t="shared" si="6"/>
        <v>257.74099999999999</v>
      </c>
      <c r="C45" s="2465"/>
      <c r="D45" s="2465"/>
      <c r="E45" s="2465"/>
      <c r="F45" s="2465"/>
      <c r="G45" s="2465"/>
      <c r="H45" s="1287"/>
      <c r="I45" s="1287"/>
      <c r="J45" s="1287"/>
      <c r="K45" s="1287">
        <v>22.702999999999999</v>
      </c>
      <c r="L45" s="1287"/>
      <c r="M45" s="1287"/>
      <c r="N45" s="1287"/>
      <c r="O45" s="1287"/>
      <c r="P45" s="1287"/>
      <c r="Q45" s="1287"/>
      <c r="R45" s="1287"/>
      <c r="S45" s="1287">
        <v>29.696999999999999</v>
      </c>
      <c r="T45" s="1287">
        <v>16.268000000000001</v>
      </c>
      <c r="U45" s="1287">
        <v>31.172000000000001</v>
      </c>
      <c r="V45" s="1287">
        <v>73.177999999999997</v>
      </c>
      <c r="W45" s="1287">
        <v>9.6460000000000008</v>
      </c>
      <c r="X45" s="1287"/>
      <c r="Y45" s="1287"/>
      <c r="Z45" s="1287"/>
      <c r="AA45" s="1287"/>
      <c r="AB45" s="1287">
        <v>75.076999999999998</v>
      </c>
      <c r="AC45" s="1287"/>
      <c r="AD45" s="1287"/>
      <c r="AE45" s="1287"/>
      <c r="AF45" s="1287"/>
      <c r="AG45" s="1287"/>
      <c r="AH45" s="53">
        <f t="shared" si="7"/>
        <v>257.74099999999999</v>
      </c>
    </row>
    <row r="46" spans="1:34" ht="15">
      <c r="A46" s="132" t="s">
        <v>80</v>
      </c>
      <c r="B46" s="28">
        <f t="shared" si="6"/>
        <v>80.19</v>
      </c>
      <c r="C46" s="1287"/>
      <c r="D46" s="1287"/>
      <c r="E46" s="1287"/>
      <c r="F46" s="1287"/>
      <c r="G46" s="1287"/>
      <c r="H46" s="1287"/>
      <c r="I46" s="1287"/>
      <c r="J46" s="1287"/>
      <c r="K46" s="1287"/>
      <c r="L46" s="1287"/>
      <c r="M46" s="1287"/>
      <c r="N46" s="1287"/>
      <c r="O46" s="1287"/>
      <c r="P46" s="1287"/>
      <c r="Q46" s="1287"/>
      <c r="R46" s="1287"/>
      <c r="S46" s="1287"/>
      <c r="T46" s="1287"/>
      <c r="U46" s="1287"/>
      <c r="V46" s="1287"/>
      <c r="W46" s="1287">
        <v>58.4</v>
      </c>
      <c r="X46" s="1287">
        <v>8.17</v>
      </c>
      <c r="Y46" s="1287"/>
      <c r="Z46" s="1287"/>
      <c r="AA46" s="1287">
        <v>13.62</v>
      </c>
      <c r="AB46" s="1287"/>
      <c r="AC46" s="1287"/>
      <c r="AD46" s="1287"/>
      <c r="AE46" s="1287"/>
      <c r="AF46" s="1287"/>
      <c r="AG46" s="1287"/>
      <c r="AH46" s="53">
        <f t="shared" si="7"/>
        <v>80.19</v>
      </c>
    </row>
    <row r="47" spans="1:34" ht="15">
      <c r="A47" s="132" t="s">
        <v>81</v>
      </c>
      <c r="B47" s="28">
        <f t="shared" si="6"/>
        <v>0</v>
      </c>
      <c r="C47" s="1287"/>
      <c r="D47" s="1488"/>
      <c r="E47" s="1488"/>
      <c r="F47" s="1488"/>
      <c r="G47" s="1287"/>
      <c r="H47" s="1287"/>
      <c r="I47" s="1287"/>
      <c r="J47" s="2466"/>
      <c r="K47" s="2466"/>
      <c r="L47" s="1488"/>
      <c r="M47" s="1488"/>
      <c r="N47" s="1488"/>
      <c r="O47" s="1488"/>
      <c r="P47" s="1488"/>
      <c r="Q47" s="1488"/>
      <c r="R47" s="1488"/>
      <c r="S47" s="1287"/>
      <c r="T47" s="1287"/>
      <c r="U47" s="1287"/>
      <c r="V47" s="1287"/>
      <c r="W47" s="1280"/>
      <c r="X47" s="1280"/>
      <c r="Y47" s="1280"/>
      <c r="Z47" s="1280"/>
      <c r="AA47" s="1280"/>
      <c r="AB47" s="1280"/>
      <c r="AC47" s="1280"/>
      <c r="AD47" s="1280"/>
      <c r="AE47" s="1280"/>
      <c r="AF47" s="81" t="s">
        <v>112</v>
      </c>
      <c r="AG47" s="81" t="s">
        <v>112</v>
      </c>
      <c r="AH47" s="53">
        <f t="shared" si="7"/>
        <v>0</v>
      </c>
    </row>
    <row r="48" spans="1:34" ht="15">
      <c r="A48" s="132" t="s">
        <v>82</v>
      </c>
      <c r="B48" s="28">
        <f t="shared" si="6"/>
        <v>0</v>
      </c>
      <c r="C48" s="81" t="s">
        <v>112</v>
      </c>
      <c r="D48" s="81" t="s">
        <v>112</v>
      </c>
      <c r="E48" s="81" t="s">
        <v>112</v>
      </c>
      <c r="F48" s="81" t="s">
        <v>112</v>
      </c>
      <c r="G48" s="81" t="s">
        <v>112</v>
      </c>
      <c r="H48" s="81" t="s">
        <v>112</v>
      </c>
      <c r="I48" s="81" t="s">
        <v>112</v>
      </c>
      <c r="J48" s="81" t="s">
        <v>112</v>
      </c>
      <c r="K48" s="81" t="s">
        <v>112</v>
      </c>
      <c r="L48" s="81" t="s">
        <v>112</v>
      </c>
      <c r="M48" s="81" t="s">
        <v>112</v>
      </c>
      <c r="N48" s="81" t="s">
        <v>112</v>
      </c>
      <c r="O48" s="81" t="s">
        <v>112</v>
      </c>
      <c r="P48" s="81" t="s">
        <v>112</v>
      </c>
      <c r="Q48" s="81" t="s">
        <v>112</v>
      </c>
      <c r="R48" s="81" t="s">
        <v>112</v>
      </c>
      <c r="S48" s="81" t="s">
        <v>112</v>
      </c>
      <c r="T48" s="81" t="s">
        <v>112</v>
      </c>
      <c r="U48" s="81" t="s">
        <v>112</v>
      </c>
      <c r="V48" s="81" t="s">
        <v>112</v>
      </c>
      <c r="W48" s="81" t="s">
        <v>112</v>
      </c>
      <c r="X48" s="81" t="s">
        <v>112</v>
      </c>
      <c r="Y48" s="81" t="s">
        <v>112</v>
      </c>
      <c r="Z48" s="81" t="s">
        <v>112</v>
      </c>
      <c r="AA48" s="81" t="s">
        <v>112</v>
      </c>
      <c r="AB48" s="81" t="s">
        <v>112</v>
      </c>
      <c r="AC48" s="81" t="s">
        <v>112</v>
      </c>
      <c r="AD48" s="81" t="s">
        <v>112</v>
      </c>
      <c r="AE48" s="81" t="s">
        <v>112</v>
      </c>
      <c r="AF48" s="81" t="s">
        <v>112</v>
      </c>
      <c r="AG48" s="81" t="s">
        <v>112</v>
      </c>
      <c r="AH48" s="53">
        <f t="shared" si="7"/>
        <v>0</v>
      </c>
    </row>
    <row r="49" spans="1:34" ht="15">
      <c r="A49" s="30" t="s">
        <v>83</v>
      </c>
      <c r="B49" s="28">
        <f t="shared" si="6"/>
        <v>2.79</v>
      </c>
      <c r="C49" s="81" t="s">
        <v>112</v>
      </c>
      <c r="D49" s="81" t="s">
        <v>112</v>
      </c>
      <c r="E49" s="81" t="s">
        <v>112</v>
      </c>
      <c r="F49" s="3447">
        <v>2.79</v>
      </c>
      <c r="G49" s="81" t="s">
        <v>112</v>
      </c>
      <c r="H49" s="81" t="s">
        <v>112</v>
      </c>
      <c r="I49" s="81" t="s">
        <v>112</v>
      </c>
      <c r="J49" s="81" t="s">
        <v>112</v>
      </c>
      <c r="K49" s="81" t="s">
        <v>112</v>
      </c>
      <c r="L49" s="81" t="s">
        <v>112</v>
      </c>
      <c r="M49" s="81" t="s">
        <v>112</v>
      </c>
      <c r="N49" s="81" t="s">
        <v>112</v>
      </c>
      <c r="O49" s="81" t="s">
        <v>112</v>
      </c>
      <c r="P49" s="81" t="s">
        <v>112</v>
      </c>
      <c r="Q49" s="81" t="s">
        <v>112</v>
      </c>
      <c r="R49" s="81" t="s">
        <v>112</v>
      </c>
      <c r="S49" s="81" t="s">
        <v>112</v>
      </c>
      <c r="T49" s="81" t="s">
        <v>112</v>
      </c>
      <c r="U49" s="81" t="s">
        <v>112</v>
      </c>
      <c r="V49" s="81" t="s">
        <v>112</v>
      </c>
      <c r="W49" s="81" t="s">
        <v>112</v>
      </c>
      <c r="X49" s="81" t="s">
        <v>112</v>
      </c>
      <c r="Y49" s="81" t="s">
        <v>112</v>
      </c>
      <c r="Z49" s="81" t="s">
        <v>112</v>
      </c>
      <c r="AA49" s="81" t="s">
        <v>112</v>
      </c>
      <c r="AB49" s="81" t="s">
        <v>112</v>
      </c>
      <c r="AC49" s="81" t="s">
        <v>112</v>
      </c>
      <c r="AD49" s="81" t="s">
        <v>112</v>
      </c>
      <c r="AE49" s="81" t="s">
        <v>112</v>
      </c>
      <c r="AF49" s="81" t="s">
        <v>112</v>
      </c>
      <c r="AG49" s="81" t="s">
        <v>112</v>
      </c>
      <c r="AH49" s="53">
        <f t="shared" si="7"/>
        <v>2.79</v>
      </c>
    </row>
    <row r="50" spans="1:34" ht="15">
      <c r="A50" s="30" t="s">
        <v>84</v>
      </c>
      <c r="B50" s="28">
        <f t="shared" si="6"/>
        <v>0</v>
      </c>
      <c r="C50" s="81" t="s">
        <v>112</v>
      </c>
      <c r="D50" s="81" t="s">
        <v>112</v>
      </c>
      <c r="E50" s="81" t="s">
        <v>112</v>
      </c>
      <c r="F50" s="81" t="s">
        <v>112</v>
      </c>
      <c r="G50" s="81" t="s">
        <v>112</v>
      </c>
      <c r="H50" s="81" t="s">
        <v>112</v>
      </c>
      <c r="I50" s="81" t="s">
        <v>112</v>
      </c>
      <c r="J50" s="81" t="s">
        <v>112</v>
      </c>
      <c r="K50" s="81" t="s">
        <v>112</v>
      </c>
      <c r="L50" s="81" t="s">
        <v>112</v>
      </c>
      <c r="M50" s="81" t="s">
        <v>112</v>
      </c>
      <c r="N50" s="81" t="s">
        <v>112</v>
      </c>
      <c r="O50" s="81" t="s">
        <v>112</v>
      </c>
      <c r="P50" s="81" t="s">
        <v>112</v>
      </c>
      <c r="Q50" s="81" t="s">
        <v>112</v>
      </c>
      <c r="R50" s="81" t="s">
        <v>112</v>
      </c>
      <c r="S50" s="81" t="s">
        <v>112</v>
      </c>
      <c r="T50" s="81" t="s">
        <v>112</v>
      </c>
      <c r="U50" s="81" t="s">
        <v>112</v>
      </c>
      <c r="V50" s="81" t="s">
        <v>112</v>
      </c>
      <c r="W50" s="81" t="s">
        <v>112</v>
      </c>
      <c r="X50" s="1287"/>
      <c r="Y50" s="1287"/>
      <c r="Z50" s="1287"/>
      <c r="AA50" s="1287"/>
      <c r="AB50" s="1287"/>
      <c r="AC50" s="1287"/>
      <c r="AD50" s="1287"/>
      <c r="AE50" s="1488"/>
      <c r="AF50" s="1287"/>
      <c r="AG50" s="1488"/>
      <c r="AH50" s="53">
        <f t="shared" si="7"/>
        <v>0</v>
      </c>
    </row>
    <row r="51" spans="1:34" ht="15">
      <c r="A51" s="30" t="s">
        <v>85</v>
      </c>
      <c r="B51" s="28">
        <f t="shared" si="6"/>
        <v>0</v>
      </c>
      <c r="C51" s="1287"/>
      <c r="D51" s="1287"/>
      <c r="E51" s="1287"/>
      <c r="F51" s="1287"/>
      <c r="G51" s="1433"/>
      <c r="H51" s="1287"/>
      <c r="I51" s="1287"/>
      <c r="J51" s="1287"/>
      <c r="K51" s="1287"/>
      <c r="L51" s="1287"/>
      <c r="M51" s="1287"/>
      <c r="N51" s="1287"/>
      <c r="O51" s="1287"/>
      <c r="P51" s="1287"/>
      <c r="Q51" s="1287"/>
      <c r="R51" s="1287"/>
      <c r="S51" s="1287"/>
      <c r="T51" s="1287"/>
      <c r="U51" s="1287"/>
      <c r="V51" s="1287"/>
      <c r="W51" s="1287"/>
      <c r="X51" s="1287"/>
      <c r="Y51" s="1287"/>
      <c r="Z51" s="1287"/>
      <c r="AA51" s="1287"/>
      <c r="AB51" s="1287"/>
      <c r="AC51" s="1287"/>
      <c r="AD51" s="1287"/>
      <c r="AE51" s="1488"/>
      <c r="AF51" s="1287"/>
      <c r="AG51" s="1488"/>
      <c r="AH51" s="53">
        <f t="shared" si="7"/>
        <v>0</v>
      </c>
    </row>
    <row r="52" spans="1:34" ht="15">
      <c r="A52" s="30" t="s">
        <v>86</v>
      </c>
      <c r="B52" s="28">
        <f t="shared" si="6"/>
        <v>0</v>
      </c>
      <c r="C52" s="1287"/>
      <c r="D52" s="1287"/>
      <c r="E52" s="1287"/>
      <c r="F52" s="1287"/>
      <c r="G52" s="1287"/>
      <c r="H52" s="1287"/>
      <c r="I52" s="1287"/>
      <c r="J52" s="1287"/>
      <c r="K52" s="1287"/>
      <c r="L52" s="1287"/>
      <c r="M52" s="1287"/>
      <c r="N52" s="1287"/>
      <c r="O52" s="1287"/>
      <c r="P52" s="1287"/>
      <c r="Q52" s="1280" t="s">
        <v>111</v>
      </c>
      <c r="R52" s="1280" t="s">
        <v>111</v>
      </c>
      <c r="S52" s="1280" t="s">
        <v>111</v>
      </c>
      <c r="T52" s="1280" t="s">
        <v>111</v>
      </c>
      <c r="U52" s="1280" t="s">
        <v>111</v>
      </c>
      <c r="V52" s="1280" t="s">
        <v>111</v>
      </c>
      <c r="W52" s="1280" t="s">
        <v>111</v>
      </c>
      <c r="X52" s="1280" t="s">
        <v>111</v>
      </c>
      <c r="Y52" s="1280" t="s">
        <v>111</v>
      </c>
      <c r="Z52" s="1280" t="s">
        <v>111</v>
      </c>
      <c r="AA52" s="1280" t="s">
        <v>111</v>
      </c>
      <c r="AB52" s="1280" t="s">
        <v>111</v>
      </c>
      <c r="AC52" s="1280" t="s">
        <v>111</v>
      </c>
      <c r="AD52" s="1280" t="s">
        <v>111</v>
      </c>
      <c r="AE52" s="1280" t="s">
        <v>111</v>
      </c>
      <c r="AF52" s="1280" t="s">
        <v>111</v>
      </c>
      <c r="AG52" s="1280" t="s">
        <v>111</v>
      </c>
      <c r="AH52" s="53">
        <f t="shared" si="7"/>
        <v>0</v>
      </c>
    </row>
    <row r="53" spans="1:34" ht="15">
      <c r="A53" s="88" t="s">
        <v>74</v>
      </c>
      <c r="B53" s="90">
        <f t="shared" ref="B53:R53" si="8">SUM(B41:B52)</f>
        <v>1607.0890000000002</v>
      </c>
      <c r="C53" s="71">
        <f t="shared" si="8"/>
        <v>72.63</v>
      </c>
      <c r="D53" s="71">
        <f t="shared" si="8"/>
        <v>16.98</v>
      </c>
      <c r="E53" s="71">
        <f t="shared" si="8"/>
        <v>0</v>
      </c>
      <c r="F53" s="71">
        <f t="shared" si="8"/>
        <v>79.580000000000013</v>
      </c>
      <c r="G53" s="71">
        <f t="shared" si="8"/>
        <v>48.712000000000003</v>
      </c>
      <c r="H53" s="71">
        <f t="shared" si="8"/>
        <v>0</v>
      </c>
      <c r="I53" s="71">
        <f t="shared" si="8"/>
        <v>56.8</v>
      </c>
      <c r="J53" s="71">
        <f t="shared" si="8"/>
        <v>0</v>
      </c>
      <c r="K53" s="71">
        <f t="shared" si="8"/>
        <v>175.251</v>
      </c>
      <c r="L53" s="71">
        <f t="shared" si="8"/>
        <v>89.143000000000001</v>
      </c>
      <c r="M53" s="71">
        <f t="shared" si="8"/>
        <v>0</v>
      </c>
      <c r="N53" s="71">
        <f t="shared" si="8"/>
        <v>0</v>
      </c>
      <c r="O53" s="71">
        <f t="shared" si="8"/>
        <v>0</v>
      </c>
      <c r="P53" s="71">
        <f t="shared" si="8"/>
        <v>91.306000000000012</v>
      </c>
      <c r="Q53" s="71">
        <f t="shared" si="8"/>
        <v>131.87800000000001</v>
      </c>
      <c r="R53" s="71">
        <f t="shared" si="8"/>
        <v>117.32599999999999</v>
      </c>
      <c r="S53" s="53">
        <f t="shared" ref="S53:AC53" si="9">SUM(S41:S51)</f>
        <v>153.42699999999999</v>
      </c>
      <c r="T53" s="53">
        <f t="shared" si="9"/>
        <v>77.968000000000004</v>
      </c>
      <c r="U53" s="53">
        <f t="shared" si="9"/>
        <v>31.172000000000001</v>
      </c>
      <c r="V53" s="53">
        <f t="shared" si="9"/>
        <v>73.177999999999997</v>
      </c>
      <c r="W53" s="53">
        <f t="shared" si="9"/>
        <v>160.14599999999999</v>
      </c>
      <c r="X53" s="53">
        <f t="shared" si="9"/>
        <v>8.17</v>
      </c>
      <c r="Y53" s="53">
        <f t="shared" si="9"/>
        <v>0.15</v>
      </c>
      <c r="Z53" s="53">
        <f t="shared" si="9"/>
        <v>0.08</v>
      </c>
      <c r="AA53" s="53">
        <f t="shared" si="9"/>
        <v>52.561999999999998</v>
      </c>
      <c r="AB53" s="53">
        <f t="shared" si="9"/>
        <v>80.772999999999996</v>
      </c>
      <c r="AC53" s="53">
        <f t="shared" si="9"/>
        <v>0.93799999999999994</v>
      </c>
      <c r="AD53" s="53">
        <v>0</v>
      </c>
      <c r="AE53" s="53">
        <f>SUM(AE41:AE51)</f>
        <v>25.384</v>
      </c>
      <c r="AF53" s="53">
        <f>SUM(AF41:AF51)</f>
        <v>0</v>
      </c>
      <c r="AG53" s="53">
        <f>SUM(AG41:AG51)</f>
        <v>31.879000000000001</v>
      </c>
      <c r="AH53" s="46">
        <f>SUM(AH41:AH51)</f>
        <v>1607.0890000000002</v>
      </c>
    </row>
    <row r="54" spans="1:34" ht="15">
      <c r="A54" s="2080"/>
      <c r="B54" s="1795"/>
      <c r="C54" s="74"/>
      <c r="D54" s="74"/>
      <c r="E54" s="74"/>
      <c r="F54" s="74"/>
      <c r="G54" s="74"/>
      <c r="H54" s="74"/>
      <c r="I54" s="74"/>
      <c r="J54" s="74"/>
      <c r="K54" s="74"/>
      <c r="L54" s="74"/>
      <c r="M54" s="74"/>
      <c r="N54" s="74"/>
      <c r="O54" s="74"/>
      <c r="P54" s="74"/>
      <c r="Q54" s="74"/>
      <c r="R54" s="74"/>
      <c r="S54" s="52"/>
      <c r="T54" s="52"/>
      <c r="U54" s="52"/>
      <c r="V54" s="52"/>
      <c r="W54" s="52"/>
      <c r="X54" s="52"/>
      <c r="Y54" s="52"/>
      <c r="Z54" s="52"/>
      <c r="AA54" s="52"/>
      <c r="AB54" s="52"/>
      <c r="AC54" s="52"/>
      <c r="AD54" s="52"/>
      <c r="AE54" s="52"/>
      <c r="AF54" s="52"/>
      <c r="AG54" s="52"/>
      <c r="AH54" s="13"/>
    </row>
    <row r="55" spans="1:34" ht="15">
      <c r="A55" s="3600" t="s">
        <v>610</v>
      </c>
      <c r="B55" s="3601"/>
      <c r="C55" s="3601"/>
      <c r="D55" s="3601"/>
      <c r="E55" s="3601"/>
      <c r="F55" s="3601"/>
      <c r="G55" s="3601"/>
      <c r="H55" s="3601"/>
      <c r="I55" s="3601"/>
      <c r="J55" s="34"/>
      <c r="K55" s="34"/>
      <c r="L55" s="34"/>
      <c r="M55" s="34"/>
      <c r="N55" s="34"/>
      <c r="O55" s="34"/>
      <c r="P55" s="34"/>
      <c r="Q55" s="34"/>
      <c r="R55" s="34"/>
      <c r="S55" s="52"/>
      <c r="T55" s="52"/>
      <c r="U55" s="52"/>
      <c r="V55" s="52"/>
      <c r="W55" s="52"/>
      <c r="X55" s="52"/>
      <c r="Y55" s="52"/>
      <c r="Z55" s="52"/>
      <c r="AA55" s="52"/>
      <c r="AB55" s="52"/>
      <c r="AC55" s="52"/>
      <c r="AD55" s="52"/>
      <c r="AE55" s="52"/>
      <c r="AF55" s="52"/>
      <c r="AG55" s="52"/>
      <c r="AH55" s="13"/>
    </row>
    <row r="56" spans="1:34" ht="15">
      <c r="A56" s="128" t="s">
        <v>72</v>
      </c>
      <c r="B56" s="28" t="s">
        <v>73</v>
      </c>
      <c r="C56" s="72">
        <v>1</v>
      </c>
      <c r="D56" s="35">
        <v>2</v>
      </c>
      <c r="E56" s="35">
        <v>3</v>
      </c>
      <c r="F56" s="35">
        <v>4</v>
      </c>
      <c r="G56" s="35">
        <v>5</v>
      </c>
      <c r="H56" s="35">
        <v>6</v>
      </c>
      <c r="I56" s="35">
        <v>7</v>
      </c>
      <c r="J56" s="35">
        <v>8</v>
      </c>
      <c r="K56" s="35">
        <v>9</v>
      </c>
      <c r="L56" s="35">
        <v>10</v>
      </c>
      <c r="M56" s="35">
        <v>11</v>
      </c>
      <c r="N56" s="35">
        <v>12</v>
      </c>
      <c r="O56" s="35">
        <v>13</v>
      </c>
      <c r="P56" s="35">
        <v>14</v>
      </c>
      <c r="Q56" s="35">
        <v>15</v>
      </c>
      <c r="R56" s="35">
        <v>16</v>
      </c>
      <c r="S56" s="30">
        <v>17</v>
      </c>
      <c r="T56" s="30">
        <v>18</v>
      </c>
      <c r="U56" s="30">
        <v>19</v>
      </c>
      <c r="V56" s="30">
        <v>20</v>
      </c>
      <c r="W56" s="30">
        <v>21</v>
      </c>
      <c r="X56" s="30">
        <v>22</v>
      </c>
      <c r="Y56" s="30">
        <v>23</v>
      </c>
      <c r="Z56" s="30">
        <v>24</v>
      </c>
      <c r="AA56" s="30">
        <v>25</v>
      </c>
      <c r="AB56" s="30">
        <v>26</v>
      </c>
      <c r="AC56" s="30">
        <v>27</v>
      </c>
      <c r="AD56" s="30">
        <v>28</v>
      </c>
      <c r="AE56" s="30">
        <v>29</v>
      </c>
      <c r="AF56" s="30">
        <v>30</v>
      </c>
      <c r="AG56" s="30">
        <v>31</v>
      </c>
      <c r="AH56" s="39" t="s">
        <v>74</v>
      </c>
    </row>
    <row r="57" spans="1:34" ht="15">
      <c r="A57" s="128" t="s">
        <v>75</v>
      </c>
      <c r="B57" s="28">
        <f t="shared" ref="B57:B68" si="10">+AH57</f>
        <v>0</v>
      </c>
      <c r="C57" s="688" t="s">
        <v>111</v>
      </c>
      <c r="D57" s="688" t="s">
        <v>111</v>
      </c>
      <c r="E57" s="688" t="s">
        <v>111</v>
      </c>
      <c r="F57" s="688" t="s">
        <v>111</v>
      </c>
      <c r="G57" s="688" t="s">
        <v>111</v>
      </c>
      <c r="H57" s="688" t="s">
        <v>111</v>
      </c>
      <c r="I57" s="688" t="s">
        <v>111</v>
      </c>
      <c r="J57" s="688" t="s">
        <v>111</v>
      </c>
      <c r="K57" s="688" t="s">
        <v>111</v>
      </c>
      <c r="L57" s="688" t="s">
        <v>111</v>
      </c>
      <c r="M57" s="688" t="s">
        <v>111</v>
      </c>
      <c r="N57" s="688" t="s">
        <v>111</v>
      </c>
      <c r="O57" s="688" t="s">
        <v>111</v>
      </c>
      <c r="P57" s="688" t="s">
        <v>111</v>
      </c>
      <c r="Q57" s="688" t="s">
        <v>111</v>
      </c>
      <c r="R57" s="688" t="s">
        <v>111</v>
      </c>
      <c r="S57" s="688" t="s">
        <v>111</v>
      </c>
      <c r="T57" s="688" t="s">
        <v>111</v>
      </c>
      <c r="U57" s="688" t="s">
        <v>111</v>
      </c>
      <c r="V57" s="688" t="s">
        <v>111</v>
      </c>
      <c r="W57" s="688" t="s">
        <v>111</v>
      </c>
      <c r="X57" s="688" t="s">
        <v>111</v>
      </c>
      <c r="Y57" s="688" t="s">
        <v>111</v>
      </c>
      <c r="Z57" s="688" t="s">
        <v>111</v>
      </c>
      <c r="AA57" s="688" t="s">
        <v>111</v>
      </c>
      <c r="AB57" s="688" t="s">
        <v>111</v>
      </c>
      <c r="AC57" s="688" t="s">
        <v>111</v>
      </c>
      <c r="AD57" s="688" t="s">
        <v>111</v>
      </c>
      <c r="AE57" s="688" t="s">
        <v>111</v>
      </c>
      <c r="AF57" s="688" t="s">
        <v>111</v>
      </c>
      <c r="AG57" s="688" t="s">
        <v>111</v>
      </c>
      <c r="AH57" s="53">
        <f>SUM(C57:AG57)</f>
        <v>0</v>
      </c>
    </row>
    <row r="58" spans="1:34" ht="15">
      <c r="A58" s="128" t="s">
        <v>76</v>
      </c>
      <c r="B58" s="28">
        <f t="shared" si="10"/>
        <v>0</v>
      </c>
      <c r="C58" s="688" t="s">
        <v>111</v>
      </c>
      <c r="D58" s="688" t="s">
        <v>111</v>
      </c>
      <c r="E58" s="688" t="s">
        <v>111</v>
      </c>
      <c r="F58" s="688" t="s">
        <v>111</v>
      </c>
      <c r="G58" s="688" t="s">
        <v>111</v>
      </c>
      <c r="H58" s="688" t="s">
        <v>111</v>
      </c>
      <c r="I58" s="688" t="s">
        <v>111</v>
      </c>
      <c r="J58" s="688" t="s">
        <v>111</v>
      </c>
      <c r="K58" s="688" t="s">
        <v>111</v>
      </c>
      <c r="L58" s="688" t="s">
        <v>111</v>
      </c>
      <c r="M58" s="688" t="s">
        <v>111</v>
      </c>
      <c r="N58" s="688" t="s">
        <v>111</v>
      </c>
      <c r="O58" s="688" t="s">
        <v>111</v>
      </c>
      <c r="P58" s="688" t="s">
        <v>111</v>
      </c>
      <c r="Q58" s="688" t="s">
        <v>111</v>
      </c>
      <c r="R58" s="688" t="s">
        <v>111</v>
      </c>
      <c r="S58" s="688" t="s">
        <v>111</v>
      </c>
      <c r="T58" s="688" t="s">
        <v>111</v>
      </c>
      <c r="U58" s="688" t="s">
        <v>111</v>
      </c>
      <c r="V58" s="688" t="s">
        <v>111</v>
      </c>
      <c r="W58" s="688" t="s">
        <v>111</v>
      </c>
      <c r="X58" s="688" t="s">
        <v>111</v>
      </c>
      <c r="Y58" s="688" t="s">
        <v>111</v>
      </c>
      <c r="Z58" s="688" t="s">
        <v>111</v>
      </c>
      <c r="AA58" s="688" t="s">
        <v>111</v>
      </c>
      <c r="AB58" s="688" t="s">
        <v>111</v>
      </c>
      <c r="AC58" s="688" t="s">
        <v>111</v>
      </c>
      <c r="AD58" s="688" t="s">
        <v>111</v>
      </c>
      <c r="AE58" s="688" t="s">
        <v>111</v>
      </c>
      <c r="AF58" s="688" t="s">
        <v>111</v>
      </c>
      <c r="AG58" s="688" t="s">
        <v>111</v>
      </c>
      <c r="AH58" s="53">
        <f t="shared" ref="AH58:AH68" si="11">SUM(C58:AG58)</f>
        <v>0</v>
      </c>
    </row>
    <row r="59" spans="1:34" ht="15">
      <c r="A59" s="128" t="s">
        <v>77</v>
      </c>
      <c r="B59" s="28">
        <f t="shared" si="10"/>
        <v>0</v>
      </c>
      <c r="C59" s="688" t="s">
        <v>111</v>
      </c>
      <c r="D59" s="688" t="s">
        <v>111</v>
      </c>
      <c r="E59" s="688" t="s">
        <v>111</v>
      </c>
      <c r="F59" s="688" t="s">
        <v>111</v>
      </c>
      <c r="G59" s="688" t="s">
        <v>111</v>
      </c>
      <c r="H59" s="1287"/>
      <c r="I59" s="1287"/>
      <c r="J59" s="1287"/>
      <c r="K59" s="1287"/>
      <c r="L59" s="1287"/>
      <c r="M59" s="1287"/>
      <c r="N59" s="1287"/>
      <c r="O59" s="1287"/>
      <c r="P59" s="1287"/>
      <c r="Q59" s="1287"/>
      <c r="R59" s="1287"/>
      <c r="S59" s="1287"/>
      <c r="T59" s="1287"/>
      <c r="U59" s="1815"/>
      <c r="V59" s="1287"/>
      <c r="W59" s="1287"/>
      <c r="X59" s="1287"/>
      <c r="Y59" s="1287"/>
      <c r="Z59" s="1287"/>
      <c r="AA59" s="1287"/>
      <c r="AB59" s="1287"/>
      <c r="AC59" s="1930"/>
      <c r="AD59" s="1930"/>
      <c r="AE59" s="1930"/>
      <c r="AF59" s="1930"/>
      <c r="AG59" s="1930"/>
      <c r="AH59" s="53">
        <f t="shared" si="11"/>
        <v>0</v>
      </c>
    </row>
    <row r="60" spans="1:34" ht="15">
      <c r="A60" s="128" t="s">
        <v>78</v>
      </c>
      <c r="B60" s="28">
        <f t="shared" si="10"/>
        <v>0</v>
      </c>
      <c r="C60" s="3168"/>
      <c r="D60" s="3168"/>
      <c r="E60" s="3168"/>
      <c r="F60" s="3168"/>
      <c r="G60" s="3168"/>
      <c r="H60" s="3168"/>
      <c r="I60" s="3168"/>
      <c r="J60" s="3168"/>
      <c r="K60" s="3168"/>
      <c r="L60" s="18"/>
      <c r="M60" s="18"/>
      <c r="N60" s="18"/>
      <c r="O60" s="18"/>
      <c r="P60" s="18"/>
      <c r="Q60" s="287"/>
      <c r="R60" s="287"/>
      <c r="S60" s="153"/>
      <c r="T60" s="153"/>
      <c r="U60" s="153"/>
      <c r="V60" s="153"/>
      <c r="W60" s="153"/>
      <c r="X60" s="153"/>
      <c r="Y60" s="153"/>
      <c r="Z60" s="153"/>
      <c r="AA60" s="153"/>
      <c r="AB60" s="153"/>
      <c r="AC60" s="153"/>
      <c r="AD60" s="153"/>
      <c r="AE60" s="153"/>
      <c r="AF60" s="153"/>
      <c r="AG60" s="153"/>
      <c r="AH60" s="53">
        <f t="shared" si="11"/>
        <v>0</v>
      </c>
    </row>
    <row r="61" spans="1:34" ht="15">
      <c r="A61" s="132" t="s">
        <v>79</v>
      </c>
      <c r="B61" s="28">
        <f t="shared" si="10"/>
        <v>0</v>
      </c>
      <c r="C61" s="2465"/>
      <c r="D61" s="2465"/>
      <c r="E61" s="2465"/>
      <c r="F61" s="2465"/>
      <c r="G61" s="2465"/>
      <c r="H61" s="1287"/>
      <c r="I61" s="1287"/>
      <c r="J61" s="1287"/>
      <c r="K61" s="1287"/>
      <c r="L61" s="1287"/>
      <c r="M61" s="1287"/>
      <c r="N61" s="1287"/>
      <c r="O61" s="1287"/>
      <c r="P61" s="1287"/>
      <c r="Q61" s="1287"/>
      <c r="R61" s="1287"/>
      <c r="S61" s="1287"/>
      <c r="T61" s="1287"/>
      <c r="U61" s="1287"/>
      <c r="V61" s="1287"/>
      <c r="W61" s="1287"/>
      <c r="X61" s="1287"/>
      <c r="Y61" s="1287"/>
      <c r="Z61" s="1287"/>
      <c r="AA61" s="1287"/>
      <c r="AB61" s="1287"/>
      <c r="AC61" s="1287"/>
      <c r="AD61" s="1287"/>
      <c r="AE61" s="1287"/>
      <c r="AF61" s="1287"/>
      <c r="AG61" s="1287"/>
      <c r="AH61" s="53">
        <f t="shared" si="11"/>
        <v>0</v>
      </c>
    </row>
    <row r="62" spans="1:34" ht="15">
      <c r="A62" s="132" t="s">
        <v>80</v>
      </c>
      <c r="B62" s="28">
        <f t="shared" si="10"/>
        <v>0</v>
      </c>
      <c r="C62" s="1287"/>
      <c r="D62" s="1287"/>
      <c r="E62" s="1287"/>
      <c r="F62" s="1287"/>
      <c r="G62" s="1287"/>
      <c r="H62" s="1287"/>
      <c r="I62" s="1287"/>
      <c r="J62" s="1287"/>
      <c r="K62" s="1287"/>
      <c r="L62" s="1287"/>
      <c r="M62" s="1287"/>
      <c r="N62" s="1287"/>
      <c r="O62" s="1287"/>
      <c r="P62" s="1287"/>
      <c r="Q62" s="1287"/>
      <c r="R62" s="1287"/>
      <c r="S62" s="1287"/>
      <c r="T62" s="1287"/>
      <c r="U62" s="1287"/>
      <c r="V62" s="1287"/>
      <c r="W62" s="1287"/>
      <c r="X62" s="1287"/>
      <c r="Y62" s="1287"/>
      <c r="Z62" s="1287"/>
      <c r="AA62" s="1287"/>
      <c r="AB62" s="1287"/>
      <c r="AC62" s="1287"/>
      <c r="AD62" s="1287"/>
      <c r="AE62" s="1287"/>
      <c r="AF62" s="1287"/>
      <c r="AG62" s="1287"/>
      <c r="AH62" s="53">
        <f t="shared" si="11"/>
        <v>0</v>
      </c>
    </row>
    <row r="63" spans="1:34" ht="15">
      <c r="A63" s="132" t="s">
        <v>81</v>
      </c>
      <c r="B63" s="28">
        <f t="shared" si="10"/>
        <v>0</v>
      </c>
      <c r="C63" s="1287"/>
      <c r="D63" s="1488"/>
      <c r="E63" s="1488"/>
      <c r="F63" s="1488"/>
      <c r="G63" s="1287"/>
      <c r="H63" s="1287"/>
      <c r="I63" s="1287"/>
      <c r="J63" s="2466"/>
      <c r="K63" s="2466"/>
      <c r="L63" s="1488"/>
      <c r="M63" s="1488"/>
      <c r="N63" s="1488"/>
      <c r="O63" s="1488"/>
      <c r="P63" s="1488"/>
      <c r="Q63" s="1488"/>
      <c r="R63" s="1488"/>
      <c r="S63" s="1488"/>
      <c r="T63" s="1488"/>
      <c r="U63" s="1488"/>
      <c r="V63" s="1488"/>
      <c r="W63" s="688"/>
      <c r="X63" s="688"/>
      <c r="Y63" s="688"/>
      <c r="Z63" s="688"/>
      <c r="AA63" s="688"/>
      <c r="AB63" s="688"/>
      <c r="AC63" s="688"/>
      <c r="AD63" s="688"/>
      <c r="AE63" s="688"/>
      <c r="AF63" s="688" t="s">
        <v>111</v>
      </c>
      <c r="AG63" s="688" t="s">
        <v>111</v>
      </c>
      <c r="AH63" s="53">
        <f t="shared" si="11"/>
        <v>0</v>
      </c>
    </row>
    <row r="64" spans="1:34" ht="15">
      <c r="A64" s="132" t="s">
        <v>82</v>
      </c>
      <c r="B64" s="28">
        <f t="shared" si="10"/>
        <v>0</v>
      </c>
      <c r="C64" s="688" t="s">
        <v>111</v>
      </c>
      <c r="D64" s="688" t="s">
        <v>111</v>
      </c>
      <c r="E64" s="688" t="s">
        <v>111</v>
      </c>
      <c r="F64" s="688" t="s">
        <v>111</v>
      </c>
      <c r="G64" s="688" t="s">
        <v>111</v>
      </c>
      <c r="H64" s="688" t="s">
        <v>111</v>
      </c>
      <c r="I64" s="688" t="s">
        <v>111</v>
      </c>
      <c r="J64" s="688" t="s">
        <v>111</v>
      </c>
      <c r="K64" s="688" t="s">
        <v>111</v>
      </c>
      <c r="L64" s="688" t="s">
        <v>111</v>
      </c>
      <c r="M64" s="688" t="s">
        <v>111</v>
      </c>
      <c r="N64" s="688" t="s">
        <v>111</v>
      </c>
      <c r="O64" s="688" t="s">
        <v>111</v>
      </c>
      <c r="P64" s="688" t="s">
        <v>111</v>
      </c>
      <c r="Q64" s="688" t="s">
        <v>111</v>
      </c>
      <c r="R64" s="688" t="s">
        <v>111</v>
      </c>
      <c r="S64" s="688" t="s">
        <v>111</v>
      </c>
      <c r="T64" s="688" t="s">
        <v>111</v>
      </c>
      <c r="U64" s="688" t="s">
        <v>111</v>
      </c>
      <c r="V64" s="688" t="s">
        <v>111</v>
      </c>
      <c r="W64" s="688" t="s">
        <v>111</v>
      </c>
      <c r="X64" s="688" t="s">
        <v>111</v>
      </c>
      <c r="Y64" s="688" t="s">
        <v>111</v>
      </c>
      <c r="Z64" s="688" t="s">
        <v>111</v>
      </c>
      <c r="AA64" s="688" t="s">
        <v>111</v>
      </c>
      <c r="AB64" s="688" t="s">
        <v>111</v>
      </c>
      <c r="AC64" s="688" t="s">
        <v>111</v>
      </c>
      <c r="AD64" s="688" t="s">
        <v>111</v>
      </c>
      <c r="AE64" s="688" t="s">
        <v>111</v>
      </c>
      <c r="AF64" s="688" t="s">
        <v>111</v>
      </c>
      <c r="AG64" s="688" t="s">
        <v>111</v>
      </c>
      <c r="AH64" s="53">
        <f t="shared" si="11"/>
        <v>0</v>
      </c>
    </row>
    <row r="65" spans="1:34" ht="15">
      <c r="A65" s="30" t="s">
        <v>83</v>
      </c>
      <c r="B65" s="28">
        <f t="shared" si="10"/>
        <v>0</v>
      </c>
      <c r="C65" s="688" t="s">
        <v>111</v>
      </c>
      <c r="D65" s="688" t="s">
        <v>111</v>
      </c>
      <c r="E65" s="688" t="s">
        <v>111</v>
      </c>
      <c r="F65" s="688" t="s">
        <v>111</v>
      </c>
      <c r="G65" s="688" t="s">
        <v>111</v>
      </c>
      <c r="H65" s="688" t="s">
        <v>111</v>
      </c>
      <c r="I65" s="688" t="s">
        <v>111</v>
      </c>
      <c r="J65" s="688" t="s">
        <v>111</v>
      </c>
      <c r="K65" s="688" t="s">
        <v>111</v>
      </c>
      <c r="L65" s="688" t="s">
        <v>111</v>
      </c>
      <c r="M65" s="688" t="s">
        <v>111</v>
      </c>
      <c r="N65" s="688" t="s">
        <v>111</v>
      </c>
      <c r="O65" s="688" t="s">
        <v>111</v>
      </c>
      <c r="P65" s="688" t="s">
        <v>111</v>
      </c>
      <c r="Q65" s="688" t="s">
        <v>111</v>
      </c>
      <c r="R65" s="688" t="s">
        <v>111</v>
      </c>
      <c r="S65" s="688" t="s">
        <v>111</v>
      </c>
      <c r="T65" s="688" t="s">
        <v>111</v>
      </c>
      <c r="U65" s="688" t="s">
        <v>111</v>
      </c>
      <c r="V65" s="688" t="s">
        <v>111</v>
      </c>
      <c r="W65" s="688" t="s">
        <v>111</v>
      </c>
      <c r="X65" s="688" t="s">
        <v>111</v>
      </c>
      <c r="Y65" s="688" t="s">
        <v>111</v>
      </c>
      <c r="Z65" s="688" t="s">
        <v>111</v>
      </c>
      <c r="AA65" s="688" t="s">
        <v>111</v>
      </c>
      <c r="AB65" s="688" t="s">
        <v>111</v>
      </c>
      <c r="AC65" s="688" t="s">
        <v>111</v>
      </c>
      <c r="AD65" s="688" t="s">
        <v>111</v>
      </c>
      <c r="AE65" s="688" t="s">
        <v>111</v>
      </c>
      <c r="AF65" s="688" t="s">
        <v>111</v>
      </c>
      <c r="AG65" s="688" t="s">
        <v>111</v>
      </c>
      <c r="AH65" s="53">
        <f t="shared" si="11"/>
        <v>0</v>
      </c>
    </row>
    <row r="66" spans="1:34" ht="15">
      <c r="A66" s="30" t="s">
        <v>84</v>
      </c>
      <c r="B66" s="28">
        <f t="shared" si="10"/>
        <v>0</v>
      </c>
      <c r="C66" s="688" t="s">
        <v>111</v>
      </c>
      <c r="D66" s="688" t="s">
        <v>111</v>
      </c>
      <c r="E66" s="688" t="s">
        <v>111</v>
      </c>
      <c r="F66" s="688" t="s">
        <v>111</v>
      </c>
      <c r="G66" s="688" t="s">
        <v>111</v>
      </c>
      <c r="H66" s="688" t="s">
        <v>111</v>
      </c>
      <c r="I66" s="688" t="s">
        <v>111</v>
      </c>
      <c r="J66" s="688" t="s">
        <v>111</v>
      </c>
      <c r="K66" s="688" t="s">
        <v>111</v>
      </c>
      <c r="L66" s="688" t="s">
        <v>111</v>
      </c>
      <c r="M66" s="688" t="s">
        <v>111</v>
      </c>
      <c r="N66" s="688" t="s">
        <v>111</v>
      </c>
      <c r="O66" s="688" t="s">
        <v>111</v>
      </c>
      <c r="P66" s="688" t="s">
        <v>111</v>
      </c>
      <c r="Q66" s="688" t="s">
        <v>111</v>
      </c>
      <c r="R66" s="688" t="s">
        <v>111</v>
      </c>
      <c r="S66" s="688" t="s">
        <v>111</v>
      </c>
      <c r="T66" s="688" t="s">
        <v>111</v>
      </c>
      <c r="U66" s="688" t="s">
        <v>111</v>
      </c>
      <c r="V66" s="688" t="s">
        <v>111</v>
      </c>
      <c r="W66" s="688" t="s">
        <v>111</v>
      </c>
      <c r="X66" s="1287"/>
      <c r="Y66" s="1287"/>
      <c r="Z66" s="1287"/>
      <c r="AA66" s="1287"/>
      <c r="AB66" s="1287"/>
      <c r="AC66" s="1287"/>
      <c r="AD66" s="1287"/>
      <c r="AE66" s="1488"/>
      <c r="AF66" s="1287"/>
      <c r="AG66" s="1488"/>
      <c r="AH66" s="53">
        <f t="shared" si="11"/>
        <v>0</v>
      </c>
    </row>
    <row r="67" spans="1:34" ht="15">
      <c r="A67" s="30" t="s">
        <v>85</v>
      </c>
      <c r="B67" s="28">
        <f t="shared" si="10"/>
        <v>0</v>
      </c>
      <c r="C67" s="49"/>
      <c r="D67" s="18"/>
      <c r="E67" s="18"/>
      <c r="F67" s="18"/>
      <c r="G67" s="11"/>
      <c r="H67" s="18"/>
      <c r="I67" s="18"/>
      <c r="J67" s="18"/>
      <c r="K67" s="18"/>
      <c r="L67" s="18"/>
      <c r="M67" s="18"/>
      <c r="N67" s="18"/>
      <c r="O67" s="18"/>
      <c r="P67" s="18"/>
      <c r="Q67" s="18"/>
      <c r="R67" s="18"/>
      <c r="S67" s="18"/>
      <c r="T67" s="18"/>
      <c r="U67" s="18"/>
      <c r="V67" s="18"/>
      <c r="W67" s="18"/>
      <c r="X67" s="18"/>
      <c r="Y67" s="11"/>
      <c r="Z67" s="18"/>
      <c r="AA67" s="18"/>
      <c r="AB67" s="18"/>
      <c r="AC67" s="18"/>
      <c r="AD67" s="18"/>
      <c r="AE67" s="53"/>
      <c r="AF67" s="18"/>
      <c r="AG67" s="53"/>
      <c r="AH67" s="53">
        <f t="shared" si="11"/>
        <v>0</v>
      </c>
    </row>
    <row r="68" spans="1:34" ht="15">
      <c r="A68" s="30" t="s">
        <v>86</v>
      </c>
      <c r="B68" s="28">
        <f t="shared" si="10"/>
        <v>0</v>
      </c>
      <c r="C68" s="49"/>
      <c r="D68" s="18"/>
      <c r="E68" s="18"/>
      <c r="F68" s="18"/>
      <c r="G68" s="18"/>
      <c r="H68" s="18"/>
      <c r="I68" s="18"/>
      <c r="J68" s="18"/>
      <c r="K68" s="18"/>
      <c r="L68" s="1280" t="s">
        <v>111</v>
      </c>
      <c r="M68" s="1280" t="s">
        <v>111</v>
      </c>
      <c r="N68" s="1280" t="s">
        <v>111</v>
      </c>
      <c r="O68" s="1280" t="s">
        <v>111</v>
      </c>
      <c r="P68" s="1280" t="s">
        <v>111</v>
      </c>
      <c r="Q68" s="1280" t="s">
        <v>111</v>
      </c>
      <c r="R68" s="1280" t="s">
        <v>111</v>
      </c>
      <c r="S68" s="1280" t="s">
        <v>111</v>
      </c>
      <c r="T68" s="1280" t="s">
        <v>111</v>
      </c>
      <c r="U68" s="1280" t="s">
        <v>111</v>
      </c>
      <c r="V68" s="1280" t="s">
        <v>111</v>
      </c>
      <c r="W68" s="1280" t="s">
        <v>111</v>
      </c>
      <c r="X68" s="1280" t="s">
        <v>111</v>
      </c>
      <c r="Y68" s="1280" t="s">
        <v>111</v>
      </c>
      <c r="Z68" s="1280" t="s">
        <v>111</v>
      </c>
      <c r="AA68" s="1280" t="s">
        <v>111</v>
      </c>
      <c r="AB68" s="1280" t="s">
        <v>111</v>
      </c>
      <c r="AC68" s="1280" t="s">
        <v>111</v>
      </c>
      <c r="AD68" s="1280" t="s">
        <v>111</v>
      </c>
      <c r="AE68" s="1280" t="s">
        <v>111</v>
      </c>
      <c r="AF68" s="1280" t="s">
        <v>111</v>
      </c>
      <c r="AG68" s="1280" t="s">
        <v>111</v>
      </c>
      <c r="AH68" s="53">
        <f t="shared" si="11"/>
        <v>0</v>
      </c>
    </row>
    <row r="69" spans="1:34" ht="15">
      <c r="A69" s="88" t="s">
        <v>74</v>
      </c>
      <c r="B69" s="90">
        <f t="shared" ref="B69:R69" si="12">SUM(B57:B68)</f>
        <v>0</v>
      </c>
      <c r="C69" s="71">
        <f t="shared" si="12"/>
        <v>0</v>
      </c>
      <c r="D69" s="71">
        <f t="shared" si="12"/>
        <v>0</v>
      </c>
      <c r="E69" s="71">
        <f t="shared" si="12"/>
        <v>0</v>
      </c>
      <c r="F69" s="71">
        <f t="shared" si="12"/>
        <v>0</v>
      </c>
      <c r="G69" s="71">
        <f t="shared" si="12"/>
        <v>0</v>
      </c>
      <c r="H69" s="71">
        <f t="shared" si="12"/>
        <v>0</v>
      </c>
      <c r="I69" s="71">
        <f t="shared" si="12"/>
        <v>0</v>
      </c>
      <c r="J69" s="71">
        <f t="shared" si="12"/>
        <v>0</v>
      </c>
      <c r="K69" s="71">
        <f t="shared" si="12"/>
        <v>0</v>
      </c>
      <c r="L69" s="71">
        <f t="shared" si="12"/>
        <v>0</v>
      </c>
      <c r="M69" s="71">
        <f t="shared" si="12"/>
        <v>0</v>
      </c>
      <c r="N69" s="71">
        <f t="shared" si="12"/>
        <v>0</v>
      </c>
      <c r="O69" s="71">
        <f t="shared" si="12"/>
        <v>0</v>
      </c>
      <c r="P69" s="71">
        <f t="shared" si="12"/>
        <v>0</v>
      </c>
      <c r="Q69" s="71">
        <f t="shared" si="12"/>
        <v>0</v>
      </c>
      <c r="R69" s="71">
        <f t="shared" si="12"/>
        <v>0</v>
      </c>
      <c r="S69" s="53">
        <f t="shared" ref="S69:AC69" si="13">SUM(S57:S67)</f>
        <v>0</v>
      </c>
      <c r="T69" s="53">
        <f t="shared" si="13"/>
        <v>0</v>
      </c>
      <c r="U69" s="53">
        <f t="shared" si="13"/>
        <v>0</v>
      </c>
      <c r="V69" s="53">
        <f t="shared" si="13"/>
        <v>0</v>
      </c>
      <c r="W69" s="53">
        <f t="shared" si="13"/>
        <v>0</v>
      </c>
      <c r="X69" s="53">
        <f t="shared" si="13"/>
        <v>0</v>
      </c>
      <c r="Y69" s="53">
        <f t="shared" si="13"/>
        <v>0</v>
      </c>
      <c r="Z69" s="53">
        <f t="shared" si="13"/>
        <v>0</v>
      </c>
      <c r="AA69" s="53">
        <f t="shared" si="13"/>
        <v>0</v>
      </c>
      <c r="AB69" s="53">
        <f t="shared" si="13"/>
        <v>0</v>
      </c>
      <c r="AC69" s="53">
        <f t="shared" si="13"/>
        <v>0</v>
      </c>
      <c r="AD69" s="53">
        <v>0</v>
      </c>
      <c r="AE69" s="53">
        <f>SUM(AE57:AE67)</f>
        <v>0</v>
      </c>
      <c r="AF69" s="53">
        <f>SUM(AF57:AF67)</f>
        <v>0</v>
      </c>
      <c r="AG69" s="53">
        <f>SUM(AG57:AG67)</f>
        <v>0</v>
      </c>
      <c r="AH69" s="46">
        <f>SUM(AH57:AH67)</f>
        <v>0</v>
      </c>
    </row>
    <row r="70" spans="1:34" ht="15">
      <c r="A70" s="135"/>
      <c r="B70" s="233"/>
      <c r="C70" s="74"/>
      <c r="D70" s="74"/>
      <c r="E70" s="74"/>
      <c r="F70" s="74"/>
      <c r="G70" s="74"/>
      <c r="H70" s="74"/>
      <c r="I70" s="74"/>
      <c r="J70" s="74"/>
      <c r="K70" s="74"/>
      <c r="L70" s="74"/>
      <c r="M70" s="74"/>
      <c r="N70" s="74"/>
      <c r="O70" s="74"/>
      <c r="P70" s="74"/>
      <c r="Q70" s="74"/>
      <c r="R70" s="74"/>
      <c r="S70" s="52"/>
      <c r="T70" s="52"/>
      <c r="U70" s="52"/>
      <c r="V70" s="52"/>
      <c r="W70" s="52"/>
      <c r="X70" s="52"/>
      <c r="Y70" s="52"/>
      <c r="Z70" s="52"/>
      <c r="AA70" s="52"/>
      <c r="AB70" s="52"/>
      <c r="AC70" s="52"/>
      <c r="AD70" s="52"/>
      <c r="AE70" s="52"/>
      <c r="AF70" s="52"/>
      <c r="AG70" s="52"/>
      <c r="AH70" s="13"/>
    </row>
    <row r="71" spans="1:34" ht="15">
      <c r="A71" s="3569" t="s">
        <v>93</v>
      </c>
      <c r="B71" s="3570"/>
      <c r="C71" s="3571"/>
      <c r="D71" s="34"/>
      <c r="E71" s="34"/>
      <c r="F71" s="34"/>
      <c r="G71" s="34"/>
      <c r="H71" s="34"/>
      <c r="I71" s="34"/>
      <c r="J71" s="34"/>
      <c r="K71" s="34"/>
      <c r="L71" s="34"/>
      <c r="M71" s="34"/>
      <c r="N71" s="34"/>
      <c r="O71" s="34"/>
      <c r="P71" s="34"/>
      <c r="Q71" s="34"/>
      <c r="R71" s="34"/>
      <c r="S71" s="52"/>
      <c r="T71" s="52"/>
      <c r="U71" s="52"/>
      <c r="V71" s="52"/>
      <c r="W71" s="52"/>
      <c r="X71" s="52"/>
      <c r="Y71" s="52"/>
      <c r="Z71" s="52"/>
      <c r="AA71" s="52"/>
      <c r="AB71" s="52"/>
      <c r="AC71" s="52"/>
      <c r="AD71" s="52"/>
      <c r="AE71" s="52"/>
      <c r="AF71" s="52"/>
      <c r="AG71" s="52"/>
      <c r="AH71" s="13"/>
    </row>
    <row r="72" spans="1:34" ht="15">
      <c r="A72" s="5" t="s">
        <v>72</v>
      </c>
      <c r="B72" s="28" t="s">
        <v>73</v>
      </c>
      <c r="C72" s="72">
        <v>1</v>
      </c>
      <c r="D72" s="35">
        <v>2</v>
      </c>
      <c r="E72" s="35">
        <v>3</v>
      </c>
      <c r="F72" s="35">
        <v>4</v>
      </c>
      <c r="G72" s="35">
        <v>5</v>
      </c>
      <c r="H72" s="35">
        <v>6</v>
      </c>
      <c r="I72" s="35">
        <v>7</v>
      </c>
      <c r="J72" s="35">
        <v>8</v>
      </c>
      <c r="K72" s="35">
        <v>9</v>
      </c>
      <c r="L72" s="35">
        <v>10</v>
      </c>
      <c r="M72" s="35">
        <v>11</v>
      </c>
      <c r="N72" s="35">
        <v>12</v>
      </c>
      <c r="O72" s="35">
        <v>13</v>
      </c>
      <c r="P72" s="35">
        <v>14</v>
      </c>
      <c r="Q72" s="35">
        <v>15</v>
      </c>
      <c r="R72" s="35">
        <v>16</v>
      </c>
      <c r="S72" s="30">
        <v>17</v>
      </c>
      <c r="T72" s="30">
        <v>18</v>
      </c>
      <c r="U72" s="30">
        <v>19</v>
      </c>
      <c r="V72" s="30">
        <v>20</v>
      </c>
      <c r="W72" s="30">
        <v>21</v>
      </c>
      <c r="X72" s="30">
        <v>22</v>
      </c>
      <c r="Y72" s="30">
        <v>23</v>
      </c>
      <c r="Z72" s="30">
        <v>24</v>
      </c>
      <c r="AA72" s="30">
        <v>25</v>
      </c>
      <c r="AB72" s="30">
        <v>26</v>
      </c>
      <c r="AC72" s="30">
        <v>27</v>
      </c>
      <c r="AD72" s="30">
        <v>28</v>
      </c>
      <c r="AE72" s="30">
        <v>29</v>
      </c>
      <c r="AF72" s="30">
        <v>30</v>
      </c>
      <c r="AG72" s="30">
        <v>31</v>
      </c>
      <c r="AH72" s="39" t="s">
        <v>74</v>
      </c>
    </row>
    <row r="73" spans="1:34" ht="15">
      <c r="A73" s="128" t="s">
        <v>75</v>
      </c>
      <c r="B73" s="28">
        <f t="shared" ref="B73:B84" si="14">+AH73</f>
        <v>0</v>
      </c>
      <c r="C73" s="688" t="s">
        <v>111</v>
      </c>
      <c r="D73" s="688" t="s">
        <v>111</v>
      </c>
      <c r="E73" s="688" t="s">
        <v>111</v>
      </c>
      <c r="F73" s="688" t="s">
        <v>111</v>
      </c>
      <c r="G73" s="688" t="s">
        <v>111</v>
      </c>
      <c r="H73" s="688" t="s">
        <v>111</v>
      </c>
      <c r="I73" s="688" t="s">
        <v>111</v>
      </c>
      <c r="J73" s="688" t="s">
        <v>111</v>
      </c>
      <c r="K73" s="688" t="s">
        <v>111</v>
      </c>
      <c r="L73" s="688" t="s">
        <v>111</v>
      </c>
      <c r="M73" s="688" t="s">
        <v>111</v>
      </c>
      <c r="N73" s="688" t="s">
        <v>111</v>
      </c>
      <c r="O73" s="688" t="s">
        <v>111</v>
      </c>
      <c r="P73" s="688" t="s">
        <v>111</v>
      </c>
      <c r="Q73" s="688" t="s">
        <v>111</v>
      </c>
      <c r="R73" s="688" t="s">
        <v>111</v>
      </c>
      <c r="S73" s="688" t="s">
        <v>111</v>
      </c>
      <c r="T73" s="688" t="s">
        <v>111</v>
      </c>
      <c r="U73" s="688" t="s">
        <v>111</v>
      </c>
      <c r="V73" s="688" t="s">
        <v>111</v>
      </c>
      <c r="W73" s="688" t="s">
        <v>111</v>
      </c>
      <c r="X73" s="688" t="s">
        <v>111</v>
      </c>
      <c r="Y73" s="688" t="s">
        <v>111</v>
      </c>
      <c r="Z73" s="688" t="s">
        <v>111</v>
      </c>
      <c r="AA73" s="688" t="s">
        <v>111</v>
      </c>
      <c r="AB73" s="688" t="s">
        <v>111</v>
      </c>
      <c r="AC73" s="688" t="s">
        <v>111</v>
      </c>
      <c r="AD73" s="688" t="s">
        <v>111</v>
      </c>
      <c r="AE73" s="688" t="s">
        <v>111</v>
      </c>
      <c r="AF73" s="688" t="s">
        <v>111</v>
      </c>
      <c r="AG73" s="688" t="s">
        <v>111</v>
      </c>
      <c r="AH73" s="53">
        <f>SUM(C73:AG73)</f>
        <v>0</v>
      </c>
    </row>
    <row r="74" spans="1:34" ht="15">
      <c r="A74" s="128" t="s">
        <v>76</v>
      </c>
      <c r="B74" s="28">
        <f t="shared" si="14"/>
        <v>0.11</v>
      </c>
      <c r="C74" s="688" t="s">
        <v>111</v>
      </c>
      <c r="D74" s="688" t="s">
        <v>111</v>
      </c>
      <c r="E74" s="688" t="s">
        <v>111</v>
      </c>
      <c r="F74" s="688" t="s">
        <v>111</v>
      </c>
      <c r="G74" s="688" t="s">
        <v>111</v>
      </c>
      <c r="H74" s="688" t="s">
        <v>111</v>
      </c>
      <c r="I74" s="688" t="s">
        <v>111</v>
      </c>
      <c r="J74" s="688" t="s">
        <v>111</v>
      </c>
      <c r="K74" s="688" t="s">
        <v>111</v>
      </c>
      <c r="L74" s="688" t="s">
        <v>111</v>
      </c>
      <c r="M74" s="3244">
        <v>0.11</v>
      </c>
      <c r="N74" s="688" t="s">
        <v>111</v>
      </c>
      <c r="O74" s="688" t="s">
        <v>111</v>
      </c>
      <c r="P74" s="688" t="s">
        <v>111</v>
      </c>
      <c r="Q74" s="688" t="s">
        <v>111</v>
      </c>
      <c r="R74" s="688" t="s">
        <v>111</v>
      </c>
      <c r="S74" s="688" t="s">
        <v>111</v>
      </c>
      <c r="T74" s="688" t="s">
        <v>111</v>
      </c>
      <c r="U74" s="688" t="s">
        <v>111</v>
      </c>
      <c r="V74" s="688" t="s">
        <v>111</v>
      </c>
      <c r="W74" s="688" t="s">
        <v>111</v>
      </c>
      <c r="X74" s="688" t="s">
        <v>111</v>
      </c>
      <c r="Y74" s="688" t="s">
        <v>111</v>
      </c>
      <c r="Z74" s="688" t="s">
        <v>111</v>
      </c>
      <c r="AA74" s="688" t="s">
        <v>111</v>
      </c>
      <c r="AB74" s="688" t="s">
        <v>111</v>
      </c>
      <c r="AC74" s="688" t="s">
        <v>111</v>
      </c>
      <c r="AD74" s="688" t="s">
        <v>111</v>
      </c>
      <c r="AE74" s="688" t="s">
        <v>111</v>
      </c>
      <c r="AF74" s="688" t="s">
        <v>111</v>
      </c>
      <c r="AG74" s="688" t="s">
        <v>111</v>
      </c>
      <c r="AH74" s="53">
        <f t="shared" ref="AH74:AH84" si="15">SUM(C74:AG74)</f>
        <v>0.11</v>
      </c>
    </row>
    <row r="75" spans="1:34" ht="15">
      <c r="A75" s="128" t="s">
        <v>77</v>
      </c>
      <c r="B75" s="28">
        <f t="shared" si="14"/>
        <v>257.74600000000004</v>
      </c>
      <c r="C75" s="688" t="s">
        <v>111</v>
      </c>
      <c r="D75" s="688" t="s">
        <v>111</v>
      </c>
      <c r="E75" s="688" t="s">
        <v>111</v>
      </c>
      <c r="F75" s="3244">
        <v>0.1</v>
      </c>
      <c r="G75" s="688" t="s">
        <v>111</v>
      </c>
      <c r="H75" s="1287"/>
      <c r="I75" s="1287">
        <v>47.862000000000002</v>
      </c>
      <c r="J75" s="1287">
        <v>58.634999999999998</v>
      </c>
      <c r="K75" s="1287">
        <v>66.652000000000001</v>
      </c>
      <c r="L75" s="1287"/>
      <c r="M75" s="1287">
        <v>14.435</v>
      </c>
      <c r="N75" s="1287"/>
      <c r="O75" s="1287">
        <v>50.792999999999999</v>
      </c>
      <c r="P75" s="1287">
        <v>13.634</v>
      </c>
      <c r="Q75" s="1287"/>
      <c r="R75" s="1287"/>
      <c r="S75" s="1287"/>
      <c r="T75" s="1287"/>
      <c r="U75" s="1287"/>
      <c r="V75" s="1287"/>
      <c r="W75" s="1287"/>
      <c r="X75" s="1287"/>
      <c r="Y75" s="1287"/>
      <c r="Z75" s="1287"/>
      <c r="AA75" s="1287">
        <v>5.6349999999999998</v>
      </c>
      <c r="AB75" s="1287"/>
      <c r="AC75" s="1930"/>
      <c r="AD75" s="1930"/>
      <c r="AE75" s="1930"/>
      <c r="AF75" s="1930"/>
      <c r="AG75" s="1930"/>
      <c r="AH75" s="53">
        <f>SUM(C75:AG75)</f>
        <v>257.74600000000004</v>
      </c>
    </row>
    <row r="76" spans="1:34" ht="15">
      <c r="A76" s="128" t="s">
        <v>78</v>
      </c>
      <c r="B76" s="28">
        <f t="shared" si="14"/>
        <v>0.32500000000000001</v>
      </c>
      <c r="C76" s="1930"/>
      <c r="D76" s="1930"/>
      <c r="E76" s="1930"/>
      <c r="F76" s="1930"/>
      <c r="G76" s="1930">
        <v>9.5000000000000001E-2</v>
      </c>
      <c r="H76" s="1930"/>
      <c r="I76" s="1930"/>
      <c r="J76" s="1930"/>
      <c r="K76" s="1930"/>
      <c r="L76" s="2465"/>
      <c r="M76" s="2465"/>
      <c r="N76" s="2465"/>
      <c r="O76" s="2465"/>
      <c r="P76" s="2465"/>
      <c r="Q76" s="2465"/>
      <c r="R76" s="2465"/>
      <c r="S76" s="2465"/>
      <c r="T76" s="2465"/>
      <c r="U76" s="2465"/>
      <c r="V76" s="2465"/>
      <c r="W76" s="2465"/>
      <c r="X76" s="2465"/>
      <c r="Y76" s="2465">
        <v>0.15</v>
      </c>
      <c r="Z76" s="2465">
        <v>0.08</v>
      </c>
      <c r="AA76" s="2465"/>
      <c r="AB76" s="2465"/>
      <c r="AC76" s="2465"/>
      <c r="AD76" s="2465"/>
      <c r="AE76" s="2465"/>
      <c r="AF76" s="2465"/>
      <c r="AG76" s="2465"/>
      <c r="AH76" s="53">
        <f t="shared" si="15"/>
        <v>0.32500000000000001</v>
      </c>
    </row>
    <row r="77" spans="1:34" ht="15">
      <c r="A77" s="132" t="s">
        <v>79</v>
      </c>
      <c r="B77" s="28">
        <f t="shared" si="14"/>
        <v>0.1</v>
      </c>
      <c r="C77" s="1287"/>
      <c r="D77" s="1287"/>
      <c r="E77" s="1287"/>
      <c r="F77" s="1287"/>
      <c r="G77" s="1287"/>
      <c r="H77" s="1287">
        <v>0.1</v>
      </c>
      <c r="I77" s="1287"/>
      <c r="J77" s="1287"/>
      <c r="K77" s="1287"/>
      <c r="L77" s="1287"/>
      <c r="M77" s="1287"/>
      <c r="N77" s="1287"/>
      <c r="O77" s="1287"/>
      <c r="P77" s="1287"/>
      <c r="Q77" s="1287"/>
      <c r="R77" s="1287"/>
      <c r="S77" s="1287"/>
      <c r="T77" s="1287"/>
      <c r="U77" s="1287"/>
      <c r="V77" s="1287"/>
      <c r="W77" s="1287"/>
      <c r="X77" s="1287"/>
      <c r="Y77" s="1287"/>
      <c r="Z77" s="1287"/>
      <c r="AA77" s="1287"/>
      <c r="AB77" s="1287"/>
      <c r="AC77" s="1287"/>
      <c r="AD77" s="1287"/>
      <c r="AE77" s="1287"/>
      <c r="AF77" s="1287"/>
      <c r="AG77" s="1287"/>
      <c r="AH77" s="53">
        <f t="shared" si="15"/>
        <v>0.1</v>
      </c>
    </row>
    <row r="78" spans="1:34" ht="15">
      <c r="A78" s="132" t="s">
        <v>80</v>
      </c>
      <c r="B78" s="28">
        <f t="shared" si="14"/>
        <v>0</v>
      </c>
      <c r="C78" s="1287"/>
      <c r="D78" s="1287"/>
      <c r="E78" s="1287"/>
      <c r="F78" s="1287"/>
      <c r="G78" s="1287"/>
      <c r="H78" s="1287"/>
      <c r="I78" s="1287"/>
      <c r="J78" s="1287"/>
      <c r="K78" s="1287"/>
      <c r="L78" s="1287"/>
      <c r="M78" s="1287"/>
      <c r="N78" s="1287"/>
      <c r="O78" s="1287"/>
      <c r="P78" s="1287"/>
      <c r="Q78" s="1287"/>
      <c r="R78" s="1287"/>
      <c r="S78" s="1287"/>
      <c r="T78" s="1287"/>
      <c r="U78" s="1287"/>
      <c r="V78" s="1287"/>
      <c r="W78" s="1287"/>
      <c r="X78" s="1287"/>
      <c r="Y78" s="1287"/>
      <c r="Z78" s="1287"/>
      <c r="AA78" s="1287"/>
      <c r="AB78" s="1287"/>
      <c r="AC78" s="1287"/>
      <c r="AD78" s="1287"/>
      <c r="AE78" s="1287"/>
      <c r="AF78" s="1287"/>
      <c r="AG78" s="1287"/>
      <c r="AH78" s="53">
        <f t="shared" si="15"/>
        <v>0</v>
      </c>
    </row>
    <row r="79" spans="1:34" ht="15">
      <c r="A79" s="132" t="s">
        <v>81</v>
      </c>
      <c r="B79" s="28">
        <f t="shared" si="14"/>
        <v>0</v>
      </c>
      <c r="C79" s="1287"/>
      <c r="D79" s="1488"/>
      <c r="E79" s="1488"/>
      <c r="F79" s="1488"/>
      <c r="G79" s="1287"/>
      <c r="H79" s="1287"/>
      <c r="I79" s="1287"/>
      <c r="J79" s="2466"/>
      <c r="K79" s="2466"/>
      <c r="L79" s="1488"/>
      <c r="M79" s="1488"/>
      <c r="N79" s="1488"/>
      <c r="O79" s="1488"/>
      <c r="P79" s="1488"/>
      <c r="Q79" s="1488"/>
      <c r="R79" s="1488"/>
      <c r="S79" s="1287"/>
      <c r="T79" s="1287"/>
      <c r="U79" s="1287"/>
      <c r="V79" s="1287"/>
      <c r="W79" s="1280"/>
      <c r="X79" s="1280"/>
      <c r="Y79" s="1280"/>
      <c r="Z79" s="1280"/>
      <c r="AA79" s="1280"/>
      <c r="AB79" s="1280"/>
      <c r="AC79" s="1280"/>
      <c r="AD79" s="1280"/>
      <c r="AE79" s="1280"/>
      <c r="AF79" s="81" t="s">
        <v>112</v>
      </c>
      <c r="AG79" s="81" t="s">
        <v>112</v>
      </c>
      <c r="AH79" s="53">
        <f t="shared" si="15"/>
        <v>0</v>
      </c>
    </row>
    <row r="80" spans="1:34" ht="15">
      <c r="A80" s="132" t="s">
        <v>82</v>
      </c>
      <c r="B80" s="28">
        <f t="shared" si="14"/>
        <v>0</v>
      </c>
      <c r="C80" s="81" t="s">
        <v>112</v>
      </c>
      <c r="D80" s="81" t="s">
        <v>112</v>
      </c>
      <c r="E80" s="81" t="s">
        <v>112</v>
      </c>
      <c r="F80" s="81" t="s">
        <v>112</v>
      </c>
      <c r="G80" s="81" t="s">
        <v>112</v>
      </c>
      <c r="H80" s="81" t="s">
        <v>112</v>
      </c>
      <c r="I80" s="81" t="s">
        <v>112</v>
      </c>
      <c r="J80" s="81" t="s">
        <v>112</v>
      </c>
      <c r="K80" s="81" t="s">
        <v>112</v>
      </c>
      <c r="L80" s="81" t="s">
        <v>112</v>
      </c>
      <c r="M80" s="81" t="s">
        <v>112</v>
      </c>
      <c r="N80" s="81" t="s">
        <v>112</v>
      </c>
      <c r="O80" s="81" t="s">
        <v>112</v>
      </c>
      <c r="P80" s="81" t="s">
        <v>112</v>
      </c>
      <c r="Q80" s="81" t="s">
        <v>112</v>
      </c>
      <c r="R80" s="81" t="s">
        <v>112</v>
      </c>
      <c r="S80" s="81" t="s">
        <v>112</v>
      </c>
      <c r="T80" s="81" t="s">
        <v>112</v>
      </c>
      <c r="U80" s="81" t="s">
        <v>112</v>
      </c>
      <c r="V80" s="81" t="s">
        <v>112</v>
      </c>
      <c r="W80" s="81" t="s">
        <v>112</v>
      </c>
      <c r="X80" s="81" t="s">
        <v>112</v>
      </c>
      <c r="Y80" s="81" t="s">
        <v>112</v>
      </c>
      <c r="Z80" s="81" t="s">
        <v>112</v>
      </c>
      <c r="AA80" s="81" t="s">
        <v>112</v>
      </c>
      <c r="AB80" s="81" t="s">
        <v>112</v>
      </c>
      <c r="AC80" s="81" t="s">
        <v>112</v>
      </c>
      <c r="AD80" s="81" t="s">
        <v>112</v>
      </c>
      <c r="AE80" s="81" t="s">
        <v>112</v>
      </c>
      <c r="AF80" s="81" t="s">
        <v>112</v>
      </c>
      <c r="AG80" s="81" t="s">
        <v>112</v>
      </c>
      <c r="AH80" s="53">
        <f t="shared" si="15"/>
        <v>0</v>
      </c>
    </row>
    <row r="81" spans="1:34" ht="15">
      <c r="A81" s="30" t="s">
        <v>83</v>
      </c>
      <c r="B81" s="28">
        <f t="shared" si="14"/>
        <v>0</v>
      </c>
      <c r="C81" s="81" t="s">
        <v>112</v>
      </c>
      <c r="D81" s="81" t="s">
        <v>112</v>
      </c>
      <c r="E81" s="81" t="s">
        <v>112</v>
      </c>
      <c r="F81" s="81" t="s">
        <v>112</v>
      </c>
      <c r="G81" s="81" t="s">
        <v>112</v>
      </c>
      <c r="H81" s="81" t="s">
        <v>112</v>
      </c>
      <c r="I81" s="81" t="s">
        <v>112</v>
      </c>
      <c r="J81" s="81" t="s">
        <v>112</v>
      </c>
      <c r="K81" s="81" t="s">
        <v>112</v>
      </c>
      <c r="L81" s="81" t="s">
        <v>112</v>
      </c>
      <c r="M81" s="81" t="s">
        <v>112</v>
      </c>
      <c r="N81" s="81" t="s">
        <v>112</v>
      </c>
      <c r="O81" s="81" t="s">
        <v>112</v>
      </c>
      <c r="P81" s="81" t="s">
        <v>112</v>
      </c>
      <c r="Q81" s="81" t="s">
        <v>112</v>
      </c>
      <c r="R81" s="81" t="s">
        <v>112</v>
      </c>
      <c r="S81" s="81" t="s">
        <v>112</v>
      </c>
      <c r="T81" s="81" t="s">
        <v>112</v>
      </c>
      <c r="U81" s="81" t="s">
        <v>112</v>
      </c>
      <c r="V81" s="81" t="s">
        <v>112</v>
      </c>
      <c r="W81" s="81" t="s">
        <v>112</v>
      </c>
      <c r="X81" s="81" t="s">
        <v>112</v>
      </c>
      <c r="Y81" s="81" t="s">
        <v>112</v>
      </c>
      <c r="Z81" s="81" t="s">
        <v>112</v>
      </c>
      <c r="AA81" s="81" t="s">
        <v>112</v>
      </c>
      <c r="AB81" s="81" t="s">
        <v>112</v>
      </c>
      <c r="AC81" s="81" t="s">
        <v>112</v>
      </c>
      <c r="AD81" s="81" t="s">
        <v>112</v>
      </c>
      <c r="AE81" s="81" t="s">
        <v>112</v>
      </c>
      <c r="AF81" s="81" t="s">
        <v>112</v>
      </c>
      <c r="AG81" s="81" t="s">
        <v>112</v>
      </c>
      <c r="AH81" s="53">
        <f t="shared" si="15"/>
        <v>0</v>
      </c>
    </row>
    <row r="82" spans="1:34" ht="15">
      <c r="A82" s="30" t="s">
        <v>84</v>
      </c>
      <c r="B82" s="28">
        <f t="shared" si="14"/>
        <v>0</v>
      </c>
      <c r="C82" s="81" t="s">
        <v>112</v>
      </c>
      <c r="D82" s="81" t="s">
        <v>112</v>
      </c>
      <c r="E82" s="81" t="s">
        <v>112</v>
      </c>
      <c r="F82" s="81" t="s">
        <v>112</v>
      </c>
      <c r="G82" s="81" t="s">
        <v>112</v>
      </c>
      <c r="H82" s="81" t="s">
        <v>112</v>
      </c>
      <c r="I82" s="81" t="s">
        <v>112</v>
      </c>
      <c r="J82" s="81" t="s">
        <v>112</v>
      </c>
      <c r="K82" s="81" t="s">
        <v>112</v>
      </c>
      <c r="L82" s="81" t="s">
        <v>112</v>
      </c>
      <c r="M82" s="81" t="s">
        <v>112</v>
      </c>
      <c r="N82" s="81" t="s">
        <v>112</v>
      </c>
      <c r="O82" s="81" t="s">
        <v>112</v>
      </c>
      <c r="P82" s="81" t="s">
        <v>112</v>
      </c>
      <c r="Q82" s="81" t="s">
        <v>112</v>
      </c>
      <c r="R82" s="81" t="s">
        <v>112</v>
      </c>
      <c r="S82" s="81" t="s">
        <v>112</v>
      </c>
      <c r="T82" s="81" t="s">
        <v>112</v>
      </c>
      <c r="U82" s="81" t="s">
        <v>112</v>
      </c>
      <c r="V82" s="81" t="s">
        <v>112</v>
      </c>
      <c r="W82" s="81" t="s">
        <v>112</v>
      </c>
      <c r="X82" s="1287"/>
      <c r="Y82" s="1287"/>
      <c r="Z82" s="1287"/>
      <c r="AA82" s="1287"/>
      <c r="AB82" s="1287"/>
      <c r="AC82" s="1287"/>
      <c r="AD82" s="1287"/>
      <c r="AE82" s="1488"/>
      <c r="AF82" s="1287"/>
      <c r="AG82" s="1488"/>
      <c r="AH82" s="53">
        <f t="shared" si="15"/>
        <v>0</v>
      </c>
    </row>
    <row r="83" spans="1:34" ht="15">
      <c r="A83" s="30" t="s">
        <v>85</v>
      </c>
      <c r="B83" s="28">
        <f t="shared" si="14"/>
        <v>0</v>
      </c>
      <c r="C83" s="1287"/>
      <c r="D83" s="1287"/>
      <c r="E83" s="1287"/>
      <c r="F83" s="1287"/>
      <c r="G83" s="1433"/>
      <c r="H83" s="1287"/>
      <c r="I83" s="1287"/>
      <c r="J83" s="1287"/>
      <c r="K83" s="1287"/>
      <c r="L83" s="1287"/>
      <c r="M83" s="1287"/>
      <c r="N83" s="1287"/>
      <c r="O83" s="1287"/>
      <c r="P83" s="1287"/>
      <c r="Q83" s="1287"/>
      <c r="R83" s="1287"/>
      <c r="S83" s="1287"/>
      <c r="T83" s="1287"/>
      <c r="U83" s="1287"/>
      <c r="V83" s="1287"/>
      <c r="W83" s="1287"/>
      <c r="X83" s="1287"/>
      <c r="Y83" s="1287"/>
      <c r="Z83" s="1287"/>
      <c r="AA83" s="1287"/>
      <c r="AB83" s="1287"/>
      <c r="AC83" s="1287"/>
      <c r="AD83" s="1287"/>
      <c r="AE83" s="1488"/>
      <c r="AF83" s="1287"/>
      <c r="AG83" s="1488"/>
      <c r="AH83" s="53">
        <f t="shared" si="15"/>
        <v>0</v>
      </c>
    </row>
    <row r="84" spans="1:34" ht="15">
      <c r="A84" s="30" t="s">
        <v>86</v>
      </c>
      <c r="B84" s="28">
        <f t="shared" si="14"/>
        <v>0</v>
      </c>
      <c r="C84" s="1287"/>
      <c r="D84" s="1287"/>
      <c r="E84" s="1287"/>
      <c r="F84" s="1287"/>
      <c r="G84" s="1287"/>
      <c r="H84" s="1287"/>
      <c r="I84" s="1287"/>
      <c r="J84" s="1287"/>
      <c r="K84" s="1287"/>
      <c r="L84" s="1287"/>
      <c r="M84" s="1287"/>
      <c r="N84" s="1287"/>
      <c r="O84" s="1287"/>
      <c r="P84" s="1287"/>
      <c r="Q84" s="1287"/>
      <c r="R84" s="1287"/>
      <c r="S84" s="1287"/>
      <c r="T84" s="1287"/>
      <c r="U84" s="1287"/>
      <c r="V84" s="1287"/>
      <c r="W84" s="1287"/>
      <c r="X84" s="1287"/>
      <c r="Y84" s="1287"/>
      <c r="Z84" s="1287"/>
      <c r="AA84" s="1287"/>
      <c r="AB84" s="1287"/>
      <c r="AC84" s="1287"/>
      <c r="AD84" s="1287"/>
      <c r="AE84" s="1287"/>
      <c r="AF84" s="1287"/>
      <c r="AG84" s="1287"/>
      <c r="AH84" s="53">
        <f t="shared" si="15"/>
        <v>0</v>
      </c>
    </row>
    <row r="85" spans="1:34" ht="15">
      <c r="A85" s="88" t="s">
        <v>74</v>
      </c>
      <c r="B85" s="90">
        <f t="shared" ref="B85:R85" si="16">SUM(B73:B84)</f>
        <v>258.28100000000006</v>
      </c>
      <c r="C85" s="71">
        <f t="shared" si="16"/>
        <v>0</v>
      </c>
      <c r="D85" s="71">
        <f t="shared" si="16"/>
        <v>0</v>
      </c>
      <c r="E85" s="71">
        <f t="shared" si="16"/>
        <v>0</v>
      </c>
      <c r="F85" s="71">
        <f t="shared" si="16"/>
        <v>0.1</v>
      </c>
      <c r="G85" s="71">
        <f t="shared" si="16"/>
        <v>9.5000000000000001E-2</v>
      </c>
      <c r="H85" s="71">
        <f t="shared" si="16"/>
        <v>0.1</v>
      </c>
      <c r="I85" s="71">
        <f t="shared" si="16"/>
        <v>47.862000000000002</v>
      </c>
      <c r="J85" s="71">
        <f t="shared" si="16"/>
        <v>58.634999999999998</v>
      </c>
      <c r="K85" s="71">
        <f t="shared" si="16"/>
        <v>66.652000000000001</v>
      </c>
      <c r="L85" s="71">
        <f t="shared" si="16"/>
        <v>0</v>
      </c>
      <c r="M85" s="71">
        <f t="shared" si="16"/>
        <v>14.545</v>
      </c>
      <c r="N85" s="71">
        <f t="shared" si="16"/>
        <v>0</v>
      </c>
      <c r="O85" s="71">
        <f t="shared" si="16"/>
        <v>50.792999999999999</v>
      </c>
      <c r="P85" s="71">
        <f t="shared" si="16"/>
        <v>13.634</v>
      </c>
      <c r="Q85" s="71">
        <f t="shared" si="16"/>
        <v>0</v>
      </c>
      <c r="R85" s="71">
        <f t="shared" si="16"/>
        <v>0</v>
      </c>
      <c r="S85" s="53">
        <f t="shared" ref="S85:AC85" si="17">SUM(S73:S83)</f>
        <v>0</v>
      </c>
      <c r="T85" s="53">
        <f t="shared" si="17"/>
        <v>0</v>
      </c>
      <c r="U85" s="53">
        <f t="shared" si="17"/>
        <v>0</v>
      </c>
      <c r="V85" s="53">
        <f t="shared" si="17"/>
        <v>0</v>
      </c>
      <c r="W85" s="53">
        <f t="shared" si="17"/>
        <v>0</v>
      </c>
      <c r="X85" s="53">
        <f t="shared" si="17"/>
        <v>0</v>
      </c>
      <c r="Y85" s="53">
        <f t="shared" si="17"/>
        <v>0.15</v>
      </c>
      <c r="Z85" s="53">
        <f t="shared" si="17"/>
        <v>0.08</v>
      </c>
      <c r="AA85" s="53">
        <f t="shared" si="17"/>
        <v>5.6349999999999998</v>
      </c>
      <c r="AB85" s="53">
        <f t="shared" si="17"/>
        <v>0</v>
      </c>
      <c r="AC85" s="53">
        <f t="shared" si="17"/>
        <v>0</v>
      </c>
      <c r="AD85" s="53">
        <v>0</v>
      </c>
      <c r="AE85" s="53">
        <f>SUM(AE73:AE83)</f>
        <v>0</v>
      </c>
      <c r="AF85" s="53">
        <f>SUM(AF73:AF83)</f>
        <v>0</v>
      </c>
      <c r="AG85" s="53">
        <f>SUM(AG73:AG83)</f>
        <v>0</v>
      </c>
      <c r="AH85" s="46">
        <f>SUM(AH73:AH83)</f>
        <v>258.28100000000006</v>
      </c>
    </row>
    <row r="86" spans="1:34" ht="15">
      <c r="A86" s="136"/>
      <c r="B86" s="238"/>
      <c r="C86" s="54"/>
      <c r="D86" s="55"/>
      <c r="E86" s="55"/>
      <c r="F86" s="55"/>
      <c r="G86" s="55"/>
      <c r="H86" s="55"/>
      <c r="I86" s="55"/>
      <c r="J86" s="55"/>
      <c r="K86" s="55"/>
      <c r="L86" s="55"/>
      <c r="M86" s="55"/>
      <c r="N86" s="55"/>
      <c r="O86" s="55"/>
      <c r="P86" s="55"/>
      <c r="Q86" s="55"/>
      <c r="R86" s="56"/>
      <c r="S86" s="52"/>
      <c r="T86" s="52"/>
      <c r="U86" s="52"/>
      <c r="V86" s="52"/>
      <c r="W86" s="52"/>
      <c r="X86" s="52"/>
      <c r="Y86" s="52"/>
      <c r="Z86" s="52"/>
      <c r="AA86" s="52"/>
      <c r="AB86" s="52"/>
      <c r="AC86" s="52"/>
      <c r="AD86" s="52"/>
      <c r="AE86" s="52"/>
      <c r="AF86" s="52"/>
      <c r="AG86" s="52"/>
      <c r="AH86" s="13"/>
    </row>
    <row r="87" spans="1:34" ht="15">
      <c r="A87" s="3591" t="s">
        <v>55</v>
      </c>
      <c r="B87" s="3592"/>
      <c r="C87" s="3592"/>
      <c r="D87" s="3592"/>
      <c r="E87" s="3592"/>
      <c r="F87" s="3592"/>
      <c r="G87" s="3592"/>
      <c r="H87" s="3592"/>
      <c r="I87" s="3592"/>
      <c r="J87" s="3592"/>
      <c r="K87" s="3592"/>
      <c r="L87" s="3592"/>
      <c r="M87" s="3592"/>
      <c r="N87" s="3592"/>
      <c r="O87" s="3592"/>
      <c r="P87" s="3592"/>
      <c r="Q87" s="3592"/>
      <c r="R87" s="3593"/>
      <c r="S87" s="11"/>
      <c r="T87" s="11"/>
      <c r="U87" s="11"/>
      <c r="V87" s="11"/>
      <c r="W87" s="11"/>
      <c r="X87" s="11"/>
      <c r="Y87" s="11"/>
      <c r="Z87" s="11"/>
      <c r="AA87" s="11"/>
      <c r="AB87" s="11"/>
      <c r="AC87" s="11"/>
      <c r="AD87" s="11"/>
      <c r="AE87" s="11"/>
      <c r="AF87" s="11"/>
      <c r="AG87" s="11"/>
      <c r="AH87" s="1"/>
    </row>
    <row r="88" spans="1:34" ht="5.0999999999999996" customHeight="1">
      <c r="A88" s="50"/>
      <c r="B88" s="51"/>
      <c r="C88" s="13"/>
      <c r="D88" s="52"/>
      <c r="E88" s="52"/>
      <c r="F88" s="52"/>
      <c r="G88" s="52"/>
      <c r="H88" s="52"/>
      <c r="I88" s="52"/>
      <c r="J88" s="52"/>
      <c r="K88" s="52"/>
      <c r="L88" s="52"/>
      <c r="M88" s="52"/>
      <c r="N88" s="52"/>
      <c r="O88" s="52"/>
      <c r="P88" s="52"/>
      <c r="Q88" s="52"/>
      <c r="R88" s="52"/>
      <c r="S88" s="52"/>
      <c r="T88" s="52"/>
      <c r="U88" s="52"/>
      <c r="V88" s="52"/>
      <c r="W88" s="52"/>
      <c r="X88" s="52"/>
      <c r="Y88" s="52"/>
      <c r="Z88" s="52"/>
      <c r="AA88" s="52"/>
      <c r="AB88" s="52"/>
      <c r="AC88" s="52"/>
      <c r="AD88" s="52"/>
      <c r="AE88" s="52"/>
      <c r="AF88" s="52"/>
      <c r="AG88" s="52"/>
      <c r="AH88" s="13"/>
    </row>
    <row r="89" spans="1:34" ht="15">
      <c r="A89" s="3569" t="s">
        <v>56</v>
      </c>
      <c r="B89" s="3570"/>
      <c r="C89" s="3570"/>
      <c r="D89" s="3570"/>
      <c r="E89" s="3570"/>
      <c r="F89" s="3570"/>
      <c r="G89" s="3570"/>
      <c r="H89" s="3571"/>
      <c r="I89" s="3251" t="s">
        <v>1125</v>
      </c>
      <c r="J89" s="43"/>
      <c r="K89" s="43"/>
      <c r="L89" s="3251" t="s">
        <v>1253</v>
      </c>
      <c r="M89" s="43"/>
      <c r="N89" s="43"/>
      <c r="O89" s="43"/>
      <c r="P89" s="43"/>
      <c r="Q89" s="43"/>
      <c r="R89" s="43"/>
      <c r="S89" s="11"/>
      <c r="T89" s="11"/>
      <c r="U89" s="11"/>
      <c r="V89" s="11"/>
      <c r="W89" s="11"/>
      <c r="X89" s="11"/>
      <c r="Y89" s="11"/>
      <c r="Z89" s="11"/>
      <c r="AA89" s="11"/>
      <c r="AB89" s="11"/>
      <c r="AC89" s="11"/>
      <c r="AD89" s="11"/>
      <c r="AE89" s="11"/>
      <c r="AF89" s="11"/>
      <c r="AG89" s="11"/>
      <c r="AH89" s="11"/>
    </row>
    <row r="90" spans="1:34" ht="15">
      <c r="A90" s="5" t="s">
        <v>72</v>
      </c>
      <c r="B90" s="5" t="s">
        <v>73</v>
      </c>
      <c r="C90" s="1233">
        <v>1</v>
      </c>
      <c r="D90" s="30">
        <v>2</v>
      </c>
      <c r="E90" s="30">
        <v>3</v>
      </c>
      <c r="F90" s="30">
        <v>4</v>
      </c>
      <c r="G90" s="30">
        <v>5</v>
      </c>
      <c r="H90" s="30">
        <v>6</v>
      </c>
      <c r="I90" s="30">
        <v>7</v>
      </c>
      <c r="J90" s="30">
        <v>8</v>
      </c>
      <c r="K90" s="30">
        <v>9</v>
      </c>
      <c r="L90" s="30">
        <v>10</v>
      </c>
      <c r="M90" s="30">
        <v>11</v>
      </c>
      <c r="N90" s="30">
        <v>12</v>
      </c>
      <c r="O90" s="30">
        <v>13</v>
      </c>
      <c r="P90" s="30">
        <v>14</v>
      </c>
      <c r="Q90" s="30">
        <v>15</v>
      </c>
      <c r="R90" s="30">
        <v>16</v>
      </c>
      <c r="S90" s="30">
        <v>17</v>
      </c>
      <c r="T90" s="30">
        <v>18</v>
      </c>
      <c r="U90" s="30">
        <v>19</v>
      </c>
      <c r="V90" s="30">
        <v>20</v>
      </c>
      <c r="W90" s="30">
        <v>21</v>
      </c>
      <c r="X90" s="30">
        <v>22</v>
      </c>
      <c r="Y90" s="30">
        <v>23</v>
      </c>
      <c r="Z90" s="30">
        <v>24</v>
      </c>
      <c r="AA90" s="30">
        <v>25</v>
      </c>
      <c r="AB90" s="30">
        <v>26</v>
      </c>
      <c r="AC90" s="30">
        <v>27</v>
      </c>
      <c r="AD90" s="30">
        <v>28</v>
      </c>
      <c r="AE90" s="30">
        <v>29</v>
      </c>
      <c r="AF90" s="30">
        <v>30</v>
      </c>
      <c r="AG90" s="30">
        <v>31</v>
      </c>
      <c r="AH90" s="39" t="s">
        <v>74</v>
      </c>
    </row>
    <row r="91" spans="1:34" ht="15">
      <c r="A91" s="143" t="s">
        <v>75</v>
      </c>
      <c r="B91" s="112">
        <f t="shared" ref="B91:B102" si="18">+AH91</f>
        <v>0</v>
      </c>
      <c r="C91" s="81" t="s">
        <v>111</v>
      </c>
      <c r="D91" s="81" t="s">
        <v>111</v>
      </c>
      <c r="E91" s="81" t="s">
        <v>111</v>
      </c>
      <c r="F91" s="81" t="s">
        <v>111</v>
      </c>
      <c r="G91" s="81" t="s">
        <v>111</v>
      </c>
      <c r="H91" s="81" t="s">
        <v>111</v>
      </c>
      <c r="I91" s="81" t="s">
        <v>111</v>
      </c>
      <c r="J91" s="81" t="s">
        <v>111</v>
      </c>
      <c r="K91" s="81" t="s">
        <v>111</v>
      </c>
      <c r="L91" s="81" t="s">
        <v>111</v>
      </c>
      <c r="M91" s="81" t="s">
        <v>111</v>
      </c>
      <c r="N91" s="81" t="s">
        <v>111</v>
      </c>
      <c r="O91" s="81" t="s">
        <v>111</v>
      </c>
      <c r="P91" s="81" t="s">
        <v>111</v>
      </c>
      <c r="Q91" s="81" t="s">
        <v>111</v>
      </c>
      <c r="R91" s="81" t="s">
        <v>111</v>
      </c>
      <c r="S91" s="81" t="s">
        <v>111</v>
      </c>
      <c r="T91" s="81" t="s">
        <v>111</v>
      </c>
      <c r="U91" s="81" t="s">
        <v>111</v>
      </c>
      <c r="V91" s="81" t="s">
        <v>111</v>
      </c>
      <c r="W91" s="81" t="s">
        <v>111</v>
      </c>
      <c r="X91" s="81" t="s">
        <v>111</v>
      </c>
      <c r="Y91" s="81" t="s">
        <v>111</v>
      </c>
      <c r="Z91" s="81" t="s">
        <v>111</v>
      </c>
      <c r="AA91" s="81" t="s">
        <v>111</v>
      </c>
      <c r="AB91" s="81" t="s">
        <v>111</v>
      </c>
      <c r="AC91" s="81" t="s">
        <v>111</v>
      </c>
      <c r="AD91" s="81" t="s">
        <v>111</v>
      </c>
      <c r="AE91" s="81" t="s">
        <v>111</v>
      </c>
      <c r="AF91" s="81" t="s">
        <v>111</v>
      </c>
      <c r="AG91" s="81" t="s">
        <v>111</v>
      </c>
      <c r="AH91" s="123">
        <f>SUM(C91:AG91)</f>
        <v>0</v>
      </c>
    </row>
    <row r="92" spans="1:34" ht="15">
      <c r="A92" s="143" t="s">
        <v>76</v>
      </c>
      <c r="B92" s="112">
        <f t="shared" si="18"/>
        <v>3738.8660000000009</v>
      </c>
      <c r="C92" s="81" t="s">
        <v>111</v>
      </c>
      <c r="D92" s="81" t="s">
        <v>111</v>
      </c>
      <c r="E92" s="81" t="s">
        <v>111</v>
      </c>
      <c r="F92" s="81" t="s">
        <v>111</v>
      </c>
      <c r="G92" s="81" t="s">
        <v>111</v>
      </c>
      <c r="H92" s="81" t="s">
        <v>111</v>
      </c>
      <c r="I92" s="81" t="s">
        <v>111</v>
      </c>
      <c r="J92" s="112"/>
      <c r="K92" s="160">
        <v>288.74799999999999</v>
      </c>
      <c r="L92" s="112">
        <v>188.88900000000001</v>
      </c>
      <c r="M92" s="112"/>
      <c r="N92" s="112">
        <v>72.581999999999994</v>
      </c>
      <c r="O92" s="112">
        <v>474.476</v>
      </c>
      <c r="P92" s="112">
        <v>402.72</v>
      </c>
      <c r="Q92" s="112">
        <v>349.40100000000001</v>
      </c>
      <c r="R92" s="112">
        <v>0</v>
      </c>
      <c r="S92" s="112">
        <v>350.80700000000002</v>
      </c>
      <c r="T92" s="112">
        <v>308.79599999999999</v>
      </c>
      <c r="U92" s="112">
        <v>171.06800000000001</v>
      </c>
      <c r="V92" s="112">
        <v>69.834999999999994</v>
      </c>
      <c r="W92" s="112">
        <v>0</v>
      </c>
      <c r="X92" s="112">
        <v>0</v>
      </c>
      <c r="Y92" s="112">
        <v>0</v>
      </c>
      <c r="Z92" s="112">
        <v>0</v>
      </c>
      <c r="AA92" s="112">
        <v>77.832999999999998</v>
      </c>
      <c r="AB92" s="112">
        <v>178.85300000000001</v>
      </c>
      <c r="AC92" s="112">
        <v>276.14600000000002</v>
      </c>
      <c r="AD92" s="112">
        <v>528.71199999999999</v>
      </c>
      <c r="AE92" s="112"/>
      <c r="AF92" s="112"/>
      <c r="AG92" s="112"/>
      <c r="AH92" s="123">
        <f t="shared" ref="AH92:AH102" si="19">SUM(C92:AG92)</f>
        <v>3738.8660000000009</v>
      </c>
    </row>
    <row r="93" spans="1:34" ht="15">
      <c r="A93" s="143" t="s">
        <v>77</v>
      </c>
      <c r="B93" s="112">
        <f t="shared" si="18"/>
        <v>3589.768</v>
      </c>
      <c r="C93" s="112">
        <v>442.23899999999998</v>
      </c>
      <c r="D93" s="112">
        <v>345.98099999999999</v>
      </c>
      <c r="E93" s="112">
        <v>93.34</v>
      </c>
      <c r="F93" s="112">
        <v>75.197000000000003</v>
      </c>
      <c r="G93" s="112">
        <v>359.26100000000002</v>
      </c>
      <c r="H93" s="118">
        <v>235.24100000000001</v>
      </c>
      <c r="I93" s="118">
        <v>0</v>
      </c>
      <c r="J93" s="118">
        <v>0</v>
      </c>
      <c r="K93" s="162">
        <v>0</v>
      </c>
      <c r="L93" s="118">
        <v>330.06900000000002</v>
      </c>
      <c r="M93" s="118">
        <v>235.755</v>
      </c>
      <c r="N93" s="118">
        <v>310.71899999999999</v>
      </c>
      <c r="O93" s="118">
        <v>0</v>
      </c>
      <c r="P93" s="118">
        <v>160.37299999999999</v>
      </c>
      <c r="Q93" s="118">
        <v>493.78800000000001</v>
      </c>
      <c r="R93" s="118">
        <v>88.747</v>
      </c>
      <c r="S93" s="118">
        <v>0</v>
      </c>
      <c r="T93" s="118">
        <v>0</v>
      </c>
      <c r="U93" s="118">
        <v>0</v>
      </c>
      <c r="V93" s="118">
        <v>0</v>
      </c>
      <c r="W93" s="118">
        <v>3.6669999999999998</v>
      </c>
      <c r="X93" s="118">
        <v>229.42500000000001</v>
      </c>
      <c r="Y93" s="118">
        <v>0</v>
      </c>
      <c r="Z93" s="118">
        <v>0</v>
      </c>
      <c r="AA93" s="118">
        <v>0</v>
      </c>
      <c r="AB93" s="118">
        <v>62.652999999999999</v>
      </c>
      <c r="AC93" s="81">
        <v>123.313</v>
      </c>
      <c r="AD93" s="81"/>
      <c r="AE93" s="81" t="s">
        <v>111</v>
      </c>
      <c r="AF93" s="81" t="s">
        <v>111</v>
      </c>
      <c r="AG93" s="81" t="s">
        <v>111</v>
      </c>
      <c r="AH93" s="123">
        <f>SUM(C93:AG93)</f>
        <v>3589.768</v>
      </c>
    </row>
    <row r="94" spans="1:34" ht="15">
      <c r="A94" s="143" t="s">
        <v>78</v>
      </c>
      <c r="B94" s="112">
        <f t="shared" si="18"/>
        <v>2411.7869999999998</v>
      </c>
      <c r="C94" s="1287">
        <v>0</v>
      </c>
      <c r="D94" s="1287">
        <v>139.309</v>
      </c>
      <c r="E94" s="1287">
        <v>63.91</v>
      </c>
      <c r="F94" s="1287">
        <v>0</v>
      </c>
      <c r="G94" s="1287">
        <v>0</v>
      </c>
      <c r="H94" s="1287">
        <v>0</v>
      </c>
      <c r="I94" s="1287">
        <v>188.191</v>
      </c>
      <c r="J94" s="1287">
        <v>411.27499999999998</v>
      </c>
      <c r="K94" s="1287">
        <v>76.668999999999997</v>
      </c>
      <c r="L94" s="118">
        <v>0</v>
      </c>
      <c r="M94" s="118">
        <v>154.196</v>
      </c>
      <c r="N94" s="118">
        <v>79.340999999999994</v>
      </c>
      <c r="O94" s="118">
        <v>7.7759999999999998</v>
      </c>
      <c r="P94" s="118">
        <v>0</v>
      </c>
      <c r="Q94" s="118">
        <v>0</v>
      </c>
      <c r="R94" s="118">
        <v>0</v>
      </c>
      <c r="S94" s="118">
        <v>65.155000000000001</v>
      </c>
      <c r="T94" s="118">
        <v>368.70299999999997</v>
      </c>
      <c r="U94" s="118">
        <v>267.89499999999998</v>
      </c>
      <c r="V94" s="118">
        <v>0</v>
      </c>
      <c r="W94" s="118">
        <v>0</v>
      </c>
      <c r="X94" s="118">
        <v>104.331</v>
      </c>
      <c r="Y94" s="118">
        <v>166.28899999999999</v>
      </c>
      <c r="Z94" s="118">
        <v>101.58499999999999</v>
      </c>
      <c r="AA94" s="118">
        <v>0</v>
      </c>
      <c r="AB94" s="118">
        <v>0</v>
      </c>
      <c r="AC94" s="118">
        <v>0</v>
      </c>
      <c r="AD94" s="118">
        <v>217.16200000000001</v>
      </c>
      <c r="AE94" s="118">
        <v>0</v>
      </c>
      <c r="AF94" s="118">
        <v>0</v>
      </c>
      <c r="AG94" s="118"/>
      <c r="AH94" s="123">
        <f t="shared" si="19"/>
        <v>2411.7869999999998</v>
      </c>
    </row>
    <row r="95" spans="1:34" ht="15">
      <c r="A95" s="132" t="s">
        <v>79</v>
      </c>
      <c r="B95" s="112">
        <f t="shared" si="18"/>
        <v>1966.4169999999999</v>
      </c>
      <c r="C95" s="1287">
        <v>0</v>
      </c>
      <c r="D95" s="1287">
        <v>0</v>
      </c>
      <c r="E95" s="1287">
        <v>0</v>
      </c>
      <c r="F95" s="1287">
        <v>0</v>
      </c>
      <c r="G95" s="1287">
        <v>475.19499999999999</v>
      </c>
      <c r="H95" s="1287">
        <v>393.12299999999999</v>
      </c>
      <c r="I95" s="1287">
        <v>239.654</v>
      </c>
      <c r="J95" s="1488">
        <v>26.582000000000001</v>
      </c>
      <c r="K95" s="1488">
        <v>0</v>
      </c>
      <c r="L95" s="1488">
        <v>0</v>
      </c>
      <c r="M95" s="1488">
        <v>49.692999999999998</v>
      </c>
      <c r="N95" s="1488">
        <v>250.452</v>
      </c>
      <c r="O95" s="1488">
        <v>0</v>
      </c>
      <c r="P95" s="1488">
        <v>0</v>
      </c>
      <c r="Q95" s="1488">
        <v>0</v>
      </c>
      <c r="R95" s="1488">
        <v>0</v>
      </c>
      <c r="S95" s="1488">
        <v>257.44499999999999</v>
      </c>
      <c r="T95" s="1488">
        <v>0</v>
      </c>
      <c r="U95" s="1488">
        <v>0</v>
      </c>
      <c r="V95" s="1488">
        <v>0</v>
      </c>
      <c r="W95" s="1488">
        <v>0</v>
      </c>
      <c r="X95" s="1488">
        <v>0</v>
      </c>
      <c r="Y95" s="1488">
        <v>0</v>
      </c>
      <c r="Z95" s="1488">
        <v>0</v>
      </c>
      <c r="AA95" s="1488">
        <v>274.27300000000002</v>
      </c>
      <c r="AB95" s="1488">
        <v>0</v>
      </c>
      <c r="AC95" s="1488">
        <v>0</v>
      </c>
      <c r="AD95" s="1488">
        <v>0</v>
      </c>
      <c r="AE95" s="1488"/>
      <c r="AF95" s="1488"/>
      <c r="AG95" s="1488"/>
      <c r="AH95" s="123">
        <f t="shared" si="19"/>
        <v>1966.4169999999999</v>
      </c>
    </row>
    <row r="96" spans="1:34" ht="15">
      <c r="A96" s="132" t="s">
        <v>80</v>
      </c>
      <c r="B96" s="112">
        <f t="shared" si="18"/>
        <v>361.07600000000002</v>
      </c>
      <c r="C96" s="1488">
        <v>0</v>
      </c>
      <c r="D96" s="1488">
        <v>0</v>
      </c>
      <c r="E96" s="1488">
        <v>0</v>
      </c>
      <c r="F96" s="1488">
        <v>0</v>
      </c>
      <c r="G96" s="1488">
        <v>0</v>
      </c>
      <c r="H96" s="1287">
        <v>3.1429999999999998</v>
      </c>
      <c r="I96" s="1287">
        <v>0</v>
      </c>
      <c r="J96" s="1287">
        <v>0</v>
      </c>
      <c r="K96" s="1287">
        <v>0</v>
      </c>
      <c r="L96" s="1287">
        <v>0</v>
      </c>
      <c r="M96" s="1287">
        <v>24.93</v>
      </c>
      <c r="N96" s="1287">
        <v>0</v>
      </c>
      <c r="O96" s="1287">
        <v>0</v>
      </c>
      <c r="P96" s="1287">
        <v>0</v>
      </c>
      <c r="Q96" s="1287">
        <v>0</v>
      </c>
      <c r="R96" s="1287">
        <v>64.762</v>
      </c>
      <c r="S96" s="1287">
        <v>0</v>
      </c>
      <c r="T96" s="1287">
        <v>0</v>
      </c>
      <c r="U96" s="1287">
        <v>5.4630000000000001</v>
      </c>
      <c r="V96" s="1287">
        <v>31.352</v>
      </c>
      <c r="W96" s="1287">
        <v>0.57499999999999996</v>
      </c>
      <c r="X96" s="1287">
        <v>67.665000000000006</v>
      </c>
      <c r="Y96" s="1488">
        <v>81.198999999999998</v>
      </c>
      <c r="Z96" s="1488">
        <v>54.942</v>
      </c>
      <c r="AA96" s="1488">
        <v>4.593</v>
      </c>
      <c r="AB96" s="1488">
        <v>22.452000000000002</v>
      </c>
      <c r="AC96" s="1488"/>
      <c r="AD96" s="1488"/>
      <c r="AE96" s="1488"/>
      <c r="AF96" s="1488"/>
      <c r="AG96" s="1488"/>
      <c r="AH96" s="123">
        <f t="shared" si="19"/>
        <v>361.07600000000002</v>
      </c>
    </row>
    <row r="97" spans="1:34" ht="15">
      <c r="A97" s="132" t="s">
        <v>81</v>
      </c>
      <c r="B97" s="112">
        <f t="shared" si="18"/>
        <v>1189.7719999999999</v>
      </c>
      <c r="C97" s="1287">
        <v>0</v>
      </c>
      <c r="D97" s="1488">
        <v>0</v>
      </c>
      <c r="E97" s="1488">
        <v>0</v>
      </c>
      <c r="F97" s="1488">
        <v>17.297000000000001</v>
      </c>
      <c r="G97" s="1287">
        <v>138.84399999999999</v>
      </c>
      <c r="H97" s="1287">
        <v>133.08600000000001</v>
      </c>
      <c r="I97" s="1287">
        <v>38.564999999999998</v>
      </c>
      <c r="J97" s="1287">
        <v>28.675000000000001</v>
      </c>
      <c r="K97" s="1287">
        <v>0</v>
      </c>
      <c r="L97" s="1287">
        <v>27.46</v>
      </c>
      <c r="M97" s="1287">
        <v>159.51499999999999</v>
      </c>
      <c r="N97" s="1287">
        <v>49.777000000000001</v>
      </c>
      <c r="O97" s="1287">
        <v>0</v>
      </c>
      <c r="P97" s="1287">
        <v>0</v>
      </c>
      <c r="Q97" s="1287">
        <v>6.67</v>
      </c>
      <c r="R97" s="1287">
        <v>0</v>
      </c>
      <c r="S97" s="1287">
        <v>0</v>
      </c>
      <c r="T97" s="1287">
        <v>0</v>
      </c>
      <c r="U97" s="1287">
        <v>0</v>
      </c>
      <c r="V97" s="1287">
        <v>0</v>
      </c>
      <c r="W97" s="1280">
        <v>69.866</v>
      </c>
      <c r="X97" s="1280">
        <v>37.622999999999998</v>
      </c>
      <c r="Y97" s="2327">
        <v>5.1660000000000004</v>
      </c>
      <c r="Z97" s="2327">
        <v>0</v>
      </c>
      <c r="AA97" s="2327">
        <v>26.053999999999998</v>
      </c>
      <c r="AB97" s="2327">
        <v>6.4550000000000001</v>
      </c>
      <c r="AC97" s="2327">
        <v>100.298</v>
      </c>
      <c r="AD97" s="2327">
        <v>72.66</v>
      </c>
      <c r="AE97" s="2327">
        <v>112.998</v>
      </c>
      <c r="AF97" s="3245">
        <v>158.76300000000001</v>
      </c>
      <c r="AG97" s="81" t="s">
        <v>112</v>
      </c>
      <c r="AH97" s="123">
        <f t="shared" si="19"/>
        <v>1189.7719999999999</v>
      </c>
    </row>
    <row r="98" spans="1:34" ht="15">
      <c r="A98" s="132" t="s">
        <v>82</v>
      </c>
      <c r="B98" s="112">
        <f t="shared" si="18"/>
        <v>0</v>
      </c>
      <c r="C98" s="81" t="s">
        <v>112</v>
      </c>
      <c r="D98" s="81" t="s">
        <v>112</v>
      </c>
      <c r="E98" s="81" t="s">
        <v>112</v>
      </c>
      <c r="F98" s="81" t="s">
        <v>112</v>
      </c>
      <c r="G98" s="81" t="s">
        <v>112</v>
      </c>
      <c r="H98" s="81" t="s">
        <v>112</v>
      </c>
      <c r="I98" s="81" t="s">
        <v>112</v>
      </c>
      <c r="J98" s="81" t="s">
        <v>112</v>
      </c>
      <c r="K98" s="81" t="s">
        <v>112</v>
      </c>
      <c r="L98" s="81" t="s">
        <v>112</v>
      </c>
      <c r="M98" s="81" t="s">
        <v>112</v>
      </c>
      <c r="N98" s="81" t="s">
        <v>112</v>
      </c>
      <c r="O98" s="81" t="s">
        <v>112</v>
      </c>
      <c r="P98" s="81" t="s">
        <v>112</v>
      </c>
      <c r="Q98" s="81" t="s">
        <v>112</v>
      </c>
      <c r="R98" s="81" t="s">
        <v>112</v>
      </c>
      <c r="S98" s="81" t="s">
        <v>112</v>
      </c>
      <c r="T98" s="81" t="s">
        <v>112</v>
      </c>
      <c r="U98" s="81" t="s">
        <v>112</v>
      </c>
      <c r="V98" s="81" t="s">
        <v>112</v>
      </c>
      <c r="W98" s="81" t="s">
        <v>112</v>
      </c>
      <c r="X98" s="81" t="s">
        <v>112</v>
      </c>
      <c r="Y98" s="81" t="s">
        <v>112</v>
      </c>
      <c r="Z98" s="81" t="s">
        <v>112</v>
      </c>
      <c r="AA98" s="81" t="s">
        <v>112</v>
      </c>
      <c r="AB98" s="81" t="s">
        <v>112</v>
      </c>
      <c r="AC98" s="81" t="s">
        <v>112</v>
      </c>
      <c r="AD98" s="81" t="s">
        <v>112</v>
      </c>
      <c r="AE98" s="81" t="s">
        <v>112</v>
      </c>
      <c r="AF98" s="81" t="s">
        <v>112</v>
      </c>
      <c r="AG98" s="81" t="s">
        <v>112</v>
      </c>
      <c r="AH98" s="123">
        <f t="shared" si="19"/>
        <v>0</v>
      </c>
    </row>
    <row r="99" spans="1:34" ht="15">
      <c r="A99" s="128" t="s">
        <v>83</v>
      </c>
      <c r="B99" s="112">
        <f t="shared" si="18"/>
        <v>0</v>
      </c>
      <c r="C99" s="81" t="s">
        <v>112</v>
      </c>
      <c r="D99" s="81" t="s">
        <v>112</v>
      </c>
      <c r="E99" s="81" t="s">
        <v>112</v>
      </c>
      <c r="F99" s="81" t="s">
        <v>112</v>
      </c>
      <c r="G99" s="81" t="s">
        <v>112</v>
      </c>
      <c r="H99" s="81" t="s">
        <v>112</v>
      </c>
      <c r="I99" s="81" t="s">
        <v>112</v>
      </c>
      <c r="J99" s="81" t="s">
        <v>112</v>
      </c>
      <c r="K99" s="81" t="s">
        <v>112</v>
      </c>
      <c r="L99" s="81" t="s">
        <v>112</v>
      </c>
      <c r="M99" s="81" t="s">
        <v>112</v>
      </c>
      <c r="N99" s="81" t="s">
        <v>112</v>
      </c>
      <c r="O99" s="81" t="s">
        <v>112</v>
      </c>
      <c r="P99" s="81" t="s">
        <v>112</v>
      </c>
      <c r="Q99" s="81" t="s">
        <v>112</v>
      </c>
      <c r="R99" s="81" t="s">
        <v>112</v>
      </c>
      <c r="S99" s="81" t="s">
        <v>112</v>
      </c>
      <c r="T99" s="81" t="s">
        <v>112</v>
      </c>
      <c r="U99" s="81" t="s">
        <v>112</v>
      </c>
      <c r="V99" s="81" t="s">
        <v>112</v>
      </c>
      <c r="W99" s="81" t="s">
        <v>112</v>
      </c>
      <c r="X99" s="81" t="s">
        <v>112</v>
      </c>
      <c r="Y99" s="81" t="s">
        <v>112</v>
      </c>
      <c r="Z99" s="81" t="s">
        <v>112</v>
      </c>
      <c r="AA99" s="81" t="s">
        <v>112</v>
      </c>
      <c r="AB99" s="81" t="s">
        <v>112</v>
      </c>
      <c r="AC99" s="81" t="s">
        <v>112</v>
      </c>
      <c r="AD99" s="81" t="s">
        <v>112</v>
      </c>
      <c r="AE99" s="81" t="s">
        <v>112</v>
      </c>
      <c r="AF99" s="81" t="s">
        <v>112</v>
      </c>
      <c r="AG99" s="81" t="s">
        <v>112</v>
      </c>
      <c r="AH99" s="123">
        <f t="shared" si="19"/>
        <v>0</v>
      </c>
    </row>
    <row r="100" spans="1:34" ht="15">
      <c r="A100" s="128" t="s">
        <v>84</v>
      </c>
      <c r="B100" s="112">
        <f t="shared" si="18"/>
        <v>122.214</v>
      </c>
      <c r="C100" s="81" t="s">
        <v>112</v>
      </c>
      <c r="D100" s="81" t="s">
        <v>112</v>
      </c>
      <c r="E100" s="81" t="s">
        <v>112</v>
      </c>
      <c r="F100" s="81" t="s">
        <v>112</v>
      </c>
      <c r="G100" s="81" t="s">
        <v>112</v>
      </c>
      <c r="H100" s="81" t="s">
        <v>112</v>
      </c>
      <c r="I100" s="81" t="s">
        <v>112</v>
      </c>
      <c r="J100" s="81" t="s">
        <v>112</v>
      </c>
      <c r="K100" s="81" t="s">
        <v>112</v>
      </c>
      <c r="L100" s="81" t="s">
        <v>112</v>
      </c>
      <c r="M100" s="81" t="s">
        <v>112</v>
      </c>
      <c r="N100" s="81" t="s">
        <v>112</v>
      </c>
      <c r="O100" s="81" t="s">
        <v>112</v>
      </c>
      <c r="P100" s="81" t="s">
        <v>112</v>
      </c>
      <c r="Q100" s="81" t="s">
        <v>112</v>
      </c>
      <c r="R100" s="81" t="s">
        <v>112</v>
      </c>
      <c r="S100" s="81" t="s">
        <v>112</v>
      </c>
      <c r="T100" s="81" t="s">
        <v>112</v>
      </c>
      <c r="U100" s="81" t="s">
        <v>112</v>
      </c>
      <c r="V100" s="81" t="s">
        <v>112</v>
      </c>
      <c r="W100" s="81" t="s">
        <v>112</v>
      </c>
      <c r="X100" s="1287"/>
      <c r="Y100" s="1287">
        <v>111.884</v>
      </c>
      <c r="Z100" s="1287">
        <v>10.33</v>
      </c>
      <c r="AA100" s="1287"/>
      <c r="AB100" s="1287"/>
      <c r="AC100" s="1287"/>
      <c r="AD100" s="1287"/>
      <c r="AE100" s="1488"/>
      <c r="AF100" s="1287"/>
      <c r="AG100" s="1488"/>
      <c r="AH100" s="123">
        <f t="shared" si="19"/>
        <v>122.214</v>
      </c>
    </row>
    <row r="101" spans="1:34" ht="15">
      <c r="A101" s="128" t="s">
        <v>85</v>
      </c>
      <c r="B101" s="112">
        <f t="shared" si="18"/>
        <v>122.44200000000001</v>
      </c>
      <c r="C101" s="49"/>
      <c r="D101" s="18"/>
      <c r="E101" s="18"/>
      <c r="F101" s="18"/>
      <c r="G101" s="18"/>
      <c r="H101" s="18"/>
      <c r="I101" s="18"/>
      <c r="J101" s="18"/>
      <c r="K101" s="18"/>
      <c r="L101" s="18"/>
      <c r="M101" s="18"/>
      <c r="N101" s="18"/>
      <c r="O101" s="18"/>
      <c r="P101" s="18"/>
      <c r="Q101" s="18"/>
      <c r="R101" s="18"/>
      <c r="S101" s="18"/>
      <c r="T101" s="18"/>
      <c r="U101" s="18">
        <v>40.015000000000001</v>
      </c>
      <c r="V101" s="18"/>
      <c r="W101" s="18"/>
      <c r="X101" s="18"/>
      <c r="Y101" s="18"/>
      <c r="Z101" s="18"/>
      <c r="AA101" s="18"/>
      <c r="AB101" s="18"/>
      <c r="AC101" s="18"/>
      <c r="AD101" s="18"/>
      <c r="AE101" s="53"/>
      <c r="AF101" s="18">
        <v>82.427000000000007</v>
      </c>
      <c r="AG101" s="53"/>
      <c r="AH101" s="123">
        <f t="shared" si="19"/>
        <v>122.44200000000001</v>
      </c>
    </row>
    <row r="102" spans="1:34" ht="15">
      <c r="A102" s="128" t="s">
        <v>86</v>
      </c>
      <c r="B102" s="112">
        <f t="shared" si="18"/>
        <v>1998.7809999999999</v>
      </c>
      <c r="C102" s="49">
        <v>65.134</v>
      </c>
      <c r="D102" s="18">
        <v>3.488</v>
      </c>
      <c r="E102" s="18"/>
      <c r="F102" s="18"/>
      <c r="G102" s="18">
        <v>44.75</v>
      </c>
      <c r="H102" s="18">
        <v>54.545000000000002</v>
      </c>
      <c r="I102" s="18"/>
      <c r="J102" s="18">
        <v>35.911999999999999</v>
      </c>
      <c r="K102" s="18"/>
      <c r="L102" s="18"/>
      <c r="M102" s="18"/>
      <c r="N102" s="18"/>
      <c r="O102" s="18"/>
      <c r="P102" s="1287"/>
      <c r="Q102" s="1287">
        <v>181.22499999999999</v>
      </c>
      <c r="R102" s="1287">
        <v>7.8650000000000002</v>
      </c>
      <c r="S102" s="1287">
        <v>67.36</v>
      </c>
      <c r="T102" s="1287">
        <v>89.54</v>
      </c>
      <c r="U102" s="1287">
        <v>103.23</v>
      </c>
      <c r="V102" s="1287">
        <v>222.26</v>
      </c>
      <c r="W102" s="1287">
        <v>329.36500000000001</v>
      </c>
      <c r="X102" s="1287">
        <v>265.541</v>
      </c>
      <c r="Y102" s="1287"/>
      <c r="Z102" s="1287"/>
      <c r="AA102" s="1287"/>
      <c r="AB102" s="1287">
        <v>68.268000000000001</v>
      </c>
      <c r="AC102" s="1287">
        <v>56.094999999999999</v>
      </c>
      <c r="AD102" s="1287">
        <v>225.15199999999999</v>
      </c>
      <c r="AE102" s="1287">
        <v>179.05099999999999</v>
      </c>
      <c r="AF102" s="1287">
        <v>0</v>
      </c>
      <c r="AG102" s="1287">
        <v>0</v>
      </c>
      <c r="AH102" s="123">
        <f t="shared" si="19"/>
        <v>1998.7809999999999</v>
      </c>
    </row>
    <row r="103" spans="1:34" ht="15">
      <c r="A103" s="88" t="s">
        <v>74</v>
      </c>
      <c r="B103" s="89">
        <f>SUM(B91:B102)</f>
        <v>15501.123</v>
      </c>
      <c r="C103" s="46">
        <f>SUM(C91:C101)</f>
        <v>442.23899999999998</v>
      </c>
      <c r="D103" s="53">
        <f>SUM(D91:D101)</f>
        <v>485.28999999999996</v>
      </c>
      <c r="E103" s="53">
        <v>0</v>
      </c>
      <c r="F103" s="53">
        <f t="shared" ref="F103:AC103" si="20">SUM(F91:F101)</f>
        <v>92.494</v>
      </c>
      <c r="G103" s="53">
        <f t="shared" si="20"/>
        <v>973.3</v>
      </c>
      <c r="H103" s="53">
        <f t="shared" si="20"/>
        <v>764.59300000000007</v>
      </c>
      <c r="I103" s="53">
        <f t="shared" si="20"/>
        <v>466.41</v>
      </c>
      <c r="J103" s="53">
        <f t="shared" si="20"/>
        <v>466.53199999999998</v>
      </c>
      <c r="K103" s="53">
        <f t="shared" si="20"/>
        <v>365.41699999999997</v>
      </c>
      <c r="L103" s="53">
        <f t="shared" si="20"/>
        <v>546.41800000000012</v>
      </c>
      <c r="M103" s="53">
        <f t="shared" si="20"/>
        <v>624.08899999999994</v>
      </c>
      <c r="N103" s="53">
        <f t="shared" si="20"/>
        <v>762.87100000000009</v>
      </c>
      <c r="O103" s="53">
        <f t="shared" si="20"/>
        <v>482.25200000000001</v>
      </c>
      <c r="P103" s="53">
        <f t="shared" si="20"/>
        <v>563.09300000000007</v>
      </c>
      <c r="Q103" s="53">
        <f t="shared" si="20"/>
        <v>849.85900000000004</v>
      </c>
      <c r="R103" s="53">
        <f t="shared" si="20"/>
        <v>153.50900000000001</v>
      </c>
      <c r="S103" s="53">
        <f t="shared" si="20"/>
        <v>673.40699999999993</v>
      </c>
      <c r="T103" s="53">
        <f t="shared" si="20"/>
        <v>677.49900000000002</v>
      </c>
      <c r="U103" s="53">
        <f t="shared" si="20"/>
        <v>484.44099999999997</v>
      </c>
      <c r="V103" s="53">
        <f t="shared" si="20"/>
        <v>101.187</v>
      </c>
      <c r="W103" s="53">
        <f t="shared" si="20"/>
        <v>74.108000000000004</v>
      </c>
      <c r="X103" s="53">
        <f t="shared" si="20"/>
        <v>439.04400000000004</v>
      </c>
      <c r="Y103" s="53">
        <f t="shared" si="20"/>
        <v>364.53800000000001</v>
      </c>
      <c r="Z103" s="53">
        <f t="shared" si="20"/>
        <v>166.857</v>
      </c>
      <c r="AA103" s="53">
        <f t="shared" si="20"/>
        <v>382.75299999999999</v>
      </c>
      <c r="AB103" s="53">
        <f t="shared" si="20"/>
        <v>270.41300000000001</v>
      </c>
      <c r="AC103" s="53">
        <f t="shared" si="20"/>
        <v>499.75700000000001</v>
      </c>
      <c r="AD103" s="53">
        <v>0</v>
      </c>
      <c r="AE103" s="53">
        <f>SUM(AE91:AE101)</f>
        <v>112.998</v>
      </c>
      <c r="AF103" s="53">
        <f>SUM(AF91:AF101)</f>
        <v>241.19</v>
      </c>
      <c r="AG103" s="53">
        <f>SUM(AG91:AG101)</f>
        <v>0</v>
      </c>
      <c r="AH103" s="47">
        <f>SUM(AH91:AH101)</f>
        <v>13502.342000000001</v>
      </c>
    </row>
    <row r="104" spans="1:34" ht="5.0999999999999996" customHeight="1">
      <c r="A104" s="50"/>
      <c r="B104" s="51"/>
      <c r="C104" s="13"/>
      <c r="D104" s="52"/>
      <c r="E104" s="52"/>
      <c r="F104" s="52"/>
      <c r="G104" s="52"/>
      <c r="H104" s="52"/>
      <c r="I104" s="52"/>
      <c r="J104" s="52"/>
      <c r="K104" s="52"/>
      <c r="L104" s="52"/>
      <c r="M104" s="52"/>
      <c r="N104" s="52"/>
      <c r="O104" s="52"/>
      <c r="P104" s="52"/>
      <c r="Q104" s="52"/>
      <c r="R104" s="52"/>
      <c r="S104" s="52"/>
      <c r="T104" s="52"/>
      <c r="U104" s="52"/>
      <c r="V104" s="52"/>
      <c r="W104" s="52"/>
      <c r="X104" s="52"/>
      <c r="Y104" s="52"/>
      <c r="Z104" s="52"/>
      <c r="AA104" s="52"/>
      <c r="AB104" s="52"/>
      <c r="AC104" s="52"/>
      <c r="AD104" s="52"/>
      <c r="AE104" s="52"/>
      <c r="AF104" s="52"/>
      <c r="AG104" s="52"/>
      <c r="AH104" s="13"/>
    </row>
    <row r="105" spans="1:34" ht="15">
      <c r="A105" s="3569" t="s">
        <v>57</v>
      </c>
      <c r="B105" s="3570"/>
      <c r="C105" s="3570"/>
      <c r="D105" s="3570"/>
      <c r="E105" s="3570"/>
      <c r="F105" s="3570"/>
      <c r="G105" s="3570"/>
      <c r="H105" s="3571"/>
      <c r="I105" s="1477"/>
      <c r="J105" s="43"/>
      <c r="K105" s="43"/>
      <c r="L105" s="1477"/>
      <c r="M105" s="43"/>
      <c r="N105" s="43"/>
      <c r="O105" s="43"/>
      <c r="P105" s="43"/>
      <c r="Q105" s="43"/>
      <c r="R105" s="43"/>
      <c r="S105" s="11"/>
      <c r="T105" s="11"/>
      <c r="U105" s="11"/>
      <c r="V105" s="11"/>
      <c r="W105" s="11"/>
      <c r="X105" s="11"/>
      <c r="Y105" s="11"/>
      <c r="Z105" s="11"/>
      <c r="AA105" s="11"/>
      <c r="AB105" s="11"/>
      <c r="AC105" s="11"/>
      <c r="AD105" s="11"/>
      <c r="AE105" s="11"/>
      <c r="AF105" s="11"/>
      <c r="AG105" s="11"/>
      <c r="AH105" s="11"/>
    </row>
    <row r="106" spans="1:34" ht="15">
      <c r="A106" s="5" t="s">
        <v>72</v>
      </c>
      <c r="B106" s="5" t="s">
        <v>73</v>
      </c>
      <c r="C106" s="1233">
        <v>1</v>
      </c>
      <c r="D106" s="30">
        <v>2</v>
      </c>
      <c r="E106" s="30">
        <v>3</v>
      </c>
      <c r="F106" s="30">
        <v>4</v>
      </c>
      <c r="G106" s="30">
        <v>5</v>
      </c>
      <c r="H106" s="30">
        <v>6</v>
      </c>
      <c r="I106" s="30">
        <v>7</v>
      </c>
      <c r="J106" s="30">
        <v>8</v>
      </c>
      <c r="K106" s="30">
        <v>9</v>
      </c>
      <c r="L106" s="30">
        <v>10</v>
      </c>
      <c r="M106" s="30">
        <v>11</v>
      </c>
      <c r="N106" s="30">
        <v>12</v>
      </c>
      <c r="O106" s="30">
        <v>13</v>
      </c>
      <c r="P106" s="30">
        <v>14</v>
      </c>
      <c r="Q106" s="30">
        <v>15</v>
      </c>
      <c r="R106" s="30">
        <v>16</v>
      </c>
      <c r="S106" s="30">
        <v>17</v>
      </c>
      <c r="T106" s="30">
        <v>18</v>
      </c>
      <c r="U106" s="30">
        <v>19</v>
      </c>
      <c r="V106" s="30">
        <v>20</v>
      </c>
      <c r="W106" s="30">
        <v>21</v>
      </c>
      <c r="X106" s="30">
        <v>22</v>
      </c>
      <c r="Y106" s="30">
        <v>23</v>
      </c>
      <c r="Z106" s="30">
        <v>24</v>
      </c>
      <c r="AA106" s="30">
        <v>25</v>
      </c>
      <c r="AB106" s="30">
        <v>26</v>
      </c>
      <c r="AC106" s="30">
        <v>27</v>
      </c>
      <c r="AD106" s="30">
        <v>28</v>
      </c>
      <c r="AE106" s="30">
        <v>29</v>
      </c>
      <c r="AF106" s="30">
        <v>30</v>
      </c>
      <c r="AG106" s="30">
        <v>31</v>
      </c>
      <c r="AH106" s="39" t="s">
        <v>74</v>
      </c>
    </row>
    <row r="107" spans="1:34" ht="15">
      <c r="A107" s="143" t="s">
        <v>75</v>
      </c>
      <c r="B107" s="67">
        <f t="shared" ref="B107:B118" si="21">+AH107</f>
        <v>0</v>
      </c>
      <c r="C107" s="81" t="s">
        <v>111</v>
      </c>
      <c r="D107" s="81" t="s">
        <v>111</v>
      </c>
      <c r="E107" s="81" t="s">
        <v>111</v>
      </c>
      <c r="F107" s="81" t="s">
        <v>111</v>
      </c>
      <c r="G107" s="81" t="s">
        <v>111</v>
      </c>
      <c r="H107" s="81" t="s">
        <v>111</v>
      </c>
      <c r="I107" s="81" t="s">
        <v>111</v>
      </c>
      <c r="J107" s="81" t="s">
        <v>111</v>
      </c>
      <c r="K107" s="81" t="s">
        <v>111</v>
      </c>
      <c r="L107" s="81" t="s">
        <v>111</v>
      </c>
      <c r="M107" s="81" t="s">
        <v>111</v>
      </c>
      <c r="N107" s="81" t="s">
        <v>111</v>
      </c>
      <c r="O107" s="81" t="s">
        <v>111</v>
      </c>
      <c r="P107" s="81" t="s">
        <v>111</v>
      </c>
      <c r="Q107" s="81" t="s">
        <v>111</v>
      </c>
      <c r="R107" s="81" t="s">
        <v>111</v>
      </c>
      <c r="S107" s="81" t="s">
        <v>111</v>
      </c>
      <c r="T107" s="81" t="s">
        <v>111</v>
      </c>
      <c r="U107" s="81" t="s">
        <v>111</v>
      </c>
      <c r="V107" s="81" t="s">
        <v>111</v>
      </c>
      <c r="W107" s="81" t="s">
        <v>111</v>
      </c>
      <c r="X107" s="81" t="s">
        <v>111</v>
      </c>
      <c r="Y107" s="81" t="s">
        <v>111</v>
      </c>
      <c r="Z107" s="81" t="s">
        <v>111</v>
      </c>
      <c r="AA107" s="81" t="s">
        <v>111</v>
      </c>
      <c r="AB107" s="81" t="s">
        <v>111</v>
      </c>
      <c r="AC107" s="81" t="s">
        <v>111</v>
      </c>
      <c r="AD107" s="81" t="s">
        <v>111</v>
      </c>
      <c r="AE107" s="81" t="s">
        <v>111</v>
      </c>
      <c r="AF107" s="81" t="s">
        <v>111</v>
      </c>
      <c r="AG107" s="81" t="s">
        <v>111</v>
      </c>
      <c r="AH107" s="53">
        <f>SUM(C107:AG107)</f>
        <v>0</v>
      </c>
    </row>
    <row r="108" spans="1:34" ht="15">
      <c r="A108" s="143" t="s">
        <v>76</v>
      </c>
      <c r="B108" s="67">
        <f t="shared" si="21"/>
        <v>348.45600000000002</v>
      </c>
      <c r="C108" s="81" t="s">
        <v>111</v>
      </c>
      <c r="D108" s="81" t="s">
        <v>111</v>
      </c>
      <c r="E108" s="81" t="s">
        <v>111</v>
      </c>
      <c r="F108" s="81" t="s">
        <v>111</v>
      </c>
      <c r="G108" s="81" t="s">
        <v>111</v>
      </c>
      <c r="H108" s="81" t="s">
        <v>111</v>
      </c>
      <c r="I108" s="81" t="s">
        <v>111</v>
      </c>
      <c r="J108" s="2111">
        <v>24.396000000000001</v>
      </c>
      <c r="K108" s="163">
        <v>0</v>
      </c>
      <c r="L108" s="112">
        <v>0</v>
      </c>
      <c r="M108" s="112">
        <v>0</v>
      </c>
      <c r="N108" s="112">
        <v>0</v>
      </c>
      <c r="O108" s="112">
        <v>0</v>
      </c>
      <c r="P108" s="112">
        <v>0</v>
      </c>
      <c r="Q108" s="112">
        <v>0</v>
      </c>
      <c r="R108" s="112">
        <v>0</v>
      </c>
      <c r="S108" s="112">
        <v>0</v>
      </c>
      <c r="T108" s="112">
        <v>0</v>
      </c>
      <c r="U108" s="112">
        <v>0</v>
      </c>
      <c r="V108" s="112">
        <v>0</v>
      </c>
      <c r="W108" s="112">
        <v>0</v>
      </c>
      <c r="X108" s="112">
        <v>0</v>
      </c>
      <c r="Y108" s="112">
        <v>0</v>
      </c>
      <c r="Z108" s="112">
        <v>0</v>
      </c>
      <c r="AA108" s="112">
        <v>95.34</v>
      </c>
      <c r="AB108" s="112">
        <v>80.03</v>
      </c>
      <c r="AC108" s="112">
        <v>36.9</v>
      </c>
      <c r="AD108" s="112">
        <v>111.79</v>
      </c>
      <c r="AE108" s="112"/>
      <c r="AF108" s="112"/>
      <c r="AG108" s="112"/>
      <c r="AH108" s="53">
        <f>SUM(C108:AG108)</f>
        <v>348.45600000000002</v>
      </c>
    </row>
    <row r="109" spans="1:34" ht="15">
      <c r="A109" s="143" t="s">
        <v>77</v>
      </c>
      <c r="B109" s="67">
        <f t="shared" si="21"/>
        <v>838.02199999999993</v>
      </c>
      <c r="C109" s="112">
        <v>147.96</v>
      </c>
      <c r="D109" s="112">
        <v>71.3</v>
      </c>
      <c r="E109" s="112">
        <v>9.5459999999999994</v>
      </c>
      <c r="F109" s="112">
        <v>0</v>
      </c>
      <c r="G109" s="112">
        <v>75.59</v>
      </c>
      <c r="H109" s="118">
        <v>110.99</v>
      </c>
      <c r="I109" s="118">
        <v>0</v>
      </c>
      <c r="J109" s="162">
        <v>0</v>
      </c>
      <c r="K109" s="118">
        <v>0</v>
      </c>
      <c r="L109" s="118">
        <v>56.85</v>
      </c>
      <c r="M109" s="118">
        <v>77.709999999999994</v>
      </c>
      <c r="N109" s="118">
        <v>14.65</v>
      </c>
      <c r="O109" s="118">
        <v>0</v>
      </c>
      <c r="P109" s="118">
        <v>77.486000000000004</v>
      </c>
      <c r="Q109" s="118">
        <v>82.69</v>
      </c>
      <c r="R109" s="118">
        <v>0</v>
      </c>
      <c r="S109" s="118">
        <v>0</v>
      </c>
      <c r="T109" s="118">
        <v>0</v>
      </c>
      <c r="U109" s="118">
        <v>0</v>
      </c>
      <c r="V109" s="118">
        <v>0</v>
      </c>
      <c r="W109" s="118">
        <v>0</v>
      </c>
      <c r="X109" s="118">
        <v>88.1</v>
      </c>
      <c r="Y109" s="118">
        <v>0</v>
      </c>
      <c r="Z109" s="118">
        <v>0</v>
      </c>
      <c r="AA109" s="118">
        <v>0</v>
      </c>
      <c r="AB109" s="118">
        <v>0</v>
      </c>
      <c r="AC109" s="1287">
        <v>25.15</v>
      </c>
      <c r="AD109" s="1287"/>
      <c r="AE109" s="1287"/>
      <c r="AF109" s="1287"/>
      <c r="AG109" s="1287"/>
      <c r="AH109" s="53">
        <f>SUM(C109:AG109)</f>
        <v>838.02199999999993</v>
      </c>
    </row>
    <row r="110" spans="1:34" ht="15">
      <c r="A110" s="143" t="s">
        <v>78</v>
      </c>
      <c r="B110" s="67">
        <f t="shared" si="21"/>
        <v>385.851</v>
      </c>
      <c r="C110" s="1287">
        <v>0</v>
      </c>
      <c r="D110" s="1287">
        <v>0</v>
      </c>
      <c r="E110" s="1287">
        <v>0</v>
      </c>
      <c r="F110" s="1287">
        <v>0</v>
      </c>
      <c r="G110" s="1287">
        <v>0</v>
      </c>
      <c r="H110" s="1287">
        <v>0</v>
      </c>
      <c r="I110" s="1287">
        <v>0</v>
      </c>
      <c r="J110" s="1287">
        <v>195.35</v>
      </c>
      <c r="K110" s="1287">
        <v>0</v>
      </c>
      <c r="L110" s="53">
        <v>0</v>
      </c>
      <c r="M110" s="53">
        <v>0</v>
      </c>
      <c r="N110" s="53">
        <v>40.883000000000003</v>
      </c>
      <c r="O110" s="53">
        <v>0</v>
      </c>
      <c r="P110" s="53">
        <v>0</v>
      </c>
      <c r="Q110" s="53">
        <v>0</v>
      </c>
      <c r="R110" s="53">
        <v>0</v>
      </c>
      <c r="S110" s="53">
        <v>0</v>
      </c>
      <c r="T110" s="53">
        <v>14.26</v>
      </c>
      <c r="U110" s="53">
        <v>4.04</v>
      </c>
      <c r="V110" s="53">
        <v>0</v>
      </c>
      <c r="W110" s="53">
        <v>0</v>
      </c>
      <c r="X110" s="53">
        <v>0</v>
      </c>
      <c r="Y110" s="53">
        <v>78.537999999999997</v>
      </c>
      <c r="Z110" s="53">
        <v>52.78</v>
      </c>
      <c r="AA110" s="53">
        <v>0</v>
      </c>
      <c r="AB110" s="53">
        <v>0</v>
      </c>
      <c r="AC110" s="53">
        <v>0</v>
      </c>
      <c r="AD110" s="53">
        <v>0</v>
      </c>
      <c r="AE110" s="53">
        <v>0</v>
      </c>
      <c r="AF110" s="53"/>
      <c r="AG110" s="53"/>
      <c r="AH110" s="53">
        <f>SUM(C110:AG110)</f>
        <v>385.851</v>
      </c>
    </row>
    <row r="111" spans="1:34" ht="15">
      <c r="A111" s="132" t="s">
        <v>79</v>
      </c>
      <c r="B111" s="67">
        <f t="shared" si="21"/>
        <v>301.12399999999997</v>
      </c>
      <c r="C111" s="49">
        <v>0</v>
      </c>
      <c r="D111" s="18">
        <v>0</v>
      </c>
      <c r="E111" s="18">
        <v>0</v>
      </c>
      <c r="F111" s="18">
        <v>0</v>
      </c>
      <c r="G111" s="18">
        <v>97.647999999999996</v>
      </c>
      <c r="H111" s="18">
        <v>87.18</v>
      </c>
      <c r="I111" s="18">
        <v>21.76</v>
      </c>
      <c r="J111" s="53">
        <v>21.827999999999999</v>
      </c>
      <c r="K111" s="53">
        <v>0</v>
      </c>
      <c r="L111" s="53">
        <v>0</v>
      </c>
      <c r="M111" s="53">
        <v>0</v>
      </c>
      <c r="N111" s="53">
        <v>34.518000000000001</v>
      </c>
      <c r="O111" s="53">
        <v>38.19</v>
      </c>
      <c r="P111" s="53">
        <v>0</v>
      </c>
      <c r="Q111" s="53">
        <v>0</v>
      </c>
      <c r="R111" s="53">
        <v>0</v>
      </c>
      <c r="S111" s="53"/>
      <c r="T111" s="53"/>
      <c r="U111" s="53"/>
      <c r="V111" s="53"/>
      <c r="W111" s="53"/>
      <c r="X111" s="53"/>
      <c r="Y111" s="53"/>
      <c r="Z111" s="53"/>
      <c r="AA111" s="53"/>
      <c r="AB111" s="53"/>
      <c r="AC111" s="53"/>
      <c r="AD111" s="53"/>
      <c r="AE111" s="53"/>
      <c r="AF111" s="53"/>
      <c r="AG111" s="53"/>
      <c r="AH111" s="53">
        <f t="shared" ref="AH111:AH118" si="22">SUM(C111:AG111)</f>
        <v>301.12399999999997</v>
      </c>
    </row>
    <row r="112" spans="1:34" ht="15">
      <c r="A112" s="132" t="s">
        <v>80</v>
      </c>
      <c r="B112" s="67">
        <f t="shared" si="21"/>
        <v>14.907999999999999</v>
      </c>
      <c r="C112" s="1488">
        <v>0</v>
      </c>
      <c r="D112" s="1488">
        <v>0</v>
      </c>
      <c r="E112" s="1488">
        <v>0</v>
      </c>
      <c r="F112" s="1488">
        <v>0</v>
      </c>
      <c r="G112" s="1488">
        <v>0</v>
      </c>
      <c r="H112" s="1287">
        <v>0</v>
      </c>
      <c r="I112" s="1287">
        <v>0</v>
      </c>
      <c r="J112" s="1287">
        <v>0</v>
      </c>
      <c r="K112" s="1287">
        <v>0</v>
      </c>
      <c r="L112" s="1287">
        <v>10.039999999999999</v>
      </c>
      <c r="M112" s="1287">
        <v>0</v>
      </c>
      <c r="N112" s="1287">
        <v>0</v>
      </c>
      <c r="O112" s="1287">
        <v>0</v>
      </c>
      <c r="P112" s="1287">
        <v>0</v>
      </c>
      <c r="Q112" s="1287">
        <v>0</v>
      </c>
      <c r="R112" s="1287">
        <v>0</v>
      </c>
      <c r="S112" s="1287">
        <v>0</v>
      </c>
      <c r="T112" s="1287">
        <v>0</v>
      </c>
      <c r="U112" s="1287">
        <v>0</v>
      </c>
      <c r="V112" s="1287">
        <v>0</v>
      </c>
      <c r="W112" s="1287">
        <v>0</v>
      </c>
      <c r="X112" s="1287">
        <v>0</v>
      </c>
      <c r="Y112" s="1488">
        <v>0</v>
      </c>
      <c r="Z112" s="1488">
        <v>0</v>
      </c>
      <c r="AA112" s="1488">
        <v>4.8680000000000003</v>
      </c>
      <c r="AB112" s="1488">
        <v>0</v>
      </c>
      <c r="AC112" s="1488"/>
      <c r="AD112" s="1488"/>
      <c r="AE112" s="1488"/>
      <c r="AF112" s="1488"/>
      <c r="AG112" s="1488"/>
      <c r="AH112" s="53">
        <f t="shared" si="22"/>
        <v>14.907999999999999</v>
      </c>
    </row>
    <row r="113" spans="1:34" ht="15">
      <c r="A113" s="132" t="s">
        <v>81</v>
      </c>
      <c r="B113" s="67">
        <f t="shared" si="21"/>
        <v>44.87</v>
      </c>
      <c r="C113" s="1287">
        <v>0</v>
      </c>
      <c r="D113" s="1488">
        <v>0</v>
      </c>
      <c r="E113" s="1488">
        <v>0</v>
      </c>
      <c r="F113" s="1488">
        <v>0</v>
      </c>
      <c r="G113" s="1287">
        <v>0</v>
      </c>
      <c r="H113" s="1287">
        <v>0</v>
      </c>
      <c r="I113" s="1287">
        <v>8.91</v>
      </c>
      <c r="J113" s="1287">
        <v>0</v>
      </c>
      <c r="K113" s="1287">
        <v>0</v>
      </c>
      <c r="L113" s="1287">
        <v>0</v>
      </c>
      <c r="M113" s="1287">
        <v>30.16</v>
      </c>
      <c r="N113" s="1287">
        <v>0</v>
      </c>
      <c r="O113" s="1287">
        <v>0</v>
      </c>
      <c r="P113" s="1287">
        <v>0</v>
      </c>
      <c r="Q113" s="1287">
        <v>0</v>
      </c>
      <c r="R113" s="1287">
        <v>0</v>
      </c>
      <c r="S113" s="1287">
        <v>0</v>
      </c>
      <c r="T113" s="1287">
        <v>0</v>
      </c>
      <c r="U113" s="1287">
        <v>0</v>
      </c>
      <c r="V113" s="1287">
        <v>0</v>
      </c>
      <c r="W113" s="1280">
        <v>0</v>
      </c>
      <c r="X113" s="1280">
        <v>5.8</v>
      </c>
      <c r="Y113" s="2327">
        <v>0</v>
      </c>
      <c r="Z113" s="2327">
        <v>0</v>
      </c>
      <c r="AA113" s="2327"/>
      <c r="AB113" s="2327"/>
      <c r="AC113" s="2327"/>
      <c r="AD113" s="2327"/>
      <c r="AE113" s="2327"/>
      <c r="AF113" s="81" t="s">
        <v>112</v>
      </c>
      <c r="AG113" s="81" t="s">
        <v>112</v>
      </c>
      <c r="AH113" s="53">
        <f t="shared" si="22"/>
        <v>44.87</v>
      </c>
    </row>
    <row r="114" spans="1:34" ht="15">
      <c r="A114" s="132" t="s">
        <v>82</v>
      </c>
      <c r="B114" s="67">
        <f t="shared" si="21"/>
        <v>0</v>
      </c>
      <c r="C114" s="81" t="s">
        <v>112</v>
      </c>
      <c r="D114" s="81" t="s">
        <v>112</v>
      </c>
      <c r="E114" s="81" t="s">
        <v>112</v>
      </c>
      <c r="F114" s="81" t="s">
        <v>112</v>
      </c>
      <c r="G114" s="81" t="s">
        <v>112</v>
      </c>
      <c r="H114" s="81" t="s">
        <v>112</v>
      </c>
      <c r="I114" s="81" t="s">
        <v>112</v>
      </c>
      <c r="J114" s="81" t="s">
        <v>112</v>
      </c>
      <c r="K114" s="81" t="s">
        <v>112</v>
      </c>
      <c r="L114" s="81" t="s">
        <v>112</v>
      </c>
      <c r="M114" s="81" t="s">
        <v>112</v>
      </c>
      <c r="N114" s="81" t="s">
        <v>112</v>
      </c>
      <c r="O114" s="81" t="s">
        <v>112</v>
      </c>
      <c r="P114" s="81" t="s">
        <v>112</v>
      </c>
      <c r="Q114" s="81" t="s">
        <v>112</v>
      </c>
      <c r="R114" s="81" t="s">
        <v>112</v>
      </c>
      <c r="S114" s="81" t="s">
        <v>112</v>
      </c>
      <c r="T114" s="81" t="s">
        <v>112</v>
      </c>
      <c r="U114" s="81" t="s">
        <v>112</v>
      </c>
      <c r="V114" s="81" t="s">
        <v>112</v>
      </c>
      <c r="W114" s="81" t="s">
        <v>112</v>
      </c>
      <c r="X114" s="81" t="s">
        <v>112</v>
      </c>
      <c r="Y114" s="81" t="s">
        <v>112</v>
      </c>
      <c r="Z114" s="81" t="s">
        <v>112</v>
      </c>
      <c r="AA114" s="81" t="s">
        <v>112</v>
      </c>
      <c r="AB114" s="81" t="s">
        <v>112</v>
      </c>
      <c r="AC114" s="81" t="s">
        <v>112</v>
      </c>
      <c r="AD114" s="81" t="s">
        <v>112</v>
      </c>
      <c r="AE114" s="81" t="s">
        <v>112</v>
      </c>
      <c r="AF114" s="81" t="s">
        <v>112</v>
      </c>
      <c r="AG114" s="81" t="s">
        <v>112</v>
      </c>
      <c r="AH114" s="53">
        <f t="shared" si="22"/>
        <v>0</v>
      </c>
    </row>
    <row r="115" spans="1:34" ht="15">
      <c r="A115" s="128" t="s">
        <v>83</v>
      </c>
      <c r="B115" s="67">
        <f t="shared" si="21"/>
        <v>0</v>
      </c>
      <c r="C115" s="81" t="s">
        <v>112</v>
      </c>
      <c r="D115" s="81" t="s">
        <v>112</v>
      </c>
      <c r="E115" s="81" t="s">
        <v>112</v>
      </c>
      <c r="F115" s="81" t="s">
        <v>112</v>
      </c>
      <c r="G115" s="81" t="s">
        <v>112</v>
      </c>
      <c r="H115" s="81" t="s">
        <v>112</v>
      </c>
      <c r="I115" s="81" t="s">
        <v>112</v>
      </c>
      <c r="J115" s="81" t="s">
        <v>112</v>
      </c>
      <c r="K115" s="81" t="s">
        <v>112</v>
      </c>
      <c r="L115" s="81" t="s">
        <v>112</v>
      </c>
      <c r="M115" s="81" t="s">
        <v>112</v>
      </c>
      <c r="N115" s="81" t="s">
        <v>112</v>
      </c>
      <c r="O115" s="81" t="s">
        <v>112</v>
      </c>
      <c r="P115" s="81" t="s">
        <v>112</v>
      </c>
      <c r="Q115" s="81" t="s">
        <v>112</v>
      </c>
      <c r="R115" s="81" t="s">
        <v>112</v>
      </c>
      <c r="S115" s="81" t="s">
        <v>112</v>
      </c>
      <c r="T115" s="81" t="s">
        <v>112</v>
      </c>
      <c r="U115" s="81" t="s">
        <v>112</v>
      </c>
      <c r="V115" s="81" t="s">
        <v>112</v>
      </c>
      <c r="W115" s="81" t="s">
        <v>112</v>
      </c>
      <c r="X115" s="81" t="s">
        <v>112</v>
      </c>
      <c r="Y115" s="81" t="s">
        <v>112</v>
      </c>
      <c r="Z115" s="81" t="s">
        <v>112</v>
      </c>
      <c r="AA115" s="81" t="s">
        <v>112</v>
      </c>
      <c r="AB115" s="81" t="s">
        <v>112</v>
      </c>
      <c r="AC115" s="81" t="s">
        <v>112</v>
      </c>
      <c r="AD115" s="81" t="s">
        <v>112</v>
      </c>
      <c r="AE115" s="81" t="s">
        <v>112</v>
      </c>
      <c r="AF115" s="81" t="s">
        <v>112</v>
      </c>
      <c r="AG115" s="81" t="s">
        <v>112</v>
      </c>
      <c r="AH115" s="53">
        <f t="shared" si="22"/>
        <v>0</v>
      </c>
    </row>
    <row r="116" spans="1:34" ht="15">
      <c r="A116" s="128" t="s">
        <v>84</v>
      </c>
      <c r="B116" s="67">
        <f t="shared" si="21"/>
        <v>0</v>
      </c>
      <c r="C116" s="81" t="s">
        <v>112</v>
      </c>
      <c r="D116" s="81" t="s">
        <v>112</v>
      </c>
      <c r="E116" s="81" t="s">
        <v>112</v>
      </c>
      <c r="F116" s="81" t="s">
        <v>112</v>
      </c>
      <c r="G116" s="81" t="s">
        <v>112</v>
      </c>
      <c r="H116" s="81" t="s">
        <v>112</v>
      </c>
      <c r="I116" s="81" t="s">
        <v>112</v>
      </c>
      <c r="J116" s="81" t="s">
        <v>112</v>
      </c>
      <c r="K116" s="81" t="s">
        <v>112</v>
      </c>
      <c r="L116" s="81" t="s">
        <v>112</v>
      </c>
      <c r="M116" s="81" t="s">
        <v>112</v>
      </c>
      <c r="N116" s="81" t="s">
        <v>112</v>
      </c>
      <c r="O116" s="81" t="s">
        <v>112</v>
      </c>
      <c r="P116" s="81" t="s">
        <v>112</v>
      </c>
      <c r="Q116" s="81" t="s">
        <v>112</v>
      </c>
      <c r="R116" s="81" t="s">
        <v>112</v>
      </c>
      <c r="S116" s="81" t="s">
        <v>112</v>
      </c>
      <c r="T116" s="81" t="s">
        <v>112</v>
      </c>
      <c r="U116" s="81" t="s">
        <v>112</v>
      </c>
      <c r="V116" s="81" t="s">
        <v>112</v>
      </c>
      <c r="W116" s="81" t="s">
        <v>112</v>
      </c>
      <c r="X116" s="1287"/>
      <c r="Y116" s="1287"/>
      <c r="Z116" s="1287"/>
      <c r="AA116" s="1287"/>
      <c r="AB116" s="1287"/>
      <c r="AC116" s="1287"/>
      <c r="AD116" s="1287"/>
      <c r="AE116" s="1488"/>
      <c r="AF116" s="1287"/>
      <c r="AG116" s="1488"/>
      <c r="AH116" s="53">
        <f t="shared" si="22"/>
        <v>0</v>
      </c>
    </row>
    <row r="117" spans="1:34" ht="15">
      <c r="A117" s="128" t="s">
        <v>85</v>
      </c>
      <c r="B117" s="67">
        <f t="shared" si="21"/>
        <v>37.74</v>
      </c>
      <c r="C117" s="1287"/>
      <c r="D117" s="1287"/>
      <c r="E117" s="1287"/>
      <c r="F117" s="1287"/>
      <c r="G117" s="1287"/>
      <c r="H117" s="1287"/>
      <c r="I117" s="1287"/>
      <c r="J117" s="1287"/>
      <c r="K117" s="1287"/>
      <c r="L117" s="1287"/>
      <c r="M117" s="1287"/>
      <c r="N117" s="1287"/>
      <c r="O117" s="1287"/>
      <c r="P117" s="1287"/>
      <c r="Q117" s="1287"/>
      <c r="R117" s="1287"/>
      <c r="S117" s="1287"/>
      <c r="T117" s="1287"/>
      <c r="U117" s="1287"/>
      <c r="V117" s="1287"/>
      <c r="W117" s="1287"/>
      <c r="X117" s="1287"/>
      <c r="Y117" s="1287"/>
      <c r="Z117" s="1287"/>
      <c r="AA117" s="1287"/>
      <c r="AB117" s="1287">
        <v>34.54</v>
      </c>
      <c r="AC117" s="1287"/>
      <c r="AD117" s="1287"/>
      <c r="AE117" s="1488"/>
      <c r="AF117" s="1287">
        <v>3.2</v>
      </c>
      <c r="AG117" s="1488"/>
      <c r="AH117" s="53">
        <f t="shared" si="22"/>
        <v>37.74</v>
      </c>
    </row>
    <row r="118" spans="1:34" ht="15">
      <c r="A118" s="128" t="s">
        <v>86</v>
      </c>
      <c r="B118" s="67">
        <f t="shared" si="21"/>
        <v>382.01799999999992</v>
      </c>
      <c r="C118" s="1287"/>
      <c r="D118" s="1287"/>
      <c r="E118" s="1287"/>
      <c r="F118" s="1287"/>
      <c r="G118" s="1287"/>
      <c r="H118" s="1287"/>
      <c r="I118" s="1287"/>
      <c r="J118" s="1287"/>
      <c r="K118" s="1287"/>
      <c r="L118" s="1287"/>
      <c r="M118" s="1287"/>
      <c r="N118" s="1287"/>
      <c r="O118" s="1287"/>
      <c r="P118" s="1287">
        <v>54.02</v>
      </c>
      <c r="Q118" s="1287">
        <v>28.43</v>
      </c>
      <c r="R118" s="1287"/>
      <c r="S118" s="1287"/>
      <c r="T118" s="1287"/>
      <c r="U118" s="1287">
        <v>27.56</v>
      </c>
      <c r="V118" s="1287"/>
      <c r="W118" s="1287"/>
      <c r="X118" s="1287">
        <v>45.65</v>
      </c>
      <c r="Y118" s="1287">
        <v>73.86</v>
      </c>
      <c r="Z118" s="1287">
        <v>0</v>
      </c>
      <c r="AA118" s="1287">
        <v>0</v>
      </c>
      <c r="AB118" s="1287">
        <v>23.64</v>
      </c>
      <c r="AC118" s="1287">
        <v>36.198</v>
      </c>
      <c r="AD118" s="1287">
        <v>92.66</v>
      </c>
      <c r="AE118" s="1287">
        <v>0</v>
      </c>
      <c r="AF118" s="1287">
        <v>0</v>
      </c>
      <c r="AG118" s="1287"/>
      <c r="AH118" s="53">
        <f t="shared" si="22"/>
        <v>382.01799999999992</v>
      </c>
    </row>
    <row r="119" spans="1:34" ht="15">
      <c r="A119" s="88" t="s">
        <v>74</v>
      </c>
      <c r="B119" s="122">
        <f>SUM(B107:B118)</f>
        <v>2352.989</v>
      </c>
      <c r="C119" s="46">
        <f>SUM(C107:C117)</f>
        <v>147.96</v>
      </c>
      <c r="D119" s="53">
        <f>SUM(D107:D117)</f>
        <v>71.3</v>
      </c>
      <c r="E119" s="53">
        <v>0</v>
      </c>
      <c r="F119" s="53">
        <f t="shared" ref="F119:AC119" si="23">SUM(F107:F117)</f>
        <v>0</v>
      </c>
      <c r="G119" s="53">
        <f t="shared" si="23"/>
        <v>173.238</v>
      </c>
      <c r="H119" s="53">
        <f t="shared" si="23"/>
        <v>198.17000000000002</v>
      </c>
      <c r="I119" s="53">
        <f t="shared" si="23"/>
        <v>30.67</v>
      </c>
      <c r="J119" s="53">
        <f t="shared" si="23"/>
        <v>241.57399999999998</v>
      </c>
      <c r="K119" s="53">
        <f t="shared" si="23"/>
        <v>0</v>
      </c>
      <c r="L119" s="53">
        <f t="shared" si="23"/>
        <v>66.89</v>
      </c>
      <c r="M119" s="53">
        <f t="shared" si="23"/>
        <v>107.86999999999999</v>
      </c>
      <c r="N119" s="53">
        <f t="shared" si="23"/>
        <v>90.051000000000002</v>
      </c>
      <c r="O119" s="53">
        <f t="shared" si="23"/>
        <v>38.19</v>
      </c>
      <c r="P119" s="53">
        <f t="shared" si="23"/>
        <v>77.486000000000004</v>
      </c>
      <c r="Q119" s="53">
        <f t="shared" si="23"/>
        <v>82.69</v>
      </c>
      <c r="R119" s="53">
        <f t="shared" si="23"/>
        <v>0</v>
      </c>
      <c r="S119" s="53">
        <f t="shared" si="23"/>
        <v>0</v>
      </c>
      <c r="T119" s="53">
        <f t="shared" si="23"/>
        <v>14.26</v>
      </c>
      <c r="U119" s="53">
        <f t="shared" si="23"/>
        <v>4.04</v>
      </c>
      <c r="V119" s="53">
        <f t="shared" si="23"/>
        <v>0</v>
      </c>
      <c r="W119" s="53">
        <f t="shared" si="23"/>
        <v>0</v>
      </c>
      <c r="X119" s="53">
        <f t="shared" si="23"/>
        <v>93.899999999999991</v>
      </c>
      <c r="Y119" s="53">
        <f t="shared" si="23"/>
        <v>78.537999999999997</v>
      </c>
      <c r="Z119" s="53">
        <f t="shared" si="23"/>
        <v>52.78</v>
      </c>
      <c r="AA119" s="53">
        <f t="shared" si="23"/>
        <v>100.208</v>
      </c>
      <c r="AB119" s="53">
        <f t="shared" si="23"/>
        <v>114.57</v>
      </c>
      <c r="AC119" s="53">
        <f t="shared" si="23"/>
        <v>62.05</v>
      </c>
      <c r="AD119" s="53">
        <v>0</v>
      </c>
      <c r="AE119" s="53">
        <f>SUM(AE107:AE117)</f>
        <v>0</v>
      </c>
      <c r="AF119" s="53">
        <f>SUM(AF107:AF117)</f>
        <v>3.2</v>
      </c>
      <c r="AG119" s="53">
        <f>SUM(AG107:AG117)</f>
        <v>0</v>
      </c>
      <c r="AH119" s="46">
        <f>SUM(AH107:AH117)</f>
        <v>1970.971</v>
      </c>
    </row>
    <row r="120" spans="1:34" ht="5.0999999999999996" customHeight="1">
      <c r="A120" s="50"/>
      <c r="B120" s="51"/>
      <c r="C120" s="13"/>
      <c r="D120" s="52"/>
      <c r="E120" s="52"/>
      <c r="F120" s="52"/>
      <c r="G120" s="52"/>
      <c r="H120" s="52"/>
      <c r="I120" s="52"/>
      <c r="J120" s="52"/>
      <c r="K120" s="52"/>
      <c r="L120" s="52"/>
      <c r="M120" s="52"/>
      <c r="N120" s="52"/>
      <c r="O120" s="52"/>
      <c r="P120" s="52"/>
      <c r="Q120" s="52"/>
      <c r="R120" s="52"/>
      <c r="S120" s="52"/>
      <c r="T120" s="52"/>
      <c r="U120" s="52"/>
      <c r="V120" s="52"/>
      <c r="W120" s="52"/>
      <c r="X120" s="52"/>
      <c r="Y120" s="52"/>
      <c r="Z120" s="52"/>
      <c r="AA120" s="52"/>
      <c r="AB120" s="52"/>
      <c r="AC120" s="52"/>
      <c r="AD120" s="52"/>
      <c r="AE120" s="52"/>
      <c r="AF120" s="52"/>
      <c r="AG120" s="52"/>
      <c r="AH120" s="13"/>
    </row>
    <row r="121" spans="1:34" ht="15">
      <c r="A121" s="3569" t="s">
        <v>58</v>
      </c>
      <c r="B121" s="3570"/>
      <c r="C121" s="3570"/>
      <c r="D121" s="3570"/>
      <c r="E121" s="3570"/>
      <c r="F121" s="3570"/>
      <c r="G121" s="3570"/>
      <c r="H121" s="3571"/>
      <c r="I121" s="1477"/>
      <c r="J121" s="43"/>
      <c r="K121" s="43"/>
      <c r="L121" s="43"/>
      <c r="M121" s="43"/>
      <c r="N121" s="43"/>
      <c r="O121" s="43"/>
      <c r="P121" s="43"/>
      <c r="Q121" s="43"/>
      <c r="R121" s="43"/>
      <c r="S121" s="11"/>
      <c r="T121" s="11"/>
      <c r="U121" s="11"/>
      <c r="V121" s="11"/>
      <c r="W121" s="11"/>
      <c r="X121" s="11"/>
      <c r="Y121" s="11"/>
      <c r="Z121" s="11"/>
      <c r="AA121" s="11"/>
      <c r="AB121" s="11"/>
      <c r="AC121" s="11"/>
      <c r="AD121" s="11"/>
      <c r="AE121" s="11"/>
      <c r="AF121" s="11"/>
      <c r="AG121" s="11"/>
      <c r="AH121" s="11"/>
    </row>
    <row r="122" spans="1:34" ht="15">
      <c r="A122" s="5" t="s">
        <v>72</v>
      </c>
      <c r="B122" s="5" t="s">
        <v>73</v>
      </c>
      <c r="C122" s="1233">
        <v>1</v>
      </c>
      <c r="D122" s="30">
        <v>2</v>
      </c>
      <c r="E122" s="30">
        <v>3</v>
      </c>
      <c r="F122" s="30">
        <v>4</v>
      </c>
      <c r="G122" s="30">
        <v>5</v>
      </c>
      <c r="H122" s="30">
        <v>6</v>
      </c>
      <c r="I122" s="30">
        <v>7</v>
      </c>
      <c r="J122" s="30">
        <v>8</v>
      </c>
      <c r="K122" s="30">
        <v>9</v>
      </c>
      <c r="L122" s="30">
        <v>10</v>
      </c>
      <c r="M122" s="30">
        <v>11</v>
      </c>
      <c r="N122" s="30">
        <v>12</v>
      </c>
      <c r="O122" s="30">
        <v>13</v>
      </c>
      <c r="P122" s="30">
        <v>14</v>
      </c>
      <c r="Q122" s="30">
        <v>15</v>
      </c>
      <c r="R122" s="30">
        <v>16</v>
      </c>
      <c r="S122" s="30">
        <v>17</v>
      </c>
      <c r="T122" s="30">
        <v>18</v>
      </c>
      <c r="U122" s="30">
        <v>19</v>
      </c>
      <c r="V122" s="30">
        <v>20</v>
      </c>
      <c r="W122" s="30">
        <v>21</v>
      </c>
      <c r="X122" s="30">
        <v>22</v>
      </c>
      <c r="Y122" s="30">
        <v>23</v>
      </c>
      <c r="Z122" s="30">
        <v>24</v>
      </c>
      <c r="AA122" s="30">
        <v>25</v>
      </c>
      <c r="AB122" s="30">
        <v>26</v>
      </c>
      <c r="AC122" s="30">
        <v>27</v>
      </c>
      <c r="AD122" s="30">
        <v>28</v>
      </c>
      <c r="AE122" s="30">
        <v>29</v>
      </c>
      <c r="AF122" s="30">
        <v>30</v>
      </c>
      <c r="AG122" s="30">
        <v>31</v>
      </c>
      <c r="AH122" s="39" t="s">
        <v>74</v>
      </c>
    </row>
    <row r="123" spans="1:34" ht="15">
      <c r="A123" s="143" t="s">
        <v>75</v>
      </c>
      <c r="B123" s="18">
        <f t="shared" ref="B123:B134" si="24">+AH123</f>
        <v>0</v>
      </c>
      <c r="C123" s="126" t="s">
        <v>111</v>
      </c>
      <c r="D123" s="126" t="s">
        <v>111</v>
      </c>
      <c r="E123" s="126" t="s">
        <v>111</v>
      </c>
      <c r="F123" s="126" t="s">
        <v>111</v>
      </c>
      <c r="G123" s="126" t="s">
        <v>111</v>
      </c>
      <c r="H123" s="126" t="s">
        <v>111</v>
      </c>
      <c r="I123" s="126" t="s">
        <v>111</v>
      </c>
      <c r="J123" s="126" t="s">
        <v>111</v>
      </c>
      <c r="K123" s="126" t="s">
        <v>111</v>
      </c>
      <c r="L123" s="126" t="s">
        <v>111</v>
      </c>
      <c r="M123" s="126" t="s">
        <v>111</v>
      </c>
      <c r="N123" s="126" t="s">
        <v>111</v>
      </c>
      <c r="O123" s="126" t="s">
        <v>111</v>
      </c>
      <c r="P123" s="126" t="s">
        <v>111</v>
      </c>
      <c r="Q123" s="126" t="s">
        <v>111</v>
      </c>
      <c r="R123" s="126" t="s">
        <v>111</v>
      </c>
      <c r="S123" s="126" t="s">
        <v>111</v>
      </c>
      <c r="T123" s="126" t="s">
        <v>111</v>
      </c>
      <c r="U123" s="126" t="s">
        <v>111</v>
      </c>
      <c r="V123" s="126" t="s">
        <v>111</v>
      </c>
      <c r="W123" s="126" t="s">
        <v>111</v>
      </c>
      <c r="X123" s="126" t="s">
        <v>111</v>
      </c>
      <c r="Y123" s="126" t="s">
        <v>111</v>
      </c>
      <c r="Z123" s="126" t="s">
        <v>111</v>
      </c>
      <c r="AA123" s="126" t="s">
        <v>111</v>
      </c>
      <c r="AB123" s="126" t="s">
        <v>111</v>
      </c>
      <c r="AC123" s="126" t="s">
        <v>111</v>
      </c>
      <c r="AD123" s="126" t="s">
        <v>111</v>
      </c>
      <c r="AE123" s="126" t="s">
        <v>111</v>
      </c>
      <c r="AF123" s="126" t="s">
        <v>111</v>
      </c>
      <c r="AG123" s="126" t="s">
        <v>111</v>
      </c>
      <c r="AH123" s="53">
        <f>SUM(C123:AG123)</f>
        <v>0</v>
      </c>
    </row>
    <row r="124" spans="1:34" ht="15">
      <c r="A124" s="143" t="s">
        <v>76</v>
      </c>
      <c r="B124" s="18">
        <f t="shared" si="24"/>
        <v>0</v>
      </c>
      <c r="C124" s="126" t="s">
        <v>111</v>
      </c>
      <c r="D124" s="126" t="s">
        <v>111</v>
      </c>
      <c r="E124" s="126" t="s">
        <v>111</v>
      </c>
      <c r="F124" s="126" t="s">
        <v>111</v>
      </c>
      <c r="G124" s="126" t="s">
        <v>111</v>
      </c>
      <c r="H124" s="126" t="s">
        <v>111</v>
      </c>
      <c r="I124" s="126" t="s">
        <v>111</v>
      </c>
      <c r="J124" s="127"/>
      <c r="K124" s="127"/>
      <c r="L124" s="127"/>
      <c r="M124" s="127"/>
      <c r="N124" s="127"/>
      <c r="O124" s="127"/>
      <c r="P124" s="127"/>
      <c r="Q124" s="127"/>
      <c r="R124" s="127"/>
      <c r="S124" s="127"/>
      <c r="T124" s="127"/>
      <c r="U124" s="127"/>
      <c r="V124" s="127"/>
      <c r="W124" s="127"/>
      <c r="X124" s="127"/>
      <c r="Y124" s="127"/>
      <c r="Z124" s="127"/>
      <c r="AA124" s="127"/>
      <c r="AB124" s="127"/>
      <c r="AC124" s="127"/>
      <c r="AD124" s="127"/>
      <c r="AE124" s="127"/>
      <c r="AF124" s="127"/>
      <c r="AG124" s="127"/>
      <c r="AH124" s="53">
        <f>SUM(C124:AG124)</f>
        <v>0</v>
      </c>
    </row>
    <row r="125" spans="1:34" ht="15">
      <c r="A125" s="143" t="s">
        <v>77</v>
      </c>
      <c r="B125" s="18">
        <f t="shared" si="24"/>
        <v>0</v>
      </c>
      <c r="C125" s="127"/>
      <c r="D125" s="127"/>
      <c r="E125" s="127"/>
      <c r="F125" s="127"/>
      <c r="G125" s="127"/>
      <c r="H125" s="112"/>
      <c r="I125" s="112"/>
      <c r="J125" s="112"/>
      <c r="K125" s="112"/>
      <c r="L125" s="112"/>
      <c r="M125" s="112"/>
      <c r="N125" s="112"/>
      <c r="O125" s="112"/>
      <c r="P125" s="112"/>
      <c r="Q125" s="112"/>
      <c r="R125" s="112"/>
      <c r="S125" s="18"/>
      <c r="T125" s="18"/>
      <c r="U125" s="18"/>
      <c r="V125" s="18"/>
      <c r="W125" s="18"/>
      <c r="X125" s="18"/>
      <c r="Y125" s="18"/>
      <c r="Z125" s="18"/>
      <c r="AA125" s="18"/>
      <c r="AB125" s="18"/>
      <c r="AC125" s="1930"/>
      <c r="AD125" s="1930"/>
      <c r="AE125" s="1930"/>
      <c r="AF125" s="1930"/>
      <c r="AG125" s="1930"/>
      <c r="AH125" s="53">
        <f>SUM(C125:AG125)</f>
        <v>0</v>
      </c>
    </row>
    <row r="126" spans="1:34" ht="15">
      <c r="A126" s="143" t="s">
        <v>78</v>
      </c>
      <c r="B126" s="18">
        <f t="shared" si="24"/>
        <v>0</v>
      </c>
      <c r="C126" s="1930"/>
      <c r="D126" s="1930"/>
      <c r="E126" s="1930"/>
      <c r="F126" s="1930"/>
      <c r="G126" s="1930"/>
      <c r="H126" s="1930"/>
      <c r="I126" s="1930"/>
      <c r="J126" s="1930"/>
      <c r="K126" s="1930"/>
      <c r="L126" s="1287"/>
      <c r="M126" s="1287"/>
      <c r="N126" s="1287"/>
      <c r="O126" s="1287"/>
      <c r="P126" s="1287"/>
      <c r="Q126" s="1287"/>
      <c r="R126" s="1287"/>
      <c r="S126" s="1287"/>
      <c r="T126" s="1287"/>
      <c r="U126" s="1287"/>
      <c r="V126" s="1287"/>
      <c r="W126" s="1287"/>
      <c r="X126" s="1287"/>
      <c r="Y126" s="1287"/>
      <c r="Z126" s="1287"/>
      <c r="AA126" s="1287"/>
      <c r="AB126" s="1287"/>
      <c r="AC126" s="1287"/>
      <c r="AD126" s="1287"/>
      <c r="AE126" s="1287"/>
      <c r="AF126" s="1287"/>
      <c r="AG126" s="1287"/>
      <c r="AH126" s="53">
        <f t="shared" ref="AH126:AH134" si="25">SUM(C126:AG126)</f>
        <v>0</v>
      </c>
    </row>
    <row r="127" spans="1:34" ht="15">
      <c r="A127" s="132" t="s">
        <v>79</v>
      </c>
      <c r="B127" s="18">
        <f t="shared" si="24"/>
        <v>0</v>
      </c>
      <c r="C127" s="1287"/>
      <c r="D127" s="1287"/>
      <c r="E127" s="1287"/>
      <c r="F127" s="1287"/>
      <c r="G127" s="1287"/>
      <c r="H127" s="1287"/>
      <c r="I127" s="1287"/>
      <c r="J127" s="1287"/>
      <c r="K127" s="1287"/>
      <c r="L127" s="1287"/>
      <c r="M127" s="1287"/>
      <c r="N127" s="1287"/>
      <c r="O127" s="1287"/>
      <c r="P127" s="1287"/>
      <c r="Q127" s="1287"/>
      <c r="R127" s="1287"/>
      <c r="S127" s="1287"/>
      <c r="T127" s="1287"/>
      <c r="U127" s="1287"/>
      <c r="V127" s="1287"/>
      <c r="W127" s="1287"/>
      <c r="X127" s="1287"/>
      <c r="Y127" s="1287"/>
      <c r="Z127" s="1287"/>
      <c r="AA127" s="1287"/>
      <c r="AB127" s="1287"/>
      <c r="AC127" s="1287"/>
      <c r="AD127" s="1287"/>
      <c r="AE127" s="1287"/>
      <c r="AF127" s="1287"/>
      <c r="AG127" s="1287"/>
      <c r="AH127" s="53">
        <f t="shared" si="25"/>
        <v>0</v>
      </c>
    </row>
    <row r="128" spans="1:34" ht="15">
      <c r="A128" s="132" t="s">
        <v>80</v>
      </c>
      <c r="B128" s="18">
        <f t="shared" si="24"/>
        <v>0</v>
      </c>
      <c r="C128" s="1287"/>
      <c r="D128" s="1287"/>
      <c r="E128" s="1287"/>
      <c r="F128" s="1287"/>
      <c r="G128" s="1287"/>
      <c r="H128" s="1287"/>
      <c r="I128" s="1287"/>
      <c r="J128" s="1287"/>
      <c r="K128" s="1287"/>
      <c r="L128" s="1287"/>
      <c r="M128" s="1287"/>
      <c r="N128" s="1287"/>
      <c r="O128" s="1287"/>
      <c r="P128" s="1287"/>
      <c r="Q128" s="1287"/>
      <c r="R128" s="1287"/>
      <c r="S128" s="1287"/>
      <c r="T128" s="1287"/>
      <c r="U128" s="1287"/>
      <c r="V128" s="1287"/>
      <c r="W128" s="1287"/>
      <c r="X128" s="1287"/>
      <c r="Y128" s="1287"/>
      <c r="Z128" s="1287"/>
      <c r="AA128" s="1287"/>
      <c r="AB128" s="1287"/>
      <c r="AC128" s="1287"/>
      <c r="AD128" s="1287"/>
      <c r="AE128" s="1287"/>
      <c r="AF128" s="1287"/>
      <c r="AG128" s="1287"/>
      <c r="AH128" s="53">
        <f t="shared" si="25"/>
        <v>0</v>
      </c>
    </row>
    <row r="129" spans="1:34" ht="15">
      <c r="A129" s="132" t="s">
        <v>81</v>
      </c>
      <c r="B129" s="18">
        <f t="shared" si="24"/>
        <v>0</v>
      </c>
      <c r="C129" s="1287"/>
      <c r="D129" s="1488"/>
      <c r="E129" s="1488"/>
      <c r="F129" s="1488"/>
      <c r="G129" s="1287"/>
      <c r="H129" s="1287"/>
      <c r="I129" s="1287"/>
      <c r="J129" s="2466"/>
      <c r="K129" s="2466"/>
      <c r="L129" s="1488"/>
      <c r="M129" s="1488"/>
      <c r="N129" s="1488"/>
      <c r="O129" s="1488"/>
      <c r="P129" s="1488"/>
      <c r="Q129" s="1488"/>
      <c r="R129" s="1488"/>
      <c r="S129" s="1488"/>
      <c r="T129" s="1488"/>
      <c r="U129" s="1488"/>
      <c r="V129" s="1488"/>
      <c r="W129" s="688"/>
      <c r="X129" s="688"/>
      <c r="Y129" s="688"/>
      <c r="Z129" s="688"/>
      <c r="AA129" s="688"/>
      <c r="AB129" s="688"/>
      <c r="AC129" s="688"/>
      <c r="AD129" s="688"/>
      <c r="AE129" s="688"/>
      <c r="AF129" s="688" t="s">
        <v>111</v>
      </c>
      <c r="AG129" s="688" t="s">
        <v>111</v>
      </c>
      <c r="AH129" s="53">
        <f t="shared" si="25"/>
        <v>0</v>
      </c>
    </row>
    <row r="130" spans="1:34" ht="15">
      <c r="A130" s="132" t="s">
        <v>82</v>
      </c>
      <c r="B130" s="18">
        <f t="shared" si="24"/>
        <v>0</v>
      </c>
      <c r="C130" s="688" t="s">
        <v>111</v>
      </c>
      <c r="D130" s="688" t="s">
        <v>111</v>
      </c>
      <c r="E130" s="688" t="s">
        <v>111</v>
      </c>
      <c r="F130" s="688" t="s">
        <v>111</v>
      </c>
      <c r="G130" s="688" t="s">
        <v>111</v>
      </c>
      <c r="H130" s="688" t="s">
        <v>111</v>
      </c>
      <c r="I130" s="688" t="s">
        <v>111</v>
      </c>
      <c r="J130" s="688" t="s">
        <v>111</v>
      </c>
      <c r="K130" s="688" t="s">
        <v>111</v>
      </c>
      <c r="L130" s="688" t="s">
        <v>111</v>
      </c>
      <c r="M130" s="688" t="s">
        <v>111</v>
      </c>
      <c r="N130" s="688" t="s">
        <v>111</v>
      </c>
      <c r="O130" s="688" t="s">
        <v>111</v>
      </c>
      <c r="P130" s="688" t="s">
        <v>111</v>
      </c>
      <c r="Q130" s="688" t="s">
        <v>111</v>
      </c>
      <c r="R130" s="688" t="s">
        <v>111</v>
      </c>
      <c r="S130" s="688" t="s">
        <v>111</v>
      </c>
      <c r="T130" s="688" t="s">
        <v>111</v>
      </c>
      <c r="U130" s="688" t="s">
        <v>111</v>
      </c>
      <c r="V130" s="688" t="s">
        <v>111</v>
      </c>
      <c r="W130" s="688" t="s">
        <v>111</v>
      </c>
      <c r="X130" s="688" t="s">
        <v>111</v>
      </c>
      <c r="Y130" s="688" t="s">
        <v>111</v>
      </c>
      <c r="Z130" s="688" t="s">
        <v>111</v>
      </c>
      <c r="AA130" s="688" t="s">
        <v>111</v>
      </c>
      <c r="AB130" s="688" t="s">
        <v>111</v>
      </c>
      <c r="AC130" s="688" t="s">
        <v>111</v>
      </c>
      <c r="AD130" s="688" t="s">
        <v>111</v>
      </c>
      <c r="AE130" s="688" t="s">
        <v>111</v>
      </c>
      <c r="AF130" s="688" t="s">
        <v>111</v>
      </c>
      <c r="AG130" s="688" t="s">
        <v>111</v>
      </c>
      <c r="AH130" s="53">
        <f t="shared" si="25"/>
        <v>0</v>
      </c>
    </row>
    <row r="131" spans="1:34" ht="15">
      <c r="A131" s="128" t="s">
        <v>83</v>
      </c>
      <c r="B131" s="18">
        <f t="shared" si="24"/>
        <v>0</v>
      </c>
      <c r="C131" s="688" t="s">
        <v>111</v>
      </c>
      <c r="D131" s="688" t="s">
        <v>111</v>
      </c>
      <c r="E131" s="688" t="s">
        <v>111</v>
      </c>
      <c r="F131" s="688" t="s">
        <v>111</v>
      </c>
      <c r="G131" s="688" t="s">
        <v>111</v>
      </c>
      <c r="H131" s="688" t="s">
        <v>111</v>
      </c>
      <c r="I131" s="688" t="s">
        <v>111</v>
      </c>
      <c r="J131" s="688" t="s">
        <v>111</v>
      </c>
      <c r="K131" s="688" t="s">
        <v>111</v>
      </c>
      <c r="L131" s="688" t="s">
        <v>111</v>
      </c>
      <c r="M131" s="688" t="s">
        <v>111</v>
      </c>
      <c r="N131" s="688" t="s">
        <v>111</v>
      </c>
      <c r="O131" s="688" t="s">
        <v>111</v>
      </c>
      <c r="P131" s="688" t="s">
        <v>111</v>
      </c>
      <c r="Q131" s="688" t="s">
        <v>111</v>
      </c>
      <c r="R131" s="688" t="s">
        <v>111</v>
      </c>
      <c r="S131" s="688" t="s">
        <v>111</v>
      </c>
      <c r="T131" s="688" t="s">
        <v>111</v>
      </c>
      <c r="U131" s="688" t="s">
        <v>111</v>
      </c>
      <c r="V131" s="688" t="s">
        <v>111</v>
      </c>
      <c r="W131" s="688" t="s">
        <v>111</v>
      </c>
      <c r="X131" s="688" t="s">
        <v>111</v>
      </c>
      <c r="Y131" s="688" t="s">
        <v>111</v>
      </c>
      <c r="Z131" s="688" t="s">
        <v>111</v>
      </c>
      <c r="AA131" s="688" t="s">
        <v>111</v>
      </c>
      <c r="AB131" s="688" t="s">
        <v>111</v>
      </c>
      <c r="AC131" s="688" t="s">
        <v>111</v>
      </c>
      <c r="AD131" s="688" t="s">
        <v>111</v>
      </c>
      <c r="AE131" s="688" t="s">
        <v>111</v>
      </c>
      <c r="AF131" s="688" t="s">
        <v>111</v>
      </c>
      <c r="AG131" s="688" t="s">
        <v>111</v>
      </c>
      <c r="AH131" s="53">
        <f t="shared" si="25"/>
        <v>0</v>
      </c>
    </row>
    <row r="132" spans="1:34" ht="15">
      <c r="A132" s="128" t="s">
        <v>84</v>
      </c>
      <c r="B132" s="18">
        <f t="shared" si="24"/>
        <v>0</v>
      </c>
      <c r="C132" s="688" t="s">
        <v>111</v>
      </c>
      <c r="D132" s="688" t="s">
        <v>111</v>
      </c>
      <c r="E132" s="688" t="s">
        <v>111</v>
      </c>
      <c r="F132" s="688" t="s">
        <v>111</v>
      </c>
      <c r="G132" s="688" t="s">
        <v>111</v>
      </c>
      <c r="H132" s="688" t="s">
        <v>111</v>
      </c>
      <c r="I132" s="688" t="s">
        <v>111</v>
      </c>
      <c r="J132" s="688" t="s">
        <v>111</v>
      </c>
      <c r="K132" s="688" t="s">
        <v>111</v>
      </c>
      <c r="L132" s="688" t="s">
        <v>111</v>
      </c>
      <c r="M132" s="688" t="s">
        <v>111</v>
      </c>
      <c r="N132" s="688" t="s">
        <v>111</v>
      </c>
      <c r="O132" s="688" t="s">
        <v>111</v>
      </c>
      <c r="P132" s="688" t="s">
        <v>111</v>
      </c>
      <c r="Q132" s="688" t="s">
        <v>111</v>
      </c>
      <c r="R132" s="688" t="s">
        <v>111</v>
      </c>
      <c r="S132" s="688" t="s">
        <v>111</v>
      </c>
      <c r="T132" s="688" t="s">
        <v>111</v>
      </c>
      <c r="U132" s="688" t="s">
        <v>111</v>
      </c>
      <c r="V132" s="688" t="s">
        <v>111</v>
      </c>
      <c r="W132" s="688" t="s">
        <v>111</v>
      </c>
      <c r="X132" s="1287"/>
      <c r="Y132" s="1287"/>
      <c r="Z132" s="1287"/>
      <c r="AA132" s="1287"/>
      <c r="AB132" s="1287"/>
      <c r="AC132" s="1287"/>
      <c r="AD132" s="1287"/>
      <c r="AE132" s="1488"/>
      <c r="AF132" s="1287"/>
      <c r="AG132" s="1488"/>
      <c r="AH132" s="53">
        <f t="shared" si="25"/>
        <v>0</v>
      </c>
    </row>
    <row r="133" spans="1:34" ht="15">
      <c r="A133" s="128" t="s">
        <v>85</v>
      </c>
      <c r="B133" s="18">
        <f t="shared" si="24"/>
        <v>0</v>
      </c>
      <c r="C133" s="1287"/>
      <c r="D133" s="1287"/>
      <c r="E133" s="1287"/>
      <c r="F133" s="1287"/>
      <c r="G133" s="1433"/>
      <c r="H133" s="1287"/>
      <c r="I133" s="1287"/>
      <c r="J133" s="1287"/>
      <c r="K133" s="1287"/>
      <c r="L133" s="1287"/>
      <c r="M133" s="1287"/>
      <c r="N133" s="1287"/>
      <c r="O133" s="1287"/>
      <c r="P133" s="1287"/>
      <c r="Q133" s="1287"/>
      <c r="R133" s="1287"/>
      <c r="S133" s="1287"/>
      <c r="T133" s="1287"/>
      <c r="U133" s="1287"/>
      <c r="V133" s="1287"/>
      <c r="W133" s="1287"/>
      <c r="X133" s="1287"/>
      <c r="Y133" s="1433"/>
      <c r="Z133" s="1287"/>
      <c r="AA133" s="1287"/>
      <c r="AB133" s="1287"/>
      <c r="AC133" s="1287"/>
      <c r="AD133" s="1287"/>
      <c r="AE133" s="1488"/>
      <c r="AF133" s="1287"/>
      <c r="AG133" s="1488"/>
      <c r="AH133" s="53">
        <f t="shared" si="25"/>
        <v>0</v>
      </c>
    </row>
    <row r="134" spans="1:34" ht="15">
      <c r="A134" s="128" t="s">
        <v>86</v>
      </c>
      <c r="B134" s="18">
        <f t="shared" si="24"/>
        <v>0</v>
      </c>
      <c r="C134" s="1287"/>
      <c r="D134" s="1287"/>
      <c r="E134" s="1287"/>
      <c r="F134" s="1287"/>
      <c r="G134" s="1287"/>
      <c r="H134" s="1287"/>
      <c r="I134" s="1287"/>
      <c r="J134" s="1287"/>
      <c r="K134" s="1287"/>
      <c r="L134" s="1287"/>
      <c r="M134" s="1287"/>
      <c r="N134" s="1287"/>
      <c r="O134" s="1287"/>
      <c r="P134" s="1287"/>
      <c r="Q134" s="1287"/>
      <c r="R134" s="1287"/>
      <c r="S134" s="1287"/>
      <c r="T134" s="1287"/>
      <c r="U134" s="1287"/>
      <c r="V134" s="1287"/>
      <c r="W134" s="1287"/>
      <c r="X134" s="1287"/>
      <c r="Y134" s="1287"/>
      <c r="Z134" s="1287"/>
      <c r="AA134" s="1287"/>
      <c r="AB134" s="1287"/>
      <c r="AC134" s="1287"/>
      <c r="AD134" s="1287"/>
      <c r="AE134" s="1287"/>
      <c r="AF134" s="1287"/>
      <c r="AG134" s="1287"/>
      <c r="AH134" s="53">
        <f t="shared" si="25"/>
        <v>0</v>
      </c>
    </row>
    <row r="135" spans="1:34" ht="15">
      <c r="A135" s="88" t="s">
        <v>74</v>
      </c>
      <c r="B135" s="89">
        <f>SUM(B123:B134)</f>
        <v>0</v>
      </c>
      <c r="C135" s="46">
        <f>SUM(C123:C133)</f>
        <v>0</v>
      </c>
      <c r="D135" s="53">
        <f>SUM(D123:D133)</f>
        <v>0</v>
      </c>
      <c r="E135" s="53">
        <v>0</v>
      </c>
      <c r="F135" s="53">
        <f t="shared" ref="F135:AC135" si="26">SUM(F123:F133)</f>
        <v>0</v>
      </c>
      <c r="G135" s="53">
        <f t="shared" si="26"/>
        <v>0</v>
      </c>
      <c r="H135" s="53">
        <f t="shared" si="26"/>
        <v>0</v>
      </c>
      <c r="I135" s="53">
        <f t="shared" si="26"/>
        <v>0</v>
      </c>
      <c r="J135" s="53">
        <f t="shared" si="26"/>
        <v>0</v>
      </c>
      <c r="K135" s="53">
        <f t="shared" si="26"/>
        <v>0</v>
      </c>
      <c r="L135" s="53">
        <f t="shared" si="26"/>
        <v>0</v>
      </c>
      <c r="M135" s="53">
        <f t="shared" si="26"/>
        <v>0</v>
      </c>
      <c r="N135" s="53">
        <f t="shared" si="26"/>
        <v>0</v>
      </c>
      <c r="O135" s="53">
        <f t="shared" si="26"/>
        <v>0</v>
      </c>
      <c r="P135" s="53">
        <f t="shared" si="26"/>
        <v>0</v>
      </c>
      <c r="Q135" s="53">
        <f t="shared" si="26"/>
        <v>0</v>
      </c>
      <c r="R135" s="53">
        <f t="shared" si="26"/>
        <v>0</v>
      </c>
      <c r="S135" s="53">
        <f t="shared" si="26"/>
        <v>0</v>
      </c>
      <c r="T135" s="53">
        <f t="shared" si="26"/>
        <v>0</v>
      </c>
      <c r="U135" s="53">
        <f t="shared" si="26"/>
        <v>0</v>
      </c>
      <c r="V135" s="53">
        <f t="shared" si="26"/>
        <v>0</v>
      </c>
      <c r="W135" s="53">
        <f t="shared" si="26"/>
        <v>0</v>
      </c>
      <c r="X135" s="53">
        <f t="shared" si="26"/>
        <v>0</v>
      </c>
      <c r="Y135" s="53">
        <f t="shared" si="26"/>
        <v>0</v>
      </c>
      <c r="Z135" s="53">
        <f t="shared" si="26"/>
        <v>0</v>
      </c>
      <c r="AA135" s="53">
        <f t="shared" si="26"/>
        <v>0</v>
      </c>
      <c r="AB135" s="53">
        <f t="shared" si="26"/>
        <v>0</v>
      </c>
      <c r="AC135" s="53">
        <f t="shared" si="26"/>
        <v>0</v>
      </c>
      <c r="AD135" s="53">
        <v>0</v>
      </c>
      <c r="AE135" s="53">
        <f>SUM(AE123:AE133)</f>
        <v>0</v>
      </c>
      <c r="AF135" s="53">
        <f>SUM(AF123:AF133)</f>
        <v>0</v>
      </c>
      <c r="AG135" s="53">
        <f>SUM(AG123:AG133)</f>
        <v>0</v>
      </c>
      <c r="AH135" s="46">
        <f>SUM(AH123:AH133)</f>
        <v>0</v>
      </c>
    </row>
    <row r="136" spans="1:34" ht="5.0999999999999996" customHeight="1">
      <c r="A136" s="50"/>
      <c r="B136" s="51"/>
      <c r="C136" s="13"/>
      <c r="D136" s="52"/>
      <c r="E136" s="52"/>
      <c r="F136" s="52"/>
      <c r="G136" s="52"/>
      <c r="H136" s="52"/>
      <c r="I136" s="52"/>
      <c r="J136" s="52"/>
      <c r="K136" s="52"/>
      <c r="L136" s="52"/>
      <c r="M136" s="52"/>
      <c r="N136" s="52"/>
      <c r="O136" s="52"/>
      <c r="P136" s="52"/>
      <c r="Q136" s="52"/>
      <c r="R136" s="52"/>
      <c r="S136" s="52"/>
      <c r="T136" s="52"/>
      <c r="U136" s="52"/>
      <c r="V136" s="52"/>
      <c r="W136" s="52"/>
      <c r="X136" s="52"/>
      <c r="Y136" s="52"/>
      <c r="Z136" s="52"/>
      <c r="AA136" s="52"/>
      <c r="AB136" s="52"/>
      <c r="AC136" s="52"/>
      <c r="AD136" s="52"/>
      <c r="AE136" s="52"/>
      <c r="AF136" s="52"/>
      <c r="AG136" s="52"/>
      <c r="AH136" s="13"/>
    </row>
    <row r="137" spans="1:34" ht="15">
      <c r="A137" s="3569" t="s">
        <v>102</v>
      </c>
      <c r="B137" s="3570"/>
      <c r="C137" s="3570"/>
      <c r="D137" s="3570"/>
      <c r="E137" s="3570"/>
      <c r="F137" s="3570"/>
      <c r="G137" s="3570"/>
      <c r="H137" s="3571"/>
      <c r="I137" s="1477"/>
      <c r="J137" s="43"/>
      <c r="K137" s="43"/>
      <c r="L137" s="43"/>
      <c r="M137" s="43"/>
      <c r="N137" s="43"/>
      <c r="O137" s="43"/>
      <c r="P137" s="43"/>
      <c r="Q137" s="43"/>
      <c r="R137" s="43"/>
      <c r="S137" s="11"/>
      <c r="T137" s="11"/>
      <c r="U137" s="11"/>
      <c r="V137" s="11"/>
      <c r="W137" s="11"/>
      <c r="X137" s="11"/>
      <c r="Y137" s="11"/>
      <c r="Z137" s="11"/>
      <c r="AA137" s="11"/>
      <c r="AB137" s="11"/>
      <c r="AC137" s="11"/>
      <c r="AD137" s="11"/>
      <c r="AE137" s="11"/>
      <c r="AF137" s="11"/>
      <c r="AG137" s="11"/>
      <c r="AH137" s="11"/>
    </row>
    <row r="138" spans="1:34" ht="15">
      <c r="A138" s="5" t="s">
        <v>72</v>
      </c>
      <c r="B138" s="5" t="s">
        <v>73</v>
      </c>
      <c r="C138" s="1233">
        <v>1</v>
      </c>
      <c r="D138" s="30">
        <v>2</v>
      </c>
      <c r="E138" s="30">
        <v>3</v>
      </c>
      <c r="F138" s="30">
        <v>4</v>
      </c>
      <c r="G138" s="30">
        <v>5</v>
      </c>
      <c r="H138" s="30">
        <v>6</v>
      </c>
      <c r="I138" s="30">
        <v>7</v>
      </c>
      <c r="J138" s="30">
        <v>8</v>
      </c>
      <c r="K138" s="30">
        <v>9</v>
      </c>
      <c r="L138" s="30">
        <v>10</v>
      </c>
      <c r="M138" s="30">
        <v>11</v>
      </c>
      <c r="N138" s="30">
        <v>12</v>
      </c>
      <c r="O138" s="30">
        <v>13</v>
      </c>
      <c r="P138" s="30">
        <v>14</v>
      </c>
      <c r="Q138" s="30">
        <v>15</v>
      </c>
      <c r="R138" s="30">
        <v>16</v>
      </c>
      <c r="S138" s="30">
        <v>17</v>
      </c>
      <c r="T138" s="30">
        <v>18</v>
      </c>
      <c r="U138" s="30">
        <v>19</v>
      </c>
      <c r="V138" s="30">
        <v>20</v>
      </c>
      <c r="W138" s="30">
        <v>21</v>
      </c>
      <c r="X138" s="30">
        <v>22</v>
      </c>
      <c r="Y138" s="30">
        <v>23</v>
      </c>
      <c r="Z138" s="30">
        <v>24</v>
      </c>
      <c r="AA138" s="30">
        <v>25</v>
      </c>
      <c r="AB138" s="30">
        <v>26</v>
      </c>
      <c r="AC138" s="30">
        <v>27</v>
      </c>
      <c r="AD138" s="30">
        <v>28</v>
      </c>
      <c r="AE138" s="30">
        <v>29</v>
      </c>
      <c r="AF138" s="30">
        <v>30</v>
      </c>
      <c r="AG138" s="30">
        <v>31</v>
      </c>
      <c r="AH138" s="39" t="s">
        <v>74</v>
      </c>
    </row>
    <row r="139" spans="1:34" ht="15">
      <c r="A139" s="143" t="s">
        <v>75</v>
      </c>
      <c r="B139" s="18">
        <f t="shared" ref="B139:B150" si="27">+AH139</f>
        <v>0</v>
      </c>
      <c r="C139" s="126" t="s">
        <v>111</v>
      </c>
      <c r="D139" s="126" t="s">
        <v>111</v>
      </c>
      <c r="E139" s="126" t="s">
        <v>111</v>
      </c>
      <c r="F139" s="126" t="s">
        <v>111</v>
      </c>
      <c r="G139" s="126" t="s">
        <v>111</v>
      </c>
      <c r="H139" s="126" t="s">
        <v>111</v>
      </c>
      <c r="I139" s="126" t="s">
        <v>111</v>
      </c>
      <c r="J139" s="126" t="s">
        <v>111</v>
      </c>
      <c r="K139" s="126" t="s">
        <v>111</v>
      </c>
      <c r="L139" s="126" t="s">
        <v>111</v>
      </c>
      <c r="M139" s="126" t="s">
        <v>111</v>
      </c>
      <c r="N139" s="126" t="s">
        <v>111</v>
      </c>
      <c r="O139" s="126" t="s">
        <v>111</v>
      </c>
      <c r="P139" s="126" t="s">
        <v>111</v>
      </c>
      <c r="Q139" s="126" t="s">
        <v>111</v>
      </c>
      <c r="R139" s="126" t="s">
        <v>111</v>
      </c>
      <c r="S139" s="126" t="s">
        <v>111</v>
      </c>
      <c r="T139" s="126" t="s">
        <v>111</v>
      </c>
      <c r="U139" s="126" t="s">
        <v>111</v>
      </c>
      <c r="V139" s="126" t="s">
        <v>111</v>
      </c>
      <c r="W139" s="126" t="s">
        <v>111</v>
      </c>
      <c r="X139" s="126" t="s">
        <v>111</v>
      </c>
      <c r="Y139" s="126" t="s">
        <v>111</v>
      </c>
      <c r="Z139" s="126" t="s">
        <v>111</v>
      </c>
      <c r="AA139" s="126" t="s">
        <v>111</v>
      </c>
      <c r="AB139" s="126" t="s">
        <v>111</v>
      </c>
      <c r="AC139" s="126" t="s">
        <v>111</v>
      </c>
      <c r="AD139" s="126" t="s">
        <v>111</v>
      </c>
      <c r="AE139" s="126" t="s">
        <v>111</v>
      </c>
      <c r="AF139" s="126" t="s">
        <v>111</v>
      </c>
      <c r="AG139" s="126" t="s">
        <v>111</v>
      </c>
      <c r="AH139" s="53">
        <f>SUM(C139:AG139)</f>
        <v>0</v>
      </c>
    </row>
    <row r="140" spans="1:34" ht="15">
      <c r="A140" s="143" t="s">
        <v>76</v>
      </c>
      <c r="B140" s="18">
        <f t="shared" si="27"/>
        <v>0</v>
      </c>
      <c r="C140" s="126" t="s">
        <v>111</v>
      </c>
      <c r="D140" s="126" t="s">
        <v>111</v>
      </c>
      <c r="E140" s="126" t="s">
        <v>111</v>
      </c>
      <c r="F140" s="126" t="s">
        <v>111</v>
      </c>
      <c r="G140" s="126" t="s">
        <v>111</v>
      </c>
      <c r="H140" s="126" t="s">
        <v>111</v>
      </c>
      <c r="I140" s="126" t="s">
        <v>111</v>
      </c>
      <c r="J140" s="127"/>
      <c r="K140" s="127"/>
      <c r="L140" s="127"/>
      <c r="M140" s="127"/>
      <c r="N140" s="127"/>
      <c r="O140" s="127"/>
      <c r="P140" s="127"/>
      <c r="Q140" s="127"/>
      <c r="R140" s="127"/>
      <c r="S140" s="127"/>
      <c r="T140" s="127"/>
      <c r="U140" s="127"/>
      <c r="V140" s="127"/>
      <c r="W140" s="127"/>
      <c r="X140" s="127"/>
      <c r="Y140" s="127"/>
      <c r="Z140" s="127"/>
      <c r="AA140" s="127"/>
      <c r="AB140" s="127"/>
      <c r="AC140" s="127"/>
      <c r="AD140" s="127"/>
      <c r="AE140" s="127"/>
      <c r="AF140" s="127"/>
      <c r="AG140" s="127"/>
      <c r="AH140" s="53">
        <f>SUM(C140:AG140)</f>
        <v>0</v>
      </c>
    </row>
    <row r="141" spans="1:34" ht="15">
      <c r="A141" s="143" t="s">
        <v>77</v>
      </c>
      <c r="B141" s="18">
        <f t="shared" si="27"/>
        <v>0</v>
      </c>
      <c r="C141" s="127"/>
      <c r="D141" s="127"/>
      <c r="E141" s="127"/>
      <c r="F141" s="127"/>
      <c r="G141" s="127"/>
      <c r="H141" s="112"/>
      <c r="I141" s="112"/>
      <c r="J141" s="112"/>
      <c r="K141" s="112"/>
      <c r="L141" s="112"/>
      <c r="M141" s="112"/>
      <c r="N141" s="112"/>
      <c r="O141" s="112"/>
      <c r="P141" s="112"/>
      <c r="Q141" s="112"/>
      <c r="R141" s="112"/>
      <c r="S141" s="18"/>
      <c r="T141" s="18"/>
      <c r="U141" s="18"/>
      <c r="V141" s="18"/>
      <c r="W141" s="18"/>
      <c r="X141" s="18"/>
      <c r="Y141" s="18"/>
      <c r="Z141" s="18"/>
      <c r="AA141" s="18"/>
      <c r="AB141" s="18"/>
      <c r="AC141" s="1930"/>
      <c r="AD141" s="1930"/>
      <c r="AE141" s="1930"/>
      <c r="AF141" s="1930"/>
      <c r="AG141" s="1930"/>
      <c r="AH141" s="53">
        <f>SUM(C141:AG141)</f>
        <v>0</v>
      </c>
    </row>
    <row r="142" spans="1:34" ht="15">
      <c r="A142" s="143" t="s">
        <v>78</v>
      </c>
      <c r="B142" s="18">
        <f t="shared" si="27"/>
        <v>0</v>
      </c>
      <c r="C142" s="1930"/>
      <c r="D142" s="1930"/>
      <c r="E142" s="1930"/>
      <c r="F142" s="1930"/>
      <c r="G142" s="1930"/>
      <c r="H142" s="1930"/>
      <c r="I142" s="1930"/>
      <c r="J142" s="1930"/>
      <c r="K142" s="1930"/>
      <c r="L142" s="1287"/>
      <c r="M142" s="1287"/>
      <c r="N142" s="1287"/>
      <c r="O142" s="1287"/>
      <c r="P142" s="1287"/>
      <c r="Q142" s="1287"/>
      <c r="R142" s="1287"/>
      <c r="S142" s="1287"/>
      <c r="T142" s="1287"/>
      <c r="U142" s="1287"/>
      <c r="V142" s="1287"/>
      <c r="W142" s="1287"/>
      <c r="X142" s="1287"/>
      <c r="Y142" s="1287"/>
      <c r="Z142" s="1287"/>
      <c r="AA142" s="1287"/>
      <c r="AB142" s="1287"/>
      <c r="AC142" s="1287"/>
      <c r="AD142" s="1287"/>
      <c r="AE142" s="1287"/>
      <c r="AF142" s="1287"/>
      <c r="AG142" s="1287"/>
      <c r="AH142" s="53">
        <f t="shared" ref="AH142:AH150" si="28">SUM(C142:AG142)</f>
        <v>0</v>
      </c>
    </row>
    <row r="143" spans="1:34" ht="15">
      <c r="A143" s="132" t="s">
        <v>79</v>
      </c>
      <c r="B143" s="18">
        <f t="shared" si="27"/>
        <v>0</v>
      </c>
      <c r="C143" s="1287"/>
      <c r="D143" s="1287"/>
      <c r="E143" s="1287"/>
      <c r="F143" s="1287"/>
      <c r="G143" s="1287"/>
      <c r="H143" s="1287"/>
      <c r="I143" s="1287"/>
      <c r="J143" s="1287"/>
      <c r="K143" s="1287"/>
      <c r="L143" s="1287"/>
      <c r="M143" s="1287"/>
      <c r="N143" s="1287"/>
      <c r="O143" s="1287"/>
      <c r="P143" s="1287"/>
      <c r="Q143" s="1287"/>
      <c r="R143" s="1287"/>
      <c r="S143" s="1287"/>
      <c r="T143" s="1287"/>
      <c r="U143" s="1287"/>
      <c r="V143" s="1287"/>
      <c r="W143" s="1287"/>
      <c r="X143" s="1287"/>
      <c r="Y143" s="1287"/>
      <c r="Z143" s="1287"/>
      <c r="AA143" s="1287"/>
      <c r="AB143" s="1287"/>
      <c r="AC143" s="1287"/>
      <c r="AD143" s="1287"/>
      <c r="AE143" s="1287"/>
      <c r="AF143" s="1287"/>
      <c r="AG143" s="1287"/>
      <c r="AH143" s="53">
        <f t="shared" si="28"/>
        <v>0</v>
      </c>
    </row>
    <row r="144" spans="1:34" ht="15">
      <c r="A144" s="132" t="s">
        <v>80</v>
      </c>
      <c r="B144" s="18">
        <f t="shared" si="27"/>
        <v>0</v>
      </c>
      <c r="C144" s="1287"/>
      <c r="D144" s="1287"/>
      <c r="E144" s="1287"/>
      <c r="F144" s="1287"/>
      <c r="G144" s="1287"/>
      <c r="H144" s="1287"/>
      <c r="I144" s="1287"/>
      <c r="J144" s="1287"/>
      <c r="K144" s="1287"/>
      <c r="L144" s="1287"/>
      <c r="M144" s="1287"/>
      <c r="N144" s="1287"/>
      <c r="O144" s="1287"/>
      <c r="P144" s="1287"/>
      <c r="Q144" s="1287"/>
      <c r="R144" s="1287"/>
      <c r="S144" s="1287"/>
      <c r="T144" s="1287"/>
      <c r="U144" s="1287"/>
      <c r="V144" s="1287"/>
      <c r="W144" s="1287"/>
      <c r="X144" s="1287"/>
      <c r="Y144" s="1287"/>
      <c r="Z144" s="1287"/>
      <c r="AA144" s="1287"/>
      <c r="AB144" s="1287"/>
      <c r="AC144" s="1287"/>
      <c r="AD144" s="1287"/>
      <c r="AE144" s="1287"/>
      <c r="AF144" s="1287"/>
      <c r="AG144" s="1287"/>
      <c r="AH144" s="53">
        <f t="shared" si="28"/>
        <v>0</v>
      </c>
    </row>
    <row r="145" spans="1:34" ht="15">
      <c r="A145" s="132" t="s">
        <v>81</v>
      </c>
      <c r="B145" s="18">
        <f t="shared" si="27"/>
        <v>0</v>
      </c>
      <c r="C145" s="1287"/>
      <c r="D145" s="1488"/>
      <c r="E145" s="1488"/>
      <c r="F145" s="1488"/>
      <c r="G145" s="1287"/>
      <c r="H145" s="1287"/>
      <c r="I145" s="1287"/>
      <c r="J145" s="2466"/>
      <c r="K145" s="2466"/>
      <c r="L145" s="1488"/>
      <c r="M145" s="1488"/>
      <c r="N145" s="1488"/>
      <c r="O145" s="1488"/>
      <c r="P145" s="1488"/>
      <c r="Q145" s="1488"/>
      <c r="R145" s="1488"/>
      <c r="S145" s="1488"/>
      <c r="T145" s="1488"/>
      <c r="U145" s="1488"/>
      <c r="V145" s="1488"/>
      <c r="W145" s="688"/>
      <c r="X145" s="688"/>
      <c r="Y145" s="688"/>
      <c r="Z145" s="688"/>
      <c r="AA145" s="688"/>
      <c r="AB145" s="688"/>
      <c r="AC145" s="688"/>
      <c r="AD145" s="688"/>
      <c r="AE145" s="688"/>
      <c r="AF145" s="688" t="s">
        <v>111</v>
      </c>
      <c r="AG145" s="688" t="s">
        <v>111</v>
      </c>
      <c r="AH145" s="53">
        <f t="shared" si="28"/>
        <v>0</v>
      </c>
    </row>
    <row r="146" spans="1:34" ht="15">
      <c r="A146" s="132" t="s">
        <v>82</v>
      </c>
      <c r="B146" s="18">
        <f t="shared" si="27"/>
        <v>0</v>
      </c>
      <c r="C146" s="688" t="s">
        <v>111</v>
      </c>
      <c r="D146" s="688" t="s">
        <v>111</v>
      </c>
      <c r="E146" s="688" t="s">
        <v>111</v>
      </c>
      <c r="F146" s="688" t="s">
        <v>111</v>
      </c>
      <c r="G146" s="688" t="s">
        <v>111</v>
      </c>
      <c r="H146" s="688" t="s">
        <v>111</v>
      </c>
      <c r="I146" s="688" t="s">
        <v>111</v>
      </c>
      <c r="J146" s="688" t="s">
        <v>111</v>
      </c>
      <c r="K146" s="688" t="s">
        <v>111</v>
      </c>
      <c r="L146" s="688" t="s">
        <v>111</v>
      </c>
      <c r="M146" s="688" t="s">
        <v>111</v>
      </c>
      <c r="N146" s="688" t="s">
        <v>111</v>
      </c>
      <c r="O146" s="688" t="s">
        <v>111</v>
      </c>
      <c r="P146" s="688" t="s">
        <v>111</v>
      </c>
      <c r="Q146" s="688" t="s">
        <v>111</v>
      </c>
      <c r="R146" s="688" t="s">
        <v>111</v>
      </c>
      <c r="S146" s="688" t="s">
        <v>111</v>
      </c>
      <c r="T146" s="688" t="s">
        <v>111</v>
      </c>
      <c r="U146" s="688" t="s">
        <v>111</v>
      </c>
      <c r="V146" s="688" t="s">
        <v>111</v>
      </c>
      <c r="W146" s="688" t="s">
        <v>111</v>
      </c>
      <c r="X146" s="688" t="s">
        <v>111</v>
      </c>
      <c r="Y146" s="688" t="s">
        <v>111</v>
      </c>
      <c r="Z146" s="688" t="s">
        <v>111</v>
      </c>
      <c r="AA146" s="688" t="s">
        <v>111</v>
      </c>
      <c r="AB146" s="688" t="s">
        <v>111</v>
      </c>
      <c r="AC146" s="688" t="s">
        <v>111</v>
      </c>
      <c r="AD146" s="688" t="s">
        <v>111</v>
      </c>
      <c r="AE146" s="688" t="s">
        <v>111</v>
      </c>
      <c r="AF146" s="688" t="s">
        <v>111</v>
      </c>
      <c r="AG146" s="688" t="s">
        <v>111</v>
      </c>
      <c r="AH146" s="53">
        <f t="shared" si="28"/>
        <v>0</v>
      </c>
    </row>
    <row r="147" spans="1:34" ht="15">
      <c r="A147" s="128" t="s">
        <v>83</v>
      </c>
      <c r="B147" s="18">
        <f t="shared" si="27"/>
        <v>0</v>
      </c>
      <c r="C147" s="688" t="s">
        <v>111</v>
      </c>
      <c r="D147" s="688" t="s">
        <v>111</v>
      </c>
      <c r="E147" s="688" t="s">
        <v>111</v>
      </c>
      <c r="F147" s="688" t="s">
        <v>111</v>
      </c>
      <c r="G147" s="688" t="s">
        <v>111</v>
      </c>
      <c r="H147" s="688" t="s">
        <v>111</v>
      </c>
      <c r="I147" s="688" t="s">
        <v>111</v>
      </c>
      <c r="J147" s="688" t="s">
        <v>111</v>
      </c>
      <c r="K147" s="688" t="s">
        <v>111</v>
      </c>
      <c r="L147" s="688" t="s">
        <v>111</v>
      </c>
      <c r="M147" s="688" t="s">
        <v>111</v>
      </c>
      <c r="N147" s="688" t="s">
        <v>111</v>
      </c>
      <c r="O147" s="688" t="s">
        <v>111</v>
      </c>
      <c r="P147" s="688" t="s">
        <v>111</v>
      </c>
      <c r="Q147" s="688" t="s">
        <v>111</v>
      </c>
      <c r="R147" s="688" t="s">
        <v>111</v>
      </c>
      <c r="S147" s="688" t="s">
        <v>111</v>
      </c>
      <c r="T147" s="688" t="s">
        <v>111</v>
      </c>
      <c r="U147" s="688" t="s">
        <v>111</v>
      </c>
      <c r="V147" s="688" t="s">
        <v>111</v>
      </c>
      <c r="W147" s="688" t="s">
        <v>111</v>
      </c>
      <c r="X147" s="688" t="s">
        <v>111</v>
      </c>
      <c r="Y147" s="688" t="s">
        <v>111</v>
      </c>
      <c r="Z147" s="688" t="s">
        <v>111</v>
      </c>
      <c r="AA147" s="688" t="s">
        <v>111</v>
      </c>
      <c r="AB147" s="688" t="s">
        <v>111</v>
      </c>
      <c r="AC147" s="688" t="s">
        <v>111</v>
      </c>
      <c r="AD147" s="688" t="s">
        <v>111</v>
      </c>
      <c r="AE147" s="688" t="s">
        <v>111</v>
      </c>
      <c r="AF147" s="688" t="s">
        <v>111</v>
      </c>
      <c r="AG147" s="688" t="s">
        <v>111</v>
      </c>
      <c r="AH147" s="53">
        <f t="shared" si="28"/>
        <v>0</v>
      </c>
    </row>
    <row r="148" spans="1:34" ht="15">
      <c r="A148" s="128" t="s">
        <v>84</v>
      </c>
      <c r="B148" s="18">
        <f t="shared" si="27"/>
        <v>0</v>
      </c>
      <c r="C148" s="688" t="s">
        <v>111</v>
      </c>
      <c r="D148" s="688" t="s">
        <v>111</v>
      </c>
      <c r="E148" s="688" t="s">
        <v>111</v>
      </c>
      <c r="F148" s="688" t="s">
        <v>111</v>
      </c>
      <c r="G148" s="688" t="s">
        <v>111</v>
      </c>
      <c r="H148" s="688" t="s">
        <v>111</v>
      </c>
      <c r="I148" s="688" t="s">
        <v>111</v>
      </c>
      <c r="J148" s="688" t="s">
        <v>111</v>
      </c>
      <c r="K148" s="688" t="s">
        <v>111</v>
      </c>
      <c r="L148" s="688" t="s">
        <v>111</v>
      </c>
      <c r="M148" s="688" t="s">
        <v>111</v>
      </c>
      <c r="N148" s="688" t="s">
        <v>111</v>
      </c>
      <c r="O148" s="688" t="s">
        <v>111</v>
      </c>
      <c r="P148" s="688" t="s">
        <v>111</v>
      </c>
      <c r="Q148" s="688" t="s">
        <v>111</v>
      </c>
      <c r="R148" s="688" t="s">
        <v>111</v>
      </c>
      <c r="S148" s="688" t="s">
        <v>111</v>
      </c>
      <c r="T148" s="688" t="s">
        <v>111</v>
      </c>
      <c r="U148" s="688" t="s">
        <v>111</v>
      </c>
      <c r="V148" s="688" t="s">
        <v>111</v>
      </c>
      <c r="W148" s="688" t="s">
        <v>111</v>
      </c>
      <c r="X148" s="1287"/>
      <c r="Y148" s="1287"/>
      <c r="Z148" s="1287"/>
      <c r="AA148" s="1287"/>
      <c r="AB148" s="1287"/>
      <c r="AC148" s="1287"/>
      <c r="AD148" s="1287"/>
      <c r="AE148" s="1488"/>
      <c r="AF148" s="1287"/>
      <c r="AG148" s="1488"/>
      <c r="AH148" s="53">
        <f t="shared" si="28"/>
        <v>0</v>
      </c>
    </row>
    <row r="149" spans="1:34" ht="15">
      <c r="A149" s="128" t="s">
        <v>85</v>
      </c>
      <c r="B149" s="18">
        <f t="shared" si="27"/>
        <v>0</v>
      </c>
      <c r="C149" s="1287"/>
      <c r="D149" s="1287"/>
      <c r="E149" s="1287"/>
      <c r="F149" s="1287"/>
      <c r="G149" s="1433"/>
      <c r="H149" s="1287"/>
      <c r="I149" s="1287"/>
      <c r="J149" s="1287"/>
      <c r="K149" s="1287"/>
      <c r="L149" s="1287"/>
      <c r="M149" s="1287"/>
      <c r="N149" s="1287"/>
      <c r="O149" s="1287"/>
      <c r="P149" s="1287"/>
      <c r="Q149" s="1287"/>
      <c r="R149" s="1287"/>
      <c r="S149" s="1287"/>
      <c r="T149" s="1287"/>
      <c r="U149" s="1287"/>
      <c r="V149" s="1287"/>
      <c r="W149" s="1287"/>
      <c r="X149" s="1287"/>
      <c r="Y149" s="1433"/>
      <c r="Z149" s="1287"/>
      <c r="AA149" s="1287"/>
      <c r="AB149" s="1287"/>
      <c r="AC149" s="1287"/>
      <c r="AD149" s="1287"/>
      <c r="AE149" s="1488"/>
      <c r="AF149" s="1287"/>
      <c r="AG149" s="1488"/>
      <c r="AH149" s="53">
        <f t="shared" si="28"/>
        <v>0</v>
      </c>
    </row>
    <row r="150" spans="1:34" ht="15">
      <c r="A150" s="128" t="s">
        <v>86</v>
      </c>
      <c r="B150" s="18">
        <f t="shared" si="27"/>
        <v>0</v>
      </c>
      <c r="C150" s="1287"/>
      <c r="D150" s="1287"/>
      <c r="E150" s="1287"/>
      <c r="F150" s="1287"/>
      <c r="G150" s="1287"/>
      <c r="H150" s="1287"/>
      <c r="I150" s="1287"/>
      <c r="J150" s="1287"/>
      <c r="K150" s="1287"/>
      <c r="L150" s="1287"/>
      <c r="M150" s="1287"/>
      <c r="N150" s="1287"/>
      <c r="O150" s="1287"/>
      <c r="P150" s="1287"/>
      <c r="Q150" s="1287"/>
      <c r="R150" s="1287"/>
      <c r="S150" s="1287"/>
      <c r="T150" s="1287"/>
      <c r="U150" s="1287"/>
      <c r="V150" s="1287"/>
      <c r="W150" s="1287"/>
      <c r="X150" s="1287"/>
      <c r="Y150" s="1287"/>
      <c r="Z150" s="1287"/>
      <c r="AA150" s="1287"/>
      <c r="AB150" s="1287"/>
      <c r="AC150" s="1287"/>
      <c r="AD150" s="1287"/>
      <c r="AE150" s="1287"/>
      <c r="AF150" s="1287"/>
      <c r="AG150" s="1287"/>
      <c r="AH150" s="53">
        <f t="shared" si="28"/>
        <v>0</v>
      </c>
    </row>
    <row r="151" spans="1:34" ht="15">
      <c r="A151" s="88" t="s">
        <v>74</v>
      </c>
      <c r="B151" s="89">
        <f>SUM(B139:B150)</f>
        <v>0</v>
      </c>
      <c r="C151" s="46">
        <f>SUM(C139:C149)</f>
        <v>0</v>
      </c>
      <c r="D151" s="53">
        <f>SUM(D139:D149)</f>
        <v>0</v>
      </c>
      <c r="E151" s="53">
        <v>0</v>
      </c>
      <c r="F151" s="53">
        <f t="shared" ref="F151:AC151" si="29">SUM(F139:F149)</f>
        <v>0</v>
      </c>
      <c r="G151" s="53">
        <f t="shared" si="29"/>
        <v>0</v>
      </c>
      <c r="H151" s="53">
        <f t="shared" si="29"/>
        <v>0</v>
      </c>
      <c r="I151" s="53">
        <f t="shared" si="29"/>
        <v>0</v>
      </c>
      <c r="J151" s="53">
        <f t="shared" si="29"/>
        <v>0</v>
      </c>
      <c r="K151" s="53">
        <f t="shared" si="29"/>
        <v>0</v>
      </c>
      <c r="L151" s="53">
        <f t="shared" si="29"/>
        <v>0</v>
      </c>
      <c r="M151" s="53">
        <f t="shared" si="29"/>
        <v>0</v>
      </c>
      <c r="N151" s="53">
        <f t="shared" si="29"/>
        <v>0</v>
      </c>
      <c r="O151" s="53">
        <f t="shared" si="29"/>
        <v>0</v>
      </c>
      <c r="P151" s="53">
        <f t="shared" si="29"/>
        <v>0</v>
      </c>
      <c r="Q151" s="53">
        <f t="shared" si="29"/>
        <v>0</v>
      </c>
      <c r="R151" s="53">
        <f t="shared" si="29"/>
        <v>0</v>
      </c>
      <c r="S151" s="53">
        <f t="shared" si="29"/>
        <v>0</v>
      </c>
      <c r="T151" s="53">
        <f t="shared" si="29"/>
        <v>0</v>
      </c>
      <c r="U151" s="53">
        <f t="shared" si="29"/>
        <v>0</v>
      </c>
      <c r="V151" s="53">
        <f t="shared" si="29"/>
        <v>0</v>
      </c>
      <c r="W151" s="53">
        <f t="shared" si="29"/>
        <v>0</v>
      </c>
      <c r="X151" s="53">
        <f t="shared" si="29"/>
        <v>0</v>
      </c>
      <c r="Y151" s="53">
        <f t="shared" si="29"/>
        <v>0</v>
      </c>
      <c r="Z151" s="53">
        <f t="shared" si="29"/>
        <v>0</v>
      </c>
      <c r="AA151" s="53">
        <f t="shared" si="29"/>
        <v>0</v>
      </c>
      <c r="AB151" s="53">
        <f t="shared" si="29"/>
        <v>0</v>
      </c>
      <c r="AC151" s="53">
        <f t="shared" si="29"/>
        <v>0</v>
      </c>
      <c r="AD151" s="53">
        <v>0</v>
      </c>
      <c r="AE151" s="53">
        <f>SUM(AE139:AE149)</f>
        <v>0</v>
      </c>
      <c r="AF151" s="53">
        <f>SUM(AF139:AF149)</f>
        <v>0</v>
      </c>
      <c r="AG151" s="53">
        <f>SUM(AG139:AG149)</f>
        <v>0</v>
      </c>
      <c r="AH151" s="46">
        <f>SUM(AH139:AH149)</f>
        <v>0</v>
      </c>
    </row>
    <row r="152" spans="1:34" ht="5.0999999999999996" customHeight="1">
      <c r="A152" s="50"/>
      <c r="B152" s="51"/>
      <c r="C152" s="13"/>
      <c r="D152" s="52"/>
      <c r="E152" s="52"/>
      <c r="F152" s="52"/>
      <c r="G152" s="52"/>
      <c r="H152" s="52"/>
      <c r="I152" s="52"/>
      <c r="J152" s="52"/>
      <c r="K152" s="52"/>
      <c r="L152" s="52"/>
      <c r="M152" s="52"/>
      <c r="N152" s="52"/>
      <c r="O152" s="52"/>
      <c r="P152" s="52"/>
      <c r="Q152" s="52"/>
      <c r="R152" s="52"/>
      <c r="S152" s="52"/>
      <c r="T152" s="52"/>
      <c r="U152" s="52"/>
      <c r="V152" s="52"/>
      <c r="W152" s="52"/>
      <c r="X152" s="52"/>
      <c r="Y152" s="52"/>
      <c r="Z152" s="52"/>
      <c r="AA152" s="52"/>
      <c r="AB152" s="52"/>
      <c r="AC152" s="52"/>
      <c r="AD152" s="52"/>
      <c r="AE152" s="52"/>
      <c r="AF152" s="52"/>
      <c r="AG152" s="52"/>
      <c r="AH152" s="13"/>
    </row>
    <row r="153" spans="1:34" ht="15">
      <c r="A153" s="3569" t="s">
        <v>531</v>
      </c>
      <c r="B153" s="3570"/>
      <c r="C153" s="3570"/>
      <c r="D153" s="3570"/>
      <c r="E153" s="3570"/>
      <c r="F153" s="3570"/>
      <c r="G153" s="3570"/>
      <c r="H153" s="3571"/>
      <c r="I153" s="1477"/>
      <c r="J153" s="43"/>
      <c r="K153" s="43"/>
      <c r="L153" s="43"/>
      <c r="M153" s="43"/>
      <c r="N153" s="43"/>
      <c r="O153" s="43"/>
      <c r="P153" s="43"/>
      <c r="Q153" s="43"/>
      <c r="R153" s="43"/>
      <c r="S153" s="11"/>
      <c r="T153" s="11"/>
      <c r="U153" s="11"/>
      <c r="V153" s="11"/>
      <c r="W153" s="11"/>
      <c r="X153" s="11"/>
      <c r="Y153" s="11"/>
      <c r="Z153" s="11"/>
      <c r="AA153" s="11"/>
      <c r="AB153" s="11"/>
      <c r="AC153" s="11"/>
      <c r="AD153" s="11"/>
      <c r="AE153" s="11"/>
      <c r="AF153" s="11"/>
      <c r="AG153" s="11"/>
      <c r="AH153" s="11"/>
    </row>
    <row r="154" spans="1:34" ht="15">
      <c r="A154" s="5" t="s">
        <v>72</v>
      </c>
      <c r="B154" s="5" t="s">
        <v>73</v>
      </c>
      <c r="C154" s="1233">
        <v>1</v>
      </c>
      <c r="D154" s="30">
        <v>2</v>
      </c>
      <c r="E154" s="30">
        <v>3</v>
      </c>
      <c r="F154" s="30">
        <v>4</v>
      </c>
      <c r="G154" s="30">
        <v>5</v>
      </c>
      <c r="H154" s="30">
        <v>6</v>
      </c>
      <c r="I154" s="30">
        <v>7</v>
      </c>
      <c r="J154" s="30">
        <v>8</v>
      </c>
      <c r="K154" s="30">
        <v>9</v>
      </c>
      <c r="L154" s="30">
        <v>10</v>
      </c>
      <c r="M154" s="30">
        <v>11</v>
      </c>
      <c r="N154" s="30">
        <v>12</v>
      </c>
      <c r="O154" s="30">
        <v>13</v>
      </c>
      <c r="P154" s="30">
        <v>14</v>
      </c>
      <c r="Q154" s="30">
        <v>15</v>
      </c>
      <c r="R154" s="30">
        <v>16</v>
      </c>
      <c r="S154" s="30">
        <v>17</v>
      </c>
      <c r="T154" s="30">
        <v>18</v>
      </c>
      <c r="U154" s="30">
        <v>19</v>
      </c>
      <c r="V154" s="30">
        <v>20</v>
      </c>
      <c r="W154" s="30">
        <v>21</v>
      </c>
      <c r="X154" s="30">
        <v>22</v>
      </c>
      <c r="Y154" s="30">
        <v>23</v>
      </c>
      <c r="Z154" s="30">
        <v>24</v>
      </c>
      <c r="AA154" s="30">
        <v>25</v>
      </c>
      <c r="AB154" s="30">
        <v>26</v>
      </c>
      <c r="AC154" s="30">
        <v>27</v>
      </c>
      <c r="AD154" s="30">
        <v>28</v>
      </c>
      <c r="AE154" s="30">
        <v>29</v>
      </c>
      <c r="AF154" s="30">
        <v>30</v>
      </c>
      <c r="AG154" s="30">
        <v>31</v>
      </c>
      <c r="AH154" s="39" t="s">
        <v>74</v>
      </c>
    </row>
    <row r="155" spans="1:34" ht="15">
      <c r="A155" s="143" t="s">
        <v>75</v>
      </c>
      <c r="B155" s="67">
        <f t="shared" ref="B155:B166" si="30">+AH155</f>
        <v>0</v>
      </c>
      <c r="C155" s="81" t="s">
        <v>111</v>
      </c>
      <c r="D155" s="81" t="s">
        <v>111</v>
      </c>
      <c r="E155" s="81" t="s">
        <v>111</v>
      </c>
      <c r="F155" s="81" t="s">
        <v>111</v>
      </c>
      <c r="G155" s="81" t="s">
        <v>111</v>
      </c>
      <c r="H155" s="81" t="s">
        <v>111</v>
      </c>
      <c r="I155" s="81" t="s">
        <v>111</v>
      </c>
      <c r="J155" s="112"/>
      <c r="K155" s="112"/>
      <c r="L155" s="112"/>
      <c r="M155" s="112"/>
      <c r="N155" s="1287"/>
      <c r="O155" s="112"/>
      <c r="P155" s="112"/>
      <c r="Q155" s="112"/>
      <c r="R155" s="112"/>
      <c r="S155" s="112"/>
      <c r="T155" s="112"/>
      <c r="U155" s="112"/>
      <c r="V155" s="112"/>
      <c r="W155" s="112"/>
      <c r="X155" s="112"/>
      <c r="Y155" s="112"/>
      <c r="Z155" s="112"/>
      <c r="AA155" s="112"/>
      <c r="AB155" s="112"/>
      <c r="AC155" s="112"/>
      <c r="AD155" s="112"/>
      <c r="AE155" s="112"/>
      <c r="AF155" s="112"/>
      <c r="AG155" s="112"/>
      <c r="AH155" s="53">
        <f>SUM(C155:AG155)</f>
        <v>0</v>
      </c>
    </row>
    <row r="156" spans="1:34" ht="15">
      <c r="A156" s="143" t="s">
        <v>76</v>
      </c>
      <c r="B156" s="67">
        <f t="shared" si="30"/>
        <v>3163.9990000000003</v>
      </c>
      <c r="C156" s="112"/>
      <c r="D156" s="112"/>
      <c r="E156" s="112"/>
      <c r="F156" s="112"/>
      <c r="G156" s="112"/>
      <c r="H156" s="112"/>
      <c r="I156" s="112"/>
      <c r="J156" s="112"/>
      <c r="K156" s="112">
        <v>325.358</v>
      </c>
      <c r="L156" s="112">
        <v>161.904</v>
      </c>
      <c r="M156" s="112"/>
      <c r="N156" s="112">
        <v>73.989999999999995</v>
      </c>
      <c r="O156" s="112">
        <v>434.25</v>
      </c>
      <c r="P156" s="112">
        <v>404.5</v>
      </c>
      <c r="Q156" s="112">
        <v>204.20099999999999</v>
      </c>
      <c r="R156" s="112">
        <v>0</v>
      </c>
      <c r="S156" s="112">
        <v>398.79500000000002</v>
      </c>
      <c r="T156" s="112">
        <v>301.714</v>
      </c>
      <c r="U156" s="112">
        <v>131.88200000000001</v>
      </c>
      <c r="V156" s="112">
        <v>0</v>
      </c>
      <c r="W156" s="112">
        <v>0</v>
      </c>
      <c r="X156" s="112">
        <v>0</v>
      </c>
      <c r="Y156" s="112">
        <v>0</v>
      </c>
      <c r="Z156" s="112">
        <v>61.503999999999998</v>
      </c>
      <c r="AA156" s="112">
        <v>170.679</v>
      </c>
      <c r="AB156" s="112">
        <v>144.477</v>
      </c>
      <c r="AC156" s="112">
        <v>122.56100000000001</v>
      </c>
      <c r="AD156" s="112">
        <v>228.184</v>
      </c>
      <c r="AE156" s="112"/>
      <c r="AF156" s="112"/>
      <c r="AG156" s="112"/>
      <c r="AH156" s="123">
        <f>SUM(C156:AG156)</f>
        <v>3163.9990000000003</v>
      </c>
    </row>
    <row r="157" spans="1:34" ht="15">
      <c r="A157" s="143" t="s">
        <v>77</v>
      </c>
      <c r="B157" s="67">
        <f t="shared" si="30"/>
        <v>3251.3060000000005</v>
      </c>
      <c r="C157" s="112">
        <v>294.97000000000003</v>
      </c>
      <c r="D157" s="112">
        <v>321.58800000000002</v>
      </c>
      <c r="E157" s="112">
        <v>142.19399999999999</v>
      </c>
      <c r="F157" s="112">
        <v>11.128</v>
      </c>
      <c r="G157" s="112">
        <v>424.45299999999997</v>
      </c>
      <c r="H157" s="118">
        <v>218.88200000000001</v>
      </c>
      <c r="I157" s="118">
        <v>0</v>
      </c>
      <c r="J157" s="53">
        <v>0</v>
      </c>
      <c r="K157" s="53">
        <v>0</v>
      </c>
      <c r="L157" s="53">
        <v>274.476</v>
      </c>
      <c r="M157" s="53">
        <v>365.41300000000001</v>
      </c>
      <c r="N157" s="53">
        <v>249.899</v>
      </c>
      <c r="O157" s="53">
        <v>0</v>
      </c>
      <c r="P157" s="53">
        <v>227.90799999999999</v>
      </c>
      <c r="Q157" s="53">
        <v>208.792</v>
      </c>
      <c r="R157" s="53">
        <v>139.94499999999999</v>
      </c>
      <c r="S157" s="53">
        <v>0</v>
      </c>
      <c r="T157" s="53">
        <v>0</v>
      </c>
      <c r="U157" s="53">
        <v>0</v>
      </c>
      <c r="V157" s="53">
        <v>0</v>
      </c>
      <c r="W157" s="53">
        <v>0</v>
      </c>
      <c r="X157" s="53">
        <v>195.28</v>
      </c>
      <c r="Y157" s="53">
        <v>0</v>
      </c>
      <c r="Z157" s="53">
        <v>0</v>
      </c>
      <c r="AA157" s="53">
        <v>0</v>
      </c>
      <c r="AB157" s="53">
        <v>65.012</v>
      </c>
      <c r="AC157" s="1287">
        <v>111.366</v>
      </c>
      <c r="AD157" s="1287">
        <v>0</v>
      </c>
      <c r="AE157" s="1287">
        <v>0</v>
      </c>
      <c r="AF157" s="1287">
        <v>0</v>
      </c>
      <c r="AG157" s="1287">
        <v>0</v>
      </c>
      <c r="AH157" s="118">
        <f>SUM(C157:AG157)</f>
        <v>3251.3060000000005</v>
      </c>
    </row>
    <row r="158" spans="1:34" ht="15">
      <c r="A158" s="143" t="s">
        <v>78</v>
      </c>
      <c r="B158" s="67">
        <f t="shared" si="30"/>
        <v>1946.3889999999999</v>
      </c>
      <c r="C158" s="1287">
        <v>0</v>
      </c>
      <c r="D158" s="1287">
        <v>168.25299999999999</v>
      </c>
      <c r="E158" s="1287">
        <v>21.125</v>
      </c>
      <c r="F158" s="1287">
        <v>0</v>
      </c>
      <c r="G158" s="1287">
        <v>0</v>
      </c>
      <c r="H158" s="1287">
        <v>0</v>
      </c>
      <c r="I158" s="1287">
        <v>271.13499999999999</v>
      </c>
      <c r="J158" s="1287">
        <v>108.01900000000001</v>
      </c>
      <c r="K158" s="1287">
        <v>105.124</v>
      </c>
      <c r="L158" s="53">
        <v>0</v>
      </c>
      <c r="M158" s="53">
        <v>0</v>
      </c>
      <c r="N158" s="53">
        <v>174.24299999999999</v>
      </c>
      <c r="O158" s="53">
        <v>4.7329999999999997</v>
      </c>
      <c r="P158" s="53">
        <v>0</v>
      </c>
      <c r="Q158" s="53">
        <v>0</v>
      </c>
      <c r="R158" s="53">
        <v>0</v>
      </c>
      <c r="S158" s="53">
        <v>31.541</v>
      </c>
      <c r="T158" s="53">
        <v>126.727</v>
      </c>
      <c r="U158" s="53">
        <v>166.31399999999999</v>
      </c>
      <c r="V158" s="53">
        <v>0</v>
      </c>
      <c r="W158" s="53">
        <v>0</v>
      </c>
      <c r="X158" s="53">
        <v>38.789000000000001</v>
      </c>
      <c r="Y158" s="53">
        <v>263.39499999999998</v>
      </c>
      <c r="Z158" s="53">
        <v>202.60900000000001</v>
      </c>
      <c r="AA158" s="53">
        <v>0</v>
      </c>
      <c r="AB158" s="53">
        <v>0</v>
      </c>
      <c r="AC158" s="53">
        <v>145.77500000000001</v>
      </c>
      <c r="AD158" s="53">
        <v>105.175</v>
      </c>
      <c r="AE158" s="53">
        <v>6.6479999999999997</v>
      </c>
      <c r="AF158" s="53">
        <v>6.7839999999999998</v>
      </c>
      <c r="AG158" s="53"/>
      <c r="AH158" s="53">
        <f t="shared" ref="AH158:AH166" si="31">SUM(C158:AG158)</f>
        <v>1946.3889999999999</v>
      </c>
    </row>
    <row r="159" spans="1:34" ht="15">
      <c r="A159" s="132" t="s">
        <v>79</v>
      </c>
      <c r="B159" s="67">
        <f t="shared" si="30"/>
        <v>1481.1759999999999</v>
      </c>
      <c r="C159" s="49">
        <v>0</v>
      </c>
      <c r="D159" s="18">
        <v>0</v>
      </c>
      <c r="E159" s="18">
        <v>0</v>
      </c>
      <c r="F159" s="18">
        <v>0</v>
      </c>
      <c r="G159" s="18">
        <v>374.90600000000001</v>
      </c>
      <c r="H159" s="18">
        <v>346.93299999999999</v>
      </c>
      <c r="I159" s="18">
        <v>97.474000000000004</v>
      </c>
      <c r="J159" s="53">
        <v>66.795000000000002</v>
      </c>
      <c r="K159" s="53">
        <v>0</v>
      </c>
      <c r="L159" s="53">
        <v>0</v>
      </c>
      <c r="M159" s="53">
        <v>0</v>
      </c>
      <c r="N159" s="53">
        <v>265.17700000000002</v>
      </c>
      <c r="O159" s="53">
        <v>18.271000000000001</v>
      </c>
      <c r="P159" s="53">
        <v>0</v>
      </c>
      <c r="Q159" s="53">
        <v>0</v>
      </c>
      <c r="R159" s="53">
        <v>31.928999999999998</v>
      </c>
      <c r="S159" s="53">
        <v>0</v>
      </c>
      <c r="T159" s="53">
        <v>0</v>
      </c>
      <c r="U159" s="53">
        <v>0</v>
      </c>
      <c r="V159" s="53">
        <v>0</v>
      </c>
      <c r="W159" s="53">
        <v>0</v>
      </c>
      <c r="X159" s="53">
        <v>0</v>
      </c>
      <c r="Y159" s="53">
        <v>32.5</v>
      </c>
      <c r="Z159" s="53">
        <v>26.367000000000001</v>
      </c>
      <c r="AA159" s="53">
        <v>213.11199999999999</v>
      </c>
      <c r="AB159" s="53">
        <v>7.7119999999999997</v>
      </c>
      <c r="AC159" s="53">
        <v>0</v>
      </c>
      <c r="AD159" s="53">
        <v>0</v>
      </c>
      <c r="AE159" s="53"/>
      <c r="AF159" s="53"/>
      <c r="AG159" s="53"/>
      <c r="AH159" s="53">
        <f t="shared" si="31"/>
        <v>1481.1759999999999</v>
      </c>
    </row>
    <row r="160" spans="1:34" ht="15">
      <c r="A160" s="132" t="s">
        <v>80</v>
      </c>
      <c r="B160" s="67">
        <f t="shared" si="30"/>
        <v>364.61500000000001</v>
      </c>
      <c r="C160" s="46">
        <v>0</v>
      </c>
      <c r="D160" s="1488">
        <v>0</v>
      </c>
      <c r="E160" s="1488">
        <v>0</v>
      </c>
      <c r="F160" s="1488">
        <v>0</v>
      </c>
      <c r="G160" s="1488">
        <v>0</v>
      </c>
      <c r="H160" s="1287">
        <v>4.1210000000000004</v>
      </c>
      <c r="I160" s="1287">
        <v>0</v>
      </c>
      <c r="J160" s="1287">
        <v>0</v>
      </c>
      <c r="K160" s="1287">
        <v>0</v>
      </c>
      <c r="L160" s="1287">
        <v>0</v>
      </c>
      <c r="M160" s="1287">
        <v>0</v>
      </c>
      <c r="N160" s="1287">
        <v>0</v>
      </c>
      <c r="O160" s="1287">
        <v>0</v>
      </c>
      <c r="P160" s="1287">
        <v>0</v>
      </c>
      <c r="Q160" s="1287">
        <v>0</v>
      </c>
      <c r="R160" s="1287">
        <v>135.733</v>
      </c>
      <c r="S160" s="1287">
        <v>0</v>
      </c>
      <c r="T160" s="1287">
        <v>0</v>
      </c>
      <c r="U160" s="1287">
        <v>45.643000000000001</v>
      </c>
      <c r="V160" s="1287">
        <v>29.474</v>
      </c>
      <c r="W160" s="1287">
        <v>2.16</v>
      </c>
      <c r="X160" s="1287">
        <v>100.26300000000001</v>
      </c>
      <c r="Y160" s="1488">
        <v>36.401000000000003</v>
      </c>
      <c r="Z160" s="1488">
        <v>0</v>
      </c>
      <c r="AA160" s="1488">
        <v>7.2169999999999996</v>
      </c>
      <c r="AB160" s="1488">
        <v>3.6030000000000002</v>
      </c>
      <c r="AC160" s="1488"/>
      <c r="AD160" s="1488"/>
      <c r="AE160" s="1488"/>
      <c r="AF160" s="1488"/>
      <c r="AG160" s="1488"/>
      <c r="AH160" s="53">
        <f t="shared" si="31"/>
        <v>364.61500000000001</v>
      </c>
    </row>
    <row r="161" spans="1:34" ht="15">
      <c r="A161" s="132" t="s">
        <v>81</v>
      </c>
      <c r="B161" s="67">
        <f t="shared" si="30"/>
        <v>599.75800000000004</v>
      </c>
      <c r="C161" s="49">
        <v>0</v>
      </c>
      <c r="D161" s="1488">
        <v>0</v>
      </c>
      <c r="E161" s="1488">
        <v>0</v>
      </c>
      <c r="F161" s="1488">
        <v>9.9640000000000004</v>
      </c>
      <c r="G161" s="1287">
        <v>61.295000000000002</v>
      </c>
      <c r="H161" s="1287">
        <v>71.286000000000001</v>
      </c>
      <c r="I161" s="1287">
        <v>3.5960000000000001</v>
      </c>
      <c r="J161" s="2466">
        <v>0</v>
      </c>
      <c r="K161" s="2466">
        <v>0</v>
      </c>
      <c r="L161" s="1488">
        <v>0</v>
      </c>
      <c r="M161" s="1488">
        <v>66.58</v>
      </c>
      <c r="N161" s="1488">
        <v>8.1449999999999996</v>
      </c>
      <c r="O161" s="1488">
        <v>0</v>
      </c>
      <c r="P161" s="1488">
        <v>0</v>
      </c>
      <c r="Q161" s="1488">
        <v>0</v>
      </c>
      <c r="R161" s="1488">
        <v>0</v>
      </c>
      <c r="S161" s="1488">
        <v>0</v>
      </c>
      <c r="T161" s="1488">
        <v>0</v>
      </c>
      <c r="U161" s="1488">
        <v>0</v>
      </c>
      <c r="V161" s="1488">
        <v>0</v>
      </c>
      <c r="W161" s="2327">
        <v>32.020000000000003</v>
      </c>
      <c r="X161" s="2327">
        <v>22.916</v>
      </c>
      <c r="Y161" s="2327">
        <v>0</v>
      </c>
      <c r="Z161" s="2327">
        <v>0</v>
      </c>
      <c r="AA161" s="2327">
        <v>0</v>
      </c>
      <c r="AB161" s="2327">
        <v>0</v>
      </c>
      <c r="AC161" s="2327">
        <v>0</v>
      </c>
      <c r="AD161" s="2327">
        <v>88.667000000000002</v>
      </c>
      <c r="AE161" s="2327">
        <v>98.694000000000003</v>
      </c>
      <c r="AF161" s="81">
        <v>136.595</v>
      </c>
      <c r="AG161" s="81" t="s">
        <v>112</v>
      </c>
      <c r="AH161" s="53">
        <f t="shared" si="31"/>
        <v>599.75800000000004</v>
      </c>
    </row>
    <row r="162" spans="1:34" ht="15">
      <c r="A162" s="132" t="s">
        <v>82</v>
      </c>
      <c r="B162" s="67">
        <f t="shared" si="30"/>
        <v>0</v>
      </c>
      <c r="C162" s="81" t="s">
        <v>112</v>
      </c>
      <c r="D162" s="81" t="s">
        <v>112</v>
      </c>
      <c r="E162" s="81" t="s">
        <v>112</v>
      </c>
      <c r="F162" s="81" t="s">
        <v>112</v>
      </c>
      <c r="G162" s="81" t="s">
        <v>112</v>
      </c>
      <c r="H162" s="81" t="s">
        <v>112</v>
      </c>
      <c r="I162" s="81" t="s">
        <v>112</v>
      </c>
      <c r="J162" s="81" t="s">
        <v>112</v>
      </c>
      <c r="K162" s="81" t="s">
        <v>112</v>
      </c>
      <c r="L162" s="81" t="s">
        <v>112</v>
      </c>
      <c r="M162" s="81" t="s">
        <v>112</v>
      </c>
      <c r="N162" s="81" t="s">
        <v>112</v>
      </c>
      <c r="O162" s="81" t="s">
        <v>112</v>
      </c>
      <c r="P162" s="81" t="s">
        <v>112</v>
      </c>
      <c r="Q162" s="81" t="s">
        <v>112</v>
      </c>
      <c r="R162" s="81" t="s">
        <v>112</v>
      </c>
      <c r="S162" s="81" t="s">
        <v>112</v>
      </c>
      <c r="T162" s="81" t="s">
        <v>112</v>
      </c>
      <c r="U162" s="81" t="s">
        <v>112</v>
      </c>
      <c r="V162" s="81" t="s">
        <v>112</v>
      </c>
      <c r="W162" s="81" t="s">
        <v>112</v>
      </c>
      <c r="X162" s="81" t="s">
        <v>112</v>
      </c>
      <c r="Y162" s="81" t="s">
        <v>112</v>
      </c>
      <c r="Z162" s="81" t="s">
        <v>112</v>
      </c>
      <c r="AA162" s="81" t="s">
        <v>112</v>
      </c>
      <c r="AB162" s="81" t="s">
        <v>112</v>
      </c>
      <c r="AC162" s="81" t="s">
        <v>112</v>
      </c>
      <c r="AD162" s="81" t="s">
        <v>112</v>
      </c>
      <c r="AE162" s="81" t="s">
        <v>112</v>
      </c>
      <c r="AF162" s="81" t="s">
        <v>112</v>
      </c>
      <c r="AG162" s="81" t="s">
        <v>112</v>
      </c>
      <c r="AH162" s="53">
        <f t="shared" si="31"/>
        <v>0</v>
      </c>
    </row>
    <row r="163" spans="1:34" ht="15">
      <c r="A163" s="128" t="s">
        <v>83</v>
      </c>
      <c r="B163" s="67">
        <f t="shared" si="30"/>
        <v>0</v>
      </c>
      <c r="C163" s="81" t="s">
        <v>112</v>
      </c>
      <c r="D163" s="81" t="s">
        <v>112</v>
      </c>
      <c r="E163" s="81" t="s">
        <v>112</v>
      </c>
      <c r="F163" s="81" t="s">
        <v>112</v>
      </c>
      <c r="G163" s="81" t="s">
        <v>112</v>
      </c>
      <c r="H163" s="81" t="s">
        <v>112</v>
      </c>
      <c r="I163" s="81" t="s">
        <v>112</v>
      </c>
      <c r="J163" s="81" t="s">
        <v>112</v>
      </c>
      <c r="K163" s="81" t="s">
        <v>112</v>
      </c>
      <c r="L163" s="81" t="s">
        <v>112</v>
      </c>
      <c r="M163" s="81" t="s">
        <v>112</v>
      </c>
      <c r="N163" s="81" t="s">
        <v>112</v>
      </c>
      <c r="O163" s="81" t="s">
        <v>112</v>
      </c>
      <c r="P163" s="81" t="s">
        <v>112</v>
      </c>
      <c r="Q163" s="81" t="s">
        <v>112</v>
      </c>
      <c r="R163" s="81" t="s">
        <v>112</v>
      </c>
      <c r="S163" s="81" t="s">
        <v>112</v>
      </c>
      <c r="T163" s="81" t="s">
        <v>112</v>
      </c>
      <c r="U163" s="81" t="s">
        <v>112</v>
      </c>
      <c r="V163" s="81" t="s">
        <v>112</v>
      </c>
      <c r="W163" s="81" t="s">
        <v>112</v>
      </c>
      <c r="X163" s="81" t="s">
        <v>112</v>
      </c>
      <c r="Y163" s="81" t="s">
        <v>112</v>
      </c>
      <c r="Z163" s="81" t="s">
        <v>112</v>
      </c>
      <c r="AA163" s="81" t="s">
        <v>112</v>
      </c>
      <c r="AB163" s="81" t="s">
        <v>112</v>
      </c>
      <c r="AC163" s="81" t="s">
        <v>112</v>
      </c>
      <c r="AD163" s="81" t="s">
        <v>112</v>
      </c>
      <c r="AE163" s="81" t="s">
        <v>112</v>
      </c>
      <c r="AF163" s="81" t="s">
        <v>112</v>
      </c>
      <c r="AG163" s="81" t="s">
        <v>112</v>
      </c>
      <c r="AH163" s="53">
        <f t="shared" si="31"/>
        <v>0</v>
      </c>
    </row>
    <row r="164" spans="1:34" ht="15">
      <c r="A164" s="128" t="s">
        <v>84</v>
      </c>
      <c r="B164" s="67">
        <f t="shared" si="30"/>
        <v>153.92599999999999</v>
      </c>
      <c r="C164" s="81" t="s">
        <v>112</v>
      </c>
      <c r="D164" s="81" t="s">
        <v>112</v>
      </c>
      <c r="E164" s="81" t="s">
        <v>112</v>
      </c>
      <c r="F164" s="81" t="s">
        <v>112</v>
      </c>
      <c r="G164" s="81" t="s">
        <v>112</v>
      </c>
      <c r="H164" s="81" t="s">
        <v>112</v>
      </c>
      <c r="I164" s="81" t="s">
        <v>112</v>
      </c>
      <c r="J164" s="81" t="s">
        <v>112</v>
      </c>
      <c r="K164" s="81" t="s">
        <v>112</v>
      </c>
      <c r="L164" s="81" t="s">
        <v>112</v>
      </c>
      <c r="M164" s="81" t="s">
        <v>112</v>
      </c>
      <c r="N164" s="81" t="s">
        <v>112</v>
      </c>
      <c r="O164" s="81" t="s">
        <v>112</v>
      </c>
      <c r="P164" s="81" t="s">
        <v>112</v>
      </c>
      <c r="Q164" s="81" t="s">
        <v>112</v>
      </c>
      <c r="R164" s="81" t="s">
        <v>112</v>
      </c>
      <c r="S164" s="81" t="s">
        <v>112</v>
      </c>
      <c r="T164" s="81" t="s">
        <v>112</v>
      </c>
      <c r="U164" s="81" t="s">
        <v>112</v>
      </c>
      <c r="V164" s="81" t="s">
        <v>112</v>
      </c>
      <c r="W164" s="81" t="s">
        <v>112</v>
      </c>
      <c r="X164" s="1287"/>
      <c r="Y164" s="1287">
        <v>153.92599999999999</v>
      </c>
      <c r="Z164" s="1287"/>
      <c r="AA164" s="1287"/>
      <c r="AB164" s="1287"/>
      <c r="AC164" s="1287"/>
      <c r="AD164" s="1287"/>
      <c r="AE164" s="1488"/>
      <c r="AF164" s="1287"/>
      <c r="AG164" s="1488"/>
      <c r="AH164" s="53">
        <f t="shared" si="31"/>
        <v>153.92599999999999</v>
      </c>
    </row>
    <row r="165" spans="1:34" ht="15">
      <c r="A165" s="128" t="s">
        <v>85</v>
      </c>
      <c r="B165" s="67">
        <f t="shared" si="30"/>
        <v>153.04900000000001</v>
      </c>
      <c r="C165" s="1287"/>
      <c r="D165" s="1287"/>
      <c r="E165" s="1287"/>
      <c r="F165" s="1287"/>
      <c r="G165" s="1287"/>
      <c r="H165" s="1287"/>
      <c r="I165" s="1287"/>
      <c r="J165" s="1287"/>
      <c r="K165" s="1287"/>
      <c r="L165" s="1287"/>
      <c r="M165" s="1287"/>
      <c r="N165" s="1287"/>
      <c r="O165" s="1287"/>
      <c r="P165" s="1287"/>
      <c r="Q165" s="1287"/>
      <c r="R165" s="1287"/>
      <c r="S165" s="1287"/>
      <c r="T165" s="1287"/>
      <c r="U165" s="1287">
        <v>60.79</v>
      </c>
      <c r="V165" s="1287">
        <v>60.204999999999998</v>
      </c>
      <c r="W165" s="1287"/>
      <c r="X165" s="1287"/>
      <c r="Y165" s="1287"/>
      <c r="Z165" s="1287"/>
      <c r="AA165" s="1287"/>
      <c r="AB165" s="1287"/>
      <c r="AC165" s="1287"/>
      <c r="AD165" s="1287"/>
      <c r="AE165" s="1488">
        <v>1.579</v>
      </c>
      <c r="AF165" s="1287">
        <v>30.475000000000001</v>
      </c>
      <c r="AG165" s="1488"/>
      <c r="AH165" s="53">
        <f t="shared" si="31"/>
        <v>153.04900000000001</v>
      </c>
    </row>
    <row r="166" spans="1:34" ht="15">
      <c r="A166" s="128" t="s">
        <v>86</v>
      </c>
      <c r="B166" s="67">
        <f t="shared" si="30"/>
        <v>1295.8040000000001</v>
      </c>
      <c r="C166" s="49">
        <v>0</v>
      </c>
      <c r="D166" s="1287">
        <v>39.621000000000002</v>
      </c>
      <c r="E166" s="1287"/>
      <c r="F166" s="1287"/>
      <c r="G166" s="1287">
        <v>65.286000000000001</v>
      </c>
      <c r="H166" s="1287"/>
      <c r="I166" s="1287"/>
      <c r="J166" s="1287"/>
      <c r="K166" s="1287"/>
      <c r="L166" s="1287">
        <v>11.928000000000001</v>
      </c>
      <c r="M166" s="1287"/>
      <c r="N166" s="1287"/>
      <c r="O166" s="1287"/>
      <c r="P166" s="1287"/>
      <c r="Q166" s="1287">
        <v>127.995</v>
      </c>
      <c r="R166" s="1287"/>
      <c r="S166" s="1287"/>
      <c r="T166" s="1287"/>
      <c r="U166" s="1287">
        <v>64.206000000000003</v>
      </c>
      <c r="V166" s="1287">
        <v>115.065</v>
      </c>
      <c r="W166" s="1287">
        <v>190.01499999999999</v>
      </c>
      <c r="X166" s="1287">
        <v>135.56299999999999</v>
      </c>
      <c r="Y166" s="1287"/>
      <c r="Z166" s="1287"/>
      <c r="AA166" s="1287"/>
      <c r="AB166" s="1287">
        <v>5.8440000000000003</v>
      </c>
      <c r="AC166" s="1287">
        <v>138.89599999999999</v>
      </c>
      <c r="AD166" s="1287">
        <v>252.92500000000001</v>
      </c>
      <c r="AE166" s="1287">
        <v>148.46</v>
      </c>
      <c r="AF166" s="1287">
        <v>0</v>
      </c>
      <c r="AG166" s="1287">
        <v>0</v>
      </c>
      <c r="AH166" s="53">
        <f t="shared" si="31"/>
        <v>1295.8040000000001</v>
      </c>
    </row>
    <row r="167" spans="1:34" ht="15">
      <c r="A167" s="88" t="s">
        <v>74</v>
      </c>
      <c r="B167" s="92">
        <f>SUM(B155:B166)</f>
        <v>12410.021999999999</v>
      </c>
      <c r="C167" s="46">
        <f>SUM(C155:C165)</f>
        <v>294.97000000000003</v>
      </c>
      <c r="D167" s="53">
        <f>SUM(D155:D165)</f>
        <v>489.84100000000001</v>
      </c>
      <c r="E167" s="53">
        <v>0</v>
      </c>
      <c r="F167" s="53">
        <f t="shared" ref="F167:AC167" si="32">SUM(F155:F165)</f>
        <v>21.091999999999999</v>
      </c>
      <c r="G167" s="53">
        <f t="shared" si="32"/>
        <v>860.65399999999988</v>
      </c>
      <c r="H167" s="53">
        <f t="shared" si="32"/>
        <v>641.22199999999998</v>
      </c>
      <c r="I167" s="53">
        <f t="shared" si="32"/>
        <v>372.20499999999998</v>
      </c>
      <c r="J167" s="53">
        <f t="shared" si="32"/>
        <v>174.81400000000002</v>
      </c>
      <c r="K167" s="53">
        <f t="shared" si="32"/>
        <v>430.48199999999997</v>
      </c>
      <c r="L167" s="53">
        <f t="shared" si="32"/>
        <v>436.38</v>
      </c>
      <c r="M167" s="53">
        <f t="shared" si="32"/>
        <v>431.99299999999999</v>
      </c>
      <c r="N167" s="53">
        <f t="shared" si="32"/>
        <v>771.45399999999995</v>
      </c>
      <c r="O167" s="53">
        <f t="shared" si="32"/>
        <v>457.25400000000002</v>
      </c>
      <c r="P167" s="53">
        <f t="shared" si="32"/>
        <v>632.40800000000002</v>
      </c>
      <c r="Q167" s="53">
        <f t="shared" si="32"/>
        <v>412.99299999999999</v>
      </c>
      <c r="R167" s="53">
        <f t="shared" si="32"/>
        <v>307.60699999999997</v>
      </c>
      <c r="S167" s="53">
        <f t="shared" si="32"/>
        <v>430.33600000000001</v>
      </c>
      <c r="T167" s="53">
        <f t="shared" si="32"/>
        <v>428.44100000000003</v>
      </c>
      <c r="U167" s="53">
        <f t="shared" si="32"/>
        <v>404.62900000000008</v>
      </c>
      <c r="V167" s="53">
        <f t="shared" si="32"/>
        <v>89.679000000000002</v>
      </c>
      <c r="W167" s="53">
        <f t="shared" si="32"/>
        <v>34.180000000000007</v>
      </c>
      <c r="X167" s="53">
        <f t="shared" si="32"/>
        <v>357.24799999999999</v>
      </c>
      <c r="Y167" s="53">
        <f t="shared" si="32"/>
        <v>486.22199999999998</v>
      </c>
      <c r="Z167" s="53">
        <f t="shared" si="32"/>
        <v>290.48</v>
      </c>
      <c r="AA167" s="53">
        <f t="shared" si="32"/>
        <v>391.00799999999998</v>
      </c>
      <c r="AB167" s="53">
        <f t="shared" si="32"/>
        <v>220.804</v>
      </c>
      <c r="AC167" s="53">
        <f t="shared" si="32"/>
        <v>379.702</v>
      </c>
      <c r="AD167" s="53">
        <v>0</v>
      </c>
      <c r="AE167" s="53">
        <f>SUM(AE155:AE165)</f>
        <v>106.92099999999999</v>
      </c>
      <c r="AF167" s="53">
        <f>SUM(AF155:AF165)</f>
        <v>173.85399999999998</v>
      </c>
      <c r="AG167" s="53">
        <f>SUM(AG155:AG165)</f>
        <v>0</v>
      </c>
      <c r="AH167" s="46">
        <f>SUM(AH155:AH165)</f>
        <v>11114.217999999999</v>
      </c>
    </row>
    <row r="168" spans="1:34" ht="5.0999999999999996" customHeight="1">
      <c r="A168" s="50"/>
      <c r="B168" s="51"/>
      <c r="C168" s="13"/>
      <c r="D168" s="52"/>
      <c r="E168" s="52"/>
      <c r="F168" s="52"/>
      <c r="G168" s="52"/>
      <c r="H168" s="52"/>
      <c r="I168" s="52"/>
      <c r="J168" s="52"/>
      <c r="K168" s="52"/>
      <c r="L168" s="52"/>
      <c r="M168" s="52"/>
      <c r="N168" s="52"/>
      <c r="O168" s="52"/>
      <c r="P168" s="52"/>
      <c r="Q168" s="52"/>
      <c r="R168" s="52"/>
      <c r="S168" s="52"/>
      <c r="T168" s="52"/>
      <c r="U168" s="52"/>
      <c r="V168" s="52"/>
      <c r="W168" s="52"/>
      <c r="X168" s="52"/>
      <c r="Y168" s="52"/>
      <c r="Z168" s="52"/>
      <c r="AA168" s="52"/>
      <c r="AB168" s="52"/>
      <c r="AC168" s="52"/>
      <c r="AD168" s="52"/>
      <c r="AE168" s="52"/>
      <c r="AF168" s="52"/>
      <c r="AG168" s="52"/>
      <c r="AH168" s="13"/>
    </row>
    <row r="169" spans="1:34" ht="15">
      <c r="A169" s="3569" t="s">
        <v>103</v>
      </c>
      <c r="B169" s="3570"/>
      <c r="C169" s="3570"/>
      <c r="D169" s="3570"/>
      <c r="E169" s="3570"/>
      <c r="F169" s="3570"/>
      <c r="G169" s="3570"/>
      <c r="H169" s="3571"/>
      <c r="I169" s="1433"/>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row>
    <row r="170" spans="1:34" ht="15">
      <c r="A170" s="5" t="s">
        <v>72</v>
      </c>
      <c r="B170" s="5" t="s">
        <v>73</v>
      </c>
      <c r="C170" s="1233">
        <v>1</v>
      </c>
      <c r="D170" s="30">
        <v>2</v>
      </c>
      <c r="E170" s="30">
        <v>3</v>
      </c>
      <c r="F170" s="30">
        <v>4</v>
      </c>
      <c r="G170" s="30">
        <v>5</v>
      </c>
      <c r="H170" s="30">
        <v>6</v>
      </c>
      <c r="I170" s="30">
        <v>7</v>
      </c>
      <c r="J170" s="30">
        <v>8</v>
      </c>
      <c r="K170" s="30">
        <v>9</v>
      </c>
      <c r="L170" s="30">
        <v>10</v>
      </c>
      <c r="M170" s="30">
        <v>11</v>
      </c>
      <c r="N170" s="30">
        <v>12</v>
      </c>
      <c r="O170" s="30">
        <v>13</v>
      </c>
      <c r="P170" s="30">
        <v>14</v>
      </c>
      <c r="Q170" s="30">
        <v>15</v>
      </c>
      <c r="R170" s="30">
        <v>16</v>
      </c>
      <c r="S170" s="30">
        <v>17</v>
      </c>
      <c r="T170" s="30">
        <v>18</v>
      </c>
      <c r="U170" s="30">
        <v>19</v>
      </c>
      <c r="V170" s="30">
        <v>20</v>
      </c>
      <c r="W170" s="30">
        <v>21</v>
      </c>
      <c r="X170" s="30">
        <v>22</v>
      </c>
      <c r="Y170" s="30">
        <v>23</v>
      </c>
      <c r="Z170" s="30">
        <v>24</v>
      </c>
      <c r="AA170" s="30">
        <v>25</v>
      </c>
      <c r="AB170" s="30">
        <v>26</v>
      </c>
      <c r="AC170" s="30">
        <v>27</v>
      </c>
      <c r="AD170" s="30">
        <v>28</v>
      </c>
      <c r="AE170" s="30">
        <v>29</v>
      </c>
      <c r="AF170" s="30">
        <v>30</v>
      </c>
      <c r="AG170" s="30">
        <v>31</v>
      </c>
      <c r="AH170" s="39" t="s">
        <v>74</v>
      </c>
    </row>
    <row r="171" spans="1:34" ht="15">
      <c r="A171" s="143" t="s">
        <v>75</v>
      </c>
      <c r="B171" s="18">
        <f t="shared" ref="B171:B182" si="33">+AH171</f>
        <v>0</v>
      </c>
      <c r="C171" s="126" t="s">
        <v>111</v>
      </c>
      <c r="D171" s="126" t="s">
        <v>111</v>
      </c>
      <c r="E171" s="126" t="s">
        <v>111</v>
      </c>
      <c r="F171" s="126" t="s">
        <v>111</v>
      </c>
      <c r="G171" s="126" t="s">
        <v>111</v>
      </c>
      <c r="H171" s="126" t="s">
        <v>111</v>
      </c>
      <c r="I171" s="126" t="s">
        <v>111</v>
      </c>
      <c r="J171" s="126" t="s">
        <v>111</v>
      </c>
      <c r="K171" s="126" t="s">
        <v>111</v>
      </c>
      <c r="L171" s="126" t="s">
        <v>111</v>
      </c>
      <c r="M171" s="126" t="s">
        <v>111</v>
      </c>
      <c r="N171" s="126" t="s">
        <v>111</v>
      </c>
      <c r="O171" s="126" t="s">
        <v>111</v>
      </c>
      <c r="P171" s="126" t="s">
        <v>111</v>
      </c>
      <c r="Q171" s="126" t="s">
        <v>111</v>
      </c>
      <c r="R171" s="126" t="s">
        <v>111</v>
      </c>
      <c r="S171" s="126" t="s">
        <v>111</v>
      </c>
      <c r="T171" s="126" t="s">
        <v>111</v>
      </c>
      <c r="U171" s="126" t="s">
        <v>111</v>
      </c>
      <c r="V171" s="126" t="s">
        <v>111</v>
      </c>
      <c r="W171" s="126" t="s">
        <v>111</v>
      </c>
      <c r="X171" s="126" t="s">
        <v>111</v>
      </c>
      <c r="Y171" s="126" t="s">
        <v>111</v>
      </c>
      <c r="Z171" s="126" t="s">
        <v>111</v>
      </c>
      <c r="AA171" s="126" t="s">
        <v>111</v>
      </c>
      <c r="AB171" s="126" t="s">
        <v>111</v>
      </c>
      <c r="AC171" s="126" t="s">
        <v>111</v>
      </c>
      <c r="AD171" s="126" t="s">
        <v>111</v>
      </c>
      <c r="AE171" s="126" t="s">
        <v>111</v>
      </c>
      <c r="AF171" s="126" t="s">
        <v>111</v>
      </c>
      <c r="AG171" s="126" t="s">
        <v>111</v>
      </c>
      <c r="AH171" s="53">
        <f>SUM(C171:AG171)</f>
        <v>0</v>
      </c>
    </row>
    <row r="172" spans="1:34" ht="15">
      <c r="A172" s="143" t="s">
        <v>76</v>
      </c>
      <c r="B172" s="67">
        <f t="shared" si="33"/>
        <v>0</v>
      </c>
      <c r="C172" s="126" t="s">
        <v>111</v>
      </c>
      <c r="D172" s="126" t="s">
        <v>111</v>
      </c>
      <c r="E172" s="126" t="s">
        <v>111</v>
      </c>
      <c r="F172" s="126" t="s">
        <v>111</v>
      </c>
      <c r="G172" s="126" t="s">
        <v>111</v>
      </c>
      <c r="H172" s="126" t="s">
        <v>111</v>
      </c>
      <c r="I172" s="126" t="s">
        <v>111</v>
      </c>
      <c r="J172" s="127"/>
      <c r="K172" s="127"/>
      <c r="L172" s="127"/>
      <c r="M172" s="127"/>
      <c r="N172" s="127"/>
      <c r="O172" s="127"/>
      <c r="P172" s="127"/>
      <c r="Q172" s="127"/>
      <c r="R172" s="127"/>
      <c r="S172" s="127"/>
      <c r="T172" s="127"/>
      <c r="U172" s="127"/>
      <c r="V172" s="127"/>
      <c r="W172" s="127"/>
      <c r="X172" s="127"/>
      <c r="Y172" s="127"/>
      <c r="Z172" s="127"/>
      <c r="AA172" s="127"/>
      <c r="AB172" s="127"/>
      <c r="AC172" s="127"/>
      <c r="AD172" s="127"/>
      <c r="AE172" s="127"/>
      <c r="AF172" s="127"/>
      <c r="AG172" s="127"/>
      <c r="AH172" s="53">
        <f t="shared" ref="AH172:AH182" si="34">SUM(C172:AG172)</f>
        <v>0</v>
      </c>
    </row>
    <row r="173" spans="1:34" ht="15">
      <c r="A173" s="143" t="s">
        <v>77</v>
      </c>
      <c r="B173" s="18">
        <f t="shared" si="33"/>
        <v>0</v>
      </c>
      <c r="C173" s="127"/>
      <c r="D173" s="127"/>
      <c r="E173" s="127"/>
      <c r="F173" s="127"/>
      <c r="G173" s="127"/>
      <c r="H173" s="112"/>
      <c r="I173" s="112"/>
      <c r="J173" s="112"/>
      <c r="K173" s="112"/>
      <c r="L173" s="112"/>
      <c r="M173" s="112"/>
      <c r="N173" s="112"/>
      <c r="O173" s="112"/>
      <c r="P173" s="112"/>
      <c r="Q173" s="112"/>
      <c r="R173" s="112"/>
      <c r="S173" s="18"/>
      <c r="T173" s="18"/>
      <c r="U173" s="18"/>
      <c r="V173" s="18"/>
      <c r="W173" s="18"/>
      <c r="X173" s="18"/>
      <c r="Y173" s="18"/>
      <c r="Z173" s="18"/>
      <c r="AA173" s="18"/>
      <c r="AB173" s="18"/>
      <c r="AC173" s="1930"/>
      <c r="AD173" s="1930"/>
      <c r="AE173" s="1930"/>
      <c r="AF173" s="1930"/>
      <c r="AG173" s="1930"/>
      <c r="AH173" s="53">
        <f t="shared" si="34"/>
        <v>0</v>
      </c>
    </row>
    <row r="174" spans="1:34" ht="15">
      <c r="A174" s="143" t="s">
        <v>78</v>
      </c>
      <c r="B174" s="18">
        <f t="shared" si="33"/>
        <v>0</v>
      </c>
      <c r="C174" s="1930"/>
      <c r="D174" s="1930"/>
      <c r="E174" s="1930"/>
      <c r="F174" s="1930"/>
      <c r="G174" s="1930"/>
      <c r="H174" s="1930"/>
      <c r="I174" s="1930"/>
      <c r="J174" s="1930"/>
      <c r="K174" s="1930"/>
      <c r="L174" s="1287"/>
      <c r="M174" s="1287"/>
      <c r="N174" s="1287"/>
      <c r="O174" s="1287"/>
      <c r="P174" s="1287"/>
      <c r="Q174" s="1287"/>
      <c r="R174" s="1287"/>
      <c r="S174" s="1287"/>
      <c r="T174" s="1287"/>
      <c r="U174" s="1287"/>
      <c r="V174" s="1287"/>
      <c r="W174" s="1287"/>
      <c r="X174" s="1287"/>
      <c r="Y174" s="1287"/>
      <c r="Z174" s="1287"/>
      <c r="AA174" s="1287"/>
      <c r="AB174" s="1287"/>
      <c r="AC174" s="1287"/>
      <c r="AD174" s="1287"/>
      <c r="AE174" s="1287"/>
      <c r="AF174" s="1287"/>
      <c r="AG174" s="1287"/>
      <c r="AH174" s="53">
        <f>SUM(C174:AG174)</f>
        <v>0</v>
      </c>
    </row>
    <row r="175" spans="1:34" ht="15">
      <c r="A175" s="132" t="s">
        <v>79</v>
      </c>
      <c r="B175" s="18">
        <f t="shared" si="33"/>
        <v>0</v>
      </c>
      <c r="C175" s="1287"/>
      <c r="D175" s="1287"/>
      <c r="E175" s="1287"/>
      <c r="F175" s="1287"/>
      <c r="G175" s="1287"/>
      <c r="H175" s="1287"/>
      <c r="I175" s="1287"/>
      <c r="J175" s="1287"/>
      <c r="K175" s="1287"/>
      <c r="L175" s="1287"/>
      <c r="M175" s="1287"/>
      <c r="N175" s="1287"/>
      <c r="O175" s="1287"/>
      <c r="P175" s="1287"/>
      <c r="Q175" s="1287"/>
      <c r="R175" s="1287"/>
      <c r="S175" s="1287"/>
      <c r="T175" s="1287"/>
      <c r="U175" s="1287"/>
      <c r="V175" s="1287"/>
      <c r="W175" s="1287"/>
      <c r="X175" s="1287"/>
      <c r="Y175" s="1287"/>
      <c r="Z175" s="1287"/>
      <c r="AA175" s="1287"/>
      <c r="AB175" s="1287"/>
      <c r="AC175" s="1287"/>
      <c r="AD175" s="1287"/>
      <c r="AE175" s="1287"/>
      <c r="AF175" s="1287"/>
      <c r="AG175" s="1287"/>
      <c r="AH175" s="53">
        <f t="shared" si="34"/>
        <v>0</v>
      </c>
    </row>
    <row r="176" spans="1:34" ht="15">
      <c r="A176" s="132" t="s">
        <v>80</v>
      </c>
      <c r="B176" s="18">
        <f t="shared" si="33"/>
        <v>0</v>
      </c>
      <c r="C176" s="1287"/>
      <c r="D176" s="1287"/>
      <c r="E176" s="1287"/>
      <c r="F176" s="1287"/>
      <c r="G176" s="1287"/>
      <c r="H176" s="1287"/>
      <c r="I176" s="1287"/>
      <c r="J176" s="1287"/>
      <c r="K176" s="1287"/>
      <c r="L176" s="1287"/>
      <c r="M176" s="1287"/>
      <c r="N176" s="1287"/>
      <c r="O176" s="1287"/>
      <c r="P176" s="1287"/>
      <c r="Q176" s="1287"/>
      <c r="R176" s="1287"/>
      <c r="S176" s="1287"/>
      <c r="T176" s="1287"/>
      <c r="U176" s="1287"/>
      <c r="V176" s="1287"/>
      <c r="W176" s="1287"/>
      <c r="X176" s="1287"/>
      <c r="Y176" s="1287"/>
      <c r="Z176" s="1287"/>
      <c r="AA176" s="1287"/>
      <c r="AB176" s="1287"/>
      <c r="AC176" s="1287"/>
      <c r="AD176" s="1287"/>
      <c r="AE176" s="1287"/>
      <c r="AF176" s="1287"/>
      <c r="AG176" s="1287"/>
      <c r="AH176" s="53">
        <f t="shared" si="34"/>
        <v>0</v>
      </c>
    </row>
    <row r="177" spans="1:34" ht="15">
      <c r="A177" s="132" t="s">
        <v>81</v>
      </c>
      <c r="B177" s="18">
        <f t="shared" si="33"/>
        <v>6.5000000000000002E-2</v>
      </c>
      <c r="C177" s="1287"/>
      <c r="D177" s="1488"/>
      <c r="E177" s="1488"/>
      <c r="F177" s="1488"/>
      <c r="G177" s="1287"/>
      <c r="H177" s="1287"/>
      <c r="I177" s="1287"/>
      <c r="J177" s="2466"/>
      <c r="K177" s="2466"/>
      <c r="L177" s="1488"/>
      <c r="M177" s="1488"/>
      <c r="N177" s="1488"/>
      <c r="O177" s="1488"/>
      <c r="P177" s="1762">
        <v>5.8000000000000003E-2</v>
      </c>
      <c r="Q177" s="1488"/>
      <c r="R177" s="1488"/>
      <c r="S177" s="1488"/>
      <c r="T177" s="1488"/>
      <c r="U177" s="1488"/>
      <c r="V177" s="1488"/>
      <c r="W177" s="688"/>
      <c r="X177" s="688"/>
      <c r="Y177" s="688"/>
      <c r="Z177" s="688"/>
      <c r="AA177" s="688"/>
      <c r="AB177" s="688"/>
      <c r="AC177" s="688"/>
      <c r="AD177" s="688"/>
      <c r="AE177" s="688"/>
      <c r="AF177" s="3247">
        <v>7.0000000000000001E-3</v>
      </c>
      <c r="AG177" s="688" t="s">
        <v>111</v>
      </c>
      <c r="AH177" s="53">
        <f t="shared" si="34"/>
        <v>6.5000000000000002E-2</v>
      </c>
    </row>
    <row r="178" spans="1:34" ht="15">
      <c r="A178" s="132" t="s">
        <v>82</v>
      </c>
      <c r="B178" s="18">
        <f t="shared" si="33"/>
        <v>0</v>
      </c>
      <c r="C178" s="688" t="s">
        <v>111</v>
      </c>
      <c r="D178" s="688" t="s">
        <v>111</v>
      </c>
      <c r="E178" s="688" t="s">
        <v>111</v>
      </c>
      <c r="F178" s="688" t="s">
        <v>111</v>
      </c>
      <c r="G178" s="688" t="s">
        <v>111</v>
      </c>
      <c r="H178" s="688" t="s">
        <v>111</v>
      </c>
      <c r="I178" s="688" t="s">
        <v>111</v>
      </c>
      <c r="J178" s="688" t="s">
        <v>111</v>
      </c>
      <c r="K178" s="688" t="s">
        <v>111</v>
      </c>
      <c r="L178" s="688" t="s">
        <v>111</v>
      </c>
      <c r="M178" s="688" t="s">
        <v>111</v>
      </c>
      <c r="N178" s="688" t="s">
        <v>111</v>
      </c>
      <c r="O178" s="688" t="s">
        <v>111</v>
      </c>
      <c r="P178" s="688" t="s">
        <v>111</v>
      </c>
      <c r="Q178" s="688" t="s">
        <v>111</v>
      </c>
      <c r="R178" s="688" t="s">
        <v>111</v>
      </c>
      <c r="S178" s="688" t="s">
        <v>111</v>
      </c>
      <c r="T178" s="688" t="s">
        <v>111</v>
      </c>
      <c r="U178" s="688" t="s">
        <v>111</v>
      </c>
      <c r="V178" s="688" t="s">
        <v>111</v>
      </c>
      <c r="W178" s="688" t="s">
        <v>111</v>
      </c>
      <c r="X178" s="688" t="s">
        <v>111</v>
      </c>
      <c r="Y178" s="688" t="s">
        <v>111</v>
      </c>
      <c r="Z178" s="688" t="s">
        <v>111</v>
      </c>
      <c r="AA178" s="688" t="s">
        <v>111</v>
      </c>
      <c r="AB178" s="688" t="s">
        <v>111</v>
      </c>
      <c r="AC178" s="688" t="s">
        <v>111</v>
      </c>
      <c r="AD178" s="688" t="s">
        <v>111</v>
      </c>
      <c r="AE178" s="688" t="s">
        <v>111</v>
      </c>
      <c r="AF178" s="688" t="s">
        <v>111</v>
      </c>
      <c r="AG178" s="688" t="s">
        <v>111</v>
      </c>
      <c r="AH178" s="53">
        <f t="shared" si="34"/>
        <v>0</v>
      </c>
    </row>
    <row r="179" spans="1:34" ht="15">
      <c r="A179" s="128" t="s">
        <v>83</v>
      </c>
      <c r="B179" s="18">
        <f t="shared" si="33"/>
        <v>0</v>
      </c>
      <c r="C179" s="688" t="s">
        <v>111</v>
      </c>
      <c r="D179" s="688" t="s">
        <v>111</v>
      </c>
      <c r="E179" s="688" t="s">
        <v>111</v>
      </c>
      <c r="F179" s="688" t="s">
        <v>111</v>
      </c>
      <c r="G179" s="688" t="s">
        <v>111</v>
      </c>
      <c r="H179" s="688" t="s">
        <v>111</v>
      </c>
      <c r="I179" s="688" t="s">
        <v>111</v>
      </c>
      <c r="J179" s="688" t="s">
        <v>111</v>
      </c>
      <c r="K179" s="688" t="s">
        <v>111</v>
      </c>
      <c r="L179" s="688" t="s">
        <v>111</v>
      </c>
      <c r="M179" s="688" t="s">
        <v>111</v>
      </c>
      <c r="N179" s="688" t="s">
        <v>111</v>
      </c>
      <c r="O179" s="688" t="s">
        <v>111</v>
      </c>
      <c r="P179" s="688" t="s">
        <v>111</v>
      </c>
      <c r="Q179" s="688" t="s">
        <v>111</v>
      </c>
      <c r="R179" s="688" t="s">
        <v>111</v>
      </c>
      <c r="S179" s="688" t="s">
        <v>111</v>
      </c>
      <c r="T179" s="688" t="s">
        <v>111</v>
      </c>
      <c r="U179" s="688" t="s">
        <v>111</v>
      </c>
      <c r="V179" s="688" t="s">
        <v>111</v>
      </c>
      <c r="W179" s="688" t="s">
        <v>111</v>
      </c>
      <c r="X179" s="688" t="s">
        <v>111</v>
      </c>
      <c r="Y179" s="688" t="s">
        <v>111</v>
      </c>
      <c r="Z179" s="688" t="s">
        <v>111</v>
      </c>
      <c r="AA179" s="688" t="s">
        <v>111</v>
      </c>
      <c r="AB179" s="688" t="s">
        <v>111</v>
      </c>
      <c r="AC179" s="688" t="s">
        <v>111</v>
      </c>
      <c r="AD179" s="688" t="s">
        <v>111</v>
      </c>
      <c r="AE179" s="688" t="s">
        <v>111</v>
      </c>
      <c r="AF179" s="688" t="s">
        <v>111</v>
      </c>
      <c r="AG179" s="688" t="s">
        <v>111</v>
      </c>
      <c r="AH179" s="53">
        <f t="shared" si="34"/>
        <v>0</v>
      </c>
    </row>
    <row r="180" spans="1:34" ht="15">
      <c r="A180" s="128" t="s">
        <v>84</v>
      </c>
      <c r="B180" s="18">
        <f t="shared" si="33"/>
        <v>0</v>
      </c>
      <c r="C180" s="688" t="s">
        <v>111</v>
      </c>
      <c r="D180" s="688" t="s">
        <v>111</v>
      </c>
      <c r="E180" s="688" t="s">
        <v>111</v>
      </c>
      <c r="F180" s="688" t="s">
        <v>111</v>
      </c>
      <c r="G180" s="688" t="s">
        <v>111</v>
      </c>
      <c r="H180" s="688" t="s">
        <v>111</v>
      </c>
      <c r="I180" s="688" t="s">
        <v>111</v>
      </c>
      <c r="J180" s="688" t="s">
        <v>111</v>
      </c>
      <c r="K180" s="688" t="s">
        <v>111</v>
      </c>
      <c r="L180" s="688" t="s">
        <v>111</v>
      </c>
      <c r="M180" s="688" t="s">
        <v>111</v>
      </c>
      <c r="N180" s="688" t="s">
        <v>111</v>
      </c>
      <c r="O180" s="688" t="s">
        <v>111</v>
      </c>
      <c r="P180" s="688" t="s">
        <v>111</v>
      </c>
      <c r="Q180" s="688" t="s">
        <v>111</v>
      </c>
      <c r="R180" s="688" t="s">
        <v>111</v>
      </c>
      <c r="S180" s="688" t="s">
        <v>111</v>
      </c>
      <c r="T180" s="688" t="s">
        <v>111</v>
      </c>
      <c r="U180" s="688" t="s">
        <v>111</v>
      </c>
      <c r="V180" s="688" t="s">
        <v>111</v>
      </c>
      <c r="W180" s="688" t="s">
        <v>111</v>
      </c>
      <c r="X180" s="1287"/>
      <c r="Y180" s="1287"/>
      <c r="Z180" s="1287"/>
      <c r="AA180" s="1287"/>
      <c r="AB180" s="1287"/>
      <c r="AC180" s="1287"/>
      <c r="AD180" s="1287"/>
      <c r="AE180" s="1488"/>
      <c r="AF180" s="1287"/>
      <c r="AG180" s="1488"/>
      <c r="AH180" s="53">
        <f t="shared" si="34"/>
        <v>0</v>
      </c>
    </row>
    <row r="181" spans="1:34" ht="15">
      <c r="A181" s="128" t="s">
        <v>85</v>
      </c>
      <c r="B181" s="18">
        <f t="shared" si="33"/>
        <v>0</v>
      </c>
      <c r="C181" s="1287"/>
      <c r="D181" s="1287"/>
      <c r="E181" s="1287"/>
      <c r="F181" s="1287"/>
      <c r="G181" s="1433"/>
      <c r="H181" s="1287"/>
      <c r="I181" s="1287"/>
      <c r="J181" s="1287"/>
      <c r="K181" s="1287"/>
      <c r="L181" s="1287"/>
      <c r="M181" s="1287"/>
      <c r="N181" s="1287"/>
      <c r="O181" s="1287"/>
      <c r="P181" s="1287"/>
      <c r="Q181" s="1287"/>
      <c r="R181" s="1287"/>
      <c r="S181" s="1287"/>
      <c r="T181" s="1287"/>
      <c r="U181" s="1287"/>
      <c r="V181" s="1287"/>
      <c r="W181" s="1287"/>
      <c r="X181" s="1287"/>
      <c r="Y181" s="1433"/>
      <c r="Z181" s="1287"/>
      <c r="AA181" s="1287"/>
      <c r="AB181" s="1287"/>
      <c r="AC181" s="1287"/>
      <c r="AD181" s="1287"/>
      <c r="AE181" s="1488"/>
      <c r="AF181" s="1287"/>
      <c r="AG181" s="1488"/>
      <c r="AH181" s="53">
        <f t="shared" si="34"/>
        <v>0</v>
      </c>
    </row>
    <row r="182" spans="1:34" ht="15">
      <c r="A182" s="128" t="s">
        <v>86</v>
      </c>
      <c r="B182" s="18">
        <f t="shared" si="33"/>
        <v>0</v>
      </c>
      <c r="C182" s="1287"/>
      <c r="D182" s="1287"/>
      <c r="E182" s="1287"/>
      <c r="F182" s="1287"/>
      <c r="G182" s="1287"/>
      <c r="H182" s="1287"/>
      <c r="I182" s="1287"/>
      <c r="J182" s="1287"/>
      <c r="K182" s="1287"/>
      <c r="L182" s="1287"/>
      <c r="M182" s="1287"/>
      <c r="N182" s="1287"/>
      <c r="O182" s="1287"/>
      <c r="P182" s="1287"/>
      <c r="Q182" s="1287"/>
      <c r="R182" s="1287"/>
      <c r="S182" s="1287"/>
      <c r="T182" s="1287"/>
      <c r="U182" s="1287"/>
      <c r="V182" s="1287"/>
      <c r="W182" s="1287"/>
      <c r="X182" s="1287"/>
      <c r="Y182" s="1287"/>
      <c r="Z182" s="1287"/>
      <c r="AA182" s="1287"/>
      <c r="AB182" s="1287"/>
      <c r="AC182" s="1287"/>
      <c r="AD182" s="1287"/>
      <c r="AE182" s="1287"/>
      <c r="AF182" s="1287"/>
      <c r="AG182" s="1287"/>
      <c r="AH182" s="53">
        <f t="shared" si="34"/>
        <v>0</v>
      </c>
    </row>
    <row r="183" spans="1:34" ht="15">
      <c r="A183" s="88" t="s">
        <v>74</v>
      </c>
      <c r="B183" s="92">
        <f>SUM(B171:B182)</f>
        <v>6.5000000000000002E-2</v>
      </c>
      <c r="C183" s="46">
        <f>SUM(C171:C181)</f>
        <v>0</v>
      </c>
      <c r="D183" s="53">
        <f>SUM(D171:D181)</f>
        <v>0</v>
      </c>
      <c r="E183" s="53">
        <v>0</v>
      </c>
      <c r="F183" s="53">
        <f t="shared" ref="F183:AC183" si="35">SUM(F171:F181)</f>
        <v>0</v>
      </c>
      <c r="G183" s="53">
        <f t="shared" si="35"/>
        <v>0</v>
      </c>
      <c r="H183" s="53">
        <f t="shared" si="35"/>
        <v>0</v>
      </c>
      <c r="I183" s="53">
        <f t="shared" si="35"/>
        <v>0</v>
      </c>
      <c r="J183" s="53">
        <f t="shared" si="35"/>
        <v>0</v>
      </c>
      <c r="K183" s="53">
        <f t="shared" si="35"/>
        <v>0</v>
      </c>
      <c r="L183" s="53">
        <f t="shared" si="35"/>
        <v>0</v>
      </c>
      <c r="M183" s="53">
        <f t="shared" si="35"/>
        <v>0</v>
      </c>
      <c r="N183" s="53">
        <f t="shared" si="35"/>
        <v>0</v>
      </c>
      <c r="O183" s="53">
        <f t="shared" si="35"/>
        <v>0</v>
      </c>
      <c r="P183" s="53">
        <f t="shared" si="35"/>
        <v>5.8000000000000003E-2</v>
      </c>
      <c r="Q183" s="53">
        <f t="shared" si="35"/>
        <v>0</v>
      </c>
      <c r="R183" s="53">
        <f t="shared" si="35"/>
        <v>0</v>
      </c>
      <c r="S183" s="53">
        <f t="shared" si="35"/>
        <v>0</v>
      </c>
      <c r="T183" s="53">
        <f t="shared" si="35"/>
        <v>0</v>
      </c>
      <c r="U183" s="53">
        <f t="shared" si="35"/>
        <v>0</v>
      </c>
      <c r="V183" s="53">
        <f t="shared" si="35"/>
        <v>0</v>
      </c>
      <c r="W183" s="53">
        <f t="shared" si="35"/>
        <v>0</v>
      </c>
      <c r="X183" s="53">
        <f t="shared" si="35"/>
        <v>0</v>
      </c>
      <c r="Y183" s="53">
        <f t="shared" si="35"/>
        <v>0</v>
      </c>
      <c r="Z183" s="53">
        <f t="shared" si="35"/>
        <v>0</v>
      </c>
      <c r="AA183" s="53">
        <f t="shared" si="35"/>
        <v>0</v>
      </c>
      <c r="AB183" s="53">
        <f t="shared" si="35"/>
        <v>0</v>
      </c>
      <c r="AC183" s="53">
        <f t="shared" si="35"/>
        <v>0</v>
      </c>
      <c r="AD183" s="53">
        <v>0</v>
      </c>
      <c r="AE183" s="53">
        <f>SUM(AE171:AE181)</f>
        <v>0</v>
      </c>
      <c r="AF183" s="53">
        <f>SUM(AF171:AF181)</f>
        <v>7.0000000000000001E-3</v>
      </c>
      <c r="AG183" s="53">
        <f>SUM(AG171:AG181)</f>
        <v>0</v>
      </c>
      <c r="AH183" s="46">
        <f>SUM(AH171:AH181)</f>
        <v>6.5000000000000002E-2</v>
      </c>
    </row>
    <row r="184" spans="1:34" ht="5.0999999999999996" customHeight="1">
      <c r="A184" s="50"/>
      <c r="B184" s="58"/>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c r="AA184" s="52"/>
      <c r="AB184" s="52"/>
      <c r="AC184" s="52"/>
      <c r="AD184" s="52"/>
      <c r="AE184" s="52"/>
      <c r="AF184" s="52"/>
      <c r="AG184" s="52"/>
      <c r="AH184" s="52"/>
    </row>
    <row r="185" spans="1:34" ht="15">
      <c r="A185" s="3569" t="s">
        <v>104</v>
      </c>
      <c r="B185" s="3570"/>
      <c r="C185" s="3570"/>
      <c r="D185" s="3570"/>
      <c r="E185" s="3570"/>
      <c r="F185" s="3570"/>
      <c r="G185" s="3570"/>
      <c r="H185" s="3571"/>
      <c r="I185" s="1433"/>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row>
    <row r="186" spans="1:34" ht="15">
      <c r="A186" s="5" t="s">
        <v>91</v>
      </c>
      <c r="B186" s="5" t="s">
        <v>73</v>
      </c>
      <c r="C186" s="1233">
        <v>1</v>
      </c>
      <c r="D186" s="117">
        <v>2</v>
      </c>
      <c r="E186" s="30">
        <v>3</v>
      </c>
      <c r="F186" s="30">
        <v>4</v>
      </c>
      <c r="G186" s="30">
        <v>5</v>
      </c>
      <c r="H186" s="30">
        <v>6</v>
      </c>
      <c r="I186" s="30">
        <v>7</v>
      </c>
      <c r="J186" s="30">
        <v>8</v>
      </c>
      <c r="K186" s="30">
        <v>9</v>
      </c>
      <c r="L186" s="30">
        <v>10</v>
      </c>
      <c r="M186" s="30">
        <v>11</v>
      </c>
      <c r="N186" s="30">
        <v>12</v>
      </c>
      <c r="O186" s="30">
        <v>13</v>
      </c>
      <c r="P186" s="30">
        <v>14</v>
      </c>
      <c r="Q186" s="30">
        <v>15</v>
      </c>
      <c r="R186" s="30">
        <v>16</v>
      </c>
      <c r="S186" s="30">
        <v>17</v>
      </c>
      <c r="T186" s="30">
        <v>18</v>
      </c>
      <c r="U186" s="30">
        <v>19</v>
      </c>
      <c r="V186" s="30">
        <v>20</v>
      </c>
      <c r="W186" s="30">
        <v>21</v>
      </c>
      <c r="X186" s="30">
        <v>22</v>
      </c>
      <c r="Y186" s="30">
        <v>23</v>
      </c>
      <c r="Z186" s="30">
        <v>24</v>
      </c>
      <c r="AA186" s="30">
        <v>25</v>
      </c>
      <c r="AB186" s="30">
        <v>26</v>
      </c>
      <c r="AC186" s="30">
        <v>27</v>
      </c>
      <c r="AD186" s="30">
        <v>28</v>
      </c>
      <c r="AE186" s="30">
        <v>29</v>
      </c>
      <c r="AF186" s="30">
        <v>30</v>
      </c>
      <c r="AG186" s="30">
        <v>31</v>
      </c>
      <c r="AH186" s="39" t="s">
        <v>74</v>
      </c>
    </row>
    <row r="187" spans="1:34" ht="15">
      <c r="A187" s="143" t="s">
        <v>75</v>
      </c>
      <c r="B187" s="18">
        <f t="shared" ref="B187:B198" si="36">+AH187</f>
        <v>0</v>
      </c>
      <c r="C187" s="126" t="s">
        <v>111</v>
      </c>
      <c r="D187" s="126" t="s">
        <v>111</v>
      </c>
      <c r="E187" s="126" t="s">
        <v>111</v>
      </c>
      <c r="F187" s="126" t="s">
        <v>111</v>
      </c>
      <c r="G187" s="126" t="s">
        <v>111</v>
      </c>
      <c r="H187" s="126" t="s">
        <v>111</v>
      </c>
      <c r="I187" s="126" t="s">
        <v>111</v>
      </c>
      <c r="J187" s="126" t="s">
        <v>111</v>
      </c>
      <c r="K187" s="126" t="s">
        <v>111</v>
      </c>
      <c r="L187" s="126" t="s">
        <v>111</v>
      </c>
      <c r="M187" s="126" t="s">
        <v>111</v>
      </c>
      <c r="N187" s="126" t="s">
        <v>111</v>
      </c>
      <c r="O187" s="126" t="s">
        <v>111</v>
      </c>
      <c r="P187" s="126" t="s">
        <v>111</v>
      </c>
      <c r="Q187" s="126" t="s">
        <v>111</v>
      </c>
      <c r="R187" s="126" t="s">
        <v>111</v>
      </c>
      <c r="S187" s="126" t="s">
        <v>111</v>
      </c>
      <c r="T187" s="126" t="s">
        <v>111</v>
      </c>
      <c r="U187" s="126" t="s">
        <v>111</v>
      </c>
      <c r="V187" s="126" t="s">
        <v>111</v>
      </c>
      <c r="W187" s="126" t="s">
        <v>111</v>
      </c>
      <c r="X187" s="126" t="s">
        <v>111</v>
      </c>
      <c r="Y187" s="126" t="s">
        <v>111</v>
      </c>
      <c r="Z187" s="126" t="s">
        <v>111</v>
      </c>
      <c r="AA187" s="126" t="s">
        <v>111</v>
      </c>
      <c r="AB187" s="126" t="s">
        <v>111</v>
      </c>
      <c r="AC187" s="126" t="s">
        <v>111</v>
      </c>
      <c r="AD187" s="126" t="s">
        <v>111</v>
      </c>
      <c r="AE187" s="126" t="s">
        <v>111</v>
      </c>
      <c r="AF187" s="126" t="s">
        <v>111</v>
      </c>
      <c r="AG187" s="126" t="s">
        <v>111</v>
      </c>
      <c r="AH187" s="53">
        <f>SUM(C187:AG187)</f>
        <v>0</v>
      </c>
    </row>
    <row r="188" spans="1:34" ht="15">
      <c r="A188" s="143" t="s">
        <v>76</v>
      </c>
      <c r="B188" s="18">
        <f t="shared" si="36"/>
        <v>0</v>
      </c>
      <c r="C188" s="126" t="s">
        <v>111</v>
      </c>
      <c r="D188" s="126" t="s">
        <v>111</v>
      </c>
      <c r="E188" s="126" t="s">
        <v>111</v>
      </c>
      <c r="F188" s="126" t="s">
        <v>111</v>
      </c>
      <c r="G188" s="126" t="s">
        <v>111</v>
      </c>
      <c r="H188" s="126" t="s">
        <v>111</v>
      </c>
      <c r="I188" s="126" t="s">
        <v>111</v>
      </c>
      <c r="J188" s="127"/>
      <c r="K188" s="127"/>
      <c r="L188" s="127"/>
      <c r="M188" s="127"/>
      <c r="N188" s="127"/>
      <c r="O188" s="127"/>
      <c r="P188" s="127"/>
      <c r="Q188" s="127"/>
      <c r="R188" s="127"/>
      <c r="S188" s="127"/>
      <c r="T188" s="127"/>
      <c r="U188" s="127"/>
      <c r="V188" s="127"/>
      <c r="W188" s="127"/>
      <c r="X188" s="127"/>
      <c r="Y188" s="127"/>
      <c r="Z188" s="127"/>
      <c r="AA188" s="127"/>
      <c r="AB188" s="127"/>
      <c r="AC188" s="127"/>
      <c r="AD188" s="127"/>
      <c r="AE188" s="127"/>
      <c r="AF188" s="127"/>
      <c r="AG188" s="127"/>
      <c r="AH188" s="53">
        <f t="shared" ref="AH188:AH198" si="37">SUM(C188:AG188)</f>
        <v>0</v>
      </c>
    </row>
    <row r="189" spans="1:34" ht="15">
      <c r="A189" s="143" t="s">
        <v>77</v>
      </c>
      <c r="B189" s="18">
        <f t="shared" si="36"/>
        <v>0</v>
      </c>
      <c r="C189" s="127"/>
      <c r="D189" s="127"/>
      <c r="E189" s="127"/>
      <c r="F189" s="127"/>
      <c r="G189" s="127"/>
      <c r="H189" s="112"/>
      <c r="I189" s="112"/>
      <c r="J189" s="112"/>
      <c r="K189" s="112"/>
      <c r="L189" s="112"/>
      <c r="M189" s="112"/>
      <c r="N189" s="112"/>
      <c r="O189" s="112"/>
      <c r="P189" s="112"/>
      <c r="Q189" s="112"/>
      <c r="R189" s="112"/>
      <c r="S189" s="18"/>
      <c r="T189" s="18"/>
      <c r="U189" s="18"/>
      <c r="V189" s="18"/>
      <c r="W189" s="18"/>
      <c r="X189" s="18"/>
      <c r="Y189" s="18"/>
      <c r="Z189" s="18"/>
      <c r="AA189" s="18"/>
      <c r="AB189" s="18"/>
      <c r="AC189" s="1930"/>
      <c r="AD189" s="1930"/>
      <c r="AE189" s="1930"/>
      <c r="AF189" s="1930"/>
      <c r="AG189" s="1930"/>
      <c r="AH189" s="53">
        <f t="shared" si="37"/>
        <v>0</v>
      </c>
    </row>
    <row r="190" spans="1:34" ht="15">
      <c r="A190" s="143" t="s">
        <v>78</v>
      </c>
      <c r="B190" s="18">
        <f t="shared" si="36"/>
        <v>0</v>
      </c>
      <c r="C190" s="1930"/>
      <c r="D190" s="1930"/>
      <c r="E190" s="1930"/>
      <c r="F190" s="1930"/>
      <c r="G190" s="1930"/>
      <c r="H190" s="1930"/>
      <c r="I190" s="1930"/>
      <c r="J190" s="1930"/>
      <c r="K190" s="1930"/>
      <c r="L190" s="1287"/>
      <c r="M190" s="1287"/>
      <c r="N190" s="1287"/>
      <c r="O190" s="1287"/>
      <c r="P190" s="1287"/>
      <c r="Q190" s="1287"/>
      <c r="R190" s="1287"/>
      <c r="S190" s="1287"/>
      <c r="T190" s="1287"/>
      <c r="U190" s="1287"/>
      <c r="V190" s="1287"/>
      <c r="W190" s="1287"/>
      <c r="X190" s="1287"/>
      <c r="Y190" s="1287"/>
      <c r="Z190" s="1287"/>
      <c r="AA190" s="1287"/>
      <c r="AB190" s="1287"/>
      <c r="AC190" s="1287"/>
      <c r="AD190" s="1287"/>
      <c r="AE190" s="1287"/>
      <c r="AF190" s="1287"/>
      <c r="AG190" s="1287"/>
      <c r="AH190" s="53">
        <f t="shared" si="37"/>
        <v>0</v>
      </c>
    </row>
    <row r="191" spans="1:34" ht="15">
      <c r="A191" s="132" t="s">
        <v>79</v>
      </c>
      <c r="B191" s="18">
        <f t="shared" si="36"/>
        <v>0</v>
      </c>
      <c r="C191" s="1287"/>
      <c r="D191" s="1287"/>
      <c r="E191" s="1287"/>
      <c r="F191" s="1287"/>
      <c r="G191" s="1287"/>
      <c r="H191" s="1287"/>
      <c r="I191" s="1287"/>
      <c r="J191" s="1287"/>
      <c r="K191" s="1287"/>
      <c r="L191" s="1287"/>
      <c r="M191" s="1287"/>
      <c r="N191" s="1287"/>
      <c r="O191" s="1287"/>
      <c r="P191" s="1287"/>
      <c r="Q191" s="1287"/>
      <c r="R191" s="1287"/>
      <c r="S191" s="1287"/>
      <c r="T191" s="1287"/>
      <c r="U191" s="1287"/>
      <c r="V191" s="1287"/>
      <c r="W191" s="1287"/>
      <c r="X191" s="1287"/>
      <c r="Y191" s="1287"/>
      <c r="Z191" s="1287"/>
      <c r="AA191" s="1287"/>
      <c r="AB191" s="1287"/>
      <c r="AC191" s="1287"/>
      <c r="AD191" s="1287"/>
      <c r="AE191" s="1287"/>
      <c r="AF191" s="1287"/>
      <c r="AG191" s="1287"/>
      <c r="AH191" s="53">
        <f t="shared" si="37"/>
        <v>0</v>
      </c>
    </row>
    <row r="192" spans="1:34" ht="15">
      <c r="A192" s="132" t="s">
        <v>80</v>
      </c>
      <c r="B192" s="18">
        <f t="shared" si="36"/>
        <v>0</v>
      </c>
      <c r="C192" s="1287"/>
      <c r="D192" s="1287"/>
      <c r="E192" s="1287"/>
      <c r="F192" s="1287"/>
      <c r="G192" s="1287"/>
      <c r="H192" s="1287"/>
      <c r="I192" s="1287"/>
      <c r="J192" s="1287"/>
      <c r="K192" s="1287"/>
      <c r="L192" s="1287"/>
      <c r="M192" s="1287"/>
      <c r="N192" s="1287"/>
      <c r="O192" s="1287"/>
      <c r="P192" s="1287"/>
      <c r="Q192" s="1287"/>
      <c r="R192" s="1287"/>
      <c r="S192" s="1287"/>
      <c r="T192" s="1287"/>
      <c r="U192" s="1287"/>
      <c r="V192" s="1287"/>
      <c r="W192" s="1287"/>
      <c r="X192" s="1287"/>
      <c r="Y192" s="1287"/>
      <c r="Z192" s="1287"/>
      <c r="AA192" s="1287"/>
      <c r="AB192" s="1287"/>
      <c r="AC192" s="1287"/>
      <c r="AD192" s="1287"/>
      <c r="AE192" s="1287"/>
      <c r="AF192" s="1287"/>
      <c r="AG192" s="1287"/>
      <c r="AH192" s="53">
        <f t="shared" si="37"/>
        <v>0</v>
      </c>
    </row>
    <row r="193" spans="1:34" ht="15">
      <c r="A193" s="132" t="s">
        <v>81</v>
      </c>
      <c r="B193" s="18">
        <f t="shared" si="36"/>
        <v>0</v>
      </c>
      <c r="C193" s="1287"/>
      <c r="D193" s="1488"/>
      <c r="E193" s="1488"/>
      <c r="F193" s="1488"/>
      <c r="G193" s="1287"/>
      <c r="H193" s="1287"/>
      <c r="I193" s="1287"/>
      <c r="J193" s="2466"/>
      <c r="K193" s="2466"/>
      <c r="L193" s="1488"/>
      <c r="M193" s="1488"/>
      <c r="N193" s="1488"/>
      <c r="O193" s="1488"/>
      <c r="P193" s="1488"/>
      <c r="Q193" s="1488"/>
      <c r="R193" s="1488"/>
      <c r="S193" s="1488"/>
      <c r="T193" s="1488"/>
      <c r="U193" s="1488"/>
      <c r="V193" s="1488"/>
      <c r="W193" s="688"/>
      <c r="X193" s="688"/>
      <c r="Y193" s="688"/>
      <c r="Z193" s="688"/>
      <c r="AA193" s="688"/>
      <c r="AB193" s="688"/>
      <c r="AC193" s="688"/>
      <c r="AD193" s="688"/>
      <c r="AE193" s="688"/>
      <c r="AF193" s="688" t="s">
        <v>111</v>
      </c>
      <c r="AG193" s="688" t="s">
        <v>111</v>
      </c>
      <c r="AH193" s="53">
        <f t="shared" si="37"/>
        <v>0</v>
      </c>
    </row>
    <row r="194" spans="1:34" ht="15">
      <c r="A194" s="132" t="s">
        <v>82</v>
      </c>
      <c r="B194" s="18">
        <f t="shared" si="36"/>
        <v>0</v>
      </c>
      <c r="C194" s="688" t="s">
        <v>111</v>
      </c>
      <c r="D194" s="688" t="s">
        <v>111</v>
      </c>
      <c r="E194" s="688" t="s">
        <v>111</v>
      </c>
      <c r="F194" s="688" t="s">
        <v>111</v>
      </c>
      <c r="G194" s="688" t="s">
        <v>111</v>
      </c>
      <c r="H194" s="688" t="s">
        <v>111</v>
      </c>
      <c r="I194" s="688" t="s">
        <v>111</v>
      </c>
      <c r="J194" s="688" t="s">
        <v>111</v>
      </c>
      <c r="K194" s="688" t="s">
        <v>111</v>
      </c>
      <c r="L194" s="688" t="s">
        <v>111</v>
      </c>
      <c r="M194" s="688" t="s">
        <v>111</v>
      </c>
      <c r="N194" s="688" t="s">
        <v>111</v>
      </c>
      <c r="O194" s="688" t="s">
        <v>111</v>
      </c>
      <c r="P194" s="688" t="s">
        <v>111</v>
      </c>
      <c r="Q194" s="688" t="s">
        <v>111</v>
      </c>
      <c r="R194" s="688" t="s">
        <v>111</v>
      </c>
      <c r="S194" s="688" t="s">
        <v>111</v>
      </c>
      <c r="T194" s="688" t="s">
        <v>111</v>
      </c>
      <c r="U194" s="688" t="s">
        <v>111</v>
      </c>
      <c r="V194" s="688" t="s">
        <v>111</v>
      </c>
      <c r="W194" s="688" t="s">
        <v>111</v>
      </c>
      <c r="X194" s="688" t="s">
        <v>111</v>
      </c>
      <c r="Y194" s="688" t="s">
        <v>111</v>
      </c>
      <c r="Z194" s="688" t="s">
        <v>111</v>
      </c>
      <c r="AA194" s="688" t="s">
        <v>111</v>
      </c>
      <c r="AB194" s="688" t="s">
        <v>111</v>
      </c>
      <c r="AC194" s="688" t="s">
        <v>111</v>
      </c>
      <c r="AD194" s="688" t="s">
        <v>111</v>
      </c>
      <c r="AE194" s="688" t="s">
        <v>111</v>
      </c>
      <c r="AF194" s="688" t="s">
        <v>111</v>
      </c>
      <c r="AG194" s="688" t="s">
        <v>111</v>
      </c>
      <c r="AH194" s="53">
        <f t="shared" si="37"/>
        <v>0</v>
      </c>
    </row>
    <row r="195" spans="1:34" ht="15">
      <c r="A195" s="128" t="s">
        <v>83</v>
      </c>
      <c r="B195" s="18">
        <f t="shared" si="36"/>
        <v>0</v>
      </c>
      <c r="C195" s="688" t="s">
        <v>111</v>
      </c>
      <c r="D195" s="688" t="s">
        <v>111</v>
      </c>
      <c r="E195" s="688" t="s">
        <v>111</v>
      </c>
      <c r="F195" s="688" t="s">
        <v>111</v>
      </c>
      <c r="G195" s="688" t="s">
        <v>111</v>
      </c>
      <c r="H195" s="688" t="s">
        <v>111</v>
      </c>
      <c r="I195" s="688" t="s">
        <v>111</v>
      </c>
      <c r="J195" s="688" t="s">
        <v>111</v>
      </c>
      <c r="K195" s="688" t="s">
        <v>111</v>
      </c>
      <c r="L195" s="688" t="s">
        <v>111</v>
      </c>
      <c r="M195" s="688" t="s">
        <v>111</v>
      </c>
      <c r="N195" s="688" t="s">
        <v>111</v>
      </c>
      <c r="O195" s="688" t="s">
        <v>111</v>
      </c>
      <c r="P195" s="688" t="s">
        <v>111</v>
      </c>
      <c r="Q195" s="688" t="s">
        <v>111</v>
      </c>
      <c r="R195" s="688" t="s">
        <v>111</v>
      </c>
      <c r="S195" s="688" t="s">
        <v>111</v>
      </c>
      <c r="T195" s="688" t="s">
        <v>111</v>
      </c>
      <c r="U195" s="688" t="s">
        <v>111</v>
      </c>
      <c r="V195" s="688" t="s">
        <v>111</v>
      </c>
      <c r="W195" s="688" t="s">
        <v>111</v>
      </c>
      <c r="X195" s="688" t="s">
        <v>111</v>
      </c>
      <c r="Y195" s="688" t="s">
        <v>111</v>
      </c>
      <c r="Z195" s="688" t="s">
        <v>111</v>
      </c>
      <c r="AA195" s="688" t="s">
        <v>111</v>
      </c>
      <c r="AB195" s="688" t="s">
        <v>111</v>
      </c>
      <c r="AC195" s="688" t="s">
        <v>111</v>
      </c>
      <c r="AD195" s="688" t="s">
        <v>111</v>
      </c>
      <c r="AE195" s="688" t="s">
        <v>111</v>
      </c>
      <c r="AF195" s="688" t="s">
        <v>111</v>
      </c>
      <c r="AG195" s="688" t="s">
        <v>111</v>
      </c>
      <c r="AH195" s="53">
        <f t="shared" si="37"/>
        <v>0</v>
      </c>
    </row>
    <row r="196" spans="1:34" ht="15">
      <c r="A196" s="128" t="s">
        <v>84</v>
      </c>
      <c r="B196" s="18">
        <f t="shared" si="36"/>
        <v>0</v>
      </c>
      <c r="C196" s="688" t="s">
        <v>111</v>
      </c>
      <c r="D196" s="688" t="s">
        <v>111</v>
      </c>
      <c r="E196" s="688" t="s">
        <v>111</v>
      </c>
      <c r="F196" s="688" t="s">
        <v>111</v>
      </c>
      <c r="G196" s="688" t="s">
        <v>111</v>
      </c>
      <c r="H196" s="688" t="s">
        <v>111</v>
      </c>
      <c r="I196" s="688" t="s">
        <v>111</v>
      </c>
      <c r="J196" s="688" t="s">
        <v>111</v>
      </c>
      <c r="K196" s="688" t="s">
        <v>111</v>
      </c>
      <c r="L196" s="688" t="s">
        <v>111</v>
      </c>
      <c r="M196" s="688" t="s">
        <v>111</v>
      </c>
      <c r="N196" s="688" t="s">
        <v>111</v>
      </c>
      <c r="O196" s="688" t="s">
        <v>111</v>
      </c>
      <c r="P196" s="688" t="s">
        <v>111</v>
      </c>
      <c r="Q196" s="688" t="s">
        <v>111</v>
      </c>
      <c r="R196" s="688" t="s">
        <v>111</v>
      </c>
      <c r="S196" s="688" t="s">
        <v>111</v>
      </c>
      <c r="T196" s="688" t="s">
        <v>111</v>
      </c>
      <c r="U196" s="688" t="s">
        <v>111</v>
      </c>
      <c r="V196" s="688" t="s">
        <v>111</v>
      </c>
      <c r="W196" s="688" t="s">
        <v>111</v>
      </c>
      <c r="X196" s="1287"/>
      <c r="Y196" s="1287"/>
      <c r="Z196" s="1287"/>
      <c r="AA196" s="1287"/>
      <c r="AB196" s="1287"/>
      <c r="AC196" s="1287"/>
      <c r="AD196" s="1287"/>
      <c r="AE196" s="1488"/>
      <c r="AF196" s="1287"/>
      <c r="AG196" s="1488"/>
      <c r="AH196" s="53">
        <f t="shared" si="37"/>
        <v>0</v>
      </c>
    </row>
    <row r="197" spans="1:34" ht="15">
      <c r="A197" s="128" t="s">
        <v>85</v>
      </c>
      <c r="B197" s="18">
        <f t="shared" si="36"/>
        <v>0</v>
      </c>
      <c r="C197" s="1287"/>
      <c r="D197" s="1287"/>
      <c r="E197" s="1287"/>
      <c r="F197" s="1287"/>
      <c r="G197" s="1433"/>
      <c r="H197" s="1287"/>
      <c r="I197" s="1287"/>
      <c r="J197" s="1287"/>
      <c r="K197" s="1287"/>
      <c r="L197" s="1287"/>
      <c r="M197" s="1287"/>
      <c r="N197" s="1287"/>
      <c r="O197" s="1287"/>
      <c r="P197" s="1287"/>
      <c r="Q197" s="1287"/>
      <c r="R197" s="1287"/>
      <c r="S197" s="1287"/>
      <c r="T197" s="1287"/>
      <c r="U197" s="1287"/>
      <c r="V197" s="1287"/>
      <c r="W197" s="1287"/>
      <c r="X197" s="1287"/>
      <c r="Y197" s="1433"/>
      <c r="Z197" s="1287"/>
      <c r="AA197" s="1287"/>
      <c r="AB197" s="1287"/>
      <c r="AC197" s="1287"/>
      <c r="AD197" s="1287"/>
      <c r="AE197" s="1488"/>
      <c r="AF197" s="1287"/>
      <c r="AG197" s="1488"/>
      <c r="AH197" s="53">
        <f t="shared" si="37"/>
        <v>0</v>
      </c>
    </row>
    <row r="198" spans="1:34" ht="15">
      <c r="A198" s="128" t="s">
        <v>86</v>
      </c>
      <c r="B198" s="18">
        <f t="shared" si="36"/>
        <v>0</v>
      </c>
      <c r="C198" s="1287"/>
      <c r="D198" s="1287"/>
      <c r="E198" s="1287"/>
      <c r="F198" s="1287"/>
      <c r="G198" s="1287"/>
      <c r="H198" s="1287"/>
      <c r="I198" s="1287"/>
      <c r="J198" s="1287"/>
      <c r="K198" s="1287"/>
      <c r="L198" s="1287"/>
      <c r="M198" s="1287"/>
      <c r="N198" s="1287"/>
      <c r="O198" s="1287"/>
      <c r="P198" s="1287"/>
      <c r="Q198" s="1287"/>
      <c r="R198" s="1287"/>
      <c r="S198" s="1287"/>
      <c r="T198" s="1287"/>
      <c r="U198" s="1287"/>
      <c r="V198" s="1287"/>
      <c r="W198" s="1287"/>
      <c r="X198" s="1287"/>
      <c r="Y198" s="1287"/>
      <c r="Z198" s="1287"/>
      <c r="AA198" s="1287"/>
      <c r="AB198" s="1287"/>
      <c r="AC198" s="1287"/>
      <c r="AD198" s="1287"/>
      <c r="AE198" s="1287"/>
      <c r="AF198" s="1287"/>
      <c r="AG198" s="1287"/>
      <c r="AH198" s="53">
        <f t="shared" si="37"/>
        <v>0</v>
      </c>
    </row>
    <row r="199" spans="1:34" ht="15">
      <c r="A199" s="88" t="s">
        <v>74</v>
      </c>
      <c r="B199" s="89">
        <f>SUM(B187:B198)</f>
        <v>0</v>
      </c>
      <c r="C199" s="46">
        <f>SUM(C187:C197)</f>
        <v>0</v>
      </c>
      <c r="D199" s="53">
        <f>SUM(D187:D197)</f>
        <v>0</v>
      </c>
      <c r="E199" s="53">
        <v>0</v>
      </c>
      <c r="F199" s="53">
        <f t="shared" ref="F199:AC199" si="38">SUM(F187:F197)</f>
        <v>0</v>
      </c>
      <c r="G199" s="53">
        <f t="shared" si="38"/>
        <v>0</v>
      </c>
      <c r="H199" s="53">
        <f t="shared" si="38"/>
        <v>0</v>
      </c>
      <c r="I199" s="53">
        <f t="shared" si="38"/>
        <v>0</v>
      </c>
      <c r="J199" s="53">
        <f t="shared" si="38"/>
        <v>0</v>
      </c>
      <c r="K199" s="53">
        <f t="shared" si="38"/>
        <v>0</v>
      </c>
      <c r="L199" s="53">
        <f t="shared" si="38"/>
        <v>0</v>
      </c>
      <c r="M199" s="53">
        <f t="shared" si="38"/>
        <v>0</v>
      </c>
      <c r="N199" s="53">
        <f t="shared" si="38"/>
        <v>0</v>
      </c>
      <c r="O199" s="53">
        <f t="shared" si="38"/>
        <v>0</v>
      </c>
      <c r="P199" s="53">
        <f t="shared" si="38"/>
        <v>0</v>
      </c>
      <c r="Q199" s="53">
        <f t="shared" si="38"/>
        <v>0</v>
      </c>
      <c r="R199" s="53">
        <f t="shared" si="38"/>
        <v>0</v>
      </c>
      <c r="S199" s="53">
        <f t="shared" si="38"/>
        <v>0</v>
      </c>
      <c r="T199" s="53">
        <f t="shared" si="38"/>
        <v>0</v>
      </c>
      <c r="U199" s="53">
        <f t="shared" si="38"/>
        <v>0</v>
      </c>
      <c r="V199" s="53">
        <f t="shared" si="38"/>
        <v>0</v>
      </c>
      <c r="W199" s="53">
        <f t="shared" si="38"/>
        <v>0</v>
      </c>
      <c r="X199" s="53">
        <f t="shared" si="38"/>
        <v>0</v>
      </c>
      <c r="Y199" s="53">
        <f t="shared" si="38"/>
        <v>0</v>
      </c>
      <c r="Z199" s="53">
        <f t="shared" si="38"/>
        <v>0</v>
      </c>
      <c r="AA199" s="53">
        <f t="shared" si="38"/>
        <v>0</v>
      </c>
      <c r="AB199" s="53">
        <f t="shared" si="38"/>
        <v>0</v>
      </c>
      <c r="AC199" s="53">
        <f t="shared" si="38"/>
        <v>0</v>
      </c>
      <c r="AD199" s="53">
        <v>0</v>
      </c>
      <c r="AE199" s="53">
        <f>SUM(AE187:AE197)</f>
        <v>0</v>
      </c>
      <c r="AF199" s="53">
        <f>SUM(AF187:AF197)</f>
        <v>0</v>
      </c>
      <c r="AG199" s="53">
        <f>SUM(AG187:AG197)</f>
        <v>0</v>
      </c>
      <c r="AH199" s="46">
        <f>SUM(AH187:AH197)</f>
        <v>0</v>
      </c>
    </row>
    <row r="200" spans="1:34" ht="5.0999999999999996" customHeight="1">
      <c r="A200" s="14"/>
      <c r="B200" s="14"/>
      <c r="C200" s="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
    </row>
    <row r="201" spans="1:34" ht="15">
      <c r="A201" s="3569" t="s">
        <v>105</v>
      </c>
      <c r="B201" s="3570"/>
      <c r="C201" s="3570"/>
      <c r="D201" s="3570"/>
      <c r="E201" s="3570"/>
      <c r="F201" s="3570"/>
      <c r="G201" s="3570"/>
      <c r="H201" s="3571"/>
      <c r="I201" s="1433"/>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row>
    <row r="202" spans="1:34" ht="15">
      <c r="A202" s="5" t="s">
        <v>72</v>
      </c>
      <c r="B202" s="5" t="s">
        <v>73</v>
      </c>
      <c r="C202" s="1233">
        <v>1</v>
      </c>
      <c r="D202" s="30">
        <v>2</v>
      </c>
      <c r="E202" s="30">
        <v>3</v>
      </c>
      <c r="F202" s="30">
        <v>4</v>
      </c>
      <c r="G202" s="30">
        <v>5</v>
      </c>
      <c r="H202" s="30">
        <v>6</v>
      </c>
      <c r="I202" s="30">
        <v>7</v>
      </c>
      <c r="J202" s="30">
        <v>8</v>
      </c>
      <c r="K202" s="30">
        <v>9</v>
      </c>
      <c r="L202" s="30">
        <v>10</v>
      </c>
      <c r="M202" s="30">
        <v>11</v>
      </c>
      <c r="N202" s="30">
        <v>12</v>
      </c>
      <c r="O202" s="30">
        <v>13</v>
      </c>
      <c r="P202" s="30">
        <v>14</v>
      </c>
      <c r="Q202" s="30">
        <v>15</v>
      </c>
      <c r="R202" s="30">
        <v>16</v>
      </c>
      <c r="S202" s="30">
        <v>17</v>
      </c>
      <c r="T202" s="30">
        <v>18</v>
      </c>
      <c r="U202" s="30">
        <v>19</v>
      </c>
      <c r="V202" s="30">
        <v>20</v>
      </c>
      <c r="W202" s="30">
        <v>21</v>
      </c>
      <c r="X202" s="30">
        <v>22</v>
      </c>
      <c r="Y202" s="30">
        <v>23</v>
      </c>
      <c r="Z202" s="30">
        <v>24</v>
      </c>
      <c r="AA202" s="30">
        <v>25</v>
      </c>
      <c r="AB202" s="30">
        <v>26</v>
      </c>
      <c r="AC202" s="30">
        <v>27</v>
      </c>
      <c r="AD202" s="30">
        <v>28</v>
      </c>
      <c r="AE202" s="30">
        <v>29</v>
      </c>
      <c r="AF202" s="30">
        <v>30</v>
      </c>
      <c r="AG202" s="30">
        <v>31</v>
      </c>
      <c r="AH202" s="39" t="s">
        <v>74</v>
      </c>
    </row>
    <row r="203" spans="1:34" ht="15">
      <c r="A203" s="143" t="s">
        <v>75</v>
      </c>
      <c r="B203" s="18">
        <f t="shared" ref="B203:B214" si="39">+AH203</f>
        <v>0</v>
      </c>
      <c r="C203" s="126" t="s">
        <v>111</v>
      </c>
      <c r="D203" s="126" t="s">
        <v>111</v>
      </c>
      <c r="E203" s="126" t="s">
        <v>111</v>
      </c>
      <c r="F203" s="126" t="s">
        <v>111</v>
      </c>
      <c r="G203" s="126" t="s">
        <v>111</v>
      </c>
      <c r="H203" s="126" t="s">
        <v>111</v>
      </c>
      <c r="I203" s="126" t="s">
        <v>111</v>
      </c>
      <c r="J203" s="126" t="s">
        <v>111</v>
      </c>
      <c r="K203" s="126" t="s">
        <v>111</v>
      </c>
      <c r="L203" s="126" t="s">
        <v>111</v>
      </c>
      <c r="M203" s="126" t="s">
        <v>111</v>
      </c>
      <c r="N203" s="126" t="s">
        <v>111</v>
      </c>
      <c r="O203" s="126" t="s">
        <v>111</v>
      </c>
      <c r="P203" s="126" t="s">
        <v>111</v>
      </c>
      <c r="Q203" s="126" t="s">
        <v>111</v>
      </c>
      <c r="R203" s="126" t="s">
        <v>111</v>
      </c>
      <c r="S203" s="126" t="s">
        <v>111</v>
      </c>
      <c r="T203" s="126" t="s">
        <v>111</v>
      </c>
      <c r="U203" s="126" t="s">
        <v>111</v>
      </c>
      <c r="V203" s="126" t="s">
        <v>111</v>
      </c>
      <c r="W203" s="126" t="s">
        <v>111</v>
      </c>
      <c r="X203" s="126" t="s">
        <v>111</v>
      </c>
      <c r="Y203" s="126" t="s">
        <v>111</v>
      </c>
      <c r="Z203" s="126" t="s">
        <v>111</v>
      </c>
      <c r="AA203" s="126" t="s">
        <v>111</v>
      </c>
      <c r="AB203" s="126" t="s">
        <v>111</v>
      </c>
      <c r="AC203" s="126" t="s">
        <v>111</v>
      </c>
      <c r="AD203" s="126" t="s">
        <v>111</v>
      </c>
      <c r="AE203" s="126" t="s">
        <v>111</v>
      </c>
      <c r="AF203" s="126" t="s">
        <v>111</v>
      </c>
      <c r="AG203" s="126" t="s">
        <v>111</v>
      </c>
      <c r="AH203" s="53">
        <f>SUM(C203:AG203)</f>
        <v>0</v>
      </c>
    </row>
    <row r="204" spans="1:34" s="83" customFormat="1" ht="15">
      <c r="A204" s="143" t="s">
        <v>76</v>
      </c>
      <c r="B204" s="18">
        <f t="shared" si="39"/>
        <v>0</v>
      </c>
      <c r="C204" s="126" t="s">
        <v>111</v>
      </c>
      <c r="D204" s="126" t="s">
        <v>111</v>
      </c>
      <c r="E204" s="126" t="s">
        <v>111</v>
      </c>
      <c r="F204" s="126" t="s">
        <v>111</v>
      </c>
      <c r="G204" s="126" t="s">
        <v>111</v>
      </c>
      <c r="H204" s="126" t="s">
        <v>111</v>
      </c>
      <c r="I204" s="126" t="s">
        <v>111</v>
      </c>
      <c r="J204" s="127"/>
      <c r="K204" s="127"/>
      <c r="L204" s="127"/>
      <c r="M204" s="127"/>
      <c r="N204" s="127"/>
      <c r="O204" s="127"/>
      <c r="P204" s="127"/>
      <c r="Q204" s="127"/>
      <c r="R204" s="127"/>
      <c r="S204" s="127"/>
      <c r="T204" s="127"/>
      <c r="U204" s="127"/>
      <c r="V204" s="127"/>
      <c r="W204" s="127"/>
      <c r="X204" s="127"/>
      <c r="Y204" s="127"/>
      <c r="Z204" s="127"/>
      <c r="AA204" s="127"/>
      <c r="AB204" s="127"/>
      <c r="AC204" s="127"/>
      <c r="AD204" s="127"/>
      <c r="AE204" s="127"/>
      <c r="AF204" s="127"/>
      <c r="AG204" s="127"/>
      <c r="AH204" s="53">
        <f t="shared" ref="AH204:AH214" si="40">SUM(C204:AG204)</f>
        <v>0</v>
      </c>
    </row>
    <row r="205" spans="1:34" ht="15">
      <c r="A205" s="143" t="s">
        <v>77</v>
      </c>
      <c r="B205" s="18">
        <f t="shared" si="39"/>
        <v>0</v>
      </c>
      <c r="C205" s="127"/>
      <c r="D205" s="127"/>
      <c r="E205" s="127"/>
      <c r="F205" s="127"/>
      <c r="G205" s="127"/>
      <c r="H205" s="112"/>
      <c r="I205" s="112"/>
      <c r="J205" s="112"/>
      <c r="K205" s="112"/>
      <c r="L205" s="112"/>
      <c r="M205" s="112"/>
      <c r="N205" s="112"/>
      <c r="O205" s="112"/>
      <c r="P205" s="112"/>
      <c r="Q205" s="112"/>
      <c r="R205" s="112"/>
      <c r="S205" s="18"/>
      <c r="T205" s="18"/>
      <c r="U205" s="18"/>
      <c r="V205" s="18"/>
      <c r="W205" s="18"/>
      <c r="X205" s="18"/>
      <c r="Y205" s="18"/>
      <c r="Z205" s="18"/>
      <c r="AA205" s="18"/>
      <c r="AB205" s="18"/>
      <c r="AC205" s="1930"/>
      <c r="AD205" s="1930"/>
      <c r="AE205" s="1930"/>
      <c r="AF205" s="1930"/>
      <c r="AG205" s="1930"/>
      <c r="AH205" s="53">
        <f t="shared" si="40"/>
        <v>0</v>
      </c>
    </row>
    <row r="206" spans="1:34" ht="15">
      <c r="A206" s="143" t="s">
        <v>78</v>
      </c>
      <c r="B206" s="18">
        <f t="shared" si="39"/>
        <v>0</v>
      </c>
      <c r="C206" s="1930"/>
      <c r="D206" s="1930"/>
      <c r="E206" s="1930"/>
      <c r="F206" s="1930"/>
      <c r="G206" s="1930"/>
      <c r="H206" s="1930"/>
      <c r="I206" s="1930"/>
      <c r="J206" s="1930"/>
      <c r="K206" s="1930"/>
      <c r="L206" s="1287"/>
      <c r="M206" s="1287"/>
      <c r="N206" s="1287"/>
      <c r="O206" s="1287"/>
      <c r="P206" s="1287"/>
      <c r="Q206" s="1287"/>
      <c r="R206" s="1287"/>
      <c r="S206" s="1287"/>
      <c r="T206" s="1287"/>
      <c r="U206" s="1287"/>
      <c r="V206" s="1287"/>
      <c r="W206" s="1287"/>
      <c r="X206" s="1287"/>
      <c r="Y206" s="1287"/>
      <c r="Z206" s="1287"/>
      <c r="AA206" s="1287"/>
      <c r="AB206" s="1287"/>
      <c r="AC206" s="1287"/>
      <c r="AD206" s="1287"/>
      <c r="AE206" s="1287"/>
      <c r="AF206" s="1287"/>
      <c r="AG206" s="1287"/>
      <c r="AH206" s="53">
        <f t="shared" si="40"/>
        <v>0</v>
      </c>
    </row>
    <row r="207" spans="1:34" s="83" customFormat="1" ht="15">
      <c r="A207" s="132" t="s">
        <v>79</v>
      </c>
      <c r="B207" s="18">
        <f t="shared" si="39"/>
        <v>0</v>
      </c>
      <c r="C207" s="1287"/>
      <c r="D207" s="1287"/>
      <c r="E207" s="1287"/>
      <c r="F207" s="1287"/>
      <c r="G207" s="1287"/>
      <c r="H207" s="1287"/>
      <c r="I207" s="1287"/>
      <c r="J207" s="1287"/>
      <c r="K207" s="1287"/>
      <c r="L207" s="1287"/>
      <c r="M207" s="1287"/>
      <c r="N207" s="1287"/>
      <c r="O207" s="1287"/>
      <c r="P207" s="1287"/>
      <c r="Q207" s="1287"/>
      <c r="R207" s="1287"/>
      <c r="S207" s="1287"/>
      <c r="T207" s="1287"/>
      <c r="U207" s="1287"/>
      <c r="V207" s="1287"/>
      <c r="W207" s="1287"/>
      <c r="X207" s="1287"/>
      <c r="Y207" s="1287"/>
      <c r="Z207" s="1287"/>
      <c r="AA207" s="1287"/>
      <c r="AB207" s="1287"/>
      <c r="AC207" s="1287"/>
      <c r="AD207" s="1287"/>
      <c r="AE207" s="1287"/>
      <c r="AF207" s="1287"/>
      <c r="AG207" s="1287"/>
      <c r="AH207" s="53">
        <f t="shared" si="40"/>
        <v>0</v>
      </c>
    </row>
    <row r="208" spans="1:34" ht="15">
      <c r="A208" s="132" t="s">
        <v>80</v>
      </c>
      <c r="B208" s="18">
        <f t="shared" si="39"/>
        <v>0</v>
      </c>
      <c r="C208" s="1287"/>
      <c r="D208" s="1287"/>
      <c r="E208" s="1287"/>
      <c r="F208" s="1287"/>
      <c r="G208" s="1287"/>
      <c r="H208" s="1287"/>
      <c r="I208" s="1287"/>
      <c r="J208" s="1287"/>
      <c r="K208" s="1287"/>
      <c r="L208" s="1287"/>
      <c r="M208" s="1287"/>
      <c r="N208" s="1287"/>
      <c r="O208" s="1287"/>
      <c r="P208" s="1287"/>
      <c r="Q208" s="1287"/>
      <c r="R208" s="1287"/>
      <c r="S208" s="1287"/>
      <c r="T208" s="1287"/>
      <c r="U208" s="1287"/>
      <c r="V208" s="1287"/>
      <c r="W208" s="1287"/>
      <c r="X208" s="1287"/>
      <c r="Y208" s="1287"/>
      <c r="Z208" s="1287"/>
      <c r="AA208" s="1287"/>
      <c r="AB208" s="1287"/>
      <c r="AC208" s="1287"/>
      <c r="AD208" s="1287"/>
      <c r="AE208" s="1287"/>
      <c r="AF208" s="1287"/>
      <c r="AG208" s="1287"/>
      <c r="AH208" s="53">
        <f t="shared" si="40"/>
        <v>0</v>
      </c>
    </row>
    <row r="209" spans="1:34" ht="15">
      <c r="A209" s="132" t="s">
        <v>81</v>
      </c>
      <c r="B209" s="18">
        <f t="shared" si="39"/>
        <v>0</v>
      </c>
      <c r="C209" s="1287"/>
      <c r="D209" s="1488"/>
      <c r="E209" s="1488"/>
      <c r="F209" s="1488"/>
      <c r="G209" s="1287"/>
      <c r="H209" s="1287"/>
      <c r="I209" s="1287"/>
      <c r="J209" s="2466"/>
      <c r="K209" s="2466"/>
      <c r="L209" s="1488"/>
      <c r="M209" s="1488"/>
      <c r="N209" s="1488"/>
      <c r="O209" s="1488"/>
      <c r="P209" s="1488"/>
      <c r="Q209" s="1488"/>
      <c r="R209" s="1488"/>
      <c r="S209" s="1488"/>
      <c r="T209" s="1488"/>
      <c r="U209" s="1488"/>
      <c r="V209" s="1488"/>
      <c r="W209" s="688"/>
      <c r="X209" s="688"/>
      <c r="Y209" s="688"/>
      <c r="Z209" s="688"/>
      <c r="AA209" s="688"/>
      <c r="AB209" s="688"/>
      <c r="AC209" s="688"/>
      <c r="AD209" s="688"/>
      <c r="AE209" s="688"/>
      <c r="AF209" s="688" t="s">
        <v>111</v>
      </c>
      <c r="AG209" s="688" t="s">
        <v>111</v>
      </c>
      <c r="AH209" s="53">
        <f t="shared" si="40"/>
        <v>0</v>
      </c>
    </row>
    <row r="210" spans="1:34" s="83" customFormat="1" ht="15">
      <c r="A210" s="132" t="s">
        <v>82</v>
      </c>
      <c r="B210" s="18">
        <f t="shared" si="39"/>
        <v>0</v>
      </c>
      <c r="C210" s="688" t="s">
        <v>111</v>
      </c>
      <c r="D210" s="688" t="s">
        <v>111</v>
      </c>
      <c r="E210" s="688" t="s">
        <v>111</v>
      </c>
      <c r="F210" s="688" t="s">
        <v>111</v>
      </c>
      <c r="G210" s="688" t="s">
        <v>111</v>
      </c>
      <c r="H210" s="688" t="s">
        <v>111</v>
      </c>
      <c r="I210" s="688" t="s">
        <v>111</v>
      </c>
      <c r="J210" s="688" t="s">
        <v>111</v>
      </c>
      <c r="K210" s="688" t="s">
        <v>111</v>
      </c>
      <c r="L210" s="688" t="s">
        <v>111</v>
      </c>
      <c r="M210" s="688" t="s">
        <v>111</v>
      </c>
      <c r="N210" s="688" t="s">
        <v>111</v>
      </c>
      <c r="O210" s="688" t="s">
        <v>111</v>
      </c>
      <c r="P210" s="688" t="s">
        <v>111</v>
      </c>
      <c r="Q210" s="688" t="s">
        <v>111</v>
      </c>
      <c r="R210" s="688" t="s">
        <v>111</v>
      </c>
      <c r="S210" s="688" t="s">
        <v>111</v>
      </c>
      <c r="T210" s="688" t="s">
        <v>111</v>
      </c>
      <c r="U210" s="688" t="s">
        <v>111</v>
      </c>
      <c r="V210" s="688" t="s">
        <v>111</v>
      </c>
      <c r="W210" s="688" t="s">
        <v>111</v>
      </c>
      <c r="X210" s="688" t="s">
        <v>111</v>
      </c>
      <c r="Y210" s="688" t="s">
        <v>111</v>
      </c>
      <c r="Z210" s="688" t="s">
        <v>111</v>
      </c>
      <c r="AA210" s="688" t="s">
        <v>111</v>
      </c>
      <c r="AB210" s="688" t="s">
        <v>111</v>
      </c>
      <c r="AC210" s="688" t="s">
        <v>111</v>
      </c>
      <c r="AD210" s="688" t="s">
        <v>111</v>
      </c>
      <c r="AE210" s="688" t="s">
        <v>111</v>
      </c>
      <c r="AF210" s="688" t="s">
        <v>111</v>
      </c>
      <c r="AG210" s="688" t="s">
        <v>111</v>
      </c>
      <c r="AH210" s="53">
        <f t="shared" si="40"/>
        <v>0</v>
      </c>
    </row>
    <row r="211" spans="1:34" ht="15">
      <c r="A211" s="128" t="s">
        <v>83</v>
      </c>
      <c r="B211" s="18">
        <f t="shared" si="39"/>
        <v>0</v>
      </c>
      <c r="C211" s="688" t="s">
        <v>111</v>
      </c>
      <c r="D211" s="688" t="s">
        <v>111</v>
      </c>
      <c r="E211" s="688" t="s">
        <v>111</v>
      </c>
      <c r="F211" s="688" t="s">
        <v>111</v>
      </c>
      <c r="G211" s="688" t="s">
        <v>111</v>
      </c>
      <c r="H211" s="688" t="s">
        <v>111</v>
      </c>
      <c r="I211" s="688" t="s">
        <v>111</v>
      </c>
      <c r="J211" s="688" t="s">
        <v>111</v>
      </c>
      <c r="K211" s="688" t="s">
        <v>111</v>
      </c>
      <c r="L211" s="688" t="s">
        <v>111</v>
      </c>
      <c r="M211" s="688" t="s">
        <v>111</v>
      </c>
      <c r="N211" s="688" t="s">
        <v>111</v>
      </c>
      <c r="O211" s="688" t="s">
        <v>111</v>
      </c>
      <c r="P211" s="688" t="s">
        <v>111</v>
      </c>
      <c r="Q211" s="688" t="s">
        <v>111</v>
      </c>
      <c r="R211" s="688" t="s">
        <v>111</v>
      </c>
      <c r="S211" s="688" t="s">
        <v>111</v>
      </c>
      <c r="T211" s="688" t="s">
        <v>111</v>
      </c>
      <c r="U211" s="688" t="s">
        <v>111</v>
      </c>
      <c r="V211" s="688" t="s">
        <v>111</v>
      </c>
      <c r="W211" s="688" t="s">
        <v>111</v>
      </c>
      <c r="X211" s="688" t="s">
        <v>111</v>
      </c>
      <c r="Y211" s="688" t="s">
        <v>111</v>
      </c>
      <c r="Z211" s="688" t="s">
        <v>111</v>
      </c>
      <c r="AA211" s="688" t="s">
        <v>111</v>
      </c>
      <c r="AB211" s="688" t="s">
        <v>111</v>
      </c>
      <c r="AC211" s="688" t="s">
        <v>111</v>
      </c>
      <c r="AD211" s="688" t="s">
        <v>111</v>
      </c>
      <c r="AE211" s="688" t="s">
        <v>111</v>
      </c>
      <c r="AF211" s="688" t="s">
        <v>111</v>
      </c>
      <c r="AG211" s="688" t="s">
        <v>111</v>
      </c>
      <c r="AH211" s="53">
        <f t="shared" si="40"/>
        <v>0</v>
      </c>
    </row>
    <row r="212" spans="1:34" ht="15">
      <c r="A212" s="128" t="s">
        <v>84</v>
      </c>
      <c r="B212" s="18">
        <f t="shared" si="39"/>
        <v>0</v>
      </c>
      <c r="C212" s="688" t="s">
        <v>111</v>
      </c>
      <c r="D212" s="688" t="s">
        <v>111</v>
      </c>
      <c r="E212" s="688" t="s">
        <v>111</v>
      </c>
      <c r="F212" s="688" t="s">
        <v>111</v>
      </c>
      <c r="G212" s="688" t="s">
        <v>111</v>
      </c>
      <c r="H212" s="688" t="s">
        <v>111</v>
      </c>
      <c r="I212" s="688" t="s">
        <v>111</v>
      </c>
      <c r="J212" s="688" t="s">
        <v>111</v>
      </c>
      <c r="K212" s="688" t="s">
        <v>111</v>
      </c>
      <c r="L212" s="688" t="s">
        <v>111</v>
      </c>
      <c r="M212" s="688" t="s">
        <v>111</v>
      </c>
      <c r="N212" s="688" t="s">
        <v>111</v>
      </c>
      <c r="O212" s="688" t="s">
        <v>111</v>
      </c>
      <c r="P212" s="688" t="s">
        <v>111</v>
      </c>
      <c r="Q212" s="688" t="s">
        <v>111</v>
      </c>
      <c r="R212" s="688" t="s">
        <v>111</v>
      </c>
      <c r="S212" s="688" t="s">
        <v>111</v>
      </c>
      <c r="T212" s="688" t="s">
        <v>111</v>
      </c>
      <c r="U212" s="688" t="s">
        <v>111</v>
      </c>
      <c r="V212" s="688" t="s">
        <v>111</v>
      </c>
      <c r="W212" s="688" t="s">
        <v>111</v>
      </c>
      <c r="X212" s="1287"/>
      <c r="Y212" s="1287"/>
      <c r="Z212" s="1287"/>
      <c r="AA212" s="1287"/>
      <c r="AB212" s="1287"/>
      <c r="AC212" s="1287"/>
      <c r="AD212" s="1287"/>
      <c r="AE212" s="1488"/>
      <c r="AF212" s="1287"/>
      <c r="AG212" s="1488"/>
      <c r="AH212" s="53">
        <f t="shared" si="40"/>
        <v>0</v>
      </c>
    </row>
    <row r="213" spans="1:34" ht="15">
      <c r="A213" s="128" t="s">
        <v>85</v>
      </c>
      <c r="B213" s="18">
        <f t="shared" si="39"/>
        <v>0</v>
      </c>
      <c r="C213" s="1287"/>
      <c r="D213" s="1287"/>
      <c r="E213" s="1287"/>
      <c r="F213" s="1287"/>
      <c r="G213" s="1433"/>
      <c r="H213" s="1287"/>
      <c r="I213" s="1287"/>
      <c r="J213" s="1287"/>
      <c r="K213" s="1287"/>
      <c r="L213" s="1287"/>
      <c r="M213" s="1287"/>
      <c r="N213" s="1287"/>
      <c r="O213" s="1287"/>
      <c r="P213" s="1287"/>
      <c r="Q213" s="1287"/>
      <c r="R213" s="1287"/>
      <c r="S213" s="1287"/>
      <c r="T213" s="1287"/>
      <c r="U213" s="1287"/>
      <c r="V213" s="1287"/>
      <c r="W213" s="1287"/>
      <c r="X213" s="1287"/>
      <c r="Y213" s="1433"/>
      <c r="Z213" s="1287"/>
      <c r="AA213" s="1287"/>
      <c r="AB213" s="1287"/>
      <c r="AC213" s="1287"/>
      <c r="AD213" s="1287"/>
      <c r="AE213" s="1488"/>
      <c r="AF213" s="1287"/>
      <c r="AG213" s="1488"/>
      <c r="AH213" s="53">
        <f t="shared" si="40"/>
        <v>0</v>
      </c>
    </row>
    <row r="214" spans="1:34" ht="15">
      <c r="A214" s="128" t="s">
        <v>86</v>
      </c>
      <c r="B214" s="18">
        <f t="shared" si="39"/>
        <v>0</v>
      </c>
      <c r="C214" s="1287"/>
      <c r="D214" s="1287"/>
      <c r="E214" s="1287"/>
      <c r="F214" s="1287"/>
      <c r="G214" s="1287"/>
      <c r="H214" s="1287"/>
      <c r="I214" s="1287"/>
      <c r="J214" s="1287"/>
      <c r="K214" s="1287"/>
      <c r="L214" s="1287"/>
      <c r="M214" s="1287"/>
      <c r="N214" s="1287"/>
      <c r="O214" s="1287"/>
      <c r="P214" s="1287"/>
      <c r="Q214" s="1287"/>
      <c r="R214" s="1287"/>
      <c r="S214" s="1287"/>
      <c r="T214" s="1287"/>
      <c r="U214" s="1287"/>
      <c r="V214" s="1287"/>
      <c r="W214" s="1287"/>
      <c r="X214" s="1287"/>
      <c r="Y214" s="1287"/>
      <c r="Z214" s="1287"/>
      <c r="AA214" s="1287"/>
      <c r="AB214" s="1287"/>
      <c r="AC214" s="1287"/>
      <c r="AD214" s="1287"/>
      <c r="AE214" s="1287"/>
      <c r="AF214" s="1287"/>
      <c r="AG214" s="1287"/>
      <c r="AH214" s="53">
        <f t="shared" si="40"/>
        <v>0</v>
      </c>
    </row>
    <row r="215" spans="1:34" ht="15">
      <c r="A215" s="88" t="s">
        <v>74</v>
      </c>
      <c r="B215" s="89">
        <f>SUM(B203:B214)</f>
        <v>0</v>
      </c>
      <c r="C215" s="46">
        <f>SUM(C203:C213)</f>
        <v>0</v>
      </c>
      <c r="D215" s="53">
        <f>SUM(D203:D213)</f>
        <v>0</v>
      </c>
      <c r="E215" s="53">
        <v>0</v>
      </c>
      <c r="F215" s="53">
        <f t="shared" ref="F215:AC215" si="41">SUM(F203:F213)</f>
        <v>0</v>
      </c>
      <c r="G215" s="53">
        <f t="shared" si="41"/>
        <v>0</v>
      </c>
      <c r="H215" s="53">
        <f t="shared" si="41"/>
        <v>0</v>
      </c>
      <c r="I215" s="53">
        <f t="shared" si="41"/>
        <v>0</v>
      </c>
      <c r="J215" s="53">
        <f t="shared" si="41"/>
        <v>0</v>
      </c>
      <c r="K215" s="53">
        <f t="shared" si="41"/>
        <v>0</v>
      </c>
      <c r="L215" s="53">
        <f t="shared" si="41"/>
        <v>0</v>
      </c>
      <c r="M215" s="53">
        <f t="shared" si="41"/>
        <v>0</v>
      </c>
      <c r="N215" s="53">
        <f t="shared" si="41"/>
        <v>0</v>
      </c>
      <c r="O215" s="53">
        <f t="shared" si="41"/>
        <v>0</v>
      </c>
      <c r="P215" s="53">
        <f t="shared" si="41"/>
        <v>0</v>
      </c>
      <c r="Q215" s="53">
        <f t="shared" si="41"/>
        <v>0</v>
      </c>
      <c r="R215" s="53">
        <f t="shared" si="41"/>
        <v>0</v>
      </c>
      <c r="S215" s="53">
        <f t="shared" si="41"/>
        <v>0</v>
      </c>
      <c r="T215" s="53">
        <f t="shared" si="41"/>
        <v>0</v>
      </c>
      <c r="U215" s="53">
        <f t="shared" si="41"/>
        <v>0</v>
      </c>
      <c r="V215" s="53">
        <f t="shared" si="41"/>
        <v>0</v>
      </c>
      <c r="W215" s="53">
        <f t="shared" si="41"/>
        <v>0</v>
      </c>
      <c r="X215" s="53">
        <f t="shared" si="41"/>
        <v>0</v>
      </c>
      <c r="Y215" s="53">
        <f t="shared" si="41"/>
        <v>0</v>
      </c>
      <c r="Z215" s="53">
        <f t="shared" si="41"/>
        <v>0</v>
      </c>
      <c r="AA215" s="53">
        <f t="shared" si="41"/>
        <v>0</v>
      </c>
      <c r="AB215" s="53">
        <f t="shared" si="41"/>
        <v>0</v>
      </c>
      <c r="AC215" s="53">
        <f t="shared" si="41"/>
        <v>0</v>
      </c>
      <c r="AD215" s="53">
        <v>0</v>
      </c>
      <c r="AE215" s="53">
        <f>SUM(AE203:AE213)</f>
        <v>0</v>
      </c>
      <c r="AF215" s="53">
        <f>SUM(AF203:AF213)</f>
        <v>0</v>
      </c>
      <c r="AG215" s="53">
        <f>SUM(AG203:AG213)</f>
        <v>0</v>
      </c>
      <c r="AH215" s="46">
        <f>SUM(AH203:AH213)</f>
        <v>0</v>
      </c>
    </row>
    <row r="216" spans="1:34" ht="5.0999999999999996" customHeight="1">
      <c r="A216" s="14"/>
      <c r="B216" s="14"/>
      <c r="C216" s="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
    </row>
    <row r="217" spans="1:34" ht="15">
      <c r="A217" s="3569" t="s">
        <v>106</v>
      </c>
      <c r="B217" s="3570"/>
      <c r="C217" s="3570"/>
      <c r="D217" s="3570"/>
      <c r="E217" s="3570"/>
      <c r="F217" s="3570"/>
      <c r="G217" s="3570"/>
      <c r="H217" s="3571"/>
      <c r="I217" s="1433"/>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row>
    <row r="218" spans="1:34" ht="15">
      <c r="A218" s="5" t="s">
        <v>72</v>
      </c>
      <c r="B218" s="5" t="s">
        <v>73</v>
      </c>
      <c r="C218" s="1233">
        <v>1</v>
      </c>
      <c r="D218" s="30">
        <v>2</v>
      </c>
      <c r="E218" s="30">
        <v>3</v>
      </c>
      <c r="F218" s="30">
        <v>4</v>
      </c>
      <c r="G218" s="30">
        <v>5</v>
      </c>
      <c r="H218" s="30">
        <v>6</v>
      </c>
      <c r="I218" s="30">
        <v>7</v>
      </c>
      <c r="J218" s="30">
        <v>8</v>
      </c>
      <c r="K218" s="30">
        <v>9</v>
      </c>
      <c r="L218" s="30">
        <v>10</v>
      </c>
      <c r="M218" s="30">
        <v>11</v>
      </c>
      <c r="N218" s="30">
        <v>12</v>
      </c>
      <c r="O218" s="30">
        <v>13</v>
      </c>
      <c r="P218" s="30">
        <v>14</v>
      </c>
      <c r="Q218" s="30">
        <v>15</v>
      </c>
      <c r="R218" s="30">
        <v>16</v>
      </c>
      <c r="S218" s="30">
        <v>17</v>
      </c>
      <c r="T218" s="30">
        <v>18</v>
      </c>
      <c r="U218" s="30">
        <v>19</v>
      </c>
      <c r="V218" s="30">
        <v>20</v>
      </c>
      <c r="W218" s="30">
        <v>21</v>
      </c>
      <c r="X218" s="30">
        <v>22</v>
      </c>
      <c r="Y218" s="30">
        <v>23</v>
      </c>
      <c r="Z218" s="30">
        <v>24</v>
      </c>
      <c r="AA218" s="30">
        <v>25</v>
      </c>
      <c r="AB218" s="30">
        <v>26</v>
      </c>
      <c r="AC218" s="30">
        <v>27</v>
      </c>
      <c r="AD218" s="30">
        <v>28</v>
      </c>
      <c r="AE218" s="30">
        <v>29</v>
      </c>
      <c r="AF218" s="30">
        <v>30</v>
      </c>
      <c r="AG218" s="30">
        <v>31</v>
      </c>
      <c r="AH218" s="39" t="s">
        <v>74</v>
      </c>
    </row>
    <row r="219" spans="1:34" ht="15">
      <c r="A219" s="143" t="s">
        <v>75</v>
      </c>
      <c r="B219" s="18">
        <f t="shared" ref="B219:B230" si="42">+AH219</f>
        <v>0</v>
      </c>
      <c r="C219" s="126" t="s">
        <v>111</v>
      </c>
      <c r="D219" s="126" t="s">
        <v>111</v>
      </c>
      <c r="E219" s="126" t="s">
        <v>111</v>
      </c>
      <c r="F219" s="126" t="s">
        <v>111</v>
      </c>
      <c r="G219" s="126" t="s">
        <v>111</v>
      </c>
      <c r="H219" s="126" t="s">
        <v>111</v>
      </c>
      <c r="I219" s="126" t="s">
        <v>111</v>
      </c>
      <c r="J219" s="126" t="s">
        <v>111</v>
      </c>
      <c r="K219" s="126" t="s">
        <v>111</v>
      </c>
      <c r="L219" s="126" t="s">
        <v>111</v>
      </c>
      <c r="M219" s="126" t="s">
        <v>111</v>
      </c>
      <c r="N219" s="126" t="s">
        <v>111</v>
      </c>
      <c r="O219" s="126" t="s">
        <v>111</v>
      </c>
      <c r="P219" s="126" t="s">
        <v>111</v>
      </c>
      <c r="Q219" s="126" t="s">
        <v>111</v>
      </c>
      <c r="R219" s="126" t="s">
        <v>111</v>
      </c>
      <c r="S219" s="126" t="s">
        <v>111</v>
      </c>
      <c r="T219" s="126" t="s">
        <v>111</v>
      </c>
      <c r="U219" s="126" t="s">
        <v>111</v>
      </c>
      <c r="V219" s="126" t="s">
        <v>111</v>
      </c>
      <c r="W219" s="126" t="s">
        <v>111</v>
      </c>
      <c r="X219" s="126" t="s">
        <v>111</v>
      </c>
      <c r="Y219" s="126" t="s">
        <v>111</v>
      </c>
      <c r="Z219" s="126" t="s">
        <v>111</v>
      </c>
      <c r="AA219" s="126" t="s">
        <v>111</v>
      </c>
      <c r="AB219" s="126" t="s">
        <v>111</v>
      </c>
      <c r="AC219" s="126" t="s">
        <v>111</v>
      </c>
      <c r="AD219" s="126" t="s">
        <v>111</v>
      </c>
      <c r="AE219" s="126" t="s">
        <v>111</v>
      </c>
      <c r="AF219" s="126" t="s">
        <v>111</v>
      </c>
      <c r="AG219" s="126" t="s">
        <v>111</v>
      </c>
      <c r="AH219" s="53">
        <f>SUM(C219:AG219)</f>
        <v>0</v>
      </c>
    </row>
    <row r="220" spans="1:34" s="83" customFormat="1" ht="15">
      <c r="A220" s="143" t="s">
        <v>76</v>
      </c>
      <c r="B220" s="18">
        <f t="shared" si="42"/>
        <v>0</v>
      </c>
      <c r="C220" s="126" t="s">
        <v>111</v>
      </c>
      <c r="D220" s="126" t="s">
        <v>111</v>
      </c>
      <c r="E220" s="126" t="s">
        <v>111</v>
      </c>
      <c r="F220" s="126" t="s">
        <v>111</v>
      </c>
      <c r="G220" s="126" t="s">
        <v>111</v>
      </c>
      <c r="H220" s="126" t="s">
        <v>111</v>
      </c>
      <c r="I220" s="126" t="s">
        <v>111</v>
      </c>
      <c r="J220" s="127"/>
      <c r="K220" s="127"/>
      <c r="L220" s="127"/>
      <c r="M220" s="127"/>
      <c r="N220" s="127"/>
      <c r="O220" s="127"/>
      <c r="P220" s="127"/>
      <c r="Q220" s="127"/>
      <c r="R220" s="127"/>
      <c r="S220" s="127"/>
      <c r="T220" s="127"/>
      <c r="U220" s="127"/>
      <c r="V220" s="127"/>
      <c r="W220" s="127"/>
      <c r="X220" s="127"/>
      <c r="Y220" s="127"/>
      <c r="Z220" s="127"/>
      <c r="AA220" s="127"/>
      <c r="AB220" s="127"/>
      <c r="AC220" s="127"/>
      <c r="AD220" s="127"/>
      <c r="AE220" s="127"/>
      <c r="AF220" s="127"/>
      <c r="AG220" s="127"/>
      <c r="AH220" s="53">
        <f t="shared" ref="AH220:AH230" si="43">SUM(C220:AG220)</f>
        <v>0</v>
      </c>
    </row>
    <row r="221" spans="1:34" ht="15">
      <c r="A221" s="143" t="s">
        <v>77</v>
      </c>
      <c r="B221" s="18">
        <f t="shared" si="42"/>
        <v>0</v>
      </c>
      <c r="C221" s="127"/>
      <c r="D221" s="127"/>
      <c r="E221" s="127"/>
      <c r="F221" s="127"/>
      <c r="G221" s="127"/>
      <c r="H221" s="112"/>
      <c r="I221" s="112"/>
      <c r="J221" s="112"/>
      <c r="K221" s="112"/>
      <c r="L221" s="112"/>
      <c r="M221" s="112"/>
      <c r="N221" s="112"/>
      <c r="O221" s="112"/>
      <c r="P221" s="112"/>
      <c r="Q221" s="112"/>
      <c r="R221" s="112"/>
      <c r="S221" s="18"/>
      <c r="T221" s="18"/>
      <c r="U221" s="18"/>
      <c r="V221" s="18"/>
      <c r="W221" s="18"/>
      <c r="X221" s="18"/>
      <c r="Y221" s="18"/>
      <c r="Z221" s="18"/>
      <c r="AA221" s="18"/>
      <c r="AB221" s="18"/>
      <c r="AC221" s="1930"/>
      <c r="AD221" s="1930"/>
      <c r="AE221" s="1930"/>
      <c r="AF221" s="1930"/>
      <c r="AG221" s="1930"/>
      <c r="AH221" s="53">
        <f t="shared" si="43"/>
        <v>0</v>
      </c>
    </row>
    <row r="222" spans="1:34" ht="15">
      <c r="A222" s="143" t="s">
        <v>78</v>
      </c>
      <c r="B222" s="18">
        <f t="shared" si="42"/>
        <v>0</v>
      </c>
      <c r="C222" s="1930"/>
      <c r="D222" s="1930"/>
      <c r="E222" s="1930"/>
      <c r="F222" s="1930"/>
      <c r="G222" s="1930"/>
      <c r="H222" s="1930"/>
      <c r="I222" s="1930"/>
      <c r="J222" s="1930"/>
      <c r="K222" s="1930"/>
      <c r="L222" s="1287"/>
      <c r="M222" s="1287"/>
      <c r="N222" s="1287"/>
      <c r="O222" s="1287"/>
      <c r="P222" s="1287"/>
      <c r="Q222" s="1287"/>
      <c r="R222" s="1287"/>
      <c r="S222" s="1287"/>
      <c r="T222" s="1287"/>
      <c r="U222" s="1287"/>
      <c r="V222" s="1287"/>
      <c r="W222" s="1287"/>
      <c r="X222" s="1287"/>
      <c r="Y222" s="1287"/>
      <c r="Z222" s="1287"/>
      <c r="AA222" s="1287"/>
      <c r="AB222" s="1287"/>
      <c r="AC222" s="1287"/>
      <c r="AD222" s="1287"/>
      <c r="AE222" s="1287"/>
      <c r="AF222" s="1287"/>
      <c r="AG222" s="1287"/>
      <c r="AH222" s="53">
        <f t="shared" si="43"/>
        <v>0</v>
      </c>
    </row>
    <row r="223" spans="1:34" s="83" customFormat="1" ht="15">
      <c r="A223" s="132" t="s">
        <v>79</v>
      </c>
      <c r="B223" s="18">
        <f t="shared" si="42"/>
        <v>0</v>
      </c>
      <c r="C223" s="1287"/>
      <c r="D223" s="1287"/>
      <c r="E223" s="1287"/>
      <c r="F223" s="1287"/>
      <c r="G223" s="1287"/>
      <c r="H223" s="1287"/>
      <c r="I223" s="1287"/>
      <c r="J223" s="1287"/>
      <c r="K223" s="1287"/>
      <c r="L223" s="1287"/>
      <c r="M223" s="1287"/>
      <c r="N223" s="1287"/>
      <c r="O223" s="1287"/>
      <c r="P223" s="1287"/>
      <c r="Q223" s="1287"/>
      <c r="R223" s="1287"/>
      <c r="S223" s="1287"/>
      <c r="T223" s="1287"/>
      <c r="U223" s="1287"/>
      <c r="V223" s="1287"/>
      <c r="W223" s="1287"/>
      <c r="X223" s="1287"/>
      <c r="Y223" s="1287"/>
      <c r="Z223" s="1287"/>
      <c r="AA223" s="1287"/>
      <c r="AB223" s="1287"/>
      <c r="AC223" s="1287"/>
      <c r="AD223" s="1287"/>
      <c r="AE223" s="1287"/>
      <c r="AF223" s="1287"/>
      <c r="AG223" s="1287"/>
      <c r="AH223" s="53">
        <f t="shared" si="43"/>
        <v>0</v>
      </c>
    </row>
    <row r="224" spans="1:34" ht="15">
      <c r="A224" s="132" t="s">
        <v>80</v>
      </c>
      <c r="B224" s="18">
        <f t="shared" si="42"/>
        <v>0</v>
      </c>
      <c r="C224" s="1287"/>
      <c r="D224" s="1287"/>
      <c r="E224" s="1287"/>
      <c r="F224" s="1287"/>
      <c r="G224" s="1287"/>
      <c r="H224" s="1287"/>
      <c r="I224" s="1287"/>
      <c r="J224" s="1287"/>
      <c r="K224" s="1287"/>
      <c r="L224" s="1287"/>
      <c r="M224" s="1287"/>
      <c r="N224" s="1287"/>
      <c r="O224" s="1287"/>
      <c r="P224" s="1287"/>
      <c r="Q224" s="1287"/>
      <c r="R224" s="1287"/>
      <c r="S224" s="1287"/>
      <c r="T224" s="1287"/>
      <c r="U224" s="1287"/>
      <c r="V224" s="1287"/>
      <c r="W224" s="1287"/>
      <c r="X224" s="1287"/>
      <c r="Y224" s="1287"/>
      <c r="Z224" s="1287"/>
      <c r="AA224" s="1287"/>
      <c r="AB224" s="1287"/>
      <c r="AC224" s="1287"/>
      <c r="AD224" s="1287"/>
      <c r="AE224" s="1287"/>
      <c r="AF224" s="1287"/>
      <c r="AG224" s="1287"/>
      <c r="AH224" s="53">
        <f t="shared" si="43"/>
        <v>0</v>
      </c>
    </row>
    <row r="225" spans="1:34" ht="15">
      <c r="A225" s="132" t="s">
        <v>81</v>
      </c>
      <c r="B225" s="18">
        <f t="shared" si="42"/>
        <v>0</v>
      </c>
      <c r="C225" s="1287"/>
      <c r="D225" s="1488"/>
      <c r="E225" s="1488"/>
      <c r="F225" s="1488"/>
      <c r="G225" s="1287"/>
      <c r="H225" s="1287"/>
      <c r="I225" s="1287"/>
      <c r="J225" s="2466"/>
      <c r="K225" s="2466"/>
      <c r="L225" s="1488"/>
      <c r="M225" s="1488"/>
      <c r="N225" s="1488"/>
      <c r="O225" s="1488"/>
      <c r="P225" s="1488"/>
      <c r="Q225" s="1488"/>
      <c r="R225" s="1488"/>
      <c r="S225" s="1488"/>
      <c r="T225" s="1488"/>
      <c r="U225" s="1488"/>
      <c r="V225" s="1488"/>
      <c r="W225" s="688"/>
      <c r="X225" s="688"/>
      <c r="Y225" s="688"/>
      <c r="Z225" s="688"/>
      <c r="AA225" s="688"/>
      <c r="AB225" s="688"/>
      <c r="AC225" s="688"/>
      <c r="AD225" s="688"/>
      <c r="AE225" s="688"/>
      <c r="AF225" s="688" t="s">
        <v>111</v>
      </c>
      <c r="AG225" s="688" t="s">
        <v>111</v>
      </c>
      <c r="AH225" s="53">
        <f t="shared" si="43"/>
        <v>0</v>
      </c>
    </row>
    <row r="226" spans="1:34" s="83" customFormat="1" ht="15">
      <c r="A226" s="132" t="s">
        <v>82</v>
      </c>
      <c r="B226" s="18">
        <f t="shared" si="42"/>
        <v>0</v>
      </c>
      <c r="C226" s="688" t="s">
        <v>111</v>
      </c>
      <c r="D226" s="688" t="s">
        <v>111</v>
      </c>
      <c r="E226" s="688" t="s">
        <v>111</v>
      </c>
      <c r="F226" s="688" t="s">
        <v>111</v>
      </c>
      <c r="G226" s="688" t="s">
        <v>111</v>
      </c>
      <c r="H226" s="688" t="s">
        <v>111</v>
      </c>
      <c r="I226" s="688" t="s">
        <v>111</v>
      </c>
      <c r="J226" s="688" t="s">
        <v>111</v>
      </c>
      <c r="K226" s="688" t="s">
        <v>111</v>
      </c>
      <c r="L226" s="688" t="s">
        <v>111</v>
      </c>
      <c r="M226" s="688" t="s">
        <v>111</v>
      </c>
      <c r="N226" s="688" t="s">
        <v>111</v>
      </c>
      <c r="O226" s="688" t="s">
        <v>111</v>
      </c>
      <c r="P226" s="688" t="s">
        <v>111</v>
      </c>
      <c r="Q226" s="688" t="s">
        <v>111</v>
      </c>
      <c r="R226" s="688" t="s">
        <v>111</v>
      </c>
      <c r="S226" s="688" t="s">
        <v>111</v>
      </c>
      <c r="T226" s="688" t="s">
        <v>111</v>
      </c>
      <c r="U226" s="688" t="s">
        <v>111</v>
      </c>
      <c r="V226" s="688" t="s">
        <v>111</v>
      </c>
      <c r="W226" s="688" t="s">
        <v>111</v>
      </c>
      <c r="X226" s="688" t="s">
        <v>111</v>
      </c>
      <c r="Y226" s="688" t="s">
        <v>111</v>
      </c>
      <c r="Z226" s="688" t="s">
        <v>111</v>
      </c>
      <c r="AA226" s="688" t="s">
        <v>111</v>
      </c>
      <c r="AB226" s="688" t="s">
        <v>111</v>
      </c>
      <c r="AC226" s="688" t="s">
        <v>111</v>
      </c>
      <c r="AD226" s="688" t="s">
        <v>111</v>
      </c>
      <c r="AE226" s="688" t="s">
        <v>111</v>
      </c>
      <c r="AF226" s="688" t="s">
        <v>111</v>
      </c>
      <c r="AG226" s="688" t="s">
        <v>111</v>
      </c>
      <c r="AH226" s="53">
        <f t="shared" si="43"/>
        <v>0</v>
      </c>
    </row>
    <row r="227" spans="1:34" ht="15">
      <c r="A227" s="128" t="s">
        <v>83</v>
      </c>
      <c r="B227" s="18">
        <f t="shared" si="42"/>
        <v>0</v>
      </c>
      <c r="C227" s="688" t="s">
        <v>111</v>
      </c>
      <c r="D227" s="688" t="s">
        <v>111</v>
      </c>
      <c r="E227" s="688" t="s">
        <v>111</v>
      </c>
      <c r="F227" s="688" t="s">
        <v>111</v>
      </c>
      <c r="G227" s="688" t="s">
        <v>111</v>
      </c>
      <c r="H227" s="688" t="s">
        <v>111</v>
      </c>
      <c r="I227" s="688" t="s">
        <v>111</v>
      </c>
      <c r="J227" s="688" t="s">
        <v>111</v>
      </c>
      <c r="K227" s="688" t="s">
        <v>111</v>
      </c>
      <c r="L227" s="688" t="s">
        <v>111</v>
      </c>
      <c r="M227" s="688" t="s">
        <v>111</v>
      </c>
      <c r="N227" s="688" t="s">
        <v>111</v>
      </c>
      <c r="O227" s="688" t="s">
        <v>111</v>
      </c>
      <c r="P227" s="688" t="s">
        <v>111</v>
      </c>
      <c r="Q227" s="688" t="s">
        <v>111</v>
      </c>
      <c r="R227" s="688" t="s">
        <v>111</v>
      </c>
      <c r="S227" s="688" t="s">
        <v>111</v>
      </c>
      <c r="T227" s="688" t="s">
        <v>111</v>
      </c>
      <c r="U227" s="688" t="s">
        <v>111</v>
      </c>
      <c r="V227" s="688" t="s">
        <v>111</v>
      </c>
      <c r="W227" s="688" t="s">
        <v>111</v>
      </c>
      <c r="X227" s="688" t="s">
        <v>111</v>
      </c>
      <c r="Y227" s="688" t="s">
        <v>111</v>
      </c>
      <c r="Z227" s="688" t="s">
        <v>111</v>
      </c>
      <c r="AA227" s="688" t="s">
        <v>111</v>
      </c>
      <c r="AB227" s="688" t="s">
        <v>111</v>
      </c>
      <c r="AC227" s="688" t="s">
        <v>111</v>
      </c>
      <c r="AD227" s="688" t="s">
        <v>111</v>
      </c>
      <c r="AE227" s="688" t="s">
        <v>111</v>
      </c>
      <c r="AF227" s="688" t="s">
        <v>111</v>
      </c>
      <c r="AG227" s="688" t="s">
        <v>111</v>
      </c>
      <c r="AH227" s="53">
        <f t="shared" si="43"/>
        <v>0</v>
      </c>
    </row>
    <row r="228" spans="1:34" ht="15">
      <c r="A228" s="128" t="s">
        <v>84</v>
      </c>
      <c r="B228" s="18">
        <f t="shared" si="42"/>
        <v>0</v>
      </c>
      <c r="C228" s="688" t="s">
        <v>111</v>
      </c>
      <c r="D228" s="688" t="s">
        <v>111</v>
      </c>
      <c r="E228" s="688" t="s">
        <v>111</v>
      </c>
      <c r="F228" s="688" t="s">
        <v>111</v>
      </c>
      <c r="G228" s="688" t="s">
        <v>111</v>
      </c>
      <c r="H228" s="688" t="s">
        <v>111</v>
      </c>
      <c r="I228" s="688" t="s">
        <v>111</v>
      </c>
      <c r="J228" s="688" t="s">
        <v>111</v>
      </c>
      <c r="K228" s="688" t="s">
        <v>111</v>
      </c>
      <c r="L228" s="688" t="s">
        <v>111</v>
      </c>
      <c r="M228" s="688" t="s">
        <v>111</v>
      </c>
      <c r="N228" s="688" t="s">
        <v>111</v>
      </c>
      <c r="O228" s="688" t="s">
        <v>111</v>
      </c>
      <c r="P228" s="688" t="s">
        <v>111</v>
      </c>
      <c r="Q228" s="688" t="s">
        <v>111</v>
      </c>
      <c r="R228" s="688" t="s">
        <v>111</v>
      </c>
      <c r="S228" s="688" t="s">
        <v>111</v>
      </c>
      <c r="T228" s="688" t="s">
        <v>111</v>
      </c>
      <c r="U228" s="688" t="s">
        <v>111</v>
      </c>
      <c r="V228" s="688" t="s">
        <v>111</v>
      </c>
      <c r="W228" s="688" t="s">
        <v>111</v>
      </c>
      <c r="X228" s="1287"/>
      <c r="Y228" s="1287"/>
      <c r="Z228" s="1287"/>
      <c r="AA228" s="1287"/>
      <c r="AB228" s="1287"/>
      <c r="AC228" s="1287"/>
      <c r="AD228" s="1287"/>
      <c r="AE228" s="1488"/>
      <c r="AF228" s="1287"/>
      <c r="AG228" s="1488"/>
      <c r="AH228" s="53">
        <f t="shared" si="43"/>
        <v>0</v>
      </c>
    </row>
    <row r="229" spans="1:34" ht="15">
      <c r="A229" s="128" t="s">
        <v>85</v>
      </c>
      <c r="B229" s="18">
        <f t="shared" si="42"/>
        <v>0</v>
      </c>
      <c r="C229" s="1287"/>
      <c r="D229" s="1287"/>
      <c r="E229" s="1287"/>
      <c r="F229" s="1287"/>
      <c r="G229" s="1433"/>
      <c r="H229" s="1287"/>
      <c r="I229" s="1287"/>
      <c r="J229" s="1287"/>
      <c r="K229" s="1287"/>
      <c r="L229" s="1287"/>
      <c r="M229" s="1287"/>
      <c r="N229" s="1287"/>
      <c r="O229" s="1287"/>
      <c r="P229" s="1287"/>
      <c r="Q229" s="1287"/>
      <c r="R229" s="1287"/>
      <c r="S229" s="1287"/>
      <c r="T229" s="1287"/>
      <c r="U229" s="1287"/>
      <c r="V229" s="1287"/>
      <c r="W229" s="1287"/>
      <c r="X229" s="1287"/>
      <c r="Y229" s="1433"/>
      <c r="Z229" s="1287"/>
      <c r="AA229" s="1287"/>
      <c r="AB229" s="1287"/>
      <c r="AC229" s="1287"/>
      <c r="AD229" s="1287"/>
      <c r="AE229" s="1488"/>
      <c r="AF229" s="1287"/>
      <c r="AG229" s="1488"/>
      <c r="AH229" s="53">
        <f t="shared" si="43"/>
        <v>0</v>
      </c>
    </row>
    <row r="230" spans="1:34" ht="15">
      <c r="A230" s="128" t="s">
        <v>86</v>
      </c>
      <c r="B230" s="18">
        <f t="shared" si="42"/>
        <v>0</v>
      </c>
      <c r="C230" s="1287"/>
      <c r="D230" s="1287"/>
      <c r="E230" s="1287"/>
      <c r="F230" s="1287"/>
      <c r="G230" s="1287"/>
      <c r="H230" s="1287"/>
      <c r="I230" s="1287"/>
      <c r="J230" s="1287"/>
      <c r="K230" s="1287"/>
      <c r="L230" s="1287"/>
      <c r="M230" s="1287"/>
      <c r="N230" s="1287"/>
      <c r="O230" s="1287"/>
      <c r="P230" s="1287"/>
      <c r="Q230" s="1287"/>
      <c r="R230" s="1287"/>
      <c r="S230" s="1287"/>
      <c r="T230" s="1287"/>
      <c r="U230" s="1287"/>
      <c r="V230" s="1287"/>
      <c r="W230" s="1287"/>
      <c r="X230" s="1287"/>
      <c r="Y230" s="1287"/>
      <c r="Z230" s="1287"/>
      <c r="AA230" s="1287"/>
      <c r="AB230" s="1287"/>
      <c r="AC230" s="1287"/>
      <c r="AD230" s="1287"/>
      <c r="AE230" s="1287"/>
      <c r="AF230" s="1287"/>
      <c r="AG230" s="1287"/>
      <c r="AH230" s="53">
        <f t="shared" si="43"/>
        <v>0</v>
      </c>
    </row>
    <row r="231" spans="1:34" ht="15">
      <c r="A231" s="88" t="s">
        <v>74</v>
      </c>
      <c r="B231" s="89">
        <f>SUM(B219:B230)</f>
        <v>0</v>
      </c>
      <c r="C231" s="46">
        <f>SUM(C219:C229)</f>
        <v>0</v>
      </c>
      <c r="D231" s="53">
        <f>SUM(D219:D229)</f>
        <v>0</v>
      </c>
      <c r="E231" s="53">
        <v>0</v>
      </c>
      <c r="F231" s="53">
        <f t="shared" ref="F231:AC231" si="44">SUM(F219:F229)</f>
        <v>0</v>
      </c>
      <c r="G231" s="53">
        <f t="shared" si="44"/>
        <v>0</v>
      </c>
      <c r="H231" s="53">
        <f t="shared" si="44"/>
        <v>0</v>
      </c>
      <c r="I231" s="53">
        <f t="shared" si="44"/>
        <v>0</v>
      </c>
      <c r="J231" s="53">
        <f t="shared" si="44"/>
        <v>0</v>
      </c>
      <c r="K231" s="53">
        <f t="shared" si="44"/>
        <v>0</v>
      </c>
      <c r="L231" s="53">
        <f t="shared" si="44"/>
        <v>0</v>
      </c>
      <c r="M231" s="53">
        <f t="shared" si="44"/>
        <v>0</v>
      </c>
      <c r="N231" s="53">
        <f t="shared" si="44"/>
        <v>0</v>
      </c>
      <c r="O231" s="53">
        <f t="shared" si="44"/>
        <v>0</v>
      </c>
      <c r="P231" s="53">
        <f t="shared" si="44"/>
        <v>0</v>
      </c>
      <c r="Q231" s="53">
        <f t="shared" si="44"/>
        <v>0</v>
      </c>
      <c r="R231" s="53">
        <f t="shared" si="44"/>
        <v>0</v>
      </c>
      <c r="S231" s="53">
        <f t="shared" si="44"/>
        <v>0</v>
      </c>
      <c r="T231" s="53">
        <f t="shared" si="44"/>
        <v>0</v>
      </c>
      <c r="U231" s="53">
        <f t="shared" si="44"/>
        <v>0</v>
      </c>
      <c r="V231" s="53">
        <f t="shared" si="44"/>
        <v>0</v>
      </c>
      <c r="W231" s="53">
        <f t="shared" si="44"/>
        <v>0</v>
      </c>
      <c r="X231" s="53">
        <f t="shared" si="44"/>
        <v>0</v>
      </c>
      <c r="Y231" s="53">
        <f t="shared" si="44"/>
        <v>0</v>
      </c>
      <c r="Z231" s="53">
        <f t="shared" si="44"/>
        <v>0</v>
      </c>
      <c r="AA231" s="53">
        <f t="shared" si="44"/>
        <v>0</v>
      </c>
      <c r="AB231" s="53">
        <f t="shared" si="44"/>
        <v>0</v>
      </c>
      <c r="AC231" s="53">
        <f t="shared" si="44"/>
        <v>0</v>
      </c>
      <c r="AD231" s="53">
        <v>0</v>
      </c>
      <c r="AE231" s="53">
        <f>SUM(AE219:AE229)</f>
        <v>0</v>
      </c>
      <c r="AF231" s="53">
        <f>SUM(AF219:AF229)</f>
        <v>0</v>
      </c>
      <c r="AG231" s="53">
        <f>SUM(AG219:AG229)</f>
        <v>0</v>
      </c>
      <c r="AH231" s="46">
        <f>SUM(AH219:AH229)</f>
        <v>0</v>
      </c>
    </row>
    <row r="232" spans="1:34" ht="5.0999999999999996" customHeight="1">
      <c r="A232" s="14"/>
      <c r="B232" s="14"/>
      <c r="C232" s="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
    </row>
    <row r="233" spans="1:34" ht="15">
      <c r="A233" s="3569" t="s">
        <v>107</v>
      </c>
      <c r="B233" s="3570"/>
      <c r="C233" s="3570"/>
      <c r="D233" s="3570"/>
      <c r="E233" s="3570"/>
      <c r="F233" s="3570"/>
      <c r="G233" s="3570"/>
      <c r="H233" s="3571"/>
      <c r="I233" s="1433"/>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row>
    <row r="234" spans="1:34" ht="15">
      <c r="A234" s="5" t="s">
        <v>72</v>
      </c>
      <c r="B234" s="5" t="s">
        <v>73</v>
      </c>
      <c r="C234" s="1233">
        <v>1</v>
      </c>
      <c r="D234" s="30">
        <v>2</v>
      </c>
      <c r="E234" s="30">
        <v>3</v>
      </c>
      <c r="F234" s="30">
        <v>4</v>
      </c>
      <c r="G234" s="30">
        <v>5</v>
      </c>
      <c r="H234" s="30">
        <v>6</v>
      </c>
      <c r="I234" s="30">
        <v>7</v>
      </c>
      <c r="J234" s="30">
        <v>8</v>
      </c>
      <c r="K234" s="30">
        <v>9</v>
      </c>
      <c r="L234" s="30">
        <v>10</v>
      </c>
      <c r="M234" s="30">
        <v>11</v>
      </c>
      <c r="N234" s="30">
        <v>12</v>
      </c>
      <c r="O234" s="30">
        <v>13</v>
      </c>
      <c r="P234" s="30">
        <v>14</v>
      </c>
      <c r="Q234" s="30">
        <v>15</v>
      </c>
      <c r="R234" s="30">
        <v>16</v>
      </c>
      <c r="S234" s="30">
        <v>17</v>
      </c>
      <c r="T234" s="30">
        <v>18</v>
      </c>
      <c r="U234" s="30">
        <v>19</v>
      </c>
      <c r="V234" s="30">
        <v>20</v>
      </c>
      <c r="W234" s="30">
        <v>21</v>
      </c>
      <c r="X234" s="30">
        <v>22</v>
      </c>
      <c r="Y234" s="30">
        <v>23</v>
      </c>
      <c r="Z234" s="30">
        <v>24</v>
      </c>
      <c r="AA234" s="30">
        <v>25</v>
      </c>
      <c r="AB234" s="30">
        <v>26</v>
      </c>
      <c r="AC234" s="30">
        <v>27</v>
      </c>
      <c r="AD234" s="30">
        <v>28</v>
      </c>
      <c r="AE234" s="30">
        <v>29</v>
      </c>
      <c r="AF234" s="30">
        <v>30</v>
      </c>
      <c r="AG234" s="30">
        <v>31</v>
      </c>
      <c r="AH234" s="39" t="s">
        <v>74</v>
      </c>
    </row>
    <row r="235" spans="1:34" ht="15">
      <c r="A235" s="143" t="s">
        <v>75</v>
      </c>
      <c r="B235" s="18">
        <f t="shared" ref="B235:B246" si="45">+AH235</f>
        <v>0</v>
      </c>
      <c r="C235" s="81" t="s">
        <v>111</v>
      </c>
      <c r="D235" s="81" t="s">
        <v>111</v>
      </c>
      <c r="E235" s="81" t="s">
        <v>111</v>
      </c>
      <c r="F235" s="81" t="s">
        <v>111</v>
      </c>
      <c r="G235" s="81" t="s">
        <v>111</v>
      </c>
      <c r="H235" s="81" t="s">
        <v>111</v>
      </c>
      <c r="I235" s="81" t="s">
        <v>111</v>
      </c>
      <c r="J235" s="81" t="s">
        <v>111</v>
      </c>
      <c r="K235" s="81" t="s">
        <v>111</v>
      </c>
      <c r="L235" s="81" t="s">
        <v>111</v>
      </c>
      <c r="M235" s="81" t="s">
        <v>111</v>
      </c>
      <c r="N235" s="81" t="s">
        <v>111</v>
      </c>
      <c r="O235" s="81" t="s">
        <v>111</v>
      </c>
      <c r="P235" s="81" t="s">
        <v>111</v>
      </c>
      <c r="Q235" s="81" t="s">
        <v>111</v>
      </c>
      <c r="R235" s="81" t="s">
        <v>111</v>
      </c>
      <c r="S235" s="81" t="s">
        <v>111</v>
      </c>
      <c r="T235" s="81" t="s">
        <v>111</v>
      </c>
      <c r="U235" s="81" t="s">
        <v>111</v>
      </c>
      <c r="V235" s="81" t="s">
        <v>111</v>
      </c>
      <c r="W235" s="81" t="s">
        <v>111</v>
      </c>
      <c r="X235" s="81" t="s">
        <v>111</v>
      </c>
      <c r="Y235" s="81" t="s">
        <v>111</v>
      </c>
      <c r="Z235" s="81" t="s">
        <v>111</v>
      </c>
      <c r="AA235" s="81" t="s">
        <v>111</v>
      </c>
      <c r="AB235" s="81" t="s">
        <v>111</v>
      </c>
      <c r="AC235" s="81" t="s">
        <v>111</v>
      </c>
      <c r="AD235" s="81" t="s">
        <v>111</v>
      </c>
      <c r="AE235" s="81" t="s">
        <v>111</v>
      </c>
      <c r="AF235" s="81" t="s">
        <v>111</v>
      </c>
      <c r="AG235" s="81" t="s">
        <v>111</v>
      </c>
      <c r="AH235" s="53">
        <f>SUM(C235:AG235)</f>
        <v>0</v>
      </c>
    </row>
    <row r="236" spans="1:34" s="83" customFormat="1" ht="15">
      <c r="A236" s="143" t="s">
        <v>76</v>
      </c>
      <c r="B236" s="18">
        <f t="shared" si="45"/>
        <v>352.48199999999997</v>
      </c>
      <c r="C236" s="81" t="s">
        <v>111</v>
      </c>
      <c r="D236" s="81" t="s">
        <v>111</v>
      </c>
      <c r="E236" s="81" t="s">
        <v>111</v>
      </c>
      <c r="F236" s="81" t="s">
        <v>111</v>
      </c>
      <c r="G236" s="81" t="s">
        <v>111</v>
      </c>
      <c r="H236" s="81" t="s">
        <v>111</v>
      </c>
      <c r="I236" s="81" t="s">
        <v>111</v>
      </c>
      <c r="J236" s="112"/>
      <c r="K236" s="112"/>
      <c r="L236" s="112"/>
      <c r="M236" s="112"/>
      <c r="N236" s="112"/>
      <c r="O236" s="112">
        <v>71.625</v>
      </c>
      <c r="P236" s="112">
        <v>69.442999999999998</v>
      </c>
      <c r="Q236" s="112">
        <v>22.73</v>
      </c>
      <c r="R236" s="112">
        <v>0</v>
      </c>
      <c r="S236" s="112">
        <v>0</v>
      </c>
      <c r="T236" s="112">
        <v>51.16</v>
      </c>
      <c r="U236" s="112">
        <v>0</v>
      </c>
      <c r="V236" s="112">
        <v>0</v>
      </c>
      <c r="W236" s="112">
        <v>0</v>
      </c>
      <c r="X236" s="112">
        <v>0</v>
      </c>
      <c r="Y236" s="112">
        <v>0</v>
      </c>
      <c r="Z236" s="112">
        <v>0</v>
      </c>
      <c r="AA236" s="112">
        <v>0</v>
      </c>
      <c r="AB236" s="112">
        <v>44.69</v>
      </c>
      <c r="AC236" s="112">
        <v>36.514000000000003</v>
      </c>
      <c r="AD236" s="112">
        <v>56.32</v>
      </c>
      <c r="AE236" s="112"/>
      <c r="AF236" s="112"/>
      <c r="AG236" s="112"/>
      <c r="AH236" s="53">
        <f t="shared" ref="AH236:AH246" si="46">SUM(C236:AG236)</f>
        <v>352.48199999999997</v>
      </c>
    </row>
    <row r="237" spans="1:34" ht="15">
      <c r="A237" s="143" t="s">
        <v>77</v>
      </c>
      <c r="B237" s="18">
        <f t="shared" si="45"/>
        <v>148.749</v>
      </c>
      <c r="C237" s="112">
        <v>46.164000000000001</v>
      </c>
      <c r="D237" s="112">
        <v>0</v>
      </c>
      <c r="E237" s="112">
        <v>0</v>
      </c>
      <c r="F237" s="112">
        <v>0</v>
      </c>
      <c r="G237" s="112">
        <v>0</v>
      </c>
      <c r="H237" s="118">
        <v>0</v>
      </c>
      <c r="I237" s="118">
        <v>0</v>
      </c>
      <c r="J237" s="53">
        <v>0</v>
      </c>
      <c r="K237" s="53">
        <v>0</v>
      </c>
      <c r="L237" s="53">
        <v>0</v>
      </c>
      <c r="M237" s="53">
        <v>0</v>
      </c>
      <c r="N237" s="53">
        <v>0</v>
      </c>
      <c r="O237" s="53">
        <v>0</v>
      </c>
      <c r="P237" s="53">
        <v>67.894999999999996</v>
      </c>
      <c r="Q237" s="53">
        <v>34.69</v>
      </c>
      <c r="R237" s="53">
        <v>0</v>
      </c>
      <c r="S237" s="53">
        <v>0</v>
      </c>
      <c r="T237" s="53">
        <v>0</v>
      </c>
      <c r="U237" s="53">
        <v>0</v>
      </c>
      <c r="V237" s="53">
        <v>0</v>
      </c>
      <c r="W237" s="53">
        <v>0</v>
      </c>
      <c r="X237" s="53">
        <v>0</v>
      </c>
      <c r="Y237" s="53">
        <v>0</v>
      </c>
      <c r="Z237" s="53"/>
      <c r="AA237" s="53"/>
      <c r="AB237" s="53"/>
      <c r="AC237" s="1287"/>
      <c r="AD237" s="1287"/>
      <c r="AE237" s="1287"/>
      <c r="AF237" s="1287"/>
      <c r="AG237" s="1287"/>
      <c r="AH237" s="53">
        <f t="shared" si="46"/>
        <v>148.749</v>
      </c>
    </row>
    <row r="238" spans="1:34" ht="15">
      <c r="A238" s="143" t="s">
        <v>78</v>
      </c>
      <c r="B238" s="18">
        <f t="shared" si="45"/>
        <v>184.52100000000002</v>
      </c>
      <c r="C238" s="18">
        <v>0</v>
      </c>
      <c r="D238" s="18">
        <v>0</v>
      </c>
      <c r="E238" s="18">
        <v>0</v>
      </c>
      <c r="F238" s="18">
        <v>0</v>
      </c>
      <c r="G238" s="18">
        <v>0</v>
      </c>
      <c r="H238" s="18">
        <v>0</v>
      </c>
      <c r="I238" s="18">
        <v>0</v>
      </c>
      <c r="J238" s="18">
        <v>64.405000000000001</v>
      </c>
      <c r="K238" s="18">
        <v>11.532</v>
      </c>
      <c r="L238" s="53">
        <v>0</v>
      </c>
      <c r="M238" s="53">
        <v>0</v>
      </c>
      <c r="N238" s="53">
        <v>28.741</v>
      </c>
      <c r="O238" s="53">
        <v>0</v>
      </c>
      <c r="P238" s="53">
        <v>0</v>
      </c>
      <c r="Q238" s="53">
        <v>0</v>
      </c>
      <c r="R238" s="53">
        <v>0</v>
      </c>
      <c r="S238" s="53">
        <v>0</v>
      </c>
      <c r="T238" s="53">
        <v>0</v>
      </c>
      <c r="U238" s="53">
        <v>0</v>
      </c>
      <c r="V238" s="53">
        <v>0</v>
      </c>
      <c r="W238" s="53">
        <v>0</v>
      </c>
      <c r="X238" s="53">
        <v>0</v>
      </c>
      <c r="Y238" s="53">
        <v>36.232999999999997</v>
      </c>
      <c r="Z238" s="53">
        <v>43.61</v>
      </c>
      <c r="AA238" s="53"/>
      <c r="AB238" s="53"/>
      <c r="AC238" s="53"/>
      <c r="AD238" s="53"/>
      <c r="AE238" s="53"/>
      <c r="AF238" s="53"/>
      <c r="AG238" s="53"/>
      <c r="AH238" s="53">
        <f t="shared" si="46"/>
        <v>184.52100000000002</v>
      </c>
    </row>
    <row r="239" spans="1:34" s="83" customFormat="1" ht="15">
      <c r="A239" s="132" t="s">
        <v>79</v>
      </c>
      <c r="B239" s="18">
        <f t="shared" si="45"/>
        <v>0</v>
      </c>
      <c r="C239" s="49">
        <v>0</v>
      </c>
      <c r="D239" s="18">
        <v>0</v>
      </c>
      <c r="E239" s="18">
        <v>0</v>
      </c>
      <c r="F239" s="18">
        <v>0</v>
      </c>
      <c r="G239" s="18">
        <v>0</v>
      </c>
      <c r="H239" s="18">
        <v>0</v>
      </c>
      <c r="I239" s="18">
        <v>0</v>
      </c>
      <c r="J239" s="53">
        <v>0</v>
      </c>
      <c r="K239" s="53">
        <v>0</v>
      </c>
      <c r="L239" s="53">
        <v>0</v>
      </c>
      <c r="M239" s="53">
        <v>0</v>
      </c>
      <c r="N239" s="53">
        <v>0</v>
      </c>
      <c r="O239" s="53">
        <v>0</v>
      </c>
      <c r="P239" s="53">
        <v>0</v>
      </c>
      <c r="Q239" s="53">
        <v>0</v>
      </c>
      <c r="R239" s="53">
        <v>0</v>
      </c>
      <c r="S239" s="53">
        <v>0</v>
      </c>
      <c r="T239" s="53">
        <v>0</v>
      </c>
      <c r="U239" s="53">
        <v>0</v>
      </c>
      <c r="V239" s="53">
        <v>0</v>
      </c>
      <c r="W239" s="53">
        <v>0</v>
      </c>
      <c r="X239" s="53">
        <v>0</v>
      </c>
      <c r="Y239" s="53">
        <v>0</v>
      </c>
      <c r="Z239" s="53">
        <v>0</v>
      </c>
      <c r="AA239" s="53">
        <v>0</v>
      </c>
      <c r="AB239" s="53">
        <v>0</v>
      </c>
      <c r="AC239" s="53">
        <v>0</v>
      </c>
      <c r="AD239" s="53">
        <v>0</v>
      </c>
      <c r="AE239" s="53">
        <v>0</v>
      </c>
      <c r="AF239" s="53">
        <v>0</v>
      </c>
      <c r="AG239" s="53">
        <v>0</v>
      </c>
      <c r="AH239" s="53">
        <f t="shared" si="46"/>
        <v>0</v>
      </c>
    </row>
    <row r="240" spans="1:34" ht="15">
      <c r="A240" s="132" t="s">
        <v>80</v>
      </c>
      <c r="B240" s="18">
        <f t="shared" si="45"/>
        <v>0</v>
      </c>
      <c r="C240" s="1488">
        <v>0</v>
      </c>
      <c r="D240" s="1488">
        <v>0</v>
      </c>
      <c r="E240" s="1488">
        <v>0</v>
      </c>
      <c r="F240" s="1488">
        <v>0</v>
      </c>
      <c r="G240" s="1488">
        <v>0</v>
      </c>
      <c r="H240" s="1287">
        <v>0</v>
      </c>
      <c r="I240" s="1287">
        <v>0</v>
      </c>
      <c r="J240" s="1287">
        <v>0</v>
      </c>
      <c r="K240" s="1287">
        <v>0</v>
      </c>
      <c r="L240" s="1287">
        <v>0</v>
      </c>
      <c r="M240" s="1287">
        <v>0</v>
      </c>
      <c r="N240" s="1287">
        <v>0</v>
      </c>
      <c r="O240" s="1287">
        <v>0</v>
      </c>
      <c r="P240" s="1287">
        <v>0</v>
      </c>
      <c r="Q240" s="1287">
        <v>0</v>
      </c>
      <c r="R240" s="1287">
        <v>0</v>
      </c>
      <c r="S240" s="1287">
        <v>0</v>
      </c>
      <c r="T240" s="1287">
        <v>0</v>
      </c>
      <c r="U240" s="1287">
        <v>0</v>
      </c>
      <c r="V240" s="1287">
        <v>0</v>
      </c>
      <c r="W240" s="1287">
        <v>0</v>
      </c>
      <c r="X240" s="1287">
        <v>0</v>
      </c>
      <c r="Y240" s="1488">
        <v>0</v>
      </c>
      <c r="Z240" s="1488">
        <v>0</v>
      </c>
      <c r="AA240" s="1488">
        <v>0</v>
      </c>
      <c r="AB240" s="1488">
        <v>0</v>
      </c>
      <c r="AC240" s="1488"/>
      <c r="AD240" s="1488"/>
      <c r="AE240" s="1488"/>
      <c r="AF240" s="1488"/>
      <c r="AG240" s="1488"/>
      <c r="AH240" s="53">
        <f t="shared" si="46"/>
        <v>0</v>
      </c>
    </row>
    <row r="241" spans="1:34" ht="15">
      <c r="A241" s="132" t="s">
        <v>81</v>
      </c>
      <c r="B241" s="18">
        <f t="shared" si="45"/>
        <v>0.1</v>
      </c>
      <c r="C241" s="1287">
        <v>0</v>
      </c>
      <c r="D241" s="1488">
        <v>0</v>
      </c>
      <c r="E241" s="1488">
        <v>0</v>
      </c>
      <c r="F241" s="1488">
        <v>0</v>
      </c>
      <c r="G241" s="1287">
        <v>0</v>
      </c>
      <c r="H241" s="1287">
        <v>0</v>
      </c>
      <c r="I241" s="1287">
        <v>0</v>
      </c>
      <c r="J241" s="2466">
        <v>0.1</v>
      </c>
      <c r="K241" s="2466">
        <v>0</v>
      </c>
      <c r="L241" s="1488">
        <v>0</v>
      </c>
      <c r="M241" s="1488">
        <v>0</v>
      </c>
      <c r="N241" s="1488">
        <v>0</v>
      </c>
      <c r="O241" s="1488">
        <v>0</v>
      </c>
      <c r="P241" s="1488">
        <v>0</v>
      </c>
      <c r="Q241" s="1488">
        <v>0</v>
      </c>
      <c r="R241" s="1488">
        <v>0</v>
      </c>
      <c r="S241" s="1488">
        <v>0</v>
      </c>
      <c r="T241" s="1488">
        <v>0</v>
      </c>
      <c r="U241" s="1488"/>
      <c r="V241" s="1488"/>
      <c r="W241" s="1488"/>
      <c r="X241" s="1488"/>
      <c r="Y241" s="1488"/>
      <c r="Z241" s="1488"/>
      <c r="AA241" s="1488"/>
      <c r="AB241" s="1488"/>
      <c r="AC241" s="1488"/>
      <c r="AD241" s="1488"/>
      <c r="AE241" s="1488"/>
      <c r="AF241" s="81" t="s">
        <v>112</v>
      </c>
      <c r="AG241" s="81" t="s">
        <v>112</v>
      </c>
      <c r="AH241" s="53">
        <f t="shared" si="46"/>
        <v>0.1</v>
      </c>
    </row>
    <row r="242" spans="1:34" s="83" customFormat="1" ht="15">
      <c r="A242" s="132" t="s">
        <v>82</v>
      </c>
      <c r="B242" s="18">
        <f t="shared" si="45"/>
        <v>0</v>
      </c>
      <c r="C242" s="81" t="s">
        <v>112</v>
      </c>
      <c r="D242" s="81" t="s">
        <v>112</v>
      </c>
      <c r="E242" s="81" t="s">
        <v>112</v>
      </c>
      <c r="F242" s="81" t="s">
        <v>112</v>
      </c>
      <c r="G242" s="81" t="s">
        <v>112</v>
      </c>
      <c r="H242" s="81" t="s">
        <v>112</v>
      </c>
      <c r="I242" s="81" t="s">
        <v>112</v>
      </c>
      <c r="J242" s="81" t="s">
        <v>112</v>
      </c>
      <c r="K242" s="81" t="s">
        <v>112</v>
      </c>
      <c r="L242" s="81" t="s">
        <v>112</v>
      </c>
      <c r="M242" s="81" t="s">
        <v>112</v>
      </c>
      <c r="N242" s="81" t="s">
        <v>112</v>
      </c>
      <c r="O242" s="81" t="s">
        <v>112</v>
      </c>
      <c r="P242" s="81" t="s">
        <v>112</v>
      </c>
      <c r="Q242" s="81" t="s">
        <v>112</v>
      </c>
      <c r="R242" s="81" t="s">
        <v>112</v>
      </c>
      <c r="S242" s="81" t="s">
        <v>112</v>
      </c>
      <c r="T242" s="81" t="s">
        <v>112</v>
      </c>
      <c r="U242" s="81" t="s">
        <v>112</v>
      </c>
      <c r="V242" s="81" t="s">
        <v>112</v>
      </c>
      <c r="W242" s="81" t="s">
        <v>112</v>
      </c>
      <c r="X242" s="81" t="s">
        <v>112</v>
      </c>
      <c r="Y242" s="81" t="s">
        <v>112</v>
      </c>
      <c r="Z242" s="81" t="s">
        <v>112</v>
      </c>
      <c r="AA242" s="81" t="s">
        <v>112</v>
      </c>
      <c r="AB242" s="81" t="s">
        <v>112</v>
      </c>
      <c r="AC242" s="81" t="s">
        <v>112</v>
      </c>
      <c r="AD242" s="81" t="s">
        <v>112</v>
      </c>
      <c r="AE242" s="81" t="s">
        <v>112</v>
      </c>
      <c r="AF242" s="81" t="s">
        <v>112</v>
      </c>
      <c r="AG242" s="81" t="s">
        <v>112</v>
      </c>
      <c r="AH242" s="53">
        <f t="shared" si="46"/>
        <v>0</v>
      </c>
    </row>
    <row r="243" spans="1:34" ht="15">
      <c r="A243" s="128" t="s">
        <v>83</v>
      </c>
      <c r="B243" s="18">
        <f t="shared" si="45"/>
        <v>0</v>
      </c>
      <c r="C243" s="81" t="s">
        <v>112</v>
      </c>
      <c r="D243" s="81" t="s">
        <v>112</v>
      </c>
      <c r="E243" s="81" t="s">
        <v>112</v>
      </c>
      <c r="F243" s="81" t="s">
        <v>112</v>
      </c>
      <c r="G243" s="81" t="s">
        <v>112</v>
      </c>
      <c r="H243" s="81" t="s">
        <v>112</v>
      </c>
      <c r="I243" s="81" t="s">
        <v>112</v>
      </c>
      <c r="J243" s="81" t="s">
        <v>112</v>
      </c>
      <c r="K243" s="81" t="s">
        <v>112</v>
      </c>
      <c r="L243" s="81" t="s">
        <v>112</v>
      </c>
      <c r="M243" s="81" t="s">
        <v>112</v>
      </c>
      <c r="N243" s="81" t="s">
        <v>112</v>
      </c>
      <c r="O243" s="81" t="s">
        <v>112</v>
      </c>
      <c r="P243" s="81" t="s">
        <v>112</v>
      </c>
      <c r="Q243" s="81" t="s">
        <v>112</v>
      </c>
      <c r="R243" s="81" t="s">
        <v>112</v>
      </c>
      <c r="S243" s="81" t="s">
        <v>112</v>
      </c>
      <c r="T243" s="81" t="s">
        <v>112</v>
      </c>
      <c r="U243" s="81" t="s">
        <v>112</v>
      </c>
      <c r="V243" s="81" t="s">
        <v>112</v>
      </c>
      <c r="W243" s="81" t="s">
        <v>112</v>
      </c>
      <c r="X243" s="81" t="s">
        <v>112</v>
      </c>
      <c r="Y243" s="81" t="s">
        <v>112</v>
      </c>
      <c r="Z243" s="81" t="s">
        <v>112</v>
      </c>
      <c r="AA243" s="81" t="s">
        <v>112</v>
      </c>
      <c r="AB243" s="81" t="s">
        <v>112</v>
      </c>
      <c r="AC243" s="81" t="s">
        <v>112</v>
      </c>
      <c r="AD243" s="81" t="s">
        <v>112</v>
      </c>
      <c r="AE243" s="81" t="s">
        <v>112</v>
      </c>
      <c r="AF243" s="81" t="s">
        <v>112</v>
      </c>
      <c r="AG243" s="81" t="s">
        <v>112</v>
      </c>
      <c r="AH243" s="53">
        <f t="shared" si="46"/>
        <v>0</v>
      </c>
    </row>
    <row r="244" spans="1:34" ht="15">
      <c r="A244" s="128" t="s">
        <v>84</v>
      </c>
      <c r="B244" s="18">
        <f t="shared" si="45"/>
        <v>0</v>
      </c>
      <c r="C244" s="81" t="s">
        <v>112</v>
      </c>
      <c r="D244" s="81" t="s">
        <v>112</v>
      </c>
      <c r="E244" s="81" t="s">
        <v>112</v>
      </c>
      <c r="F244" s="81" t="s">
        <v>112</v>
      </c>
      <c r="G244" s="81" t="s">
        <v>112</v>
      </c>
      <c r="H244" s="81" t="s">
        <v>112</v>
      </c>
      <c r="I244" s="81" t="s">
        <v>112</v>
      </c>
      <c r="J244" s="81" t="s">
        <v>112</v>
      </c>
      <c r="K244" s="81" t="s">
        <v>112</v>
      </c>
      <c r="L244" s="81" t="s">
        <v>112</v>
      </c>
      <c r="M244" s="81" t="s">
        <v>112</v>
      </c>
      <c r="N244" s="81" t="s">
        <v>112</v>
      </c>
      <c r="O244" s="81" t="s">
        <v>112</v>
      </c>
      <c r="P244" s="81" t="s">
        <v>112</v>
      </c>
      <c r="Q244" s="81" t="s">
        <v>112</v>
      </c>
      <c r="R244" s="81" t="s">
        <v>112</v>
      </c>
      <c r="S244" s="81" t="s">
        <v>112</v>
      </c>
      <c r="T244" s="81" t="s">
        <v>112</v>
      </c>
      <c r="U244" s="81" t="s">
        <v>112</v>
      </c>
      <c r="V244" s="81" t="s">
        <v>112</v>
      </c>
      <c r="W244" s="81" t="s">
        <v>112</v>
      </c>
      <c r="X244" s="1287"/>
      <c r="Y244" s="1287"/>
      <c r="Z244" s="1287"/>
      <c r="AA244" s="1287"/>
      <c r="AB244" s="1287"/>
      <c r="AC244" s="1287"/>
      <c r="AD244" s="1287"/>
      <c r="AE244" s="1488"/>
      <c r="AF244" s="1287"/>
      <c r="AG244" s="1488"/>
      <c r="AH244" s="53">
        <f t="shared" si="46"/>
        <v>0</v>
      </c>
    </row>
    <row r="245" spans="1:34" ht="15">
      <c r="A245" s="128" t="s">
        <v>85</v>
      </c>
      <c r="B245" s="18">
        <f t="shared" si="45"/>
        <v>0</v>
      </c>
      <c r="C245" s="1287"/>
      <c r="D245" s="1287"/>
      <c r="E245" s="1287"/>
      <c r="F245" s="1287"/>
      <c r="G245" s="1287"/>
      <c r="H245" s="1287"/>
      <c r="I245" s="1287"/>
      <c r="J245" s="1287"/>
      <c r="K245" s="1287"/>
      <c r="L245" s="1287"/>
      <c r="M245" s="1287"/>
      <c r="N245" s="1287"/>
      <c r="O245" s="1287"/>
      <c r="P245" s="1287"/>
      <c r="Q245" s="1287"/>
      <c r="R245" s="1287"/>
      <c r="S245" s="1287"/>
      <c r="T245" s="1287"/>
      <c r="U245" s="1287"/>
      <c r="V245" s="1287"/>
      <c r="W245" s="1287"/>
      <c r="X245" s="1287"/>
      <c r="Y245" s="1287"/>
      <c r="Z245" s="1287"/>
      <c r="AA245" s="1287"/>
      <c r="AB245" s="1287"/>
      <c r="AC245" s="1287"/>
      <c r="AD245" s="1287"/>
      <c r="AE245" s="1488"/>
      <c r="AF245" s="1287"/>
      <c r="AG245" s="1488"/>
      <c r="AH245" s="53">
        <f t="shared" si="46"/>
        <v>0</v>
      </c>
    </row>
    <row r="246" spans="1:34" ht="15">
      <c r="A246" s="128" t="s">
        <v>86</v>
      </c>
      <c r="B246" s="18">
        <f t="shared" si="45"/>
        <v>69.965000000000003</v>
      </c>
      <c r="C246" s="1287"/>
      <c r="D246" s="1287"/>
      <c r="E246" s="1287"/>
      <c r="F246" s="1287"/>
      <c r="G246" s="1287"/>
      <c r="H246" s="1287"/>
      <c r="I246" s="1287"/>
      <c r="J246" s="1287"/>
      <c r="K246" s="1287"/>
      <c r="L246" s="1287"/>
      <c r="M246" s="1287"/>
      <c r="N246" s="1287"/>
      <c r="O246" s="1287"/>
      <c r="P246" s="1287"/>
      <c r="Q246" s="1287">
        <v>69.965000000000003</v>
      </c>
      <c r="R246" s="1287"/>
      <c r="S246" s="1287"/>
      <c r="T246" s="1287"/>
      <c r="U246" s="1287"/>
      <c r="V246" s="1287"/>
      <c r="W246" s="1287"/>
      <c r="X246" s="1287"/>
      <c r="Y246" s="1287"/>
      <c r="Z246" s="1287"/>
      <c r="AA246" s="1287"/>
      <c r="AB246" s="1287"/>
      <c r="AC246" s="1287"/>
      <c r="AD246" s="1287"/>
      <c r="AE246" s="1287"/>
      <c r="AF246" s="1287"/>
      <c r="AG246" s="1287"/>
      <c r="AH246" s="53">
        <f t="shared" si="46"/>
        <v>69.965000000000003</v>
      </c>
    </row>
    <row r="247" spans="1:34" ht="15">
      <c r="A247" s="88" t="s">
        <v>74</v>
      </c>
      <c r="B247" s="92">
        <f>SUM(B235:B246)</f>
        <v>755.81700000000001</v>
      </c>
      <c r="C247" s="46">
        <f>SUM(C235:C245)</f>
        <v>46.164000000000001</v>
      </c>
      <c r="D247" s="53">
        <f>SUM(D235:D245)</f>
        <v>0</v>
      </c>
      <c r="E247" s="53">
        <v>0</v>
      </c>
      <c r="F247" s="53">
        <f t="shared" ref="F247:AC247" si="47">SUM(F235:F245)</f>
        <v>0</v>
      </c>
      <c r="G247" s="53">
        <f t="shared" si="47"/>
        <v>0</v>
      </c>
      <c r="H247" s="53">
        <f t="shared" si="47"/>
        <v>0</v>
      </c>
      <c r="I247" s="53">
        <f t="shared" si="47"/>
        <v>0</v>
      </c>
      <c r="J247" s="53">
        <f t="shared" si="47"/>
        <v>64.504999999999995</v>
      </c>
      <c r="K247" s="53">
        <f t="shared" si="47"/>
        <v>11.532</v>
      </c>
      <c r="L247" s="53">
        <f t="shared" si="47"/>
        <v>0</v>
      </c>
      <c r="M247" s="53">
        <f t="shared" si="47"/>
        <v>0</v>
      </c>
      <c r="N247" s="53">
        <f t="shared" si="47"/>
        <v>28.741</v>
      </c>
      <c r="O247" s="53">
        <f t="shared" si="47"/>
        <v>71.625</v>
      </c>
      <c r="P247" s="53">
        <f t="shared" si="47"/>
        <v>137.33799999999999</v>
      </c>
      <c r="Q247" s="53">
        <f t="shared" si="47"/>
        <v>57.42</v>
      </c>
      <c r="R247" s="53">
        <f t="shared" si="47"/>
        <v>0</v>
      </c>
      <c r="S247" s="53">
        <f t="shared" si="47"/>
        <v>0</v>
      </c>
      <c r="T247" s="53">
        <f t="shared" si="47"/>
        <v>51.16</v>
      </c>
      <c r="U247" s="53">
        <f t="shared" si="47"/>
        <v>0</v>
      </c>
      <c r="V247" s="53">
        <f t="shared" si="47"/>
        <v>0</v>
      </c>
      <c r="W247" s="53">
        <f t="shared" si="47"/>
        <v>0</v>
      </c>
      <c r="X247" s="53">
        <f t="shared" si="47"/>
        <v>0</v>
      </c>
      <c r="Y247" s="53">
        <f t="shared" si="47"/>
        <v>36.232999999999997</v>
      </c>
      <c r="Z247" s="53">
        <f t="shared" si="47"/>
        <v>43.61</v>
      </c>
      <c r="AA247" s="53">
        <f t="shared" si="47"/>
        <v>0</v>
      </c>
      <c r="AB247" s="53">
        <f t="shared" si="47"/>
        <v>44.69</v>
      </c>
      <c r="AC247" s="53">
        <f t="shared" si="47"/>
        <v>36.514000000000003</v>
      </c>
      <c r="AD247" s="53">
        <v>0</v>
      </c>
      <c r="AE247" s="53">
        <f>SUM(AE235:AE245)</f>
        <v>0</v>
      </c>
      <c r="AF247" s="53">
        <f>SUM(AF235:AF245)</f>
        <v>0</v>
      </c>
      <c r="AG247" s="53">
        <f>SUM(AG235:AG245)</f>
        <v>0</v>
      </c>
      <c r="AH247" s="46">
        <f>SUM(AH235:AH245)</f>
        <v>685.85199999999998</v>
      </c>
    </row>
    <row r="248" spans="1:34" ht="5.0999999999999996" customHeight="1">
      <c r="A248" s="14"/>
      <c r="B248" s="14"/>
      <c r="C248" s="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
    </row>
    <row r="249" spans="1:34" ht="15">
      <c r="A249" s="3569" t="s">
        <v>108</v>
      </c>
      <c r="B249" s="3570"/>
      <c r="C249" s="3570"/>
      <c r="D249" s="3570"/>
      <c r="E249" s="3570"/>
      <c r="F249" s="3570"/>
      <c r="G249" s="3570"/>
      <c r="H249" s="3571"/>
      <c r="I249" s="1433"/>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row>
    <row r="250" spans="1:34" ht="15">
      <c r="A250" s="5" t="s">
        <v>72</v>
      </c>
      <c r="B250" s="5" t="s">
        <v>73</v>
      </c>
      <c r="C250" s="1233">
        <v>1</v>
      </c>
      <c r="D250" s="30">
        <v>2</v>
      </c>
      <c r="E250" s="30">
        <v>3</v>
      </c>
      <c r="F250" s="30">
        <v>4</v>
      </c>
      <c r="G250" s="30">
        <v>5</v>
      </c>
      <c r="H250" s="30">
        <v>6</v>
      </c>
      <c r="I250" s="30">
        <v>7</v>
      </c>
      <c r="J250" s="30">
        <v>8</v>
      </c>
      <c r="K250" s="30">
        <v>9</v>
      </c>
      <c r="L250" s="30">
        <v>10</v>
      </c>
      <c r="M250" s="30">
        <v>11</v>
      </c>
      <c r="N250" s="30">
        <v>12</v>
      </c>
      <c r="O250" s="30">
        <v>13</v>
      </c>
      <c r="P250" s="30">
        <v>14</v>
      </c>
      <c r="Q250" s="30">
        <v>15</v>
      </c>
      <c r="R250" s="30">
        <v>16</v>
      </c>
      <c r="S250" s="30">
        <v>17</v>
      </c>
      <c r="T250" s="30">
        <v>18</v>
      </c>
      <c r="U250" s="30">
        <v>19</v>
      </c>
      <c r="V250" s="30">
        <v>20</v>
      </c>
      <c r="W250" s="30">
        <v>21</v>
      </c>
      <c r="X250" s="30">
        <v>22</v>
      </c>
      <c r="Y250" s="30">
        <v>23</v>
      </c>
      <c r="Z250" s="30">
        <v>24</v>
      </c>
      <c r="AA250" s="30">
        <v>25</v>
      </c>
      <c r="AB250" s="30">
        <v>26</v>
      </c>
      <c r="AC250" s="30">
        <v>27</v>
      </c>
      <c r="AD250" s="30">
        <v>28</v>
      </c>
      <c r="AE250" s="30">
        <v>29</v>
      </c>
      <c r="AF250" s="30">
        <v>30</v>
      </c>
      <c r="AG250" s="30">
        <v>31</v>
      </c>
      <c r="AH250" s="39" t="s">
        <v>74</v>
      </c>
    </row>
    <row r="251" spans="1:34" ht="15">
      <c r="A251" s="143" t="s">
        <v>75</v>
      </c>
      <c r="B251" s="18">
        <f t="shared" ref="B251:B262" si="48">+AH251</f>
        <v>0</v>
      </c>
      <c r="C251" s="126" t="s">
        <v>111</v>
      </c>
      <c r="D251" s="126" t="s">
        <v>111</v>
      </c>
      <c r="E251" s="126" t="s">
        <v>111</v>
      </c>
      <c r="F251" s="126" t="s">
        <v>111</v>
      </c>
      <c r="G251" s="126" t="s">
        <v>111</v>
      </c>
      <c r="H251" s="126" t="s">
        <v>111</v>
      </c>
      <c r="I251" s="126" t="s">
        <v>111</v>
      </c>
      <c r="J251" s="126" t="s">
        <v>111</v>
      </c>
      <c r="K251" s="126" t="s">
        <v>111</v>
      </c>
      <c r="L251" s="126" t="s">
        <v>111</v>
      </c>
      <c r="M251" s="126" t="s">
        <v>111</v>
      </c>
      <c r="N251" s="126" t="s">
        <v>111</v>
      </c>
      <c r="O251" s="126" t="s">
        <v>111</v>
      </c>
      <c r="P251" s="126" t="s">
        <v>111</v>
      </c>
      <c r="Q251" s="126" t="s">
        <v>111</v>
      </c>
      <c r="R251" s="126" t="s">
        <v>111</v>
      </c>
      <c r="S251" s="126" t="s">
        <v>111</v>
      </c>
      <c r="T251" s="126" t="s">
        <v>111</v>
      </c>
      <c r="U251" s="126" t="s">
        <v>111</v>
      </c>
      <c r="V251" s="126" t="s">
        <v>111</v>
      </c>
      <c r="W251" s="126" t="s">
        <v>111</v>
      </c>
      <c r="X251" s="126" t="s">
        <v>111</v>
      </c>
      <c r="Y251" s="126" t="s">
        <v>111</v>
      </c>
      <c r="Z251" s="126" t="s">
        <v>111</v>
      </c>
      <c r="AA251" s="126" t="s">
        <v>111</v>
      </c>
      <c r="AB251" s="126" t="s">
        <v>111</v>
      </c>
      <c r="AC251" s="126" t="s">
        <v>111</v>
      </c>
      <c r="AD251" s="126" t="s">
        <v>111</v>
      </c>
      <c r="AE251" s="126" t="s">
        <v>111</v>
      </c>
      <c r="AF251" s="126" t="s">
        <v>111</v>
      </c>
      <c r="AG251" s="126" t="s">
        <v>111</v>
      </c>
      <c r="AH251" s="53">
        <f>SUM(C251:AG251)</f>
        <v>0</v>
      </c>
    </row>
    <row r="252" spans="1:34" s="83" customFormat="1" ht="15">
      <c r="A252" s="143" t="s">
        <v>76</v>
      </c>
      <c r="B252" s="18">
        <f t="shared" si="48"/>
        <v>0</v>
      </c>
      <c r="C252" s="126" t="s">
        <v>111</v>
      </c>
      <c r="D252" s="126" t="s">
        <v>111</v>
      </c>
      <c r="E252" s="126" t="s">
        <v>111</v>
      </c>
      <c r="F252" s="126" t="s">
        <v>111</v>
      </c>
      <c r="G252" s="126" t="s">
        <v>111</v>
      </c>
      <c r="H252" s="126" t="s">
        <v>111</v>
      </c>
      <c r="I252" s="126" t="s">
        <v>111</v>
      </c>
      <c r="J252" s="127"/>
      <c r="K252" s="127"/>
      <c r="L252" s="127"/>
      <c r="M252" s="127"/>
      <c r="N252" s="127"/>
      <c r="O252" s="127"/>
      <c r="P252" s="127"/>
      <c r="Q252" s="127"/>
      <c r="R252" s="127"/>
      <c r="S252" s="127"/>
      <c r="T252" s="127"/>
      <c r="U252" s="127"/>
      <c r="V252" s="127"/>
      <c r="W252" s="127"/>
      <c r="X252" s="127"/>
      <c r="Y252" s="127"/>
      <c r="Z252" s="127"/>
      <c r="AA252" s="127"/>
      <c r="AB252" s="127"/>
      <c r="AC252" s="127"/>
      <c r="AD252" s="127"/>
      <c r="AE252" s="127"/>
      <c r="AF252" s="127"/>
      <c r="AG252" s="127"/>
      <c r="AH252" s="53">
        <f t="shared" ref="AH252:AH262" si="49">SUM(C252:AG252)</f>
        <v>0</v>
      </c>
    </row>
    <row r="253" spans="1:34" ht="15">
      <c r="A253" s="143" t="s">
        <v>77</v>
      </c>
      <c r="B253" s="18">
        <f t="shared" si="48"/>
        <v>0</v>
      </c>
      <c r="C253" s="127"/>
      <c r="D253" s="127"/>
      <c r="E253" s="127"/>
      <c r="F253" s="127"/>
      <c r="G253" s="127"/>
      <c r="H253" s="112"/>
      <c r="I253" s="112"/>
      <c r="J253" s="112"/>
      <c r="K253" s="112"/>
      <c r="L253" s="112"/>
      <c r="M253" s="112"/>
      <c r="N253" s="112"/>
      <c r="O253" s="112"/>
      <c r="P253" s="112"/>
      <c r="Q253" s="112"/>
      <c r="R253" s="112"/>
      <c r="S253" s="18"/>
      <c r="T253" s="18"/>
      <c r="U253" s="18"/>
      <c r="V253" s="18"/>
      <c r="W253" s="18"/>
      <c r="X253" s="18"/>
      <c r="Y253" s="18"/>
      <c r="Z253" s="18"/>
      <c r="AA253" s="18"/>
      <c r="AB253" s="18"/>
      <c r="AC253" s="1930"/>
      <c r="AD253" s="1930"/>
      <c r="AE253" s="1930"/>
      <c r="AF253" s="1930"/>
      <c r="AG253" s="1930"/>
      <c r="AH253" s="53">
        <f t="shared" si="49"/>
        <v>0</v>
      </c>
    </row>
    <row r="254" spans="1:34" ht="15">
      <c r="A254" s="143" t="s">
        <v>78</v>
      </c>
      <c r="B254" s="18">
        <f t="shared" si="48"/>
        <v>0</v>
      </c>
      <c r="C254" s="1930"/>
      <c r="D254" s="1930"/>
      <c r="E254" s="1930"/>
      <c r="F254" s="1930"/>
      <c r="G254" s="1930"/>
      <c r="H254" s="1930"/>
      <c r="I254" s="1930"/>
      <c r="J254" s="1930"/>
      <c r="K254" s="1930"/>
      <c r="L254" s="1287"/>
      <c r="M254" s="1287"/>
      <c r="N254" s="1287"/>
      <c r="O254" s="1287"/>
      <c r="P254" s="1287"/>
      <c r="Q254" s="1287"/>
      <c r="R254" s="1287"/>
      <c r="S254" s="1287"/>
      <c r="T254" s="1287"/>
      <c r="U254" s="1287"/>
      <c r="V254" s="1287"/>
      <c r="W254" s="1287"/>
      <c r="X254" s="1287"/>
      <c r="Y254" s="1287"/>
      <c r="Z254" s="1287"/>
      <c r="AA254" s="1287"/>
      <c r="AB254" s="1287"/>
      <c r="AC254" s="1287"/>
      <c r="AD254" s="1287"/>
      <c r="AE254" s="1287"/>
      <c r="AF254" s="1287"/>
      <c r="AG254" s="1287"/>
      <c r="AH254" s="53">
        <f t="shared" si="49"/>
        <v>0</v>
      </c>
    </row>
    <row r="255" spans="1:34" s="83" customFormat="1" ht="15">
      <c r="A255" s="132" t="s">
        <v>79</v>
      </c>
      <c r="B255" s="18">
        <f t="shared" si="48"/>
        <v>0</v>
      </c>
      <c r="C255" s="1287"/>
      <c r="D255" s="1287"/>
      <c r="E255" s="1287"/>
      <c r="F255" s="1287"/>
      <c r="G255" s="1287"/>
      <c r="H255" s="1287"/>
      <c r="I255" s="1287"/>
      <c r="J255" s="1287"/>
      <c r="K255" s="1287"/>
      <c r="L255" s="1287"/>
      <c r="M255" s="1287"/>
      <c r="N255" s="1287"/>
      <c r="O255" s="1287"/>
      <c r="P255" s="1287"/>
      <c r="Q255" s="1287"/>
      <c r="R255" s="1287"/>
      <c r="S255" s="1287"/>
      <c r="T255" s="1287"/>
      <c r="U255" s="1287"/>
      <c r="V255" s="1287"/>
      <c r="W255" s="1287"/>
      <c r="X255" s="1287"/>
      <c r="Y255" s="1287"/>
      <c r="Z255" s="1287"/>
      <c r="AA255" s="1287"/>
      <c r="AB255" s="1287"/>
      <c r="AC255" s="1287"/>
      <c r="AD255" s="1287"/>
      <c r="AE255" s="1287"/>
      <c r="AF255" s="1287"/>
      <c r="AG255" s="1287"/>
      <c r="AH255" s="53">
        <f t="shared" si="49"/>
        <v>0</v>
      </c>
    </row>
    <row r="256" spans="1:34" ht="15">
      <c r="A256" s="132" t="s">
        <v>80</v>
      </c>
      <c r="B256" s="18">
        <f t="shared" si="48"/>
        <v>0</v>
      </c>
      <c r="C256" s="1287"/>
      <c r="D256" s="1287"/>
      <c r="E256" s="1287"/>
      <c r="F256" s="1287"/>
      <c r="G256" s="1287"/>
      <c r="H256" s="1287"/>
      <c r="I256" s="1287"/>
      <c r="J256" s="1287"/>
      <c r="K256" s="1287"/>
      <c r="L256" s="1287"/>
      <c r="M256" s="1287"/>
      <c r="N256" s="1287"/>
      <c r="O256" s="1287"/>
      <c r="P256" s="1287"/>
      <c r="Q256" s="1287"/>
      <c r="R256" s="1287"/>
      <c r="S256" s="1287"/>
      <c r="T256" s="1287"/>
      <c r="U256" s="1287"/>
      <c r="V256" s="1287"/>
      <c r="W256" s="1287"/>
      <c r="X256" s="1287"/>
      <c r="Y256" s="1287"/>
      <c r="Z256" s="1287"/>
      <c r="AA256" s="1287"/>
      <c r="AB256" s="1287"/>
      <c r="AC256" s="1287"/>
      <c r="AD256" s="1287"/>
      <c r="AE256" s="1287"/>
      <c r="AF256" s="1287"/>
      <c r="AG256" s="1287"/>
      <c r="AH256" s="53">
        <f t="shared" si="49"/>
        <v>0</v>
      </c>
    </row>
    <row r="257" spans="1:34" ht="15">
      <c r="A257" s="132" t="s">
        <v>81</v>
      </c>
      <c r="B257" s="18">
        <f t="shared" si="48"/>
        <v>0</v>
      </c>
      <c r="C257" s="1287"/>
      <c r="D257" s="1488"/>
      <c r="E257" s="1488"/>
      <c r="F257" s="1488"/>
      <c r="G257" s="1287"/>
      <c r="H257" s="1287"/>
      <c r="I257" s="1287"/>
      <c r="J257" s="2466"/>
      <c r="K257" s="2466"/>
      <c r="L257" s="1488"/>
      <c r="M257" s="1488"/>
      <c r="N257" s="1488"/>
      <c r="O257" s="1488"/>
      <c r="P257" s="1488"/>
      <c r="Q257" s="1488"/>
      <c r="R257" s="1488"/>
      <c r="S257" s="1488"/>
      <c r="T257" s="1488"/>
      <c r="U257" s="1488"/>
      <c r="V257" s="1488"/>
      <c r="W257" s="688"/>
      <c r="X257" s="688"/>
      <c r="Y257" s="688"/>
      <c r="Z257" s="688"/>
      <c r="AA257" s="688"/>
      <c r="AB257" s="688"/>
      <c r="AC257" s="688"/>
      <c r="AD257" s="688"/>
      <c r="AE257" s="688"/>
      <c r="AF257" s="688" t="s">
        <v>111</v>
      </c>
      <c r="AG257" s="688" t="s">
        <v>111</v>
      </c>
      <c r="AH257" s="53">
        <f t="shared" si="49"/>
        <v>0</v>
      </c>
    </row>
    <row r="258" spans="1:34" s="83" customFormat="1" ht="15">
      <c r="A258" s="132" t="s">
        <v>82</v>
      </c>
      <c r="B258" s="18">
        <f t="shared" si="48"/>
        <v>0</v>
      </c>
      <c r="C258" s="688" t="s">
        <v>111</v>
      </c>
      <c r="D258" s="688" t="s">
        <v>111</v>
      </c>
      <c r="E258" s="688" t="s">
        <v>111</v>
      </c>
      <c r="F258" s="688" t="s">
        <v>111</v>
      </c>
      <c r="G258" s="688" t="s">
        <v>111</v>
      </c>
      <c r="H258" s="688" t="s">
        <v>111</v>
      </c>
      <c r="I258" s="688" t="s">
        <v>111</v>
      </c>
      <c r="J258" s="688" t="s">
        <v>111</v>
      </c>
      <c r="K258" s="688" t="s">
        <v>111</v>
      </c>
      <c r="L258" s="688" t="s">
        <v>111</v>
      </c>
      <c r="M258" s="688" t="s">
        <v>111</v>
      </c>
      <c r="N258" s="688" t="s">
        <v>111</v>
      </c>
      <c r="O258" s="688" t="s">
        <v>111</v>
      </c>
      <c r="P258" s="688" t="s">
        <v>111</v>
      </c>
      <c r="Q258" s="688" t="s">
        <v>111</v>
      </c>
      <c r="R258" s="688" t="s">
        <v>111</v>
      </c>
      <c r="S258" s="688" t="s">
        <v>111</v>
      </c>
      <c r="T258" s="688" t="s">
        <v>111</v>
      </c>
      <c r="U258" s="688" t="s">
        <v>111</v>
      </c>
      <c r="V258" s="688" t="s">
        <v>111</v>
      </c>
      <c r="W258" s="688" t="s">
        <v>111</v>
      </c>
      <c r="X258" s="688" t="s">
        <v>111</v>
      </c>
      <c r="Y258" s="688" t="s">
        <v>111</v>
      </c>
      <c r="Z258" s="688" t="s">
        <v>111</v>
      </c>
      <c r="AA258" s="688" t="s">
        <v>111</v>
      </c>
      <c r="AB258" s="688" t="s">
        <v>111</v>
      </c>
      <c r="AC258" s="688" t="s">
        <v>111</v>
      </c>
      <c r="AD258" s="688" t="s">
        <v>111</v>
      </c>
      <c r="AE258" s="688" t="s">
        <v>111</v>
      </c>
      <c r="AF258" s="688" t="s">
        <v>111</v>
      </c>
      <c r="AG258" s="688" t="s">
        <v>111</v>
      </c>
      <c r="AH258" s="53">
        <f t="shared" si="49"/>
        <v>0</v>
      </c>
    </row>
    <row r="259" spans="1:34" ht="15">
      <c r="A259" s="128" t="s">
        <v>83</v>
      </c>
      <c r="B259" s="18">
        <f t="shared" si="48"/>
        <v>0</v>
      </c>
      <c r="C259" s="688" t="s">
        <v>111</v>
      </c>
      <c r="D259" s="688" t="s">
        <v>111</v>
      </c>
      <c r="E259" s="688" t="s">
        <v>111</v>
      </c>
      <c r="F259" s="688" t="s">
        <v>111</v>
      </c>
      <c r="G259" s="688" t="s">
        <v>111</v>
      </c>
      <c r="H259" s="688" t="s">
        <v>111</v>
      </c>
      <c r="I259" s="688" t="s">
        <v>111</v>
      </c>
      <c r="J259" s="688" t="s">
        <v>111</v>
      </c>
      <c r="K259" s="688" t="s">
        <v>111</v>
      </c>
      <c r="L259" s="688" t="s">
        <v>111</v>
      </c>
      <c r="M259" s="688" t="s">
        <v>111</v>
      </c>
      <c r="N259" s="688" t="s">
        <v>111</v>
      </c>
      <c r="O259" s="688" t="s">
        <v>111</v>
      </c>
      <c r="P259" s="688" t="s">
        <v>111</v>
      </c>
      <c r="Q259" s="688" t="s">
        <v>111</v>
      </c>
      <c r="R259" s="688" t="s">
        <v>111</v>
      </c>
      <c r="S259" s="688" t="s">
        <v>111</v>
      </c>
      <c r="T259" s="688" t="s">
        <v>111</v>
      </c>
      <c r="U259" s="688" t="s">
        <v>111</v>
      </c>
      <c r="V259" s="688" t="s">
        <v>111</v>
      </c>
      <c r="W259" s="688" t="s">
        <v>111</v>
      </c>
      <c r="X259" s="688" t="s">
        <v>111</v>
      </c>
      <c r="Y259" s="688" t="s">
        <v>111</v>
      </c>
      <c r="Z259" s="688" t="s">
        <v>111</v>
      </c>
      <c r="AA259" s="688" t="s">
        <v>111</v>
      </c>
      <c r="AB259" s="688" t="s">
        <v>111</v>
      </c>
      <c r="AC259" s="688" t="s">
        <v>111</v>
      </c>
      <c r="AD259" s="688" t="s">
        <v>111</v>
      </c>
      <c r="AE259" s="688" t="s">
        <v>111</v>
      </c>
      <c r="AF259" s="688" t="s">
        <v>111</v>
      </c>
      <c r="AG259" s="688" t="s">
        <v>111</v>
      </c>
      <c r="AH259" s="53">
        <f t="shared" si="49"/>
        <v>0</v>
      </c>
    </row>
    <row r="260" spans="1:34" ht="15">
      <c r="A260" s="128" t="s">
        <v>84</v>
      </c>
      <c r="B260" s="18">
        <f t="shared" si="48"/>
        <v>0</v>
      </c>
      <c r="C260" s="688" t="s">
        <v>111</v>
      </c>
      <c r="D260" s="688" t="s">
        <v>111</v>
      </c>
      <c r="E260" s="688" t="s">
        <v>111</v>
      </c>
      <c r="F260" s="688" t="s">
        <v>111</v>
      </c>
      <c r="G260" s="688" t="s">
        <v>111</v>
      </c>
      <c r="H260" s="688" t="s">
        <v>111</v>
      </c>
      <c r="I260" s="688" t="s">
        <v>111</v>
      </c>
      <c r="J260" s="688" t="s">
        <v>111</v>
      </c>
      <c r="K260" s="688" t="s">
        <v>111</v>
      </c>
      <c r="L260" s="688" t="s">
        <v>111</v>
      </c>
      <c r="M260" s="688" t="s">
        <v>111</v>
      </c>
      <c r="N260" s="688" t="s">
        <v>111</v>
      </c>
      <c r="O260" s="688" t="s">
        <v>111</v>
      </c>
      <c r="P260" s="688" t="s">
        <v>111</v>
      </c>
      <c r="Q260" s="688" t="s">
        <v>111</v>
      </c>
      <c r="R260" s="688" t="s">
        <v>111</v>
      </c>
      <c r="S260" s="688" t="s">
        <v>111</v>
      </c>
      <c r="T260" s="688" t="s">
        <v>111</v>
      </c>
      <c r="U260" s="688" t="s">
        <v>111</v>
      </c>
      <c r="V260" s="688" t="s">
        <v>111</v>
      </c>
      <c r="W260" s="688" t="s">
        <v>111</v>
      </c>
      <c r="X260" s="1287"/>
      <c r="Y260" s="1287"/>
      <c r="Z260" s="1287"/>
      <c r="AA260" s="1287"/>
      <c r="AB260" s="1287"/>
      <c r="AC260" s="1287"/>
      <c r="AD260" s="1287"/>
      <c r="AE260" s="1488"/>
      <c r="AF260" s="1287"/>
      <c r="AG260" s="1488"/>
      <c r="AH260" s="53">
        <f t="shared" si="49"/>
        <v>0</v>
      </c>
    </row>
    <row r="261" spans="1:34" ht="15">
      <c r="A261" s="128" t="s">
        <v>85</v>
      </c>
      <c r="B261" s="18">
        <f t="shared" si="48"/>
        <v>0</v>
      </c>
      <c r="C261" s="1287"/>
      <c r="D261" s="1287"/>
      <c r="E261" s="1287"/>
      <c r="F261" s="1287"/>
      <c r="G261" s="1433"/>
      <c r="H261" s="1287"/>
      <c r="I261" s="1287"/>
      <c r="J261" s="1287"/>
      <c r="K261" s="1287"/>
      <c r="L261" s="1287"/>
      <c r="M261" s="1287"/>
      <c r="N261" s="1287"/>
      <c r="O261" s="1287"/>
      <c r="P261" s="1287"/>
      <c r="Q261" s="1287"/>
      <c r="R261" s="1287"/>
      <c r="S261" s="1287"/>
      <c r="T261" s="1287"/>
      <c r="U261" s="1287"/>
      <c r="V261" s="1287"/>
      <c r="W261" s="1287"/>
      <c r="X261" s="1287"/>
      <c r="Y261" s="1433"/>
      <c r="Z261" s="1287"/>
      <c r="AA261" s="1287"/>
      <c r="AB261" s="1287"/>
      <c r="AC261" s="1287"/>
      <c r="AD261" s="1287"/>
      <c r="AE261" s="1488"/>
      <c r="AF261" s="1287"/>
      <c r="AG261" s="1488"/>
      <c r="AH261" s="53">
        <f t="shared" si="49"/>
        <v>0</v>
      </c>
    </row>
    <row r="262" spans="1:34" ht="15">
      <c r="A262" s="128" t="s">
        <v>86</v>
      </c>
      <c r="B262" s="18">
        <f t="shared" si="48"/>
        <v>0</v>
      </c>
      <c r="C262" s="1287"/>
      <c r="D262" s="1287"/>
      <c r="E262" s="1287"/>
      <c r="F262" s="1287"/>
      <c r="G262" s="1287"/>
      <c r="H262" s="1287"/>
      <c r="I262" s="1287"/>
      <c r="J262" s="1287"/>
      <c r="K262" s="1287"/>
      <c r="L262" s="1287"/>
      <c r="M262" s="1287"/>
      <c r="N262" s="1287"/>
      <c r="O262" s="1287"/>
      <c r="P262" s="1287"/>
      <c r="Q262" s="1287"/>
      <c r="R262" s="1287"/>
      <c r="S262" s="1287"/>
      <c r="T262" s="1287"/>
      <c r="U262" s="1287"/>
      <c r="V262" s="1287"/>
      <c r="W262" s="1287"/>
      <c r="X262" s="1287"/>
      <c r="Y262" s="1287"/>
      <c r="Z262" s="1287"/>
      <c r="AA262" s="1287"/>
      <c r="AB262" s="1287"/>
      <c r="AC262" s="1287"/>
      <c r="AD262" s="1287"/>
      <c r="AE262" s="1287"/>
      <c r="AF262" s="1287"/>
      <c r="AG262" s="1287"/>
      <c r="AH262" s="53">
        <f t="shared" si="49"/>
        <v>0</v>
      </c>
    </row>
    <row r="263" spans="1:34" ht="15">
      <c r="A263" s="88" t="s">
        <v>74</v>
      </c>
      <c r="B263" s="89">
        <f>SUM(B251:B262)</f>
        <v>0</v>
      </c>
      <c r="C263" s="46">
        <f>SUM(C251:C261)</f>
        <v>0</v>
      </c>
      <c r="D263" s="53">
        <f>SUM(D251:D261)</f>
        <v>0</v>
      </c>
      <c r="E263" s="53">
        <v>0</v>
      </c>
      <c r="F263" s="53">
        <f t="shared" ref="F263:AC263" si="50">SUM(F251:F261)</f>
        <v>0</v>
      </c>
      <c r="G263" s="53">
        <f t="shared" si="50"/>
        <v>0</v>
      </c>
      <c r="H263" s="53">
        <f t="shared" si="50"/>
        <v>0</v>
      </c>
      <c r="I263" s="53">
        <f t="shared" si="50"/>
        <v>0</v>
      </c>
      <c r="J263" s="53">
        <f t="shared" si="50"/>
        <v>0</v>
      </c>
      <c r="K263" s="53">
        <f t="shared" si="50"/>
        <v>0</v>
      </c>
      <c r="L263" s="53">
        <f t="shared" si="50"/>
        <v>0</v>
      </c>
      <c r="M263" s="53">
        <f t="shared" si="50"/>
        <v>0</v>
      </c>
      <c r="N263" s="53">
        <f t="shared" si="50"/>
        <v>0</v>
      </c>
      <c r="O263" s="53">
        <f t="shared" si="50"/>
        <v>0</v>
      </c>
      <c r="P263" s="53">
        <f t="shared" si="50"/>
        <v>0</v>
      </c>
      <c r="Q263" s="53">
        <f t="shared" si="50"/>
        <v>0</v>
      </c>
      <c r="R263" s="53">
        <f t="shared" si="50"/>
        <v>0</v>
      </c>
      <c r="S263" s="53">
        <f t="shared" si="50"/>
        <v>0</v>
      </c>
      <c r="T263" s="53">
        <f t="shared" si="50"/>
        <v>0</v>
      </c>
      <c r="U263" s="53">
        <f t="shared" si="50"/>
        <v>0</v>
      </c>
      <c r="V263" s="53">
        <f t="shared" si="50"/>
        <v>0</v>
      </c>
      <c r="W263" s="53">
        <f t="shared" si="50"/>
        <v>0</v>
      </c>
      <c r="X263" s="53">
        <f t="shared" si="50"/>
        <v>0</v>
      </c>
      <c r="Y263" s="53">
        <f t="shared" si="50"/>
        <v>0</v>
      </c>
      <c r="Z263" s="53">
        <f t="shared" si="50"/>
        <v>0</v>
      </c>
      <c r="AA263" s="53">
        <f t="shared" si="50"/>
        <v>0</v>
      </c>
      <c r="AB263" s="53">
        <f t="shared" si="50"/>
        <v>0</v>
      </c>
      <c r="AC263" s="53">
        <f t="shared" si="50"/>
        <v>0</v>
      </c>
      <c r="AD263" s="53">
        <v>0</v>
      </c>
      <c r="AE263" s="53">
        <f>SUM(AE251:AE261)</f>
        <v>0</v>
      </c>
      <c r="AF263" s="53">
        <f>SUM(AF251:AF261)</f>
        <v>0</v>
      </c>
      <c r="AG263" s="53">
        <f>SUM(AG251:AG261)</f>
        <v>0</v>
      </c>
      <c r="AH263" s="46">
        <f>SUM(AH251:AH261)</f>
        <v>0</v>
      </c>
    </row>
    <row r="264" spans="1:34" ht="5.0999999999999996" customHeight="1">
      <c r="A264" s="14"/>
      <c r="B264" s="14"/>
      <c r="C264" s="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
    </row>
    <row r="265" spans="1:34" ht="15">
      <c r="A265" s="3569" t="s">
        <v>109</v>
      </c>
      <c r="B265" s="3570"/>
      <c r="C265" s="3570"/>
      <c r="D265" s="3570"/>
      <c r="E265" s="3570"/>
      <c r="F265" s="3570"/>
      <c r="G265" s="3570"/>
      <c r="H265" s="3571"/>
      <c r="I265" s="1433"/>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row>
    <row r="266" spans="1:34" ht="15">
      <c r="A266" s="5" t="s">
        <v>72</v>
      </c>
      <c r="B266" s="5" t="s">
        <v>73</v>
      </c>
      <c r="C266" s="1233">
        <v>1</v>
      </c>
      <c r="D266" s="30">
        <v>2</v>
      </c>
      <c r="E266" s="30">
        <v>3</v>
      </c>
      <c r="F266" s="30">
        <v>4</v>
      </c>
      <c r="G266" s="30">
        <v>5</v>
      </c>
      <c r="H266" s="30">
        <v>6</v>
      </c>
      <c r="I266" s="30">
        <v>7</v>
      </c>
      <c r="J266" s="30">
        <v>8</v>
      </c>
      <c r="K266" s="30">
        <v>9</v>
      </c>
      <c r="L266" s="30">
        <v>10</v>
      </c>
      <c r="M266" s="30">
        <v>11</v>
      </c>
      <c r="N266" s="30">
        <v>12</v>
      </c>
      <c r="O266" s="30">
        <v>13</v>
      </c>
      <c r="P266" s="30">
        <v>14</v>
      </c>
      <c r="Q266" s="30">
        <v>15</v>
      </c>
      <c r="R266" s="30">
        <v>16</v>
      </c>
      <c r="S266" s="30">
        <v>17</v>
      </c>
      <c r="T266" s="30">
        <v>18</v>
      </c>
      <c r="U266" s="30">
        <v>19</v>
      </c>
      <c r="V266" s="30">
        <v>20</v>
      </c>
      <c r="W266" s="30">
        <v>21</v>
      </c>
      <c r="X266" s="30">
        <v>22</v>
      </c>
      <c r="Y266" s="30">
        <v>23</v>
      </c>
      <c r="Z266" s="30">
        <v>24</v>
      </c>
      <c r="AA266" s="30">
        <v>25</v>
      </c>
      <c r="AB266" s="30">
        <v>26</v>
      </c>
      <c r="AC266" s="30">
        <v>27</v>
      </c>
      <c r="AD266" s="30">
        <v>28</v>
      </c>
      <c r="AE266" s="30">
        <v>29</v>
      </c>
      <c r="AF266" s="30">
        <v>30</v>
      </c>
      <c r="AG266" s="30">
        <v>31</v>
      </c>
      <c r="AH266" s="39" t="s">
        <v>74</v>
      </c>
    </row>
    <row r="267" spans="1:34" ht="15">
      <c r="A267" s="143" t="s">
        <v>75</v>
      </c>
      <c r="B267" s="18">
        <f t="shared" ref="B267:B278" si="51">+AH267</f>
        <v>0</v>
      </c>
      <c r="C267" s="126" t="s">
        <v>111</v>
      </c>
      <c r="D267" s="126" t="s">
        <v>111</v>
      </c>
      <c r="E267" s="126" t="s">
        <v>111</v>
      </c>
      <c r="F267" s="126" t="s">
        <v>111</v>
      </c>
      <c r="G267" s="126" t="s">
        <v>111</v>
      </c>
      <c r="H267" s="126" t="s">
        <v>111</v>
      </c>
      <c r="I267" s="126" t="s">
        <v>111</v>
      </c>
      <c r="J267" s="126" t="s">
        <v>111</v>
      </c>
      <c r="K267" s="126" t="s">
        <v>111</v>
      </c>
      <c r="L267" s="126" t="s">
        <v>111</v>
      </c>
      <c r="M267" s="126" t="s">
        <v>111</v>
      </c>
      <c r="N267" s="126" t="s">
        <v>111</v>
      </c>
      <c r="O267" s="126" t="s">
        <v>111</v>
      </c>
      <c r="P267" s="126" t="s">
        <v>111</v>
      </c>
      <c r="Q267" s="126" t="s">
        <v>111</v>
      </c>
      <c r="R267" s="126" t="s">
        <v>111</v>
      </c>
      <c r="S267" s="126" t="s">
        <v>111</v>
      </c>
      <c r="T267" s="126" t="s">
        <v>111</v>
      </c>
      <c r="U267" s="126" t="s">
        <v>111</v>
      </c>
      <c r="V267" s="126" t="s">
        <v>111</v>
      </c>
      <c r="W267" s="126" t="s">
        <v>111</v>
      </c>
      <c r="X267" s="126" t="s">
        <v>111</v>
      </c>
      <c r="Y267" s="126" t="s">
        <v>111</v>
      </c>
      <c r="Z267" s="126" t="s">
        <v>111</v>
      </c>
      <c r="AA267" s="126" t="s">
        <v>111</v>
      </c>
      <c r="AB267" s="126" t="s">
        <v>111</v>
      </c>
      <c r="AC267" s="126" t="s">
        <v>111</v>
      </c>
      <c r="AD267" s="126" t="s">
        <v>111</v>
      </c>
      <c r="AE267" s="126" t="s">
        <v>111</v>
      </c>
      <c r="AF267" s="126" t="s">
        <v>111</v>
      </c>
      <c r="AG267" s="126" t="s">
        <v>111</v>
      </c>
      <c r="AH267" s="53">
        <f>SUM(C267:AG267)</f>
        <v>0</v>
      </c>
    </row>
    <row r="268" spans="1:34" s="83" customFormat="1" ht="15">
      <c r="A268" s="143" t="s">
        <v>76</v>
      </c>
      <c r="B268" s="67">
        <f t="shared" si="51"/>
        <v>0</v>
      </c>
      <c r="C268" s="126" t="s">
        <v>111</v>
      </c>
      <c r="D268" s="126" t="s">
        <v>111</v>
      </c>
      <c r="E268" s="126" t="s">
        <v>111</v>
      </c>
      <c r="F268" s="126" t="s">
        <v>111</v>
      </c>
      <c r="G268" s="126" t="s">
        <v>111</v>
      </c>
      <c r="H268" s="126" t="s">
        <v>111</v>
      </c>
      <c r="I268" s="126" t="s">
        <v>111</v>
      </c>
      <c r="J268" s="127"/>
      <c r="K268" s="127"/>
      <c r="L268" s="127"/>
      <c r="M268" s="127"/>
      <c r="N268" s="127"/>
      <c r="O268" s="127"/>
      <c r="P268" s="127"/>
      <c r="Q268" s="127"/>
      <c r="R268" s="127"/>
      <c r="S268" s="127"/>
      <c r="T268" s="127"/>
      <c r="U268" s="127"/>
      <c r="V268" s="127"/>
      <c r="W268" s="127"/>
      <c r="X268" s="127"/>
      <c r="Y268" s="127"/>
      <c r="Z268" s="127"/>
      <c r="AA268" s="127"/>
      <c r="AB268" s="127"/>
      <c r="AC268" s="127"/>
      <c r="AD268" s="127"/>
      <c r="AE268" s="127"/>
      <c r="AF268" s="127"/>
      <c r="AG268" s="127"/>
      <c r="AH268" s="53">
        <f t="shared" ref="AH268:AH278" si="52">SUM(C268:AG268)</f>
        <v>0</v>
      </c>
    </row>
    <row r="269" spans="1:34" ht="15">
      <c r="A269" s="143" t="s">
        <v>77</v>
      </c>
      <c r="B269" s="18">
        <f t="shared" si="51"/>
        <v>0</v>
      </c>
      <c r="C269" s="127"/>
      <c r="D269" s="127"/>
      <c r="E269" s="127"/>
      <c r="F269" s="127"/>
      <c r="G269" s="127"/>
      <c r="H269" s="112"/>
      <c r="I269" s="112"/>
      <c r="J269" s="112"/>
      <c r="K269" s="112"/>
      <c r="L269" s="112"/>
      <c r="M269" s="112"/>
      <c r="N269" s="112"/>
      <c r="O269" s="112"/>
      <c r="P269" s="112"/>
      <c r="Q269" s="112"/>
      <c r="R269" s="112"/>
      <c r="S269" s="18"/>
      <c r="T269" s="18"/>
      <c r="U269" s="18"/>
      <c r="V269" s="18"/>
      <c r="W269" s="18"/>
      <c r="X269" s="18"/>
      <c r="Y269" s="18"/>
      <c r="Z269" s="18"/>
      <c r="AA269" s="18"/>
      <c r="AB269" s="18"/>
      <c r="AC269" s="1930"/>
      <c r="AD269" s="1930"/>
      <c r="AE269" s="1930"/>
      <c r="AF269" s="1930"/>
      <c r="AG269" s="1930"/>
      <c r="AH269" s="53">
        <f t="shared" si="52"/>
        <v>0</v>
      </c>
    </row>
    <row r="270" spans="1:34" ht="15">
      <c r="A270" s="143" t="s">
        <v>78</v>
      </c>
      <c r="B270" s="18">
        <f t="shared" si="51"/>
        <v>0</v>
      </c>
      <c r="C270" s="1930"/>
      <c r="D270" s="1930"/>
      <c r="E270" s="1930"/>
      <c r="F270" s="1930"/>
      <c r="G270" s="1930"/>
      <c r="H270" s="1930"/>
      <c r="I270" s="1930"/>
      <c r="J270" s="1930"/>
      <c r="K270" s="1930"/>
      <c r="L270" s="1287"/>
      <c r="M270" s="1287"/>
      <c r="N270" s="1287"/>
      <c r="O270" s="1287"/>
      <c r="P270" s="1287"/>
      <c r="Q270" s="1287"/>
      <c r="R270" s="1287"/>
      <c r="S270" s="1287"/>
      <c r="T270" s="1287"/>
      <c r="U270" s="1287"/>
      <c r="V270" s="1287"/>
      <c r="W270" s="1287"/>
      <c r="X270" s="1287"/>
      <c r="Y270" s="1287"/>
      <c r="Z270" s="1287"/>
      <c r="AA270" s="1287"/>
      <c r="AB270" s="1287"/>
      <c r="AC270" s="1287"/>
      <c r="AD270" s="1287"/>
      <c r="AE270" s="1287"/>
      <c r="AF270" s="1287"/>
      <c r="AG270" s="1287"/>
      <c r="AH270" s="53">
        <f t="shared" si="52"/>
        <v>0</v>
      </c>
    </row>
    <row r="271" spans="1:34" s="83" customFormat="1" ht="15">
      <c r="A271" s="132" t="s">
        <v>79</v>
      </c>
      <c r="B271" s="18">
        <f t="shared" si="51"/>
        <v>0</v>
      </c>
      <c r="C271" s="1287"/>
      <c r="D271" s="1287"/>
      <c r="E271" s="1287"/>
      <c r="F271" s="1287"/>
      <c r="G271" s="1287"/>
      <c r="H271" s="1287"/>
      <c r="I271" s="1287"/>
      <c r="J271" s="1287"/>
      <c r="K271" s="1287"/>
      <c r="L271" s="1287"/>
      <c r="M271" s="1287"/>
      <c r="N271" s="1287"/>
      <c r="O271" s="1287"/>
      <c r="P271" s="1287"/>
      <c r="Q271" s="1287"/>
      <c r="R271" s="1287"/>
      <c r="S271" s="1287"/>
      <c r="T271" s="1287"/>
      <c r="U271" s="1287"/>
      <c r="V271" s="1287"/>
      <c r="W271" s="1287"/>
      <c r="X271" s="1287"/>
      <c r="Y271" s="1287"/>
      <c r="Z271" s="1287"/>
      <c r="AA271" s="1287"/>
      <c r="AB271" s="1287"/>
      <c r="AC271" s="1287"/>
      <c r="AD271" s="1287"/>
      <c r="AE271" s="1287"/>
      <c r="AF271" s="1287"/>
      <c r="AG271" s="1287"/>
      <c r="AH271" s="53">
        <f t="shared" si="52"/>
        <v>0</v>
      </c>
    </row>
    <row r="272" spans="1:34" ht="15">
      <c r="A272" s="132" t="s">
        <v>80</v>
      </c>
      <c r="B272" s="18">
        <f t="shared" si="51"/>
        <v>0</v>
      </c>
      <c r="C272" s="1287"/>
      <c r="D272" s="1287"/>
      <c r="E272" s="1287"/>
      <c r="F272" s="1287"/>
      <c r="G272" s="1287"/>
      <c r="H272" s="1287"/>
      <c r="I272" s="1287"/>
      <c r="J272" s="1287"/>
      <c r="K272" s="1287"/>
      <c r="L272" s="1287"/>
      <c r="M272" s="1287"/>
      <c r="N272" s="1287"/>
      <c r="O272" s="1287"/>
      <c r="P272" s="1287"/>
      <c r="Q272" s="1287"/>
      <c r="R272" s="1287"/>
      <c r="S272" s="1287"/>
      <c r="T272" s="1287"/>
      <c r="U272" s="1287"/>
      <c r="V272" s="1287"/>
      <c r="W272" s="1287"/>
      <c r="X272" s="1287"/>
      <c r="Y272" s="1287"/>
      <c r="Z272" s="1287"/>
      <c r="AA272" s="1287"/>
      <c r="AB272" s="1287"/>
      <c r="AC272" s="1287"/>
      <c r="AD272" s="1287"/>
      <c r="AE272" s="1287"/>
      <c r="AF272" s="1287"/>
      <c r="AG272" s="1287"/>
      <c r="AH272" s="53">
        <f t="shared" si="52"/>
        <v>0</v>
      </c>
    </row>
    <row r="273" spans="1:34" ht="15">
      <c r="A273" s="132" t="s">
        <v>81</v>
      </c>
      <c r="B273" s="18">
        <f t="shared" si="51"/>
        <v>0</v>
      </c>
      <c r="C273" s="1287"/>
      <c r="D273" s="1488"/>
      <c r="E273" s="1488"/>
      <c r="F273" s="1488"/>
      <c r="G273" s="1287"/>
      <c r="H273" s="1287"/>
      <c r="I273" s="1287"/>
      <c r="J273" s="2466"/>
      <c r="K273" s="2466"/>
      <c r="L273" s="1488"/>
      <c r="M273" s="1488"/>
      <c r="N273" s="1488"/>
      <c r="O273" s="1488"/>
      <c r="P273" s="1488"/>
      <c r="Q273" s="1488"/>
      <c r="R273" s="1488"/>
      <c r="S273" s="1488"/>
      <c r="T273" s="1488"/>
      <c r="U273" s="1488"/>
      <c r="V273" s="1488"/>
      <c r="W273" s="688"/>
      <c r="X273" s="688"/>
      <c r="Y273" s="688"/>
      <c r="Z273" s="688"/>
      <c r="AA273" s="688"/>
      <c r="AB273" s="688"/>
      <c r="AC273" s="688"/>
      <c r="AD273" s="688"/>
      <c r="AE273" s="688"/>
      <c r="AF273" s="688" t="s">
        <v>111</v>
      </c>
      <c r="AG273" s="688" t="s">
        <v>111</v>
      </c>
      <c r="AH273" s="53">
        <f t="shared" si="52"/>
        <v>0</v>
      </c>
    </row>
    <row r="274" spans="1:34" s="83" customFormat="1" ht="15">
      <c r="A274" s="132" t="s">
        <v>82</v>
      </c>
      <c r="B274" s="18">
        <f t="shared" si="51"/>
        <v>0</v>
      </c>
      <c r="C274" s="688" t="s">
        <v>111</v>
      </c>
      <c r="D274" s="688" t="s">
        <v>111</v>
      </c>
      <c r="E274" s="688" t="s">
        <v>111</v>
      </c>
      <c r="F274" s="688" t="s">
        <v>111</v>
      </c>
      <c r="G274" s="688" t="s">
        <v>111</v>
      </c>
      <c r="H274" s="688" t="s">
        <v>111</v>
      </c>
      <c r="I274" s="688" t="s">
        <v>111</v>
      </c>
      <c r="J274" s="688" t="s">
        <v>111</v>
      </c>
      <c r="K274" s="688" t="s">
        <v>111</v>
      </c>
      <c r="L274" s="688" t="s">
        <v>111</v>
      </c>
      <c r="M274" s="688" t="s">
        <v>111</v>
      </c>
      <c r="N274" s="688" t="s">
        <v>111</v>
      </c>
      <c r="O274" s="688" t="s">
        <v>111</v>
      </c>
      <c r="P274" s="688" t="s">
        <v>111</v>
      </c>
      <c r="Q274" s="688" t="s">
        <v>111</v>
      </c>
      <c r="R274" s="688" t="s">
        <v>111</v>
      </c>
      <c r="S274" s="688" t="s">
        <v>111</v>
      </c>
      <c r="T274" s="688" t="s">
        <v>111</v>
      </c>
      <c r="U274" s="688" t="s">
        <v>111</v>
      </c>
      <c r="V274" s="688" t="s">
        <v>111</v>
      </c>
      <c r="W274" s="688" t="s">
        <v>111</v>
      </c>
      <c r="X274" s="688" t="s">
        <v>111</v>
      </c>
      <c r="Y274" s="688" t="s">
        <v>111</v>
      </c>
      <c r="Z274" s="688" t="s">
        <v>111</v>
      </c>
      <c r="AA274" s="688" t="s">
        <v>111</v>
      </c>
      <c r="AB274" s="688" t="s">
        <v>111</v>
      </c>
      <c r="AC274" s="688" t="s">
        <v>111</v>
      </c>
      <c r="AD274" s="688" t="s">
        <v>111</v>
      </c>
      <c r="AE274" s="688" t="s">
        <v>111</v>
      </c>
      <c r="AF274" s="688" t="s">
        <v>111</v>
      </c>
      <c r="AG274" s="688" t="s">
        <v>111</v>
      </c>
      <c r="AH274" s="53">
        <f t="shared" si="52"/>
        <v>0</v>
      </c>
    </row>
    <row r="275" spans="1:34" ht="15">
      <c r="A275" s="128" t="s">
        <v>83</v>
      </c>
      <c r="B275" s="18">
        <f t="shared" si="51"/>
        <v>0</v>
      </c>
      <c r="C275" s="688" t="s">
        <v>111</v>
      </c>
      <c r="D275" s="688" t="s">
        <v>111</v>
      </c>
      <c r="E275" s="688" t="s">
        <v>111</v>
      </c>
      <c r="F275" s="688" t="s">
        <v>111</v>
      </c>
      <c r="G275" s="688" t="s">
        <v>111</v>
      </c>
      <c r="H275" s="688" t="s">
        <v>111</v>
      </c>
      <c r="I275" s="688" t="s">
        <v>111</v>
      </c>
      <c r="J275" s="688" t="s">
        <v>111</v>
      </c>
      <c r="K275" s="688" t="s">
        <v>111</v>
      </c>
      <c r="L275" s="688" t="s">
        <v>111</v>
      </c>
      <c r="M275" s="688" t="s">
        <v>111</v>
      </c>
      <c r="N275" s="688" t="s">
        <v>111</v>
      </c>
      <c r="O275" s="688" t="s">
        <v>111</v>
      </c>
      <c r="P275" s="688" t="s">
        <v>111</v>
      </c>
      <c r="Q275" s="688" t="s">
        <v>111</v>
      </c>
      <c r="R275" s="688" t="s">
        <v>111</v>
      </c>
      <c r="S275" s="688" t="s">
        <v>111</v>
      </c>
      <c r="T275" s="688" t="s">
        <v>111</v>
      </c>
      <c r="U275" s="688" t="s">
        <v>111</v>
      </c>
      <c r="V275" s="688" t="s">
        <v>111</v>
      </c>
      <c r="W275" s="688" t="s">
        <v>111</v>
      </c>
      <c r="X275" s="688" t="s">
        <v>111</v>
      </c>
      <c r="Y275" s="688" t="s">
        <v>111</v>
      </c>
      <c r="Z275" s="688" t="s">
        <v>111</v>
      </c>
      <c r="AA275" s="688" t="s">
        <v>111</v>
      </c>
      <c r="AB275" s="688" t="s">
        <v>111</v>
      </c>
      <c r="AC275" s="688" t="s">
        <v>111</v>
      </c>
      <c r="AD275" s="688" t="s">
        <v>111</v>
      </c>
      <c r="AE275" s="688" t="s">
        <v>111</v>
      </c>
      <c r="AF275" s="688" t="s">
        <v>111</v>
      </c>
      <c r="AG275" s="688" t="s">
        <v>111</v>
      </c>
      <c r="AH275" s="53">
        <f t="shared" si="52"/>
        <v>0</v>
      </c>
    </row>
    <row r="276" spans="1:34" ht="15">
      <c r="A276" s="128" t="s">
        <v>84</v>
      </c>
      <c r="B276" s="18">
        <f t="shared" si="51"/>
        <v>0</v>
      </c>
      <c r="C276" s="688" t="s">
        <v>111</v>
      </c>
      <c r="D276" s="688" t="s">
        <v>111</v>
      </c>
      <c r="E276" s="688" t="s">
        <v>111</v>
      </c>
      <c r="F276" s="688" t="s">
        <v>111</v>
      </c>
      <c r="G276" s="688" t="s">
        <v>111</v>
      </c>
      <c r="H276" s="688" t="s">
        <v>111</v>
      </c>
      <c r="I276" s="688" t="s">
        <v>111</v>
      </c>
      <c r="J276" s="688" t="s">
        <v>111</v>
      </c>
      <c r="K276" s="688" t="s">
        <v>111</v>
      </c>
      <c r="L276" s="688" t="s">
        <v>111</v>
      </c>
      <c r="M276" s="688" t="s">
        <v>111</v>
      </c>
      <c r="N276" s="688" t="s">
        <v>111</v>
      </c>
      <c r="O276" s="688" t="s">
        <v>111</v>
      </c>
      <c r="P276" s="688" t="s">
        <v>111</v>
      </c>
      <c r="Q276" s="688" t="s">
        <v>111</v>
      </c>
      <c r="R276" s="688" t="s">
        <v>111</v>
      </c>
      <c r="S276" s="688" t="s">
        <v>111</v>
      </c>
      <c r="T276" s="688" t="s">
        <v>111</v>
      </c>
      <c r="U276" s="688" t="s">
        <v>111</v>
      </c>
      <c r="V276" s="688" t="s">
        <v>111</v>
      </c>
      <c r="W276" s="688" t="s">
        <v>111</v>
      </c>
      <c r="X276" s="1287"/>
      <c r="Y276" s="1287"/>
      <c r="Z276" s="1287"/>
      <c r="AA276" s="1287"/>
      <c r="AB276" s="1287"/>
      <c r="AC276" s="1287"/>
      <c r="AD276" s="1287"/>
      <c r="AE276" s="1488"/>
      <c r="AF276" s="1287"/>
      <c r="AG276" s="1488"/>
      <c r="AH276" s="53">
        <f t="shared" si="52"/>
        <v>0</v>
      </c>
    </row>
    <row r="277" spans="1:34" ht="15">
      <c r="A277" s="128" t="s">
        <v>85</v>
      </c>
      <c r="B277" s="18">
        <f t="shared" si="51"/>
        <v>0</v>
      </c>
      <c r="C277" s="1287"/>
      <c r="D277" s="1287"/>
      <c r="E277" s="1287"/>
      <c r="F277" s="1287"/>
      <c r="G277" s="1433"/>
      <c r="H277" s="1287"/>
      <c r="I277" s="1287"/>
      <c r="J277" s="1287"/>
      <c r="K277" s="1287"/>
      <c r="L277" s="1287"/>
      <c r="M277" s="1287"/>
      <c r="N277" s="1287"/>
      <c r="O277" s="1287"/>
      <c r="P277" s="1287"/>
      <c r="Q277" s="1287"/>
      <c r="R277" s="1287"/>
      <c r="S277" s="1287"/>
      <c r="T277" s="1287"/>
      <c r="U277" s="1287"/>
      <c r="V277" s="1287"/>
      <c r="W277" s="1287"/>
      <c r="X277" s="1287"/>
      <c r="Y277" s="1433"/>
      <c r="Z277" s="1287"/>
      <c r="AA277" s="1287"/>
      <c r="AB277" s="1287"/>
      <c r="AC277" s="1287"/>
      <c r="AD277" s="1287"/>
      <c r="AE277" s="1488"/>
      <c r="AF277" s="1287"/>
      <c r="AG277" s="1488"/>
      <c r="AH277" s="53">
        <f t="shared" si="52"/>
        <v>0</v>
      </c>
    </row>
    <row r="278" spans="1:34" ht="15">
      <c r="A278" s="128" t="s">
        <v>86</v>
      </c>
      <c r="B278" s="18">
        <f t="shared" si="51"/>
        <v>0</v>
      </c>
      <c r="C278" s="1287"/>
      <c r="D278" s="1287"/>
      <c r="E278" s="1287"/>
      <c r="F278" s="1287"/>
      <c r="G278" s="1287"/>
      <c r="H278" s="1287"/>
      <c r="I278" s="1287"/>
      <c r="J278" s="1287"/>
      <c r="K278" s="1287"/>
      <c r="L278" s="1287"/>
      <c r="M278" s="1287"/>
      <c r="N278" s="1287"/>
      <c r="O278" s="1287"/>
      <c r="P278" s="1287"/>
      <c r="Q278" s="1287"/>
      <c r="R278" s="1287"/>
      <c r="S278" s="1287"/>
      <c r="T278" s="1287"/>
      <c r="U278" s="1287"/>
      <c r="V278" s="1287"/>
      <c r="W278" s="1287"/>
      <c r="X278" s="1287"/>
      <c r="Y278" s="1287"/>
      <c r="Z278" s="1287"/>
      <c r="AA278" s="1287"/>
      <c r="AB278" s="1287"/>
      <c r="AC278" s="1287"/>
      <c r="AD278" s="1287"/>
      <c r="AE278" s="1287"/>
      <c r="AF278" s="1287"/>
      <c r="AG278" s="1287"/>
      <c r="AH278" s="53">
        <f t="shared" si="52"/>
        <v>0</v>
      </c>
    </row>
    <row r="279" spans="1:34" ht="15">
      <c r="A279" s="88" t="s">
        <v>74</v>
      </c>
      <c r="B279" s="92">
        <f>SUM(B267:B278)</f>
        <v>0</v>
      </c>
      <c r="C279" s="46">
        <f>SUM(C267:C277)</f>
        <v>0</v>
      </c>
      <c r="D279" s="53">
        <f>SUM(D267:D277)</f>
        <v>0</v>
      </c>
      <c r="E279" s="53">
        <v>0</v>
      </c>
      <c r="F279" s="53">
        <f t="shared" ref="F279:AC279" si="53">SUM(F267:F277)</f>
        <v>0</v>
      </c>
      <c r="G279" s="53">
        <f t="shared" si="53"/>
        <v>0</v>
      </c>
      <c r="H279" s="53">
        <f t="shared" si="53"/>
        <v>0</v>
      </c>
      <c r="I279" s="53">
        <f t="shared" si="53"/>
        <v>0</v>
      </c>
      <c r="J279" s="53">
        <f t="shared" si="53"/>
        <v>0</v>
      </c>
      <c r="K279" s="53">
        <f t="shared" si="53"/>
        <v>0</v>
      </c>
      <c r="L279" s="53">
        <f t="shared" si="53"/>
        <v>0</v>
      </c>
      <c r="M279" s="53">
        <f t="shared" si="53"/>
        <v>0</v>
      </c>
      <c r="N279" s="53">
        <f t="shared" si="53"/>
        <v>0</v>
      </c>
      <c r="O279" s="53">
        <f t="shared" si="53"/>
        <v>0</v>
      </c>
      <c r="P279" s="53">
        <f t="shared" si="53"/>
        <v>0</v>
      </c>
      <c r="Q279" s="53">
        <f t="shared" si="53"/>
        <v>0</v>
      </c>
      <c r="R279" s="53">
        <f t="shared" si="53"/>
        <v>0</v>
      </c>
      <c r="S279" s="53">
        <f t="shared" si="53"/>
        <v>0</v>
      </c>
      <c r="T279" s="53">
        <f t="shared" si="53"/>
        <v>0</v>
      </c>
      <c r="U279" s="53">
        <f t="shared" si="53"/>
        <v>0</v>
      </c>
      <c r="V279" s="53">
        <f t="shared" si="53"/>
        <v>0</v>
      </c>
      <c r="W279" s="53">
        <f t="shared" si="53"/>
        <v>0</v>
      </c>
      <c r="X279" s="53">
        <f t="shared" si="53"/>
        <v>0</v>
      </c>
      <c r="Y279" s="53">
        <f t="shared" si="53"/>
        <v>0</v>
      </c>
      <c r="Z279" s="53">
        <f t="shared" si="53"/>
        <v>0</v>
      </c>
      <c r="AA279" s="53">
        <f t="shared" si="53"/>
        <v>0</v>
      </c>
      <c r="AB279" s="53">
        <f t="shared" si="53"/>
        <v>0</v>
      </c>
      <c r="AC279" s="53">
        <f t="shared" si="53"/>
        <v>0</v>
      </c>
      <c r="AD279" s="53">
        <v>0</v>
      </c>
      <c r="AE279" s="53">
        <f>SUM(AE267:AE277)</f>
        <v>0</v>
      </c>
      <c r="AF279" s="53">
        <f>SUM(AF267:AF277)</f>
        <v>0</v>
      </c>
      <c r="AG279" s="53">
        <f>SUM(AG267:AG277)</f>
        <v>0</v>
      </c>
      <c r="AH279" s="46">
        <f>SUM(AH267:AH277)</f>
        <v>0</v>
      </c>
    </row>
    <row r="280" spans="1:34" ht="14.25" customHeight="1">
      <c r="A280" s="14"/>
      <c r="B280" s="14"/>
      <c r="C280" s="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
    </row>
    <row r="281" spans="1:34" ht="15">
      <c r="A281" s="3569" t="s">
        <v>125</v>
      </c>
      <c r="B281" s="3570"/>
      <c r="C281" s="3570"/>
      <c r="D281" s="3570"/>
      <c r="E281" s="3570"/>
      <c r="F281" s="3570"/>
      <c r="G281" s="3570"/>
      <c r="H281" s="3571"/>
      <c r="I281" s="1433"/>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row>
    <row r="282" spans="1:34" ht="15">
      <c r="A282" s="5" t="s">
        <v>72</v>
      </c>
      <c r="B282" s="5" t="s">
        <v>73</v>
      </c>
      <c r="C282" s="1449">
        <v>1</v>
      </c>
      <c r="D282" s="30">
        <v>2</v>
      </c>
      <c r="E282" s="30">
        <v>3</v>
      </c>
      <c r="F282" s="30">
        <v>4</v>
      </c>
      <c r="G282" s="30">
        <v>5</v>
      </c>
      <c r="H282" s="30">
        <v>6</v>
      </c>
      <c r="I282" s="30">
        <v>7</v>
      </c>
      <c r="J282" s="30">
        <v>8</v>
      </c>
      <c r="K282" s="30">
        <v>9</v>
      </c>
      <c r="L282" s="30">
        <v>10</v>
      </c>
      <c r="M282" s="30">
        <v>11</v>
      </c>
      <c r="N282" s="30">
        <v>12</v>
      </c>
      <c r="O282" s="30">
        <v>13</v>
      </c>
      <c r="P282" s="30">
        <v>14</v>
      </c>
      <c r="Q282" s="30">
        <v>15</v>
      </c>
      <c r="R282" s="30">
        <v>16</v>
      </c>
      <c r="S282" s="30">
        <v>17</v>
      </c>
      <c r="T282" s="30">
        <v>18</v>
      </c>
      <c r="U282" s="30">
        <v>19</v>
      </c>
      <c r="V282" s="30">
        <v>20</v>
      </c>
      <c r="W282" s="30">
        <v>21</v>
      </c>
      <c r="X282" s="30">
        <v>22</v>
      </c>
      <c r="Y282" s="30">
        <v>23</v>
      </c>
      <c r="Z282" s="30">
        <v>24</v>
      </c>
      <c r="AA282" s="30">
        <v>25</v>
      </c>
      <c r="AB282" s="30">
        <v>26</v>
      </c>
      <c r="AC282" s="30">
        <v>27</v>
      </c>
      <c r="AD282" s="30">
        <v>28</v>
      </c>
      <c r="AE282" s="30">
        <v>29</v>
      </c>
      <c r="AF282" s="30">
        <v>30</v>
      </c>
      <c r="AG282" s="30">
        <v>31</v>
      </c>
      <c r="AH282" s="39" t="s">
        <v>74</v>
      </c>
    </row>
    <row r="283" spans="1:34" ht="15">
      <c r="A283" s="143" t="s">
        <v>75</v>
      </c>
      <c r="B283" s="18">
        <f t="shared" ref="B283:B294" si="54">+AH283</f>
        <v>0</v>
      </c>
      <c r="C283" s="81" t="s">
        <v>111</v>
      </c>
      <c r="D283" s="81" t="s">
        <v>111</v>
      </c>
      <c r="E283" s="81" t="s">
        <v>111</v>
      </c>
      <c r="F283" s="81" t="s">
        <v>111</v>
      </c>
      <c r="G283" s="81" t="s">
        <v>111</v>
      </c>
      <c r="H283" s="81" t="s">
        <v>111</v>
      </c>
      <c r="I283" s="81" t="s">
        <v>111</v>
      </c>
      <c r="J283" s="81" t="s">
        <v>111</v>
      </c>
      <c r="K283" s="81" t="s">
        <v>111</v>
      </c>
      <c r="L283" s="81" t="s">
        <v>111</v>
      </c>
      <c r="M283" s="81" t="s">
        <v>111</v>
      </c>
      <c r="N283" s="81" t="s">
        <v>111</v>
      </c>
      <c r="O283" s="81" t="s">
        <v>111</v>
      </c>
      <c r="P283" s="81" t="s">
        <v>111</v>
      </c>
      <c r="Q283" s="81" t="s">
        <v>111</v>
      </c>
      <c r="R283" s="81" t="s">
        <v>111</v>
      </c>
      <c r="S283" s="81" t="s">
        <v>111</v>
      </c>
      <c r="T283" s="81" t="s">
        <v>111</v>
      </c>
      <c r="U283" s="81" t="s">
        <v>111</v>
      </c>
      <c r="V283" s="81" t="s">
        <v>111</v>
      </c>
      <c r="W283" s="81" t="s">
        <v>111</v>
      </c>
      <c r="X283" s="81" t="s">
        <v>111</v>
      </c>
      <c r="Y283" s="81" t="s">
        <v>111</v>
      </c>
      <c r="Z283" s="81" t="s">
        <v>111</v>
      </c>
      <c r="AA283" s="81" t="s">
        <v>111</v>
      </c>
      <c r="AB283" s="81" t="s">
        <v>111</v>
      </c>
      <c r="AC283" s="81" t="s">
        <v>111</v>
      </c>
      <c r="AD283" s="81" t="s">
        <v>111</v>
      </c>
      <c r="AE283" s="81" t="s">
        <v>111</v>
      </c>
      <c r="AF283" s="81" t="s">
        <v>111</v>
      </c>
      <c r="AG283" s="81" t="s">
        <v>111</v>
      </c>
      <c r="AH283" s="53">
        <f>SUM(C283:AG283)</f>
        <v>0</v>
      </c>
    </row>
    <row r="284" spans="1:34" ht="15">
      <c r="A284" s="143" t="s">
        <v>76</v>
      </c>
      <c r="B284" s="18">
        <f t="shared" si="54"/>
        <v>543.16599999999994</v>
      </c>
      <c r="C284" s="81" t="s">
        <v>111</v>
      </c>
      <c r="D284" s="81" t="s">
        <v>111</v>
      </c>
      <c r="E284" s="81" t="s">
        <v>111</v>
      </c>
      <c r="F284" s="81" t="s">
        <v>111</v>
      </c>
      <c r="G284" s="81" t="s">
        <v>111</v>
      </c>
      <c r="H284" s="81" t="s">
        <v>111</v>
      </c>
      <c r="I284" s="81" t="s">
        <v>111</v>
      </c>
      <c r="J284" s="112"/>
      <c r="K284" s="112">
        <v>61.48</v>
      </c>
      <c r="L284" s="112"/>
      <c r="M284" s="112"/>
      <c r="N284" s="112"/>
      <c r="O284" s="112">
        <v>53.164999999999999</v>
      </c>
      <c r="P284" s="112">
        <v>60.334000000000003</v>
      </c>
      <c r="Q284" s="112">
        <v>11.6</v>
      </c>
      <c r="R284" s="112">
        <v>0</v>
      </c>
      <c r="S284" s="112">
        <v>0</v>
      </c>
      <c r="T284" s="112">
        <v>103.06699999999999</v>
      </c>
      <c r="U284" s="112">
        <v>0</v>
      </c>
      <c r="V284" s="112">
        <v>0</v>
      </c>
      <c r="W284" s="112">
        <v>0</v>
      </c>
      <c r="X284" s="112">
        <v>0</v>
      </c>
      <c r="Y284" s="112">
        <v>0</v>
      </c>
      <c r="Z284" s="112">
        <v>0</v>
      </c>
      <c r="AA284" s="112">
        <v>57.91</v>
      </c>
      <c r="AB284" s="112">
        <v>46.572000000000003</v>
      </c>
      <c r="AC284" s="112">
        <v>22.527999999999999</v>
      </c>
      <c r="AD284" s="112">
        <v>126.51</v>
      </c>
      <c r="AE284" s="112"/>
      <c r="AF284" s="112"/>
      <c r="AG284" s="112"/>
      <c r="AH284" s="53">
        <f t="shared" ref="AH284:AH294" si="55">SUM(C284:AG284)</f>
        <v>543.16599999999994</v>
      </c>
    </row>
    <row r="285" spans="1:34" ht="15">
      <c r="A285" s="143" t="s">
        <v>77</v>
      </c>
      <c r="B285" s="18">
        <f t="shared" si="54"/>
        <v>663.77399999999989</v>
      </c>
      <c r="C285" s="112">
        <v>34</v>
      </c>
      <c r="D285" s="112">
        <v>90.155000000000001</v>
      </c>
      <c r="E285" s="112">
        <v>0</v>
      </c>
      <c r="F285" s="112">
        <v>9.5050000000000008</v>
      </c>
      <c r="G285" s="112">
        <v>64.141000000000005</v>
      </c>
      <c r="H285" s="118">
        <v>69.013000000000005</v>
      </c>
      <c r="I285" s="118">
        <v>0</v>
      </c>
      <c r="J285" s="53">
        <v>0</v>
      </c>
      <c r="K285" s="53">
        <v>0</v>
      </c>
      <c r="L285" s="53">
        <v>0</v>
      </c>
      <c r="M285" s="53">
        <v>68.935000000000002</v>
      </c>
      <c r="N285" s="53">
        <v>125.923</v>
      </c>
      <c r="O285" s="53">
        <v>0</v>
      </c>
      <c r="P285" s="53">
        <v>94.691999999999993</v>
      </c>
      <c r="Q285" s="53">
        <v>42.3</v>
      </c>
      <c r="R285" s="53">
        <v>0</v>
      </c>
      <c r="S285" s="53">
        <v>0</v>
      </c>
      <c r="T285" s="53">
        <v>0</v>
      </c>
      <c r="U285" s="53">
        <v>0</v>
      </c>
      <c r="V285" s="53">
        <v>0</v>
      </c>
      <c r="W285" s="53">
        <v>0</v>
      </c>
      <c r="X285" s="53">
        <v>65.11</v>
      </c>
      <c r="Y285" s="53"/>
      <c r="Z285" s="53"/>
      <c r="AA285" s="53"/>
      <c r="AB285" s="53"/>
      <c r="AC285" s="1287"/>
      <c r="AD285" s="1287"/>
      <c r="AE285" s="1287"/>
      <c r="AF285" s="1287"/>
      <c r="AG285" s="1287"/>
      <c r="AH285" s="53">
        <f t="shared" si="55"/>
        <v>663.77399999999989</v>
      </c>
    </row>
    <row r="286" spans="1:34" ht="15">
      <c r="A286" s="143" t="s">
        <v>78</v>
      </c>
      <c r="B286" s="18">
        <f t="shared" si="54"/>
        <v>286.16899999999998</v>
      </c>
      <c r="C286" s="18">
        <v>0</v>
      </c>
      <c r="D286" s="18">
        <v>0</v>
      </c>
      <c r="E286" s="18">
        <v>0</v>
      </c>
      <c r="F286" s="18">
        <v>0</v>
      </c>
      <c r="G286" s="18">
        <v>0</v>
      </c>
      <c r="H286" s="18">
        <v>0</v>
      </c>
      <c r="I286" s="18">
        <v>0</v>
      </c>
      <c r="J286" s="18">
        <v>50.322000000000003</v>
      </c>
      <c r="K286" s="18">
        <v>37.753</v>
      </c>
      <c r="L286" s="53">
        <v>0</v>
      </c>
      <c r="M286" s="53">
        <v>0</v>
      </c>
      <c r="N286" s="53">
        <v>36.552</v>
      </c>
      <c r="O286" s="53">
        <v>0</v>
      </c>
      <c r="P286" s="53">
        <v>0</v>
      </c>
      <c r="Q286" s="53">
        <v>0</v>
      </c>
      <c r="R286" s="53">
        <v>0</v>
      </c>
      <c r="S286" s="53">
        <v>0</v>
      </c>
      <c r="T286" s="53">
        <v>19.738</v>
      </c>
      <c r="U286" s="53">
        <v>0</v>
      </c>
      <c r="V286" s="53">
        <v>0</v>
      </c>
      <c r="W286" s="53">
        <v>0</v>
      </c>
      <c r="X286" s="53">
        <v>0</v>
      </c>
      <c r="Y286" s="53">
        <v>99.942999999999998</v>
      </c>
      <c r="Z286" s="53">
        <v>3.8159999999999998</v>
      </c>
      <c r="AA286" s="53">
        <v>0</v>
      </c>
      <c r="AB286" s="53">
        <v>0</v>
      </c>
      <c r="AC286" s="53">
        <v>0</v>
      </c>
      <c r="AD286" s="53">
        <v>38.045000000000002</v>
      </c>
      <c r="AE286" s="53">
        <v>0</v>
      </c>
      <c r="AF286" s="53">
        <v>0</v>
      </c>
      <c r="AG286" s="53"/>
      <c r="AH286" s="53">
        <f t="shared" si="55"/>
        <v>286.16899999999998</v>
      </c>
    </row>
    <row r="287" spans="1:34" ht="15">
      <c r="A287" s="132" t="s">
        <v>79</v>
      </c>
      <c r="B287" s="18">
        <f t="shared" si="54"/>
        <v>576.67100000000005</v>
      </c>
      <c r="C287" s="18">
        <v>0</v>
      </c>
      <c r="D287" s="18">
        <v>0</v>
      </c>
      <c r="E287" s="18">
        <v>0</v>
      </c>
      <c r="F287" s="18">
        <v>0</v>
      </c>
      <c r="G287" s="18">
        <v>192.01400000000001</v>
      </c>
      <c r="H287" s="18">
        <v>101.28100000000001</v>
      </c>
      <c r="I287" s="18">
        <v>36.984999999999999</v>
      </c>
      <c r="J287" s="53">
        <v>7.5579999999999998</v>
      </c>
      <c r="K287" s="53">
        <v>0</v>
      </c>
      <c r="L287" s="53">
        <v>0</v>
      </c>
      <c r="M287" s="53">
        <v>55.213999999999999</v>
      </c>
      <c r="N287" s="53">
        <v>119.94499999999999</v>
      </c>
      <c r="O287" s="53">
        <v>0</v>
      </c>
      <c r="P287" s="53">
        <v>0</v>
      </c>
      <c r="Q287" s="53">
        <v>0</v>
      </c>
      <c r="R287" s="53">
        <v>6.3460000000000001</v>
      </c>
      <c r="S287" s="53">
        <v>0</v>
      </c>
      <c r="T287" s="53">
        <v>0</v>
      </c>
      <c r="U287" s="53">
        <v>0</v>
      </c>
      <c r="V287" s="53">
        <v>0</v>
      </c>
      <c r="W287" s="53">
        <v>0</v>
      </c>
      <c r="X287" s="53">
        <v>0</v>
      </c>
      <c r="Y287" s="53">
        <v>0</v>
      </c>
      <c r="Z287" s="53">
        <v>0</v>
      </c>
      <c r="AA287" s="53">
        <v>57.328000000000003</v>
      </c>
      <c r="AB287" s="53">
        <v>0</v>
      </c>
      <c r="AC287" s="53">
        <v>0</v>
      </c>
      <c r="AD287" s="53">
        <v>0</v>
      </c>
      <c r="AE287" s="53"/>
      <c r="AF287" s="53"/>
      <c r="AG287" s="53"/>
      <c r="AH287" s="53">
        <f t="shared" si="55"/>
        <v>576.67100000000005</v>
      </c>
    </row>
    <row r="288" spans="1:34" ht="15">
      <c r="A288" s="132" t="s">
        <v>80</v>
      </c>
      <c r="B288" s="18">
        <f t="shared" si="54"/>
        <v>130.32300000000001</v>
      </c>
      <c r="C288" s="46">
        <v>0</v>
      </c>
      <c r="D288" s="53">
        <v>0</v>
      </c>
      <c r="E288" s="53">
        <v>0</v>
      </c>
      <c r="F288" s="53">
        <v>0</v>
      </c>
      <c r="G288" s="53">
        <v>0</v>
      </c>
      <c r="H288" s="1287">
        <v>0</v>
      </c>
      <c r="I288" s="1287">
        <v>0</v>
      </c>
      <c r="J288" s="1287">
        <v>0</v>
      </c>
      <c r="K288" s="1287">
        <v>0</v>
      </c>
      <c r="L288" s="1287">
        <v>0</v>
      </c>
      <c r="M288" s="1287">
        <v>0</v>
      </c>
      <c r="N288" s="1287">
        <v>0</v>
      </c>
      <c r="O288" s="1287">
        <v>0</v>
      </c>
      <c r="P288" s="1287">
        <v>0</v>
      </c>
      <c r="Q288" s="1287">
        <v>0</v>
      </c>
      <c r="R288" s="1287">
        <v>52.648000000000003</v>
      </c>
      <c r="S288" s="1287">
        <v>0</v>
      </c>
      <c r="T288" s="1287">
        <v>0</v>
      </c>
      <c r="U288" s="1287">
        <v>35.061</v>
      </c>
      <c r="V288" s="1287">
        <v>0</v>
      </c>
      <c r="W288" s="1287">
        <v>0</v>
      </c>
      <c r="X288" s="1287">
        <v>0</v>
      </c>
      <c r="Y288" s="1488">
        <v>32.305</v>
      </c>
      <c r="Z288" s="1488">
        <v>0</v>
      </c>
      <c r="AA288" s="1488">
        <v>0</v>
      </c>
      <c r="AB288" s="1488">
        <v>10.308999999999999</v>
      </c>
      <c r="AC288" s="1488"/>
      <c r="AD288" s="1488"/>
      <c r="AE288" s="1488"/>
      <c r="AF288" s="1488"/>
      <c r="AG288" s="1488"/>
      <c r="AH288" s="53">
        <f t="shared" si="55"/>
        <v>130.32300000000001</v>
      </c>
    </row>
    <row r="289" spans="1:34" ht="15">
      <c r="A289" s="132" t="s">
        <v>81</v>
      </c>
      <c r="B289" s="18">
        <f t="shared" si="54"/>
        <v>148.21199999999999</v>
      </c>
      <c r="C289" s="1287">
        <v>0</v>
      </c>
      <c r="D289" s="1488">
        <v>0</v>
      </c>
      <c r="E289" s="1488">
        <v>0</v>
      </c>
      <c r="F289" s="1488">
        <v>0</v>
      </c>
      <c r="G289" s="1287">
        <v>0</v>
      </c>
      <c r="H289" s="1287">
        <v>37.311</v>
      </c>
      <c r="I289" s="1287">
        <v>0</v>
      </c>
      <c r="J289" s="2466">
        <v>0</v>
      </c>
      <c r="K289" s="2466">
        <v>0</v>
      </c>
      <c r="L289" s="1488">
        <v>0</v>
      </c>
      <c r="M289" s="1488">
        <v>24.664999999999999</v>
      </c>
      <c r="N289" s="1488">
        <v>0</v>
      </c>
      <c r="O289" s="1488">
        <v>0</v>
      </c>
      <c r="P289" s="1488">
        <v>0</v>
      </c>
      <c r="Q289" s="1488">
        <v>0.59699999999999998</v>
      </c>
      <c r="R289" s="1488">
        <v>0</v>
      </c>
      <c r="S289" s="1488">
        <v>0</v>
      </c>
      <c r="T289" s="1488">
        <v>0</v>
      </c>
      <c r="U289" s="1488">
        <v>0</v>
      </c>
      <c r="V289" s="1488">
        <v>0</v>
      </c>
      <c r="W289" s="2327">
        <v>0</v>
      </c>
      <c r="X289" s="2327">
        <v>8.1530000000000005</v>
      </c>
      <c r="Y289" s="2327">
        <v>0</v>
      </c>
      <c r="Z289" s="2327">
        <v>0</v>
      </c>
      <c r="AA289" s="2327">
        <v>0</v>
      </c>
      <c r="AB289" s="2327">
        <v>0</v>
      </c>
      <c r="AC289" s="2327">
        <v>0</v>
      </c>
      <c r="AD289" s="2327">
        <v>28.14</v>
      </c>
      <c r="AE289" s="2327">
        <v>13.135</v>
      </c>
      <c r="AF289" s="81">
        <v>36.210999999999999</v>
      </c>
      <c r="AG289" s="81" t="s">
        <v>112</v>
      </c>
      <c r="AH289" s="53">
        <f t="shared" si="55"/>
        <v>148.21199999999999</v>
      </c>
    </row>
    <row r="290" spans="1:34" ht="15">
      <c r="A290" s="132" t="s">
        <v>82</v>
      </c>
      <c r="B290" s="18">
        <f t="shared" si="54"/>
        <v>0</v>
      </c>
      <c r="C290" s="81" t="s">
        <v>112</v>
      </c>
      <c r="D290" s="81" t="s">
        <v>112</v>
      </c>
      <c r="E290" s="81" t="s">
        <v>112</v>
      </c>
      <c r="F290" s="81" t="s">
        <v>112</v>
      </c>
      <c r="G290" s="81" t="s">
        <v>112</v>
      </c>
      <c r="H290" s="81" t="s">
        <v>112</v>
      </c>
      <c r="I290" s="81" t="s">
        <v>112</v>
      </c>
      <c r="J290" s="81" t="s">
        <v>112</v>
      </c>
      <c r="K290" s="81" t="s">
        <v>112</v>
      </c>
      <c r="L290" s="81" t="s">
        <v>112</v>
      </c>
      <c r="M290" s="81" t="s">
        <v>112</v>
      </c>
      <c r="N290" s="81" t="s">
        <v>112</v>
      </c>
      <c r="O290" s="81" t="s">
        <v>112</v>
      </c>
      <c r="P290" s="81" t="s">
        <v>112</v>
      </c>
      <c r="Q290" s="81" t="s">
        <v>112</v>
      </c>
      <c r="R290" s="81" t="s">
        <v>112</v>
      </c>
      <c r="S290" s="81" t="s">
        <v>112</v>
      </c>
      <c r="T290" s="81" t="s">
        <v>112</v>
      </c>
      <c r="U290" s="81" t="s">
        <v>112</v>
      </c>
      <c r="V290" s="81" t="s">
        <v>112</v>
      </c>
      <c r="W290" s="81" t="s">
        <v>112</v>
      </c>
      <c r="X290" s="81" t="s">
        <v>112</v>
      </c>
      <c r="Y290" s="81" t="s">
        <v>112</v>
      </c>
      <c r="Z290" s="81" t="s">
        <v>112</v>
      </c>
      <c r="AA290" s="81" t="s">
        <v>112</v>
      </c>
      <c r="AB290" s="81" t="s">
        <v>112</v>
      </c>
      <c r="AC290" s="81" t="s">
        <v>112</v>
      </c>
      <c r="AD290" s="81" t="s">
        <v>112</v>
      </c>
      <c r="AE290" s="81" t="s">
        <v>112</v>
      </c>
      <c r="AF290" s="81" t="s">
        <v>112</v>
      </c>
      <c r="AG290" s="81" t="s">
        <v>112</v>
      </c>
      <c r="AH290" s="53">
        <f>SUM(C290:AG290)</f>
        <v>0</v>
      </c>
    </row>
    <row r="291" spans="1:34" ht="15">
      <c r="A291" s="128" t="s">
        <v>83</v>
      </c>
      <c r="B291" s="18">
        <f t="shared" si="54"/>
        <v>0</v>
      </c>
      <c r="C291" s="81" t="s">
        <v>112</v>
      </c>
      <c r="D291" s="81" t="s">
        <v>112</v>
      </c>
      <c r="E291" s="81" t="s">
        <v>112</v>
      </c>
      <c r="F291" s="81" t="s">
        <v>112</v>
      </c>
      <c r="G291" s="81" t="s">
        <v>112</v>
      </c>
      <c r="H291" s="81" t="s">
        <v>112</v>
      </c>
      <c r="I291" s="81" t="s">
        <v>112</v>
      </c>
      <c r="J291" s="81" t="s">
        <v>112</v>
      </c>
      <c r="K291" s="81" t="s">
        <v>112</v>
      </c>
      <c r="L291" s="81" t="s">
        <v>112</v>
      </c>
      <c r="M291" s="81" t="s">
        <v>112</v>
      </c>
      <c r="N291" s="81" t="s">
        <v>112</v>
      </c>
      <c r="O291" s="81" t="s">
        <v>112</v>
      </c>
      <c r="P291" s="81" t="s">
        <v>112</v>
      </c>
      <c r="Q291" s="81" t="s">
        <v>112</v>
      </c>
      <c r="R291" s="81" t="s">
        <v>112</v>
      </c>
      <c r="S291" s="81" t="s">
        <v>112</v>
      </c>
      <c r="T291" s="81" t="s">
        <v>112</v>
      </c>
      <c r="U291" s="81" t="s">
        <v>112</v>
      </c>
      <c r="V291" s="81" t="s">
        <v>112</v>
      </c>
      <c r="W291" s="81" t="s">
        <v>112</v>
      </c>
      <c r="X291" s="81" t="s">
        <v>112</v>
      </c>
      <c r="Y291" s="81" t="s">
        <v>112</v>
      </c>
      <c r="Z291" s="81" t="s">
        <v>112</v>
      </c>
      <c r="AA291" s="81" t="s">
        <v>112</v>
      </c>
      <c r="AB291" s="81" t="s">
        <v>112</v>
      </c>
      <c r="AC291" s="81" t="s">
        <v>112</v>
      </c>
      <c r="AD291" s="81" t="s">
        <v>112</v>
      </c>
      <c r="AE291" s="81" t="s">
        <v>112</v>
      </c>
      <c r="AF291" s="81" t="s">
        <v>112</v>
      </c>
      <c r="AG291" s="81" t="s">
        <v>112</v>
      </c>
      <c r="AH291" s="53">
        <f>SUM(C291:AG291)</f>
        <v>0</v>
      </c>
    </row>
    <row r="292" spans="1:34" ht="15">
      <c r="A292" s="128" t="s">
        <v>84</v>
      </c>
      <c r="B292" s="18">
        <f t="shared" si="54"/>
        <v>20.11</v>
      </c>
      <c r="C292" s="81" t="s">
        <v>112</v>
      </c>
      <c r="D292" s="81" t="s">
        <v>112</v>
      </c>
      <c r="E292" s="81" t="s">
        <v>112</v>
      </c>
      <c r="F292" s="81" t="s">
        <v>112</v>
      </c>
      <c r="G292" s="81" t="s">
        <v>112</v>
      </c>
      <c r="H292" s="81" t="s">
        <v>112</v>
      </c>
      <c r="I292" s="81" t="s">
        <v>112</v>
      </c>
      <c r="J292" s="81" t="s">
        <v>112</v>
      </c>
      <c r="K292" s="81" t="s">
        <v>112</v>
      </c>
      <c r="L292" s="81" t="s">
        <v>112</v>
      </c>
      <c r="M292" s="81" t="s">
        <v>112</v>
      </c>
      <c r="N292" s="81" t="s">
        <v>112</v>
      </c>
      <c r="O292" s="81" t="s">
        <v>112</v>
      </c>
      <c r="P292" s="81" t="s">
        <v>112</v>
      </c>
      <c r="Q292" s="81" t="s">
        <v>112</v>
      </c>
      <c r="R292" s="81" t="s">
        <v>112</v>
      </c>
      <c r="S292" s="81" t="s">
        <v>112</v>
      </c>
      <c r="T292" s="81" t="s">
        <v>112</v>
      </c>
      <c r="U292" s="81" t="s">
        <v>112</v>
      </c>
      <c r="V292" s="81" t="s">
        <v>112</v>
      </c>
      <c r="W292" s="81" t="s">
        <v>112</v>
      </c>
      <c r="X292" s="1287"/>
      <c r="Y292" s="1287"/>
      <c r="Z292" s="1287">
        <v>20.11</v>
      </c>
      <c r="AA292" s="1287"/>
      <c r="AB292" s="1287"/>
      <c r="AC292" s="1287"/>
      <c r="AD292" s="1287"/>
      <c r="AE292" s="1488"/>
      <c r="AF292" s="1287"/>
      <c r="AG292" s="1488"/>
      <c r="AH292" s="53">
        <f t="shared" si="55"/>
        <v>20.11</v>
      </c>
    </row>
    <row r="293" spans="1:34" ht="15">
      <c r="A293" s="128" t="s">
        <v>85</v>
      </c>
      <c r="B293" s="18">
        <f t="shared" si="54"/>
        <v>30.323999999999998</v>
      </c>
      <c r="C293" s="1815"/>
      <c r="D293" s="1815"/>
      <c r="E293" s="1815"/>
      <c r="F293" s="1815"/>
      <c r="G293" s="1815"/>
      <c r="H293" s="1815"/>
      <c r="I293" s="1815"/>
      <c r="J293" s="1815"/>
      <c r="K293" s="1815"/>
      <c r="L293" s="1815"/>
      <c r="M293" s="1815"/>
      <c r="N293" s="1815"/>
      <c r="O293" s="1815"/>
      <c r="P293" s="1815"/>
      <c r="Q293" s="1815"/>
      <c r="R293" s="1815"/>
      <c r="S293" s="1815"/>
      <c r="T293" s="1815"/>
      <c r="U293" s="1815"/>
      <c r="V293" s="1815"/>
      <c r="W293" s="1815"/>
      <c r="X293" s="1815"/>
      <c r="Y293" s="1815"/>
      <c r="Z293" s="1815"/>
      <c r="AA293" s="1815"/>
      <c r="AB293" s="1815"/>
      <c r="AC293" s="1815"/>
      <c r="AD293" s="1815"/>
      <c r="AE293" s="1762">
        <v>1.9990000000000001</v>
      </c>
      <c r="AF293" s="1815">
        <v>28.324999999999999</v>
      </c>
      <c r="AG293" s="1762"/>
      <c r="AH293" s="53">
        <f t="shared" si="55"/>
        <v>30.323999999999998</v>
      </c>
    </row>
    <row r="294" spans="1:34" ht="15">
      <c r="A294" s="128" t="s">
        <v>86</v>
      </c>
      <c r="B294" s="18">
        <f t="shared" si="54"/>
        <v>147.535</v>
      </c>
      <c r="C294" s="1815"/>
      <c r="D294" s="1815"/>
      <c r="E294" s="1815"/>
      <c r="F294" s="1815"/>
      <c r="G294" s="1815"/>
      <c r="H294" s="1815"/>
      <c r="I294" s="1815"/>
      <c r="J294" s="1815"/>
      <c r="K294" s="1815"/>
      <c r="L294" s="1815"/>
      <c r="M294" s="1815"/>
      <c r="N294" s="1815"/>
      <c r="O294" s="1815"/>
      <c r="P294" s="1287"/>
      <c r="Q294" s="1287">
        <v>52.575000000000003</v>
      </c>
      <c r="R294" s="1287"/>
      <c r="S294" s="1287"/>
      <c r="T294" s="1287"/>
      <c r="U294" s="1287"/>
      <c r="V294" s="1287"/>
      <c r="W294" s="1287">
        <v>42.21</v>
      </c>
      <c r="X294" s="1287"/>
      <c r="Y294" s="1287"/>
      <c r="Z294" s="1287"/>
      <c r="AA294" s="1287"/>
      <c r="AB294" s="1287"/>
      <c r="AC294" s="1287"/>
      <c r="AD294" s="1287"/>
      <c r="AE294" s="1287">
        <v>52.75</v>
      </c>
      <c r="AF294" s="1287"/>
      <c r="AG294" s="1287"/>
      <c r="AH294" s="53">
        <f t="shared" si="55"/>
        <v>147.535</v>
      </c>
    </row>
    <row r="295" spans="1:34" ht="15">
      <c r="A295" s="88" t="s">
        <v>74</v>
      </c>
      <c r="B295" s="92">
        <f>SUM(B283:B294)</f>
        <v>2546.2839999999997</v>
      </c>
      <c r="C295" s="46">
        <f>SUM(C283:C293)</f>
        <v>34</v>
      </c>
      <c r="D295" s="53">
        <f>SUM(D283:D293)</f>
        <v>90.155000000000001</v>
      </c>
      <c r="E295" s="53">
        <v>0</v>
      </c>
      <c r="F295" s="53">
        <f t="shared" ref="F295:AC295" si="56">SUM(F283:F293)</f>
        <v>9.5050000000000008</v>
      </c>
      <c r="G295" s="53">
        <f t="shared" si="56"/>
        <v>256.15500000000003</v>
      </c>
      <c r="H295" s="53">
        <f t="shared" si="56"/>
        <v>207.60500000000002</v>
      </c>
      <c r="I295" s="53">
        <f t="shared" si="56"/>
        <v>36.984999999999999</v>
      </c>
      <c r="J295" s="53">
        <f t="shared" si="56"/>
        <v>57.88</v>
      </c>
      <c r="K295" s="53">
        <f t="shared" si="56"/>
        <v>99.233000000000004</v>
      </c>
      <c r="L295" s="53">
        <f t="shared" si="56"/>
        <v>0</v>
      </c>
      <c r="M295" s="53">
        <f t="shared" si="56"/>
        <v>148.81399999999999</v>
      </c>
      <c r="N295" s="53">
        <f t="shared" si="56"/>
        <v>282.41999999999996</v>
      </c>
      <c r="O295" s="53">
        <f t="shared" si="56"/>
        <v>53.164999999999999</v>
      </c>
      <c r="P295" s="53">
        <f t="shared" si="56"/>
        <v>155.02600000000001</v>
      </c>
      <c r="Q295" s="53">
        <f t="shared" si="56"/>
        <v>54.497</v>
      </c>
      <c r="R295" s="53">
        <f t="shared" si="56"/>
        <v>58.994</v>
      </c>
      <c r="S295" s="53">
        <f t="shared" si="56"/>
        <v>0</v>
      </c>
      <c r="T295" s="53">
        <f t="shared" si="56"/>
        <v>122.80499999999999</v>
      </c>
      <c r="U295" s="53">
        <f t="shared" si="56"/>
        <v>35.061</v>
      </c>
      <c r="V295" s="53">
        <f t="shared" si="56"/>
        <v>0</v>
      </c>
      <c r="W295" s="53">
        <f t="shared" si="56"/>
        <v>0</v>
      </c>
      <c r="X295" s="53">
        <f t="shared" si="56"/>
        <v>73.263000000000005</v>
      </c>
      <c r="Y295" s="53">
        <f t="shared" si="56"/>
        <v>132.24799999999999</v>
      </c>
      <c r="Z295" s="53">
        <f t="shared" si="56"/>
        <v>23.925999999999998</v>
      </c>
      <c r="AA295" s="53">
        <f t="shared" si="56"/>
        <v>115.238</v>
      </c>
      <c r="AB295" s="53">
        <f t="shared" si="56"/>
        <v>56.881</v>
      </c>
      <c r="AC295" s="53">
        <f t="shared" si="56"/>
        <v>22.527999999999999</v>
      </c>
      <c r="AD295" s="53">
        <v>0</v>
      </c>
      <c r="AE295" s="53">
        <f>SUM(AE283:AE293)</f>
        <v>15.134</v>
      </c>
      <c r="AF295" s="53">
        <f>SUM(AF283:AF293)</f>
        <v>64.536000000000001</v>
      </c>
      <c r="AG295" s="53">
        <f>SUM(AG283:AG293)</f>
        <v>0</v>
      </c>
      <c r="AH295" s="46">
        <f>SUM(AH283:AH293)</f>
        <v>2398.7489999999998</v>
      </c>
    </row>
    <row r="296" spans="1:34" ht="14.25" customHeight="1">
      <c r="A296" s="14"/>
      <c r="B296" s="14"/>
      <c r="C296" s="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
    </row>
    <row r="297" spans="1:34" ht="15">
      <c r="A297" s="3569" t="s">
        <v>126</v>
      </c>
      <c r="B297" s="3570"/>
      <c r="C297" s="3570"/>
      <c r="D297" s="3570"/>
      <c r="E297" s="3570"/>
      <c r="F297" s="3570"/>
      <c r="G297" s="3570"/>
      <c r="H297" s="3571"/>
      <c r="I297" s="1433"/>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row>
    <row r="298" spans="1:34" ht="15">
      <c r="A298" s="5" t="s">
        <v>72</v>
      </c>
      <c r="B298" s="5" t="s">
        <v>73</v>
      </c>
      <c r="C298" s="1233">
        <v>1</v>
      </c>
      <c r="D298" s="30">
        <v>2</v>
      </c>
      <c r="E298" s="30">
        <v>3</v>
      </c>
      <c r="F298" s="30">
        <v>4</v>
      </c>
      <c r="G298" s="30">
        <v>5</v>
      </c>
      <c r="H298" s="30">
        <v>6</v>
      </c>
      <c r="I298" s="30">
        <v>7</v>
      </c>
      <c r="J298" s="30">
        <v>8</v>
      </c>
      <c r="K298" s="30">
        <v>9</v>
      </c>
      <c r="L298" s="30">
        <v>10</v>
      </c>
      <c r="M298" s="30">
        <v>11</v>
      </c>
      <c r="N298" s="30">
        <v>12</v>
      </c>
      <c r="O298" s="30">
        <v>13</v>
      </c>
      <c r="P298" s="30">
        <v>14</v>
      </c>
      <c r="Q298" s="30">
        <v>15</v>
      </c>
      <c r="R298" s="30">
        <v>16</v>
      </c>
      <c r="S298" s="30">
        <v>17</v>
      </c>
      <c r="T298" s="30">
        <v>18</v>
      </c>
      <c r="U298" s="30">
        <v>19</v>
      </c>
      <c r="V298" s="30">
        <v>20</v>
      </c>
      <c r="W298" s="30">
        <v>21</v>
      </c>
      <c r="X298" s="30">
        <v>22</v>
      </c>
      <c r="Y298" s="30">
        <v>23</v>
      </c>
      <c r="Z298" s="30">
        <v>24</v>
      </c>
      <c r="AA298" s="30">
        <v>25</v>
      </c>
      <c r="AB298" s="30">
        <v>26</v>
      </c>
      <c r="AC298" s="30">
        <v>27</v>
      </c>
      <c r="AD298" s="30">
        <v>28</v>
      </c>
      <c r="AE298" s="30">
        <v>29</v>
      </c>
      <c r="AF298" s="30">
        <v>30</v>
      </c>
      <c r="AG298" s="30">
        <v>31</v>
      </c>
      <c r="AH298" s="39" t="s">
        <v>74</v>
      </c>
    </row>
    <row r="299" spans="1:34" ht="15">
      <c r="A299" s="143" t="s">
        <v>75</v>
      </c>
      <c r="B299" s="18">
        <f t="shared" ref="B299:B310" si="57">+AH299</f>
        <v>0</v>
      </c>
      <c r="C299" s="81" t="s">
        <v>111</v>
      </c>
      <c r="D299" s="81" t="s">
        <v>111</v>
      </c>
      <c r="E299" s="81" t="s">
        <v>111</v>
      </c>
      <c r="F299" s="81" t="s">
        <v>111</v>
      </c>
      <c r="G299" s="81" t="s">
        <v>111</v>
      </c>
      <c r="H299" s="81" t="s">
        <v>111</v>
      </c>
      <c r="I299" s="81" t="s">
        <v>111</v>
      </c>
      <c r="J299" s="81" t="s">
        <v>111</v>
      </c>
      <c r="K299" s="81" t="s">
        <v>111</v>
      </c>
      <c r="L299" s="81" t="s">
        <v>111</v>
      </c>
      <c r="M299" s="81" t="s">
        <v>111</v>
      </c>
      <c r="N299" s="81" t="s">
        <v>111</v>
      </c>
      <c r="O299" s="81" t="s">
        <v>111</v>
      </c>
      <c r="P299" s="81" t="s">
        <v>111</v>
      </c>
      <c r="Q299" s="81" t="s">
        <v>111</v>
      </c>
      <c r="R299" s="81" t="s">
        <v>111</v>
      </c>
      <c r="S299" s="81" t="s">
        <v>111</v>
      </c>
      <c r="T299" s="81" t="s">
        <v>111</v>
      </c>
      <c r="U299" s="81" t="s">
        <v>111</v>
      </c>
      <c r="V299" s="81" t="s">
        <v>111</v>
      </c>
      <c r="W299" s="81" t="s">
        <v>111</v>
      </c>
      <c r="X299" s="81" t="s">
        <v>111</v>
      </c>
      <c r="Y299" s="81" t="s">
        <v>111</v>
      </c>
      <c r="Z299" s="81" t="s">
        <v>111</v>
      </c>
      <c r="AA299" s="81" t="s">
        <v>111</v>
      </c>
      <c r="AB299" s="81" t="s">
        <v>111</v>
      </c>
      <c r="AC299" s="81" t="s">
        <v>111</v>
      </c>
      <c r="AD299" s="81" t="s">
        <v>111</v>
      </c>
      <c r="AE299" s="81" t="s">
        <v>111</v>
      </c>
      <c r="AF299" s="81" t="s">
        <v>111</v>
      </c>
      <c r="AG299" s="81" t="s">
        <v>111</v>
      </c>
      <c r="AH299" s="53">
        <f>SUM(C299:AG299)</f>
        <v>0</v>
      </c>
    </row>
    <row r="300" spans="1:34" ht="15">
      <c r="A300" s="143" t="s">
        <v>76</v>
      </c>
      <c r="B300" s="112">
        <f t="shared" si="57"/>
        <v>968.26699999999994</v>
      </c>
      <c r="C300" s="81" t="s">
        <v>111</v>
      </c>
      <c r="D300" s="81" t="s">
        <v>111</v>
      </c>
      <c r="E300" s="81" t="s">
        <v>111</v>
      </c>
      <c r="F300" s="81" t="s">
        <v>111</v>
      </c>
      <c r="G300" s="81" t="s">
        <v>111</v>
      </c>
      <c r="H300" s="81" t="s">
        <v>111</v>
      </c>
      <c r="I300" s="81" t="s">
        <v>111</v>
      </c>
      <c r="J300" s="1287">
        <v>56.573</v>
      </c>
      <c r="K300" s="1287"/>
      <c r="L300" s="1287">
        <v>41.49</v>
      </c>
      <c r="M300" s="1287"/>
      <c r="N300" s="1287"/>
      <c r="O300" s="1287">
        <v>48.253999999999998</v>
      </c>
      <c r="P300" s="1287">
        <v>66.02</v>
      </c>
      <c r="Q300" s="1287">
        <v>36.450000000000003</v>
      </c>
      <c r="R300" s="1287">
        <v>0</v>
      </c>
      <c r="S300" s="1287">
        <v>132.1</v>
      </c>
      <c r="T300" s="1287">
        <v>178.88</v>
      </c>
      <c r="U300" s="1287">
        <v>149.43199999999999</v>
      </c>
      <c r="V300" s="1287">
        <v>0</v>
      </c>
      <c r="W300" s="1287">
        <v>0</v>
      </c>
      <c r="X300" s="1287">
        <v>0</v>
      </c>
      <c r="Y300" s="1287">
        <v>0</v>
      </c>
      <c r="Z300" s="1287">
        <v>0</v>
      </c>
      <c r="AA300" s="1287">
        <v>55.93</v>
      </c>
      <c r="AB300" s="1287">
        <v>3.7679999999999998</v>
      </c>
      <c r="AC300" s="1287">
        <v>65.73</v>
      </c>
      <c r="AD300" s="1287">
        <v>133.63999999999999</v>
      </c>
      <c r="AE300" s="1287"/>
      <c r="AF300" s="1287"/>
      <c r="AG300" s="1287"/>
      <c r="AH300" s="53">
        <f t="shared" ref="AH300:AH310" si="58">SUM(C300:AG300)</f>
        <v>968.26699999999994</v>
      </c>
    </row>
    <row r="301" spans="1:34" ht="15">
      <c r="A301" s="143" t="s">
        <v>77</v>
      </c>
      <c r="B301" s="112">
        <f t="shared" si="57"/>
        <v>1215.998</v>
      </c>
      <c r="C301" s="1287">
        <v>121.26</v>
      </c>
      <c r="D301" s="1287">
        <v>182.6</v>
      </c>
      <c r="E301" s="1287">
        <v>28.53</v>
      </c>
      <c r="F301" s="1287">
        <v>0</v>
      </c>
      <c r="G301" s="1287">
        <v>206.22</v>
      </c>
      <c r="H301" s="1488">
        <v>45.49</v>
      </c>
      <c r="I301" s="1488">
        <v>33.020000000000003</v>
      </c>
      <c r="J301" s="1488">
        <v>0</v>
      </c>
      <c r="K301" s="1488">
        <v>0</v>
      </c>
      <c r="L301" s="1488">
        <v>128.12</v>
      </c>
      <c r="M301" s="1488">
        <v>108.268</v>
      </c>
      <c r="N301" s="1488">
        <v>189.1</v>
      </c>
      <c r="O301" s="1488">
        <v>0</v>
      </c>
      <c r="P301" s="1488">
        <v>58.31</v>
      </c>
      <c r="Q301" s="1488">
        <v>42.39</v>
      </c>
      <c r="R301" s="1488">
        <v>52.69</v>
      </c>
      <c r="S301" s="1488">
        <v>0</v>
      </c>
      <c r="T301" s="1488">
        <v>0</v>
      </c>
      <c r="U301" s="1488">
        <v>0</v>
      </c>
      <c r="V301" s="1488">
        <v>0</v>
      </c>
      <c r="W301" s="1488">
        <v>0</v>
      </c>
      <c r="X301" s="1488">
        <v>0</v>
      </c>
      <c r="Y301" s="1488">
        <v>0</v>
      </c>
      <c r="Z301" s="1488">
        <v>0</v>
      </c>
      <c r="AA301" s="1488">
        <v>0</v>
      </c>
      <c r="AB301" s="1488">
        <v>0</v>
      </c>
      <c r="AC301" s="1287">
        <v>20</v>
      </c>
      <c r="AD301" s="1287">
        <v>0</v>
      </c>
      <c r="AE301" s="1287"/>
      <c r="AF301" s="1287"/>
      <c r="AG301" s="1287"/>
      <c r="AH301" s="53">
        <f t="shared" si="58"/>
        <v>1215.998</v>
      </c>
    </row>
    <row r="302" spans="1:34" ht="15">
      <c r="A302" s="143" t="s">
        <v>78</v>
      </c>
      <c r="B302" s="112">
        <f t="shared" si="57"/>
        <v>761.44500000000005</v>
      </c>
      <c r="C302" s="1287">
        <v>71.66</v>
      </c>
      <c r="D302" s="1287">
        <v>61.91</v>
      </c>
      <c r="E302" s="1287">
        <v>34.22</v>
      </c>
      <c r="F302" s="1287">
        <v>0</v>
      </c>
      <c r="G302" s="1287">
        <v>0</v>
      </c>
      <c r="H302" s="1287">
        <v>0</v>
      </c>
      <c r="I302" s="1287">
        <v>69.8</v>
      </c>
      <c r="J302" s="1287">
        <v>56.86</v>
      </c>
      <c r="K302" s="1287">
        <v>73.58</v>
      </c>
      <c r="L302" s="1488">
        <v>0</v>
      </c>
      <c r="M302" s="1488">
        <v>0</v>
      </c>
      <c r="N302" s="1488">
        <v>18.010999999999999</v>
      </c>
      <c r="O302" s="1488">
        <v>0</v>
      </c>
      <c r="P302" s="1488">
        <v>0</v>
      </c>
      <c r="Q302" s="1488">
        <v>0</v>
      </c>
      <c r="R302" s="1488">
        <v>0</v>
      </c>
      <c r="S302" s="1488">
        <v>0</v>
      </c>
      <c r="T302" s="1488">
        <v>69.899000000000001</v>
      </c>
      <c r="U302" s="1488">
        <v>0</v>
      </c>
      <c r="V302" s="1488">
        <v>0</v>
      </c>
      <c r="W302" s="1488">
        <v>0</v>
      </c>
      <c r="X302" s="1488">
        <v>0</v>
      </c>
      <c r="Y302" s="1488">
        <v>143.33000000000001</v>
      </c>
      <c r="Z302" s="1488">
        <v>76.2</v>
      </c>
      <c r="AA302" s="1488">
        <v>0</v>
      </c>
      <c r="AB302" s="1488">
        <v>0</v>
      </c>
      <c r="AC302" s="1488">
        <v>67.7</v>
      </c>
      <c r="AD302" s="1488">
        <v>12.26</v>
      </c>
      <c r="AE302" s="1488">
        <v>6.0149999999999997</v>
      </c>
      <c r="AF302" s="1488">
        <v>0</v>
      </c>
      <c r="AG302" s="1488"/>
      <c r="AH302" s="53">
        <f t="shared" si="58"/>
        <v>761.44500000000005</v>
      </c>
    </row>
    <row r="303" spans="1:34" ht="15">
      <c r="A303" s="132" t="s">
        <v>79</v>
      </c>
      <c r="B303" s="112">
        <f t="shared" si="57"/>
        <v>515.64099999999996</v>
      </c>
      <c r="C303" s="1287">
        <v>0</v>
      </c>
      <c r="D303" s="1287">
        <v>0</v>
      </c>
      <c r="E303" s="1287">
        <v>0</v>
      </c>
      <c r="F303" s="1287">
        <v>0</v>
      </c>
      <c r="G303" s="1287">
        <v>138.76599999999999</v>
      </c>
      <c r="H303" s="1287">
        <v>79.239999999999995</v>
      </c>
      <c r="I303" s="1287">
        <v>92.89</v>
      </c>
      <c r="J303" s="1488">
        <v>0</v>
      </c>
      <c r="K303" s="1488">
        <v>0</v>
      </c>
      <c r="L303" s="1488">
        <v>0</v>
      </c>
      <c r="M303" s="1488">
        <v>17.297000000000001</v>
      </c>
      <c r="N303" s="1488">
        <v>52.091999999999999</v>
      </c>
      <c r="O303" s="1488">
        <v>3.6659999999999999</v>
      </c>
      <c r="P303" s="1488">
        <v>0</v>
      </c>
      <c r="Q303" s="1488">
        <v>0</v>
      </c>
      <c r="R303" s="1488">
        <v>0</v>
      </c>
      <c r="S303" s="1488">
        <v>0</v>
      </c>
      <c r="T303" s="1488">
        <v>0</v>
      </c>
      <c r="U303" s="1488">
        <v>0</v>
      </c>
      <c r="V303" s="1488">
        <v>0</v>
      </c>
      <c r="W303" s="1488">
        <v>0</v>
      </c>
      <c r="X303" s="1488">
        <v>0</v>
      </c>
      <c r="Y303" s="1488">
        <v>0</v>
      </c>
      <c r="Z303" s="1488">
        <v>0</v>
      </c>
      <c r="AA303" s="1488">
        <v>131.69</v>
      </c>
      <c r="AB303" s="1488">
        <v>0</v>
      </c>
      <c r="AC303" s="1488">
        <v>0</v>
      </c>
      <c r="AD303" s="1488">
        <v>0</v>
      </c>
      <c r="AE303" s="1488"/>
      <c r="AF303" s="1488"/>
      <c r="AG303" s="1488"/>
      <c r="AH303" s="53">
        <f t="shared" si="58"/>
        <v>515.64099999999996</v>
      </c>
    </row>
    <row r="304" spans="1:34" ht="15">
      <c r="A304" s="132" t="s">
        <v>80</v>
      </c>
      <c r="B304" s="112">
        <f t="shared" si="57"/>
        <v>412.65300000000002</v>
      </c>
      <c r="C304" s="1488">
        <v>0</v>
      </c>
      <c r="D304" s="1488">
        <v>0</v>
      </c>
      <c r="E304" s="1488">
        <v>0</v>
      </c>
      <c r="F304" s="1488">
        <v>0</v>
      </c>
      <c r="G304" s="1488">
        <v>0</v>
      </c>
      <c r="H304" s="1287">
        <v>98.12</v>
      </c>
      <c r="I304" s="1287">
        <v>0</v>
      </c>
      <c r="J304" s="1287">
        <v>116.35</v>
      </c>
      <c r="K304" s="1287">
        <v>7.27</v>
      </c>
      <c r="L304" s="1287">
        <v>23.93</v>
      </c>
      <c r="M304" s="1287">
        <v>0</v>
      </c>
      <c r="N304" s="1287">
        <v>0</v>
      </c>
      <c r="O304" s="1287">
        <v>0</v>
      </c>
      <c r="P304" s="1287">
        <v>0</v>
      </c>
      <c r="Q304" s="1287">
        <v>25.17</v>
      </c>
      <c r="R304" s="1287">
        <v>0</v>
      </c>
      <c r="S304" s="1287">
        <v>30.63</v>
      </c>
      <c r="T304" s="1287">
        <v>0</v>
      </c>
      <c r="U304" s="1287">
        <v>34.139000000000003</v>
      </c>
      <c r="V304" s="1287">
        <v>17.38</v>
      </c>
      <c r="W304" s="1287">
        <v>29.79</v>
      </c>
      <c r="X304" s="1287">
        <v>0</v>
      </c>
      <c r="Y304" s="1488">
        <v>0</v>
      </c>
      <c r="Z304" s="1488">
        <v>23.13</v>
      </c>
      <c r="AA304" s="1488">
        <v>0</v>
      </c>
      <c r="AB304" s="1488">
        <v>6.7439999999999998</v>
      </c>
      <c r="AC304" s="1488"/>
      <c r="AD304" s="1488"/>
      <c r="AE304" s="1488"/>
      <c r="AF304" s="1488"/>
      <c r="AG304" s="1488"/>
      <c r="AH304" s="53">
        <f t="shared" si="58"/>
        <v>412.65300000000002</v>
      </c>
    </row>
    <row r="305" spans="1:34" ht="15">
      <c r="A305" s="132" t="s">
        <v>81</v>
      </c>
      <c r="B305" s="18">
        <f t="shared" si="57"/>
        <v>137.25700000000001</v>
      </c>
      <c r="C305" s="1287">
        <v>0</v>
      </c>
      <c r="D305" s="1488">
        <v>0</v>
      </c>
      <c r="E305" s="1488">
        <v>0</v>
      </c>
      <c r="F305" s="1488">
        <v>0</v>
      </c>
      <c r="G305" s="1287">
        <v>66.64</v>
      </c>
      <c r="H305" s="1287">
        <v>0</v>
      </c>
      <c r="I305" s="1287">
        <v>14.46</v>
      </c>
      <c r="J305" s="2466">
        <v>5.6520000000000001</v>
      </c>
      <c r="K305" s="2466">
        <v>0</v>
      </c>
      <c r="L305" s="1488">
        <v>0</v>
      </c>
      <c r="M305" s="1488">
        <v>17.43</v>
      </c>
      <c r="N305" s="1488">
        <v>0</v>
      </c>
      <c r="O305" s="1488">
        <v>0</v>
      </c>
      <c r="P305" s="1488">
        <v>0</v>
      </c>
      <c r="Q305" s="1488">
        <v>12.3</v>
      </c>
      <c r="R305" s="1488">
        <v>0</v>
      </c>
      <c r="S305" s="1488">
        <v>0</v>
      </c>
      <c r="T305" s="1488">
        <v>0</v>
      </c>
      <c r="U305" s="1488">
        <v>0</v>
      </c>
      <c r="V305" s="1488">
        <v>0</v>
      </c>
      <c r="W305" s="2327">
        <v>8.32</v>
      </c>
      <c r="X305" s="2327">
        <v>12.455</v>
      </c>
      <c r="Y305" s="2327">
        <v>0</v>
      </c>
      <c r="Z305" s="2327">
        <v>0</v>
      </c>
      <c r="AA305" s="2327"/>
      <c r="AB305" s="2327"/>
      <c r="AC305" s="2327"/>
      <c r="AD305" s="2327"/>
      <c r="AE305" s="2327"/>
      <c r="AF305" s="81" t="s">
        <v>112</v>
      </c>
      <c r="AG305" s="81" t="s">
        <v>112</v>
      </c>
      <c r="AH305" s="53">
        <f t="shared" si="58"/>
        <v>137.25700000000001</v>
      </c>
    </row>
    <row r="306" spans="1:34" ht="15">
      <c r="A306" s="132" t="s">
        <v>82</v>
      </c>
      <c r="B306" s="18">
        <f t="shared" si="57"/>
        <v>0</v>
      </c>
      <c r="C306" s="81" t="s">
        <v>112</v>
      </c>
      <c r="D306" s="81" t="s">
        <v>112</v>
      </c>
      <c r="E306" s="81" t="s">
        <v>112</v>
      </c>
      <c r="F306" s="81" t="s">
        <v>112</v>
      </c>
      <c r="G306" s="81" t="s">
        <v>112</v>
      </c>
      <c r="H306" s="81" t="s">
        <v>112</v>
      </c>
      <c r="I306" s="81" t="s">
        <v>112</v>
      </c>
      <c r="J306" s="81" t="s">
        <v>112</v>
      </c>
      <c r="K306" s="81" t="s">
        <v>112</v>
      </c>
      <c r="L306" s="81" t="s">
        <v>112</v>
      </c>
      <c r="M306" s="81" t="s">
        <v>112</v>
      </c>
      <c r="N306" s="81" t="s">
        <v>112</v>
      </c>
      <c r="O306" s="81" t="s">
        <v>112</v>
      </c>
      <c r="P306" s="81" t="s">
        <v>112</v>
      </c>
      <c r="Q306" s="81" t="s">
        <v>112</v>
      </c>
      <c r="R306" s="81" t="s">
        <v>112</v>
      </c>
      <c r="S306" s="81" t="s">
        <v>112</v>
      </c>
      <c r="T306" s="81" t="s">
        <v>112</v>
      </c>
      <c r="U306" s="81" t="s">
        <v>112</v>
      </c>
      <c r="V306" s="81" t="s">
        <v>112</v>
      </c>
      <c r="W306" s="81" t="s">
        <v>112</v>
      </c>
      <c r="X306" s="81" t="s">
        <v>112</v>
      </c>
      <c r="Y306" s="81" t="s">
        <v>112</v>
      </c>
      <c r="Z306" s="81" t="s">
        <v>112</v>
      </c>
      <c r="AA306" s="81" t="s">
        <v>112</v>
      </c>
      <c r="AB306" s="81" t="s">
        <v>112</v>
      </c>
      <c r="AC306" s="81" t="s">
        <v>112</v>
      </c>
      <c r="AD306" s="81" t="s">
        <v>112</v>
      </c>
      <c r="AE306" s="81" t="s">
        <v>112</v>
      </c>
      <c r="AF306" s="81" t="s">
        <v>112</v>
      </c>
      <c r="AG306" s="81" t="s">
        <v>112</v>
      </c>
      <c r="AH306" s="53">
        <f>SUM(C306:AG306)</f>
        <v>0</v>
      </c>
    </row>
    <row r="307" spans="1:34" ht="15">
      <c r="A307" s="128" t="s">
        <v>83</v>
      </c>
      <c r="B307" s="18">
        <f t="shared" si="57"/>
        <v>0</v>
      </c>
      <c r="C307" s="81" t="s">
        <v>112</v>
      </c>
      <c r="D307" s="81" t="s">
        <v>112</v>
      </c>
      <c r="E307" s="81" t="s">
        <v>112</v>
      </c>
      <c r="F307" s="81" t="s">
        <v>112</v>
      </c>
      <c r="G307" s="81" t="s">
        <v>112</v>
      </c>
      <c r="H307" s="81" t="s">
        <v>112</v>
      </c>
      <c r="I307" s="81" t="s">
        <v>112</v>
      </c>
      <c r="J307" s="81" t="s">
        <v>112</v>
      </c>
      <c r="K307" s="81" t="s">
        <v>112</v>
      </c>
      <c r="L307" s="81" t="s">
        <v>112</v>
      </c>
      <c r="M307" s="81" t="s">
        <v>112</v>
      </c>
      <c r="N307" s="81" t="s">
        <v>112</v>
      </c>
      <c r="O307" s="81" t="s">
        <v>112</v>
      </c>
      <c r="P307" s="81" t="s">
        <v>112</v>
      </c>
      <c r="Q307" s="81" t="s">
        <v>112</v>
      </c>
      <c r="R307" s="81" t="s">
        <v>112</v>
      </c>
      <c r="S307" s="81" t="s">
        <v>112</v>
      </c>
      <c r="T307" s="81" t="s">
        <v>112</v>
      </c>
      <c r="U307" s="81" t="s">
        <v>112</v>
      </c>
      <c r="V307" s="81" t="s">
        <v>112</v>
      </c>
      <c r="W307" s="81" t="s">
        <v>112</v>
      </c>
      <c r="X307" s="81" t="s">
        <v>112</v>
      </c>
      <c r="Y307" s="81" t="s">
        <v>112</v>
      </c>
      <c r="Z307" s="81" t="s">
        <v>112</v>
      </c>
      <c r="AA307" s="81" t="s">
        <v>112</v>
      </c>
      <c r="AB307" s="81" t="s">
        <v>112</v>
      </c>
      <c r="AC307" s="81" t="s">
        <v>112</v>
      </c>
      <c r="AD307" s="81" t="s">
        <v>112</v>
      </c>
      <c r="AE307" s="81" t="s">
        <v>112</v>
      </c>
      <c r="AF307" s="81" t="s">
        <v>112</v>
      </c>
      <c r="AG307" s="81" t="s">
        <v>112</v>
      </c>
      <c r="AH307" s="53">
        <f>SUM(C307:AG307)</f>
        <v>0</v>
      </c>
    </row>
    <row r="308" spans="1:34" ht="15">
      <c r="A308" s="128" t="s">
        <v>84</v>
      </c>
      <c r="B308" s="18">
        <f t="shared" si="57"/>
        <v>35.78</v>
      </c>
      <c r="C308" s="81" t="s">
        <v>112</v>
      </c>
      <c r="D308" s="81" t="s">
        <v>112</v>
      </c>
      <c r="E308" s="81" t="s">
        <v>112</v>
      </c>
      <c r="F308" s="81" t="s">
        <v>112</v>
      </c>
      <c r="G308" s="81" t="s">
        <v>112</v>
      </c>
      <c r="H308" s="81" t="s">
        <v>112</v>
      </c>
      <c r="I308" s="81" t="s">
        <v>112</v>
      </c>
      <c r="J308" s="81" t="s">
        <v>112</v>
      </c>
      <c r="K308" s="81" t="s">
        <v>112</v>
      </c>
      <c r="L308" s="81" t="s">
        <v>112</v>
      </c>
      <c r="M308" s="81" t="s">
        <v>112</v>
      </c>
      <c r="N308" s="81" t="s">
        <v>112</v>
      </c>
      <c r="O308" s="81" t="s">
        <v>112</v>
      </c>
      <c r="P308" s="81" t="s">
        <v>112</v>
      </c>
      <c r="Q308" s="81" t="s">
        <v>112</v>
      </c>
      <c r="R308" s="81" t="s">
        <v>112</v>
      </c>
      <c r="S308" s="81" t="s">
        <v>112</v>
      </c>
      <c r="T308" s="81" t="s">
        <v>112</v>
      </c>
      <c r="U308" s="81" t="s">
        <v>112</v>
      </c>
      <c r="V308" s="81" t="s">
        <v>112</v>
      </c>
      <c r="W308" s="81" t="s">
        <v>112</v>
      </c>
      <c r="X308" s="1287"/>
      <c r="Y308" s="1287"/>
      <c r="Z308" s="1287"/>
      <c r="AA308" s="1287">
        <v>35.78</v>
      </c>
      <c r="AB308" s="1287"/>
      <c r="AC308" s="1287"/>
      <c r="AD308" s="1287"/>
      <c r="AE308" s="1488"/>
      <c r="AF308" s="1287"/>
      <c r="AG308" s="1488"/>
      <c r="AH308" s="53">
        <f t="shared" si="58"/>
        <v>35.78</v>
      </c>
    </row>
    <row r="309" spans="1:34" ht="15">
      <c r="A309" s="128" t="s">
        <v>85</v>
      </c>
      <c r="B309" s="18">
        <f t="shared" si="57"/>
        <v>186.68</v>
      </c>
      <c r="C309" s="1287"/>
      <c r="D309" s="1287"/>
      <c r="E309" s="1287"/>
      <c r="F309" s="1287"/>
      <c r="G309" s="1287"/>
      <c r="H309" s="1287"/>
      <c r="I309" s="1287"/>
      <c r="J309" s="1287"/>
      <c r="K309" s="1287"/>
      <c r="L309" s="1287"/>
      <c r="M309" s="1287"/>
      <c r="N309" s="1287"/>
      <c r="O309" s="1287"/>
      <c r="P309" s="1287"/>
      <c r="Q309" s="1287"/>
      <c r="R309" s="1287"/>
      <c r="S309" s="1287"/>
      <c r="T309" s="1287"/>
      <c r="U309" s="1287"/>
      <c r="V309" s="1287"/>
      <c r="W309" s="1287"/>
      <c r="X309" s="1287"/>
      <c r="Y309" s="1287">
        <v>52.16</v>
      </c>
      <c r="Z309" s="1287"/>
      <c r="AA309" s="1287"/>
      <c r="AB309" s="1287"/>
      <c r="AC309" s="1287">
        <v>39.51</v>
      </c>
      <c r="AD309" s="1287">
        <v>53.2</v>
      </c>
      <c r="AE309" s="1488">
        <v>0</v>
      </c>
      <c r="AF309" s="1287">
        <v>41.81</v>
      </c>
      <c r="AG309" s="1488"/>
      <c r="AH309" s="53">
        <f t="shared" si="58"/>
        <v>186.68</v>
      </c>
    </row>
    <row r="310" spans="1:34" ht="15">
      <c r="A310" s="128" t="s">
        <v>86</v>
      </c>
      <c r="B310" s="18">
        <f t="shared" si="57"/>
        <v>523.16000000000008</v>
      </c>
      <c r="C310" s="1287">
        <v>34.29</v>
      </c>
      <c r="D310" s="1287"/>
      <c r="E310" s="1287"/>
      <c r="F310" s="1287"/>
      <c r="G310" s="1287"/>
      <c r="H310" s="1287">
        <v>56.24</v>
      </c>
      <c r="I310" s="1287"/>
      <c r="J310" s="1287">
        <v>32.270000000000003</v>
      </c>
      <c r="K310" s="1287"/>
      <c r="L310" s="1287"/>
      <c r="M310" s="1287"/>
      <c r="N310" s="1287"/>
      <c r="O310" s="1287"/>
      <c r="P310" s="1287">
        <v>54.15</v>
      </c>
      <c r="Q310" s="1287">
        <v>44.2</v>
      </c>
      <c r="R310" s="1287"/>
      <c r="S310" s="1287"/>
      <c r="T310" s="1287">
        <v>25.3</v>
      </c>
      <c r="U310" s="1287"/>
      <c r="V310" s="1287"/>
      <c r="W310" s="1287">
        <v>66.099999999999994</v>
      </c>
      <c r="X310" s="1287">
        <v>67.959999999999994</v>
      </c>
      <c r="Y310" s="1287">
        <v>55.9</v>
      </c>
      <c r="Z310" s="1287">
        <v>0</v>
      </c>
      <c r="AA310" s="1287">
        <v>0</v>
      </c>
      <c r="AB310" s="1287">
        <v>0</v>
      </c>
      <c r="AC310" s="1287">
        <v>48.12</v>
      </c>
      <c r="AD310" s="1287">
        <v>0</v>
      </c>
      <c r="AE310" s="1287">
        <v>38.630000000000003</v>
      </c>
      <c r="AF310" s="1287">
        <v>0</v>
      </c>
      <c r="AG310" s="1287">
        <v>0</v>
      </c>
      <c r="AH310" s="53">
        <f t="shared" si="58"/>
        <v>523.16000000000008</v>
      </c>
    </row>
    <row r="311" spans="1:34" ht="15">
      <c r="A311" s="88" t="s">
        <v>74</v>
      </c>
      <c r="B311" s="92">
        <f>SUM(B299:B310)</f>
        <v>4756.8810000000003</v>
      </c>
      <c r="C311" s="46">
        <f>SUM(C299:C309)</f>
        <v>192.92000000000002</v>
      </c>
      <c r="D311" s="53">
        <f>SUM(D299:D309)</f>
        <v>244.51</v>
      </c>
      <c r="E311" s="53">
        <v>0</v>
      </c>
      <c r="F311" s="53">
        <f t="shared" ref="F311:AC311" si="59">SUM(F299:F309)</f>
        <v>0</v>
      </c>
      <c r="G311" s="53">
        <f t="shared" si="59"/>
        <v>411.62599999999998</v>
      </c>
      <c r="H311" s="53">
        <f t="shared" si="59"/>
        <v>222.85</v>
      </c>
      <c r="I311" s="53">
        <f t="shared" si="59"/>
        <v>210.17</v>
      </c>
      <c r="J311" s="53">
        <f t="shared" si="59"/>
        <v>235.43499999999997</v>
      </c>
      <c r="K311" s="53">
        <f t="shared" si="59"/>
        <v>80.849999999999994</v>
      </c>
      <c r="L311" s="53">
        <f t="shared" si="59"/>
        <v>193.54000000000002</v>
      </c>
      <c r="M311" s="53">
        <f t="shared" si="59"/>
        <v>142.995</v>
      </c>
      <c r="N311" s="53">
        <f t="shared" si="59"/>
        <v>259.20299999999997</v>
      </c>
      <c r="O311" s="53">
        <f t="shared" si="59"/>
        <v>51.919999999999995</v>
      </c>
      <c r="P311" s="53">
        <f t="shared" si="59"/>
        <v>124.33</v>
      </c>
      <c r="Q311" s="53">
        <f t="shared" si="59"/>
        <v>116.31</v>
      </c>
      <c r="R311" s="53">
        <f t="shared" si="59"/>
        <v>52.69</v>
      </c>
      <c r="S311" s="53">
        <f t="shared" si="59"/>
        <v>162.72999999999999</v>
      </c>
      <c r="T311" s="53">
        <f t="shared" si="59"/>
        <v>248.779</v>
      </c>
      <c r="U311" s="53">
        <f t="shared" si="59"/>
        <v>183.571</v>
      </c>
      <c r="V311" s="53">
        <f t="shared" si="59"/>
        <v>17.38</v>
      </c>
      <c r="W311" s="53">
        <f t="shared" si="59"/>
        <v>38.11</v>
      </c>
      <c r="X311" s="53">
        <f t="shared" si="59"/>
        <v>12.455</v>
      </c>
      <c r="Y311" s="53">
        <f t="shared" si="59"/>
        <v>195.49</v>
      </c>
      <c r="Z311" s="53">
        <f t="shared" si="59"/>
        <v>99.33</v>
      </c>
      <c r="AA311" s="53">
        <f t="shared" si="59"/>
        <v>223.4</v>
      </c>
      <c r="AB311" s="53">
        <f t="shared" si="59"/>
        <v>10.512</v>
      </c>
      <c r="AC311" s="53">
        <f t="shared" si="59"/>
        <v>192.94</v>
      </c>
      <c r="AD311" s="53">
        <v>0</v>
      </c>
      <c r="AE311" s="53">
        <f>SUM(AE299:AE309)</f>
        <v>6.0149999999999997</v>
      </c>
      <c r="AF311" s="53">
        <f>SUM(AF299:AF309)</f>
        <v>41.81</v>
      </c>
      <c r="AG311" s="53">
        <f>SUM(AG299:AG309)</f>
        <v>0</v>
      </c>
      <c r="AH311" s="46">
        <f>SUM(AH299:AH309)</f>
        <v>4233.7210000000005</v>
      </c>
    </row>
    <row r="312" spans="1:34" ht="14.25" customHeight="1">
      <c r="A312" s="14"/>
      <c r="B312" s="14"/>
      <c r="C312" s="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
    </row>
    <row r="313" spans="1:34" ht="15">
      <c r="A313" s="3569" t="s">
        <v>127</v>
      </c>
      <c r="B313" s="3570"/>
      <c r="C313" s="3570"/>
      <c r="D313" s="3570"/>
      <c r="E313" s="3570"/>
      <c r="F313" s="3570"/>
      <c r="G313" s="3570"/>
      <c r="H313" s="3571"/>
      <c r="I313" s="1433"/>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row>
    <row r="314" spans="1:34" ht="15">
      <c r="A314" s="5" t="s">
        <v>72</v>
      </c>
      <c r="B314" s="5" t="s">
        <v>73</v>
      </c>
      <c r="C314" s="1233">
        <v>1</v>
      </c>
      <c r="D314" s="30">
        <v>2</v>
      </c>
      <c r="E314" s="30">
        <v>3</v>
      </c>
      <c r="F314" s="30">
        <v>4</v>
      </c>
      <c r="G314" s="30">
        <v>5</v>
      </c>
      <c r="H314" s="30">
        <v>6</v>
      </c>
      <c r="I314" s="30">
        <v>7</v>
      </c>
      <c r="J314" s="30">
        <v>8</v>
      </c>
      <c r="K314" s="30">
        <v>9</v>
      </c>
      <c r="L314" s="30">
        <v>10</v>
      </c>
      <c r="M314" s="30">
        <v>11</v>
      </c>
      <c r="N314" s="30">
        <v>12</v>
      </c>
      <c r="O314" s="30">
        <v>13</v>
      </c>
      <c r="P314" s="30">
        <v>14</v>
      </c>
      <c r="Q314" s="30">
        <v>15</v>
      </c>
      <c r="R314" s="30">
        <v>16</v>
      </c>
      <c r="S314" s="30">
        <v>17</v>
      </c>
      <c r="T314" s="30">
        <v>18</v>
      </c>
      <c r="U314" s="30">
        <v>19</v>
      </c>
      <c r="V314" s="30">
        <v>20</v>
      </c>
      <c r="W314" s="30">
        <v>21</v>
      </c>
      <c r="X314" s="30">
        <v>22</v>
      </c>
      <c r="Y314" s="30">
        <v>23</v>
      </c>
      <c r="Z314" s="30">
        <v>24</v>
      </c>
      <c r="AA314" s="30">
        <v>25</v>
      </c>
      <c r="AB314" s="30">
        <v>26</v>
      </c>
      <c r="AC314" s="30">
        <v>27</v>
      </c>
      <c r="AD314" s="30">
        <v>28</v>
      </c>
      <c r="AE314" s="30">
        <v>29</v>
      </c>
      <c r="AF314" s="30">
        <v>30</v>
      </c>
      <c r="AG314" s="30">
        <v>31</v>
      </c>
      <c r="AH314" s="39" t="s">
        <v>74</v>
      </c>
    </row>
    <row r="315" spans="1:34" ht="15">
      <c r="A315" s="143" t="s">
        <v>75</v>
      </c>
      <c r="B315" s="18">
        <f t="shared" ref="B315:B326" si="60">+AH315</f>
        <v>0</v>
      </c>
      <c r="C315" s="126" t="s">
        <v>111</v>
      </c>
      <c r="D315" s="126" t="s">
        <v>111</v>
      </c>
      <c r="E315" s="126" t="s">
        <v>111</v>
      </c>
      <c r="F315" s="126" t="s">
        <v>111</v>
      </c>
      <c r="G315" s="126" t="s">
        <v>111</v>
      </c>
      <c r="H315" s="126" t="s">
        <v>111</v>
      </c>
      <c r="I315" s="126" t="s">
        <v>111</v>
      </c>
      <c r="J315" s="126" t="s">
        <v>111</v>
      </c>
      <c r="K315" s="126" t="s">
        <v>111</v>
      </c>
      <c r="L315" s="126" t="s">
        <v>111</v>
      </c>
      <c r="M315" s="126" t="s">
        <v>111</v>
      </c>
      <c r="N315" s="126" t="s">
        <v>111</v>
      </c>
      <c r="O315" s="126" t="s">
        <v>111</v>
      </c>
      <c r="P315" s="126" t="s">
        <v>111</v>
      </c>
      <c r="Q315" s="126" t="s">
        <v>111</v>
      </c>
      <c r="R315" s="126" t="s">
        <v>111</v>
      </c>
      <c r="S315" s="126" t="s">
        <v>111</v>
      </c>
      <c r="T315" s="126" t="s">
        <v>111</v>
      </c>
      <c r="U315" s="126" t="s">
        <v>111</v>
      </c>
      <c r="V315" s="126" t="s">
        <v>111</v>
      </c>
      <c r="W315" s="126" t="s">
        <v>111</v>
      </c>
      <c r="X315" s="126" t="s">
        <v>111</v>
      </c>
      <c r="Y315" s="126" t="s">
        <v>111</v>
      </c>
      <c r="Z315" s="126" t="s">
        <v>111</v>
      </c>
      <c r="AA315" s="126" t="s">
        <v>111</v>
      </c>
      <c r="AB315" s="126" t="s">
        <v>111</v>
      </c>
      <c r="AC315" s="126" t="s">
        <v>111</v>
      </c>
      <c r="AD315" s="126" t="s">
        <v>111</v>
      </c>
      <c r="AE315" s="126" t="s">
        <v>111</v>
      </c>
      <c r="AF315" s="126" t="s">
        <v>111</v>
      </c>
      <c r="AG315" s="126" t="s">
        <v>111</v>
      </c>
      <c r="AH315" s="53">
        <f>SUM(C315:AG315)</f>
        <v>0</v>
      </c>
    </row>
    <row r="316" spans="1:34" ht="15">
      <c r="A316" s="143" t="s">
        <v>76</v>
      </c>
      <c r="B316" s="18">
        <f t="shared" si="60"/>
        <v>0</v>
      </c>
      <c r="C316" s="126" t="s">
        <v>111</v>
      </c>
      <c r="D316" s="126" t="s">
        <v>111</v>
      </c>
      <c r="E316" s="126" t="s">
        <v>111</v>
      </c>
      <c r="F316" s="126" t="s">
        <v>111</v>
      </c>
      <c r="G316" s="126" t="s">
        <v>111</v>
      </c>
      <c r="H316" s="126" t="s">
        <v>111</v>
      </c>
      <c r="I316" s="126" t="s">
        <v>111</v>
      </c>
      <c r="J316" s="127"/>
      <c r="K316" s="127"/>
      <c r="L316" s="127"/>
      <c r="M316" s="127"/>
      <c r="N316" s="127"/>
      <c r="O316" s="127"/>
      <c r="P316" s="127"/>
      <c r="Q316" s="127"/>
      <c r="R316" s="127"/>
      <c r="S316" s="127"/>
      <c r="T316" s="127"/>
      <c r="U316" s="127"/>
      <c r="V316" s="127"/>
      <c r="W316" s="127"/>
      <c r="X316" s="127"/>
      <c r="Y316" s="127"/>
      <c r="Z316" s="127"/>
      <c r="AA316" s="127"/>
      <c r="AB316" s="127"/>
      <c r="AC316" s="127"/>
      <c r="AD316" s="127"/>
      <c r="AE316" s="127"/>
      <c r="AF316" s="127"/>
      <c r="AG316" s="127"/>
      <c r="AH316" s="53">
        <f t="shared" ref="AH316:AH326" si="61">SUM(C316:AG316)</f>
        <v>0</v>
      </c>
    </row>
    <row r="317" spans="1:34" ht="15">
      <c r="A317" s="143" t="s">
        <v>77</v>
      </c>
      <c r="B317" s="18">
        <f t="shared" si="60"/>
        <v>0</v>
      </c>
      <c r="C317" s="127"/>
      <c r="D317" s="127"/>
      <c r="E317" s="127"/>
      <c r="F317" s="127"/>
      <c r="G317" s="127"/>
      <c r="H317" s="112"/>
      <c r="I317" s="112"/>
      <c r="J317" s="112"/>
      <c r="K317" s="112"/>
      <c r="L317" s="112"/>
      <c r="M317" s="112"/>
      <c r="N317" s="112"/>
      <c r="O317" s="112"/>
      <c r="P317" s="112"/>
      <c r="Q317" s="112"/>
      <c r="R317" s="112"/>
      <c r="S317" s="18"/>
      <c r="T317" s="18"/>
      <c r="U317" s="18"/>
      <c r="V317" s="18"/>
      <c r="W317" s="18"/>
      <c r="X317" s="18"/>
      <c r="Y317" s="18"/>
      <c r="Z317" s="18"/>
      <c r="AA317" s="18"/>
      <c r="AB317" s="18"/>
      <c r="AC317" s="1930"/>
      <c r="AD317" s="1930"/>
      <c r="AE317" s="1930"/>
      <c r="AF317" s="1930"/>
      <c r="AG317" s="1930"/>
      <c r="AH317" s="53">
        <f t="shared" si="61"/>
        <v>0</v>
      </c>
    </row>
    <row r="318" spans="1:34" ht="15">
      <c r="A318" s="143" t="s">
        <v>78</v>
      </c>
      <c r="B318" s="18">
        <f t="shared" si="60"/>
        <v>0</v>
      </c>
      <c r="C318" s="1930"/>
      <c r="D318" s="1930"/>
      <c r="E318" s="1930"/>
      <c r="F318" s="1930"/>
      <c r="G318" s="1930"/>
      <c r="H318" s="1930"/>
      <c r="I318" s="1930"/>
      <c r="J318" s="1930"/>
      <c r="K318" s="1930"/>
      <c r="L318" s="1287"/>
      <c r="M318" s="1287"/>
      <c r="N318" s="1287"/>
      <c r="O318" s="1287"/>
      <c r="P318" s="1287"/>
      <c r="Q318" s="1287"/>
      <c r="R318" s="1287"/>
      <c r="S318" s="1287"/>
      <c r="T318" s="1287"/>
      <c r="U318" s="1287"/>
      <c r="V318" s="1287"/>
      <c r="W318" s="1287"/>
      <c r="X318" s="1287"/>
      <c r="Y318" s="1287"/>
      <c r="Z318" s="1287"/>
      <c r="AA318" s="1287"/>
      <c r="AB318" s="1287"/>
      <c r="AC318" s="1287"/>
      <c r="AD318" s="1287"/>
      <c r="AE318" s="1287"/>
      <c r="AF318" s="1287"/>
      <c r="AG318" s="1287"/>
      <c r="AH318" s="53">
        <f t="shared" si="61"/>
        <v>0</v>
      </c>
    </row>
    <row r="319" spans="1:34" ht="15">
      <c r="A319" s="132" t="s">
        <v>79</v>
      </c>
      <c r="B319" s="18">
        <f t="shared" si="60"/>
        <v>0</v>
      </c>
      <c r="C319" s="1287"/>
      <c r="D319" s="1287"/>
      <c r="E319" s="1287"/>
      <c r="F319" s="1287"/>
      <c r="G319" s="1287"/>
      <c r="H319" s="1287"/>
      <c r="I319" s="1287"/>
      <c r="J319" s="1287"/>
      <c r="K319" s="1287"/>
      <c r="L319" s="1287"/>
      <c r="M319" s="1287"/>
      <c r="N319" s="1287"/>
      <c r="O319" s="1287"/>
      <c r="P319" s="1287"/>
      <c r="Q319" s="1287"/>
      <c r="R319" s="1287"/>
      <c r="S319" s="1287"/>
      <c r="T319" s="1287"/>
      <c r="U319" s="1287"/>
      <c r="V319" s="1287"/>
      <c r="W319" s="1287"/>
      <c r="X319" s="1287"/>
      <c r="Y319" s="1287"/>
      <c r="Z319" s="1287"/>
      <c r="AA319" s="1287"/>
      <c r="AB319" s="1287"/>
      <c r="AC319" s="1287"/>
      <c r="AD319" s="1287"/>
      <c r="AE319" s="1287"/>
      <c r="AF319" s="1287"/>
      <c r="AG319" s="1287"/>
      <c r="AH319" s="53">
        <f t="shared" si="61"/>
        <v>0</v>
      </c>
    </row>
    <row r="320" spans="1:34" ht="15">
      <c r="A320" s="132" t="s">
        <v>80</v>
      </c>
      <c r="B320" s="18">
        <f t="shared" si="60"/>
        <v>0</v>
      </c>
      <c r="C320" s="1287"/>
      <c r="D320" s="1287"/>
      <c r="E320" s="1287"/>
      <c r="F320" s="1287"/>
      <c r="G320" s="1287"/>
      <c r="H320" s="1287"/>
      <c r="I320" s="1287"/>
      <c r="J320" s="1287"/>
      <c r="K320" s="1287"/>
      <c r="L320" s="1287"/>
      <c r="M320" s="1287"/>
      <c r="N320" s="1287"/>
      <c r="O320" s="1287"/>
      <c r="P320" s="1287"/>
      <c r="Q320" s="1287"/>
      <c r="R320" s="1287"/>
      <c r="S320" s="1287"/>
      <c r="T320" s="1287"/>
      <c r="U320" s="1287"/>
      <c r="V320" s="1287"/>
      <c r="W320" s="1287"/>
      <c r="X320" s="1287"/>
      <c r="Y320" s="1287"/>
      <c r="Z320" s="1287"/>
      <c r="AA320" s="1287"/>
      <c r="AB320" s="1287"/>
      <c r="AC320" s="1287"/>
      <c r="AD320" s="1287"/>
      <c r="AE320" s="1287"/>
      <c r="AF320" s="1287"/>
      <c r="AG320" s="1287"/>
      <c r="AH320" s="53">
        <f t="shared" si="61"/>
        <v>0</v>
      </c>
    </row>
    <row r="321" spans="1:34" ht="15">
      <c r="A321" s="132" t="s">
        <v>81</v>
      </c>
      <c r="B321" s="18">
        <f t="shared" si="60"/>
        <v>0</v>
      </c>
      <c r="C321" s="1287"/>
      <c r="D321" s="1488"/>
      <c r="E321" s="1488"/>
      <c r="F321" s="1488"/>
      <c r="G321" s="1287"/>
      <c r="H321" s="1287"/>
      <c r="I321" s="1287"/>
      <c r="J321" s="2466"/>
      <c r="K321" s="2466"/>
      <c r="L321" s="1488"/>
      <c r="M321" s="1488"/>
      <c r="N321" s="1488"/>
      <c r="O321" s="1488"/>
      <c r="P321" s="1488"/>
      <c r="Q321" s="1488"/>
      <c r="R321" s="1488"/>
      <c r="S321" s="1488"/>
      <c r="T321" s="1488"/>
      <c r="U321" s="1488"/>
      <c r="V321" s="1488"/>
      <c r="W321" s="688"/>
      <c r="X321" s="688"/>
      <c r="Y321" s="688"/>
      <c r="Z321" s="688"/>
      <c r="AA321" s="688"/>
      <c r="AB321" s="688"/>
      <c r="AC321" s="688"/>
      <c r="AD321" s="688"/>
      <c r="AE321" s="688"/>
      <c r="AF321" s="688" t="s">
        <v>111</v>
      </c>
      <c r="AG321" s="688" t="s">
        <v>111</v>
      </c>
      <c r="AH321" s="53">
        <f t="shared" si="61"/>
        <v>0</v>
      </c>
    </row>
    <row r="322" spans="1:34" ht="15">
      <c r="A322" s="132" t="s">
        <v>82</v>
      </c>
      <c r="B322" s="18">
        <f t="shared" si="60"/>
        <v>0</v>
      </c>
      <c r="C322" s="688" t="s">
        <v>111</v>
      </c>
      <c r="D322" s="688" t="s">
        <v>111</v>
      </c>
      <c r="E322" s="688" t="s">
        <v>111</v>
      </c>
      <c r="F322" s="688" t="s">
        <v>111</v>
      </c>
      <c r="G322" s="688" t="s">
        <v>111</v>
      </c>
      <c r="H322" s="688" t="s">
        <v>111</v>
      </c>
      <c r="I322" s="688" t="s">
        <v>111</v>
      </c>
      <c r="J322" s="688" t="s">
        <v>111</v>
      </c>
      <c r="K322" s="688" t="s">
        <v>111</v>
      </c>
      <c r="L322" s="688" t="s">
        <v>111</v>
      </c>
      <c r="M322" s="688" t="s">
        <v>111</v>
      </c>
      <c r="N322" s="688" t="s">
        <v>111</v>
      </c>
      <c r="O322" s="688" t="s">
        <v>111</v>
      </c>
      <c r="P322" s="688" t="s">
        <v>111</v>
      </c>
      <c r="Q322" s="688" t="s">
        <v>111</v>
      </c>
      <c r="R322" s="688" t="s">
        <v>111</v>
      </c>
      <c r="S322" s="688" t="s">
        <v>111</v>
      </c>
      <c r="T322" s="688" t="s">
        <v>111</v>
      </c>
      <c r="U322" s="688" t="s">
        <v>111</v>
      </c>
      <c r="V322" s="688" t="s">
        <v>111</v>
      </c>
      <c r="W322" s="688" t="s">
        <v>111</v>
      </c>
      <c r="X322" s="688" t="s">
        <v>111</v>
      </c>
      <c r="Y322" s="688" t="s">
        <v>111</v>
      </c>
      <c r="Z322" s="688" t="s">
        <v>111</v>
      </c>
      <c r="AA322" s="688" t="s">
        <v>111</v>
      </c>
      <c r="AB322" s="688" t="s">
        <v>111</v>
      </c>
      <c r="AC322" s="688" t="s">
        <v>111</v>
      </c>
      <c r="AD322" s="688" t="s">
        <v>111</v>
      </c>
      <c r="AE322" s="688" t="s">
        <v>111</v>
      </c>
      <c r="AF322" s="688" t="s">
        <v>111</v>
      </c>
      <c r="AG322" s="688" t="s">
        <v>111</v>
      </c>
      <c r="AH322" s="53">
        <f t="shared" si="61"/>
        <v>0</v>
      </c>
    </row>
    <row r="323" spans="1:34" ht="15">
      <c r="A323" s="128" t="s">
        <v>83</v>
      </c>
      <c r="B323" s="18">
        <f t="shared" si="60"/>
        <v>0</v>
      </c>
      <c r="C323" s="688" t="s">
        <v>111</v>
      </c>
      <c r="D323" s="688" t="s">
        <v>111</v>
      </c>
      <c r="E323" s="688" t="s">
        <v>111</v>
      </c>
      <c r="F323" s="688" t="s">
        <v>111</v>
      </c>
      <c r="G323" s="688" t="s">
        <v>111</v>
      </c>
      <c r="H323" s="688" t="s">
        <v>111</v>
      </c>
      <c r="I323" s="688" t="s">
        <v>111</v>
      </c>
      <c r="J323" s="688" t="s">
        <v>111</v>
      </c>
      <c r="K323" s="688" t="s">
        <v>111</v>
      </c>
      <c r="L323" s="688" t="s">
        <v>111</v>
      </c>
      <c r="M323" s="688" t="s">
        <v>111</v>
      </c>
      <c r="N323" s="688" t="s">
        <v>111</v>
      </c>
      <c r="O323" s="688" t="s">
        <v>111</v>
      </c>
      <c r="P323" s="688" t="s">
        <v>111</v>
      </c>
      <c r="Q323" s="688" t="s">
        <v>111</v>
      </c>
      <c r="R323" s="688" t="s">
        <v>111</v>
      </c>
      <c r="S323" s="688" t="s">
        <v>111</v>
      </c>
      <c r="T323" s="688" t="s">
        <v>111</v>
      </c>
      <c r="U323" s="688" t="s">
        <v>111</v>
      </c>
      <c r="V323" s="688" t="s">
        <v>111</v>
      </c>
      <c r="W323" s="688" t="s">
        <v>111</v>
      </c>
      <c r="X323" s="688" t="s">
        <v>111</v>
      </c>
      <c r="Y323" s="688" t="s">
        <v>111</v>
      </c>
      <c r="Z323" s="688" t="s">
        <v>111</v>
      </c>
      <c r="AA323" s="688" t="s">
        <v>111</v>
      </c>
      <c r="AB323" s="688" t="s">
        <v>111</v>
      </c>
      <c r="AC323" s="688" t="s">
        <v>111</v>
      </c>
      <c r="AD323" s="688" t="s">
        <v>111</v>
      </c>
      <c r="AE323" s="688" t="s">
        <v>111</v>
      </c>
      <c r="AF323" s="688" t="s">
        <v>111</v>
      </c>
      <c r="AG323" s="688" t="s">
        <v>111</v>
      </c>
      <c r="AH323" s="53">
        <f t="shared" si="61"/>
        <v>0</v>
      </c>
    </row>
    <row r="324" spans="1:34" ht="15">
      <c r="A324" s="128" t="s">
        <v>84</v>
      </c>
      <c r="B324" s="18">
        <f t="shared" si="60"/>
        <v>0</v>
      </c>
      <c r="C324" s="688" t="s">
        <v>111</v>
      </c>
      <c r="D324" s="688" t="s">
        <v>111</v>
      </c>
      <c r="E324" s="688" t="s">
        <v>111</v>
      </c>
      <c r="F324" s="688" t="s">
        <v>111</v>
      </c>
      <c r="G324" s="688" t="s">
        <v>111</v>
      </c>
      <c r="H324" s="688" t="s">
        <v>111</v>
      </c>
      <c r="I324" s="688" t="s">
        <v>111</v>
      </c>
      <c r="J324" s="688" t="s">
        <v>111</v>
      </c>
      <c r="K324" s="688" t="s">
        <v>111</v>
      </c>
      <c r="L324" s="688" t="s">
        <v>111</v>
      </c>
      <c r="M324" s="688" t="s">
        <v>111</v>
      </c>
      <c r="N324" s="688" t="s">
        <v>111</v>
      </c>
      <c r="O324" s="688" t="s">
        <v>111</v>
      </c>
      <c r="P324" s="688" t="s">
        <v>111</v>
      </c>
      <c r="Q324" s="688" t="s">
        <v>111</v>
      </c>
      <c r="R324" s="688" t="s">
        <v>111</v>
      </c>
      <c r="S324" s="688" t="s">
        <v>111</v>
      </c>
      <c r="T324" s="688" t="s">
        <v>111</v>
      </c>
      <c r="U324" s="688" t="s">
        <v>111</v>
      </c>
      <c r="V324" s="688" t="s">
        <v>111</v>
      </c>
      <c r="W324" s="688" t="s">
        <v>111</v>
      </c>
      <c r="X324" s="1287"/>
      <c r="Y324" s="1287"/>
      <c r="Z324" s="1287"/>
      <c r="AA324" s="1287"/>
      <c r="AB324" s="1287"/>
      <c r="AC324" s="1287"/>
      <c r="AD324" s="1287"/>
      <c r="AE324" s="1488"/>
      <c r="AF324" s="1287"/>
      <c r="AG324" s="1488"/>
      <c r="AH324" s="53">
        <f t="shared" si="61"/>
        <v>0</v>
      </c>
    </row>
    <row r="325" spans="1:34" ht="15">
      <c r="A325" s="128" t="s">
        <v>85</v>
      </c>
      <c r="B325" s="18">
        <f t="shared" si="60"/>
        <v>0</v>
      </c>
      <c r="C325" s="1287"/>
      <c r="D325" s="1287"/>
      <c r="E325" s="1287"/>
      <c r="F325" s="1287"/>
      <c r="G325" s="1433"/>
      <c r="H325" s="1287"/>
      <c r="I325" s="1287"/>
      <c r="J325" s="1287"/>
      <c r="K325" s="1287"/>
      <c r="L325" s="1287"/>
      <c r="M325" s="1287"/>
      <c r="N325" s="1287"/>
      <c r="O325" s="1287"/>
      <c r="P325" s="1287"/>
      <c r="Q325" s="1287"/>
      <c r="R325" s="1287"/>
      <c r="S325" s="1287"/>
      <c r="T325" s="1287"/>
      <c r="U325" s="1287"/>
      <c r="V325" s="1287"/>
      <c r="W325" s="1287"/>
      <c r="X325" s="1287"/>
      <c r="Y325" s="1433"/>
      <c r="Z325" s="1287"/>
      <c r="AA325" s="1287"/>
      <c r="AB325" s="1287"/>
      <c r="AC325" s="1287"/>
      <c r="AD325" s="1287"/>
      <c r="AE325" s="1488"/>
      <c r="AF325" s="1287"/>
      <c r="AG325" s="1488"/>
      <c r="AH325" s="53">
        <f t="shared" si="61"/>
        <v>0</v>
      </c>
    </row>
    <row r="326" spans="1:34" ht="15">
      <c r="A326" s="128" t="s">
        <v>86</v>
      </c>
      <c r="B326" s="18">
        <f t="shared" si="60"/>
        <v>0</v>
      </c>
      <c r="C326" s="1287"/>
      <c r="D326" s="1287"/>
      <c r="E326" s="1287"/>
      <c r="F326" s="1287"/>
      <c r="G326" s="1287"/>
      <c r="H326" s="1287"/>
      <c r="I326" s="1287"/>
      <c r="J326" s="1287"/>
      <c r="K326" s="1287"/>
      <c r="L326" s="1287"/>
      <c r="M326" s="1287"/>
      <c r="N326" s="1287"/>
      <c r="O326" s="1287"/>
      <c r="P326" s="1287"/>
      <c r="Q326" s="1287"/>
      <c r="R326" s="1287"/>
      <c r="S326" s="1287"/>
      <c r="T326" s="1287"/>
      <c r="U326" s="1287"/>
      <c r="V326" s="1287"/>
      <c r="W326" s="1287"/>
      <c r="X326" s="1287"/>
      <c r="Y326" s="1287"/>
      <c r="Z326" s="1287"/>
      <c r="AA326" s="1287"/>
      <c r="AB326" s="1287"/>
      <c r="AC326" s="1287"/>
      <c r="AD326" s="1287"/>
      <c r="AE326" s="1287"/>
      <c r="AF326" s="1287"/>
      <c r="AG326" s="1287"/>
      <c r="AH326" s="53">
        <f t="shared" si="61"/>
        <v>0</v>
      </c>
    </row>
    <row r="327" spans="1:34" ht="15">
      <c r="A327" s="88" t="s">
        <v>74</v>
      </c>
      <c r="B327" s="92">
        <f>SUM(B315:B326)</f>
        <v>0</v>
      </c>
      <c r="C327" s="46">
        <f>SUM(C315:C325)</f>
        <v>0</v>
      </c>
      <c r="D327" s="53">
        <f>SUM(D315:D325)</f>
        <v>0</v>
      </c>
      <c r="E327" s="53">
        <v>0</v>
      </c>
      <c r="F327" s="53">
        <f t="shared" ref="F327:AC327" si="62">SUM(F315:F325)</f>
        <v>0</v>
      </c>
      <c r="G327" s="53">
        <f t="shared" si="62"/>
        <v>0</v>
      </c>
      <c r="H327" s="53">
        <f t="shared" si="62"/>
        <v>0</v>
      </c>
      <c r="I327" s="53">
        <f t="shared" si="62"/>
        <v>0</v>
      </c>
      <c r="J327" s="53">
        <f t="shared" si="62"/>
        <v>0</v>
      </c>
      <c r="K327" s="53">
        <f t="shared" si="62"/>
        <v>0</v>
      </c>
      <c r="L327" s="53">
        <f t="shared" si="62"/>
        <v>0</v>
      </c>
      <c r="M327" s="53">
        <f t="shared" si="62"/>
        <v>0</v>
      </c>
      <c r="N327" s="53">
        <f t="shared" si="62"/>
        <v>0</v>
      </c>
      <c r="O327" s="53">
        <f t="shared" si="62"/>
        <v>0</v>
      </c>
      <c r="P327" s="53">
        <f t="shared" si="62"/>
        <v>0</v>
      </c>
      <c r="Q327" s="53">
        <f t="shared" si="62"/>
        <v>0</v>
      </c>
      <c r="R327" s="53">
        <f t="shared" si="62"/>
        <v>0</v>
      </c>
      <c r="S327" s="53">
        <f t="shared" si="62"/>
        <v>0</v>
      </c>
      <c r="T327" s="53">
        <f t="shared" si="62"/>
        <v>0</v>
      </c>
      <c r="U327" s="53">
        <f t="shared" si="62"/>
        <v>0</v>
      </c>
      <c r="V327" s="53">
        <f t="shared" si="62"/>
        <v>0</v>
      </c>
      <c r="W327" s="53">
        <f t="shared" si="62"/>
        <v>0</v>
      </c>
      <c r="X327" s="53">
        <f t="shared" si="62"/>
        <v>0</v>
      </c>
      <c r="Y327" s="53">
        <f t="shared" si="62"/>
        <v>0</v>
      </c>
      <c r="Z327" s="53">
        <f t="shared" si="62"/>
        <v>0</v>
      </c>
      <c r="AA327" s="53">
        <f t="shared" si="62"/>
        <v>0</v>
      </c>
      <c r="AB327" s="53">
        <f t="shared" si="62"/>
        <v>0</v>
      </c>
      <c r="AC327" s="53">
        <f t="shared" si="62"/>
        <v>0</v>
      </c>
      <c r="AD327" s="53">
        <v>0</v>
      </c>
      <c r="AE327" s="53">
        <f>SUM(AE315:AE325)</f>
        <v>0</v>
      </c>
      <c r="AF327" s="53">
        <f>SUM(AF315:AF325)</f>
        <v>0</v>
      </c>
      <c r="AG327" s="53">
        <f>SUM(AG315:AG325)</f>
        <v>0</v>
      </c>
      <c r="AH327" s="46">
        <f>SUM(AH315:AH325)</f>
        <v>0</v>
      </c>
    </row>
    <row r="328" spans="1:34" ht="14.25" customHeight="1">
      <c r="A328" s="14"/>
      <c r="B328" s="14"/>
      <c r="C328" s="1"/>
      <c r="D328" s="11"/>
      <c r="E328" s="11"/>
      <c r="F328" s="11"/>
      <c r="G328" s="11"/>
      <c r="H328" s="11"/>
      <c r="I328" s="1433"/>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
    </row>
    <row r="329" spans="1:34" ht="15">
      <c r="A329" s="3569" t="s">
        <v>129</v>
      </c>
      <c r="B329" s="3570"/>
      <c r="C329" s="3570"/>
      <c r="D329" s="3570"/>
      <c r="E329" s="3570"/>
      <c r="F329" s="3570"/>
      <c r="G329" s="3570"/>
      <c r="H329" s="3571"/>
      <c r="I329" s="1433"/>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row>
    <row r="330" spans="1:34" ht="15">
      <c r="A330" s="5" t="s">
        <v>72</v>
      </c>
      <c r="B330" s="5" t="s">
        <v>73</v>
      </c>
      <c r="C330" s="1233">
        <v>1</v>
      </c>
      <c r="D330" s="30">
        <v>2</v>
      </c>
      <c r="E330" s="30">
        <v>3</v>
      </c>
      <c r="F330" s="30">
        <v>4</v>
      </c>
      <c r="G330" s="30">
        <v>5</v>
      </c>
      <c r="H330" s="30">
        <v>6</v>
      </c>
      <c r="I330" s="30">
        <v>7</v>
      </c>
      <c r="J330" s="30">
        <v>8</v>
      </c>
      <c r="K330" s="30">
        <v>9</v>
      </c>
      <c r="L330" s="30">
        <v>10</v>
      </c>
      <c r="M330" s="30">
        <v>11</v>
      </c>
      <c r="N330" s="30">
        <v>12</v>
      </c>
      <c r="O330" s="30">
        <v>13</v>
      </c>
      <c r="P330" s="30">
        <v>14</v>
      </c>
      <c r="Q330" s="30">
        <v>15</v>
      </c>
      <c r="R330" s="30">
        <v>16</v>
      </c>
      <c r="S330" s="30">
        <v>17</v>
      </c>
      <c r="T330" s="30">
        <v>18</v>
      </c>
      <c r="U330" s="30">
        <v>19</v>
      </c>
      <c r="V330" s="30">
        <v>20</v>
      </c>
      <c r="W330" s="30">
        <v>21</v>
      </c>
      <c r="X330" s="30">
        <v>22</v>
      </c>
      <c r="Y330" s="30">
        <v>23</v>
      </c>
      <c r="Z330" s="30">
        <v>24</v>
      </c>
      <c r="AA330" s="30">
        <v>25</v>
      </c>
      <c r="AB330" s="30">
        <v>26</v>
      </c>
      <c r="AC330" s="30">
        <v>27</v>
      </c>
      <c r="AD330" s="30">
        <v>28</v>
      </c>
      <c r="AE330" s="30">
        <v>29</v>
      </c>
      <c r="AF330" s="30">
        <v>30</v>
      </c>
      <c r="AG330" s="30">
        <v>31</v>
      </c>
      <c r="AH330" s="39" t="s">
        <v>74</v>
      </c>
    </row>
    <row r="331" spans="1:34" ht="15">
      <c r="A331" s="143" t="s">
        <v>75</v>
      </c>
      <c r="B331" s="18">
        <f t="shared" ref="B331:B342" si="63">+AH331</f>
        <v>0</v>
      </c>
      <c r="C331" s="126" t="s">
        <v>111</v>
      </c>
      <c r="D331" s="126" t="s">
        <v>111</v>
      </c>
      <c r="E331" s="126" t="s">
        <v>111</v>
      </c>
      <c r="F331" s="126" t="s">
        <v>111</v>
      </c>
      <c r="G331" s="126" t="s">
        <v>111</v>
      </c>
      <c r="H331" s="126" t="s">
        <v>111</v>
      </c>
      <c r="I331" s="126" t="s">
        <v>111</v>
      </c>
      <c r="J331" s="126" t="s">
        <v>111</v>
      </c>
      <c r="K331" s="126" t="s">
        <v>111</v>
      </c>
      <c r="L331" s="126" t="s">
        <v>111</v>
      </c>
      <c r="M331" s="126" t="s">
        <v>111</v>
      </c>
      <c r="N331" s="126" t="s">
        <v>111</v>
      </c>
      <c r="O331" s="126" t="s">
        <v>111</v>
      </c>
      <c r="P331" s="126" t="s">
        <v>111</v>
      </c>
      <c r="Q331" s="126" t="s">
        <v>111</v>
      </c>
      <c r="R331" s="126" t="s">
        <v>111</v>
      </c>
      <c r="S331" s="126" t="s">
        <v>111</v>
      </c>
      <c r="T331" s="126" t="s">
        <v>111</v>
      </c>
      <c r="U331" s="126" t="s">
        <v>111</v>
      </c>
      <c r="V331" s="126" t="s">
        <v>111</v>
      </c>
      <c r="W331" s="126" t="s">
        <v>111</v>
      </c>
      <c r="X331" s="126" t="s">
        <v>111</v>
      </c>
      <c r="Y331" s="126" t="s">
        <v>111</v>
      </c>
      <c r="Z331" s="126" t="s">
        <v>111</v>
      </c>
      <c r="AA331" s="126" t="s">
        <v>111</v>
      </c>
      <c r="AB331" s="126" t="s">
        <v>111</v>
      </c>
      <c r="AC331" s="126" t="s">
        <v>111</v>
      </c>
      <c r="AD331" s="126" t="s">
        <v>111</v>
      </c>
      <c r="AE331" s="126" t="s">
        <v>111</v>
      </c>
      <c r="AF331" s="126" t="s">
        <v>111</v>
      </c>
      <c r="AG331" s="126" t="s">
        <v>111</v>
      </c>
      <c r="AH331" s="53">
        <f>SUM(C331:AG331)</f>
        <v>0</v>
      </c>
    </row>
    <row r="332" spans="1:34" ht="15">
      <c r="A332" s="143" t="s">
        <v>76</v>
      </c>
      <c r="B332" s="18">
        <f t="shared" si="63"/>
        <v>0</v>
      </c>
      <c r="C332" s="126" t="s">
        <v>111</v>
      </c>
      <c r="D332" s="126" t="s">
        <v>111</v>
      </c>
      <c r="E332" s="126" t="s">
        <v>111</v>
      </c>
      <c r="F332" s="126" t="s">
        <v>111</v>
      </c>
      <c r="G332" s="126" t="s">
        <v>111</v>
      </c>
      <c r="H332" s="126" t="s">
        <v>111</v>
      </c>
      <c r="I332" s="126" t="s">
        <v>111</v>
      </c>
      <c r="J332" s="127"/>
      <c r="K332" s="127"/>
      <c r="L332" s="127"/>
      <c r="M332" s="127"/>
      <c r="N332" s="127"/>
      <c r="O332" s="127"/>
      <c r="P332" s="127"/>
      <c r="Q332" s="127"/>
      <c r="R332" s="127"/>
      <c r="S332" s="127"/>
      <c r="T332" s="127"/>
      <c r="U332" s="127"/>
      <c r="V332" s="127"/>
      <c r="W332" s="127"/>
      <c r="X332" s="127"/>
      <c r="Y332" s="127"/>
      <c r="Z332" s="127"/>
      <c r="AA332" s="127"/>
      <c r="AB332" s="127"/>
      <c r="AC332" s="127"/>
      <c r="AD332" s="127"/>
      <c r="AE332" s="127"/>
      <c r="AF332" s="127"/>
      <c r="AG332" s="127"/>
      <c r="AH332" s="53">
        <f t="shared" ref="AH332:AH342" si="64">SUM(C332:AG332)</f>
        <v>0</v>
      </c>
    </row>
    <row r="333" spans="1:34" ht="15">
      <c r="A333" s="143" t="s">
        <v>77</v>
      </c>
      <c r="B333" s="18">
        <f t="shared" si="63"/>
        <v>0</v>
      </c>
      <c r="C333" s="127"/>
      <c r="D333" s="127"/>
      <c r="E333" s="127"/>
      <c r="F333" s="127"/>
      <c r="G333" s="127"/>
      <c r="H333" s="112"/>
      <c r="I333" s="112"/>
      <c r="J333" s="112"/>
      <c r="K333" s="112"/>
      <c r="L333" s="112"/>
      <c r="M333" s="112"/>
      <c r="N333" s="112"/>
      <c r="O333" s="112"/>
      <c r="P333" s="112"/>
      <c r="Q333" s="112"/>
      <c r="R333" s="112"/>
      <c r="S333" s="18"/>
      <c r="T333" s="18"/>
      <c r="U333" s="18"/>
      <c r="V333" s="18"/>
      <c r="W333" s="18"/>
      <c r="X333" s="18"/>
      <c r="Y333" s="18"/>
      <c r="Z333" s="18"/>
      <c r="AA333" s="18"/>
      <c r="AB333" s="18"/>
      <c r="AC333" s="1930"/>
      <c r="AD333" s="1930"/>
      <c r="AE333" s="1930"/>
      <c r="AF333" s="1930"/>
      <c r="AG333" s="1930"/>
      <c r="AH333" s="53">
        <f t="shared" si="64"/>
        <v>0</v>
      </c>
    </row>
    <row r="334" spans="1:34" ht="15">
      <c r="A334" s="143" t="s">
        <v>78</v>
      </c>
      <c r="B334" s="18">
        <f t="shared" si="63"/>
        <v>0</v>
      </c>
      <c r="C334" s="1930"/>
      <c r="D334" s="1930"/>
      <c r="E334" s="1930"/>
      <c r="F334" s="1930"/>
      <c r="G334" s="1930"/>
      <c r="H334" s="1930"/>
      <c r="I334" s="1930"/>
      <c r="J334" s="1930"/>
      <c r="K334" s="1930"/>
      <c r="L334" s="1287"/>
      <c r="M334" s="1287"/>
      <c r="N334" s="1287"/>
      <c r="O334" s="1287"/>
      <c r="P334" s="1287"/>
      <c r="Q334" s="1287"/>
      <c r="R334" s="1287"/>
      <c r="S334" s="1287"/>
      <c r="T334" s="1287"/>
      <c r="U334" s="1287"/>
      <c r="V334" s="1287"/>
      <c r="W334" s="1287"/>
      <c r="X334" s="1287"/>
      <c r="Y334" s="1287"/>
      <c r="Z334" s="1287"/>
      <c r="AA334" s="1287"/>
      <c r="AB334" s="1287"/>
      <c r="AC334" s="1287"/>
      <c r="AD334" s="1287"/>
      <c r="AE334" s="1287"/>
      <c r="AF334" s="1287"/>
      <c r="AG334" s="1287"/>
      <c r="AH334" s="53">
        <f t="shared" si="64"/>
        <v>0</v>
      </c>
    </row>
    <row r="335" spans="1:34" ht="15">
      <c r="A335" s="132" t="s">
        <v>79</v>
      </c>
      <c r="B335" s="18">
        <f t="shared" si="63"/>
        <v>0</v>
      </c>
      <c r="C335" s="1287"/>
      <c r="D335" s="1287"/>
      <c r="E335" s="1287"/>
      <c r="F335" s="1287"/>
      <c r="G335" s="1287"/>
      <c r="H335" s="1287"/>
      <c r="I335" s="1287"/>
      <c r="J335" s="1287"/>
      <c r="K335" s="1287"/>
      <c r="L335" s="1287"/>
      <c r="M335" s="1287"/>
      <c r="N335" s="1287"/>
      <c r="O335" s="1287"/>
      <c r="P335" s="1287"/>
      <c r="Q335" s="1287"/>
      <c r="R335" s="1287"/>
      <c r="S335" s="1287"/>
      <c r="T335" s="1287"/>
      <c r="U335" s="1287"/>
      <c r="V335" s="1287"/>
      <c r="W335" s="1287"/>
      <c r="X335" s="1287"/>
      <c r="Y335" s="1287"/>
      <c r="Z335" s="1287"/>
      <c r="AA335" s="1287"/>
      <c r="AB335" s="1287"/>
      <c r="AC335" s="1287"/>
      <c r="AD335" s="1287"/>
      <c r="AE335" s="1287"/>
      <c r="AF335" s="1287"/>
      <c r="AG335" s="1287"/>
      <c r="AH335" s="53">
        <f t="shared" si="64"/>
        <v>0</v>
      </c>
    </row>
    <row r="336" spans="1:34" ht="15">
      <c r="A336" s="132" t="s">
        <v>80</v>
      </c>
      <c r="B336" s="18">
        <f t="shared" si="63"/>
        <v>0</v>
      </c>
      <c r="C336" s="1287"/>
      <c r="D336" s="1287"/>
      <c r="E336" s="1287"/>
      <c r="F336" s="1287"/>
      <c r="G336" s="1287"/>
      <c r="H336" s="1287"/>
      <c r="I336" s="1287"/>
      <c r="J336" s="1287"/>
      <c r="K336" s="1287"/>
      <c r="L336" s="1287"/>
      <c r="M336" s="1287"/>
      <c r="N336" s="1287"/>
      <c r="O336" s="1287"/>
      <c r="P336" s="1287"/>
      <c r="Q336" s="1287"/>
      <c r="R336" s="1287"/>
      <c r="S336" s="1287"/>
      <c r="T336" s="1287"/>
      <c r="U336" s="1287"/>
      <c r="V336" s="1287"/>
      <c r="W336" s="1287"/>
      <c r="X336" s="1287"/>
      <c r="Y336" s="1287"/>
      <c r="Z336" s="1287"/>
      <c r="AA336" s="1287"/>
      <c r="AB336" s="1287"/>
      <c r="AC336" s="1287"/>
      <c r="AD336" s="1287"/>
      <c r="AE336" s="1287"/>
      <c r="AF336" s="1287"/>
      <c r="AG336" s="1287"/>
      <c r="AH336" s="53">
        <f t="shared" si="64"/>
        <v>0</v>
      </c>
    </row>
    <row r="337" spans="1:34" ht="15">
      <c r="A337" s="132" t="s">
        <v>81</v>
      </c>
      <c r="B337" s="18">
        <f t="shared" si="63"/>
        <v>0</v>
      </c>
      <c r="C337" s="1287"/>
      <c r="D337" s="1488"/>
      <c r="E337" s="1488"/>
      <c r="F337" s="1488"/>
      <c r="G337" s="1287"/>
      <c r="H337" s="1287"/>
      <c r="I337" s="1287"/>
      <c r="J337" s="2466"/>
      <c r="K337" s="2466"/>
      <c r="L337" s="1488"/>
      <c r="M337" s="1488"/>
      <c r="N337" s="1488"/>
      <c r="O337" s="1488"/>
      <c r="P337" s="1488"/>
      <c r="Q337" s="1488"/>
      <c r="R337" s="1488"/>
      <c r="S337" s="1488"/>
      <c r="T337" s="1488"/>
      <c r="U337" s="1488"/>
      <c r="V337" s="1488"/>
      <c r="W337" s="688"/>
      <c r="X337" s="688"/>
      <c r="Y337" s="688"/>
      <c r="Z337" s="688"/>
      <c r="AA337" s="688"/>
      <c r="AB337" s="688"/>
      <c r="AC337" s="688"/>
      <c r="AD337" s="688"/>
      <c r="AE337" s="688"/>
      <c r="AF337" s="688" t="s">
        <v>111</v>
      </c>
      <c r="AG337" s="688" t="s">
        <v>111</v>
      </c>
      <c r="AH337" s="53">
        <f t="shared" si="64"/>
        <v>0</v>
      </c>
    </row>
    <row r="338" spans="1:34" ht="15">
      <c r="A338" s="132" t="s">
        <v>82</v>
      </c>
      <c r="B338" s="18">
        <f t="shared" si="63"/>
        <v>0</v>
      </c>
      <c r="C338" s="688" t="s">
        <v>111</v>
      </c>
      <c r="D338" s="688" t="s">
        <v>111</v>
      </c>
      <c r="E338" s="688" t="s">
        <v>111</v>
      </c>
      <c r="F338" s="688" t="s">
        <v>111</v>
      </c>
      <c r="G338" s="688" t="s">
        <v>111</v>
      </c>
      <c r="H338" s="688" t="s">
        <v>111</v>
      </c>
      <c r="I338" s="688" t="s">
        <v>111</v>
      </c>
      <c r="J338" s="688" t="s">
        <v>111</v>
      </c>
      <c r="K338" s="688" t="s">
        <v>111</v>
      </c>
      <c r="L338" s="688" t="s">
        <v>111</v>
      </c>
      <c r="M338" s="688" t="s">
        <v>111</v>
      </c>
      <c r="N338" s="688" t="s">
        <v>111</v>
      </c>
      <c r="O338" s="688" t="s">
        <v>111</v>
      </c>
      <c r="P338" s="688" t="s">
        <v>111</v>
      </c>
      <c r="Q338" s="688" t="s">
        <v>111</v>
      </c>
      <c r="R338" s="688" t="s">
        <v>111</v>
      </c>
      <c r="S338" s="688" t="s">
        <v>111</v>
      </c>
      <c r="T338" s="688" t="s">
        <v>111</v>
      </c>
      <c r="U338" s="688" t="s">
        <v>111</v>
      </c>
      <c r="V338" s="688" t="s">
        <v>111</v>
      </c>
      <c r="W338" s="688" t="s">
        <v>111</v>
      </c>
      <c r="X338" s="688" t="s">
        <v>111</v>
      </c>
      <c r="Y338" s="688" t="s">
        <v>111</v>
      </c>
      <c r="Z338" s="688" t="s">
        <v>111</v>
      </c>
      <c r="AA338" s="688" t="s">
        <v>111</v>
      </c>
      <c r="AB338" s="688" t="s">
        <v>111</v>
      </c>
      <c r="AC338" s="688" t="s">
        <v>111</v>
      </c>
      <c r="AD338" s="688" t="s">
        <v>111</v>
      </c>
      <c r="AE338" s="688" t="s">
        <v>111</v>
      </c>
      <c r="AF338" s="688" t="s">
        <v>111</v>
      </c>
      <c r="AG338" s="688" t="s">
        <v>111</v>
      </c>
      <c r="AH338" s="53">
        <f t="shared" si="64"/>
        <v>0</v>
      </c>
    </row>
    <row r="339" spans="1:34" ht="15">
      <c r="A339" s="128" t="s">
        <v>83</v>
      </c>
      <c r="B339" s="18">
        <f t="shared" si="63"/>
        <v>0</v>
      </c>
      <c r="C339" s="688" t="s">
        <v>111</v>
      </c>
      <c r="D339" s="688" t="s">
        <v>111</v>
      </c>
      <c r="E339" s="688" t="s">
        <v>111</v>
      </c>
      <c r="F339" s="688" t="s">
        <v>111</v>
      </c>
      <c r="G339" s="688" t="s">
        <v>111</v>
      </c>
      <c r="H339" s="688" t="s">
        <v>111</v>
      </c>
      <c r="I339" s="688" t="s">
        <v>111</v>
      </c>
      <c r="J339" s="688" t="s">
        <v>111</v>
      </c>
      <c r="K339" s="688" t="s">
        <v>111</v>
      </c>
      <c r="L339" s="688" t="s">
        <v>111</v>
      </c>
      <c r="M339" s="688" t="s">
        <v>111</v>
      </c>
      <c r="N339" s="688" t="s">
        <v>111</v>
      </c>
      <c r="O339" s="688" t="s">
        <v>111</v>
      </c>
      <c r="P339" s="688" t="s">
        <v>111</v>
      </c>
      <c r="Q339" s="688" t="s">
        <v>111</v>
      </c>
      <c r="R339" s="688" t="s">
        <v>111</v>
      </c>
      <c r="S339" s="688" t="s">
        <v>111</v>
      </c>
      <c r="T339" s="688" t="s">
        <v>111</v>
      </c>
      <c r="U339" s="688" t="s">
        <v>111</v>
      </c>
      <c r="V339" s="688" t="s">
        <v>111</v>
      </c>
      <c r="W339" s="688" t="s">
        <v>111</v>
      </c>
      <c r="X339" s="688" t="s">
        <v>111</v>
      </c>
      <c r="Y339" s="688" t="s">
        <v>111</v>
      </c>
      <c r="Z339" s="688" t="s">
        <v>111</v>
      </c>
      <c r="AA339" s="688" t="s">
        <v>111</v>
      </c>
      <c r="AB339" s="688" t="s">
        <v>111</v>
      </c>
      <c r="AC339" s="688" t="s">
        <v>111</v>
      </c>
      <c r="AD339" s="688" t="s">
        <v>111</v>
      </c>
      <c r="AE339" s="688" t="s">
        <v>111</v>
      </c>
      <c r="AF339" s="688" t="s">
        <v>111</v>
      </c>
      <c r="AG339" s="688" t="s">
        <v>111</v>
      </c>
      <c r="AH339" s="53">
        <f t="shared" si="64"/>
        <v>0</v>
      </c>
    </row>
    <row r="340" spans="1:34" ht="15">
      <c r="A340" s="128" t="s">
        <v>84</v>
      </c>
      <c r="B340" s="18">
        <f t="shared" si="63"/>
        <v>0</v>
      </c>
      <c r="C340" s="688" t="s">
        <v>111</v>
      </c>
      <c r="D340" s="688" t="s">
        <v>111</v>
      </c>
      <c r="E340" s="688" t="s">
        <v>111</v>
      </c>
      <c r="F340" s="688" t="s">
        <v>111</v>
      </c>
      <c r="G340" s="688" t="s">
        <v>111</v>
      </c>
      <c r="H340" s="688" t="s">
        <v>111</v>
      </c>
      <c r="I340" s="688" t="s">
        <v>111</v>
      </c>
      <c r="J340" s="688" t="s">
        <v>111</v>
      </c>
      <c r="K340" s="688" t="s">
        <v>111</v>
      </c>
      <c r="L340" s="688" t="s">
        <v>111</v>
      </c>
      <c r="M340" s="688" t="s">
        <v>111</v>
      </c>
      <c r="N340" s="688" t="s">
        <v>111</v>
      </c>
      <c r="O340" s="688" t="s">
        <v>111</v>
      </c>
      <c r="P340" s="688" t="s">
        <v>111</v>
      </c>
      <c r="Q340" s="688" t="s">
        <v>111</v>
      </c>
      <c r="R340" s="688" t="s">
        <v>111</v>
      </c>
      <c r="S340" s="688" t="s">
        <v>111</v>
      </c>
      <c r="T340" s="688" t="s">
        <v>111</v>
      </c>
      <c r="U340" s="688" t="s">
        <v>111</v>
      </c>
      <c r="V340" s="688" t="s">
        <v>111</v>
      </c>
      <c r="W340" s="688" t="s">
        <v>111</v>
      </c>
      <c r="X340" s="1287"/>
      <c r="Y340" s="1287"/>
      <c r="Z340" s="1287"/>
      <c r="AA340" s="1287"/>
      <c r="AB340" s="1287"/>
      <c r="AC340" s="1287"/>
      <c r="AD340" s="1287"/>
      <c r="AE340" s="1488"/>
      <c r="AF340" s="1287"/>
      <c r="AG340" s="1488"/>
      <c r="AH340" s="53">
        <f t="shared" si="64"/>
        <v>0</v>
      </c>
    </row>
    <row r="341" spans="1:34" ht="15">
      <c r="A341" s="128" t="s">
        <v>85</v>
      </c>
      <c r="B341" s="18">
        <f t="shared" si="63"/>
        <v>0</v>
      </c>
      <c r="C341" s="1287"/>
      <c r="D341" s="1287"/>
      <c r="E341" s="1287"/>
      <c r="F341" s="1287"/>
      <c r="G341" s="1433"/>
      <c r="H341" s="1287"/>
      <c r="I341" s="1287"/>
      <c r="J341" s="1287"/>
      <c r="K341" s="1287"/>
      <c r="L341" s="1287"/>
      <c r="M341" s="1287"/>
      <c r="N341" s="1287"/>
      <c r="O341" s="1287"/>
      <c r="P341" s="1287"/>
      <c r="Q341" s="1287"/>
      <c r="R341" s="1287"/>
      <c r="S341" s="1287"/>
      <c r="T341" s="1287"/>
      <c r="U341" s="1287"/>
      <c r="V341" s="1287"/>
      <c r="W341" s="1287"/>
      <c r="X341" s="1287"/>
      <c r="Y341" s="1433"/>
      <c r="Z341" s="1287"/>
      <c r="AA341" s="1287"/>
      <c r="AB341" s="1287"/>
      <c r="AC341" s="1287"/>
      <c r="AD341" s="1287"/>
      <c r="AE341" s="1488"/>
      <c r="AF341" s="1287"/>
      <c r="AG341" s="1488"/>
      <c r="AH341" s="53">
        <f t="shared" si="64"/>
        <v>0</v>
      </c>
    </row>
    <row r="342" spans="1:34" ht="15">
      <c r="A342" s="128" t="s">
        <v>86</v>
      </c>
      <c r="B342" s="18">
        <f t="shared" si="63"/>
        <v>0</v>
      </c>
      <c r="C342" s="1287"/>
      <c r="D342" s="1287"/>
      <c r="E342" s="1287"/>
      <c r="F342" s="1287"/>
      <c r="G342" s="1287"/>
      <c r="H342" s="1287"/>
      <c r="I342" s="1287"/>
      <c r="J342" s="1287"/>
      <c r="K342" s="1287"/>
      <c r="L342" s="1287"/>
      <c r="M342" s="1287"/>
      <c r="N342" s="1287"/>
      <c r="O342" s="1287"/>
      <c r="P342" s="1287"/>
      <c r="Q342" s="1287"/>
      <c r="R342" s="1287"/>
      <c r="S342" s="1287"/>
      <c r="T342" s="1287"/>
      <c r="U342" s="1287"/>
      <c r="V342" s="1287"/>
      <c r="W342" s="1287"/>
      <c r="X342" s="1287"/>
      <c r="Y342" s="1287"/>
      <c r="Z342" s="1287"/>
      <c r="AA342" s="1287"/>
      <c r="AB342" s="1287"/>
      <c r="AC342" s="1287"/>
      <c r="AD342" s="1287"/>
      <c r="AE342" s="1287"/>
      <c r="AF342" s="1287"/>
      <c r="AG342" s="1287"/>
      <c r="AH342" s="53">
        <f t="shared" si="64"/>
        <v>0</v>
      </c>
    </row>
    <row r="343" spans="1:34" ht="15">
      <c r="A343" s="88" t="s">
        <v>74</v>
      </c>
      <c r="B343" s="92">
        <f>SUM(B331:B342)</f>
        <v>0</v>
      </c>
      <c r="C343" s="46">
        <f>SUM(C331:C341)</f>
        <v>0</v>
      </c>
      <c r="D343" s="53">
        <f>SUM(D331:D341)</f>
        <v>0</v>
      </c>
      <c r="E343" s="53">
        <v>0</v>
      </c>
      <c r="F343" s="53">
        <f t="shared" ref="F343:AC343" si="65">SUM(F331:F341)</f>
        <v>0</v>
      </c>
      <c r="G343" s="53">
        <f t="shared" si="65"/>
        <v>0</v>
      </c>
      <c r="H343" s="53">
        <f t="shared" si="65"/>
        <v>0</v>
      </c>
      <c r="I343" s="53">
        <f t="shared" si="65"/>
        <v>0</v>
      </c>
      <c r="J343" s="53">
        <f t="shared" si="65"/>
        <v>0</v>
      </c>
      <c r="K343" s="53">
        <f t="shared" si="65"/>
        <v>0</v>
      </c>
      <c r="L343" s="53">
        <f t="shared" si="65"/>
        <v>0</v>
      </c>
      <c r="M343" s="53">
        <f t="shared" si="65"/>
        <v>0</v>
      </c>
      <c r="N343" s="53">
        <f t="shared" si="65"/>
        <v>0</v>
      </c>
      <c r="O343" s="53">
        <f t="shared" si="65"/>
        <v>0</v>
      </c>
      <c r="P343" s="53">
        <f t="shared" si="65"/>
        <v>0</v>
      </c>
      <c r="Q343" s="53">
        <f t="shared" si="65"/>
        <v>0</v>
      </c>
      <c r="R343" s="53">
        <f t="shared" si="65"/>
        <v>0</v>
      </c>
      <c r="S343" s="53">
        <f t="shared" si="65"/>
        <v>0</v>
      </c>
      <c r="T343" s="53">
        <f t="shared" si="65"/>
        <v>0</v>
      </c>
      <c r="U343" s="53">
        <f t="shared" si="65"/>
        <v>0</v>
      </c>
      <c r="V343" s="53">
        <f t="shared" si="65"/>
        <v>0</v>
      </c>
      <c r="W343" s="53">
        <f t="shared" si="65"/>
        <v>0</v>
      </c>
      <c r="X343" s="53">
        <f t="shared" si="65"/>
        <v>0</v>
      </c>
      <c r="Y343" s="53">
        <f t="shared" si="65"/>
        <v>0</v>
      </c>
      <c r="Z343" s="53">
        <f t="shared" si="65"/>
        <v>0</v>
      </c>
      <c r="AA343" s="53">
        <f t="shared" si="65"/>
        <v>0</v>
      </c>
      <c r="AB343" s="53">
        <f t="shared" si="65"/>
        <v>0</v>
      </c>
      <c r="AC343" s="53">
        <f t="shared" si="65"/>
        <v>0</v>
      </c>
      <c r="AD343" s="53">
        <v>0</v>
      </c>
      <c r="AE343" s="53">
        <f>SUM(AE331:AE341)</f>
        <v>0</v>
      </c>
      <c r="AF343" s="53">
        <f>SUM(AF331:AF341)</f>
        <v>0</v>
      </c>
      <c r="AG343" s="53">
        <f>SUM(AG331:AG341)</f>
        <v>0</v>
      </c>
      <c r="AH343" s="46">
        <f>SUM(AH331:AH341)</f>
        <v>0</v>
      </c>
    </row>
    <row r="344" spans="1:34" ht="14.25" customHeight="1">
      <c r="A344" s="14"/>
      <c r="B344" s="14"/>
      <c r="C344" s="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
    </row>
    <row r="345" spans="1:34" ht="15">
      <c r="A345" s="3569" t="s">
        <v>60</v>
      </c>
      <c r="B345" s="3570"/>
      <c r="C345" s="3570"/>
      <c r="D345" s="3570"/>
      <c r="E345" s="3570"/>
      <c r="F345" s="3570"/>
      <c r="G345" s="3570"/>
      <c r="H345" s="3571"/>
      <c r="I345" s="1433"/>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row>
    <row r="346" spans="1:34" ht="15">
      <c r="A346" s="5" t="s">
        <v>72</v>
      </c>
      <c r="B346" s="5" t="s">
        <v>73</v>
      </c>
      <c r="C346" s="1233">
        <v>1</v>
      </c>
      <c r="D346" s="30">
        <v>2</v>
      </c>
      <c r="E346" s="30">
        <v>3</v>
      </c>
      <c r="F346" s="30">
        <v>4</v>
      </c>
      <c r="G346" s="30">
        <v>5</v>
      </c>
      <c r="H346" s="30">
        <v>6</v>
      </c>
      <c r="I346" s="30">
        <v>7</v>
      </c>
      <c r="J346" s="30">
        <v>8</v>
      </c>
      <c r="K346" s="30">
        <v>9</v>
      </c>
      <c r="L346" s="30">
        <v>10</v>
      </c>
      <c r="M346" s="30">
        <v>11</v>
      </c>
      <c r="N346" s="30">
        <v>12</v>
      </c>
      <c r="O346" s="30">
        <v>13</v>
      </c>
      <c r="P346" s="30">
        <v>14</v>
      </c>
      <c r="Q346" s="30">
        <v>15</v>
      </c>
      <c r="R346" s="30">
        <v>16</v>
      </c>
      <c r="S346" s="30">
        <v>17</v>
      </c>
      <c r="T346" s="30">
        <v>18</v>
      </c>
      <c r="U346" s="30">
        <v>19</v>
      </c>
      <c r="V346" s="30">
        <v>20</v>
      </c>
      <c r="W346" s="30">
        <v>21</v>
      </c>
      <c r="X346" s="30">
        <v>22</v>
      </c>
      <c r="Y346" s="30">
        <v>23</v>
      </c>
      <c r="Z346" s="30">
        <v>24</v>
      </c>
      <c r="AA346" s="30">
        <v>25</v>
      </c>
      <c r="AB346" s="30">
        <v>26</v>
      </c>
      <c r="AC346" s="30">
        <v>27</v>
      </c>
      <c r="AD346" s="30">
        <v>28</v>
      </c>
      <c r="AE346" s="30">
        <v>29</v>
      </c>
      <c r="AF346" s="30">
        <v>30</v>
      </c>
      <c r="AG346" s="30">
        <v>31</v>
      </c>
      <c r="AH346" s="39" t="s">
        <v>74</v>
      </c>
    </row>
    <row r="347" spans="1:34" ht="15">
      <c r="A347" s="143" t="s">
        <v>75</v>
      </c>
      <c r="B347" s="18">
        <f t="shared" ref="B347:B358" si="66">+AH347</f>
        <v>0</v>
      </c>
      <c r="C347" s="126" t="s">
        <v>111</v>
      </c>
      <c r="D347" s="126" t="s">
        <v>111</v>
      </c>
      <c r="E347" s="126" t="s">
        <v>111</v>
      </c>
      <c r="F347" s="126" t="s">
        <v>111</v>
      </c>
      <c r="G347" s="126" t="s">
        <v>111</v>
      </c>
      <c r="H347" s="126" t="s">
        <v>111</v>
      </c>
      <c r="I347" s="126" t="s">
        <v>111</v>
      </c>
      <c r="J347" s="126" t="s">
        <v>111</v>
      </c>
      <c r="K347" s="126" t="s">
        <v>111</v>
      </c>
      <c r="L347" s="126" t="s">
        <v>111</v>
      </c>
      <c r="M347" s="126" t="s">
        <v>111</v>
      </c>
      <c r="N347" s="126" t="s">
        <v>111</v>
      </c>
      <c r="O347" s="126" t="s">
        <v>111</v>
      </c>
      <c r="P347" s="126" t="s">
        <v>111</v>
      </c>
      <c r="Q347" s="126" t="s">
        <v>111</v>
      </c>
      <c r="R347" s="126" t="s">
        <v>111</v>
      </c>
      <c r="S347" s="126" t="s">
        <v>111</v>
      </c>
      <c r="T347" s="126" t="s">
        <v>111</v>
      </c>
      <c r="U347" s="126" t="s">
        <v>111</v>
      </c>
      <c r="V347" s="126" t="s">
        <v>111</v>
      </c>
      <c r="W347" s="126" t="s">
        <v>111</v>
      </c>
      <c r="X347" s="126" t="s">
        <v>111</v>
      </c>
      <c r="Y347" s="126" t="s">
        <v>111</v>
      </c>
      <c r="Z347" s="126" t="s">
        <v>111</v>
      </c>
      <c r="AA347" s="126" t="s">
        <v>111</v>
      </c>
      <c r="AB347" s="126" t="s">
        <v>111</v>
      </c>
      <c r="AC347" s="126" t="s">
        <v>111</v>
      </c>
      <c r="AD347" s="126" t="s">
        <v>111</v>
      </c>
      <c r="AE347" s="126" t="s">
        <v>111</v>
      </c>
      <c r="AF347" s="126" t="s">
        <v>111</v>
      </c>
      <c r="AG347" s="126" t="s">
        <v>111</v>
      </c>
      <c r="AH347" s="53">
        <f>SUM(C347:AG347)</f>
        <v>0</v>
      </c>
    </row>
    <row r="348" spans="1:34" ht="15">
      <c r="A348" s="143" t="s">
        <v>76</v>
      </c>
      <c r="B348" s="18">
        <f t="shared" si="66"/>
        <v>0</v>
      </c>
      <c r="C348" s="126" t="s">
        <v>111</v>
      </c>
      <c r="D348" s="126" t="s">
        <v>111</v>
      </c>
      <c r="E348" s="126" t="s">
        <v>111</v>
      </c>
      <c r="F348" s="126" t="s">
        <v>111</v>
      </c>
      <c r="G348" s="126" t="s">
        <v>111</v>
      </c>
      <c r="H348" s="126" t="s">
        <v>111</v>
      </c>
      <c r="I348" s="126" t="s">
        <v>111</v>
      </c>
      <c r="J348" s="127"/>
      <c r="K348" s="127"/>
      <c r="L348" s="127"/>
      <c r="M348" s="127"/>
      <c r="N348" s="127"/>
      <c r="O348" s="127"/>
      <c r="P348" s="127"/>
      <c r="Q348" s="127"/>
      <c r="R348" s="127"/>
      <c r="S348" s="127"/>
      <c r="T348" s="127"/>
      <c r="U348" s="127"/>
      <c r="V348" s="127"/>
      <c r="W348" s="127"/>
      <c r="X348" s="127"/>
      <c r="Y348" s="127"/>
      <c r="Z348" s="127"/>
      <c r="AA348" s="127"/>
      <c r="AB348" s="127"/>
      <c r="AC348" s="127"/>
      <c r="AD348" s="127"/>
      <c r="AE348" s="127"/>
      <c r="AF348" s="127"/>
      <c r="AG348" s="127"/>
      <c r="AH348" s="53">
        <f t="shared" ref="AH348:AH358" si="67">SUM(C348:AG348)</f>
        <v>0</v>
      </c>
    </row>
    <row r="349" spans="1:34" ht="15">
      <c r="A349" s="143" t="s">
        <v>77</v>
      </c>
      <c r="B349" s="18">
        <f t="shared" si="66"/>
        <v>0</v>
      </c>
      <c r="C349" s="127"/>
      <c r="D349" s="127"/>
      <c r="E349" s="127"/>
      <c r="F349" s="127"/>
      <c r="G349" s="127"/>
      <c r="H349" s="112"/>
      <c r="I349" s="112"/>
      <c r="J349" s="112"/>
      <c r="K349" s="112"/>
      <c r="L349" s="112"/>
      <c r="M349" s="112"/>
      <c r="N349" s="112"/>
      <c r="O349" s="112"/>
      <c r="P349" s="112"/>
      <c r="Q349" s="112"/>
      <c r="R349" s="112"/>
      <c r="S349" s="18"/>
      <c r="T349" s="18"/>
      <c r="U349" s="18"/>
      <c r="V349" s="18"/>
      <c r="W349" s="18"/>
      <c r="X349" s="18"/>
      <c r="Y349" s="18"/>
      <c r="Z349" s="18"/>
      <c r="AA349" s="18"/>
      <c r="AB349" s="18"/>
      <c r="AC349" s="1930"/>
      <c r="AD349" s="1930"/>
      <c r="AE349" s="1930"/>
      <c r="AF349" s="1930"/>
      <c r="AG349" s="1930"/>
      <c r="AH349" s="53">
        <f t="shared" si="67"/>
        <v>0</v>
      </c>
    </row>
    <row r="350" spans="1:34" ht="15">
      <c r="A350" s="143" t="s">
        <v>78</v>
      </c>
      <c r="B350" s="18">
        <f t="shared" si="66"/>
        <v>0</v>
      </c>
      <c r="C350" s="1930"/>
      <c r="D350" s="1930"/>
      <c r="E350" s="1930"/>
      <c r="F350" s="1930"/>
      <c r="G350" s="1930"/>
      <c r="H350" s="1930"/>
      <c r="I350" s="1930"/>
      <c r="J350" s="1930"/>
      <c r="K350" s="1930"/>
      <c r="L350" s="1287"/>
      <c r="M350" s="1287"/>
      <c r="N350" s="1287"/>
      <c r="O350" s="1287"/>
      <c r="P350" s="1287"/>
      <c r="Q350" s="1287"/>
      <c r="R350" s="1287"/>
      <c r="S350" s="1287"/>
      <c r="T350" s="1287"/>
      <c r="U350" s="1287"/>
      <c r="V350" s="1287"/>
      <c r="W350" s="1287"/>
      <c r="X350" s="1287"/>
      <c r="Y350" s="1287"/>
      <c r="Z350" s="1287"/>
      <c r="AA350" s="1287"/>
      <c r="AB350" s="1287"/>
      <c r="AC350" s="1287"/>
      <c r="AD350" s="1287"/>
      <c r="AE350" s="1287"/>
      <c r="AF350" s="1287"/>
      <c r="AG350" s="1287"/>
      <c r="AH350" s="53">
        <f t="shared" si="67"/>
        <v>0</v>
      </c>
    </row>
    <row r="351" spans="1:34" ht="15">
      <c r="A351" s="132" t="s">
        <v>79</v>
      </c>
      <c r="B351" s="18">
        <f t="shared" si="66"/>
        <v>0</v>
      </c>
      <c r="C351" s="1287"/>
      <c r="D351" s="1287"/>
      <c r="E351" s="1287"/>
      <c r="F351" s="1287"/>
      <c r="G351" s="1287"/>
      <c r="H351" s="1287"/>
      <c r="I351" s="1287"/>
      <c r="J351" s="1287"/>
      <c r="K351" s="1287"/>
      <c r="L351" s="1287"/>
      <c r="M351" s="1287"/>
      <c r="N351" s="1287"/>
      <c r="O351" s="1287"/>
      <c r="P351" s="1287"/>
      <c r="Q351" s="1287"/>
      <c r="R351" s="1287"/>
      <c r="S351" s="1287"/>
      <c r="T351" s="1287"/>
      <c r="U351" s="1287"/>
      <c r="V351" s="1287"/>
      <c r="W351" s="1287"/>
      <c r="X351" s="1287"/>
      <c r="Y351" s="1287"/>
      <c r="Z351" s="1287"/>
      <c r="AA351" s="1287"/>
      <c r="AB351" s="1287"/>
      <c r="AC351" s="1287"/>
      <c r="AD351" s="1287"/>
      <c r="AE351" s="1287"/>
      <c r="AF351" s="1287"/>
      <c r="AG351" s="1287"/>
      <c r="AH351" s="53">
        <f t="shared" si="67"/>
        <v>0</v>
      </c>
    </row>
    <row r="352" spans="1:34" ht="15">
      <c r="A352" s="132" t="s">
        <v>80</v>
      </c>
      <c r="B352" s="18">
        <f t="shared" si="66"/>
        <v>0</v>
      </c>
      <c r="C352" s="1287"/>
      <c r="D352" s="1287"/>
      <c r="E352" s="1287"/>
      <c r="F352" s="1287"/>
      <c r="G352" s="1287"/>
      <c r="H352" s="1287"/>
      <c r="I352" s="1287"/>
      <c r="J352" s="1287"/>
      <c r="K352" s="1287"/>
      <c r="L352" s="1287"/>
      <c r="M352" s="1287"/>
      <c r="N352" s="1287"/>
      <c r="O352" s="1287"/>
      <c r="P352" s="1287"/>
      <c r="Q352" s="1287"/>
      <c r="R352" s="1287"/>
      <c r="S352" s="1287"/>
      <c r="T352" s="1287"/>
      <c r="U352" s="1287"/>
      <c r="V352" s="1287"/>
      <c r="W352" s="1287"/>
      <c r="X352" s="1287"/>
      <c r="Y352" s="1287"/>
      <c r="Z352" s="1287"/>
      <c r="AA352" s="1287"/>
      <c r="AB352" s="1287"/>
      <c r="AC352" s="1287"/>
      <c r="AD352" s="1287"/>
      <c r="AE352" s="1287"/>
      <c r="AF352" s="1287"/>
      <c r="AG352" s="1287"/>
      <c r="AH352" s="53">
        <f t="shared" si="67"/>
        <v>0</v>
      </c>
    </row>
    <row r="353" spans="1:34" ht="15">
      <c r="A353" s="132" t="s">
        <v>81</v>
      </c>
      <c r="B353" s="18">
        <f t="shared" si="66"/>
        <v>0</v>
      </c>
      <c r="C353" s="1287"/>
      <c r="D353" s="1488"/>
      <c r="E353" s="1488"/>
      <c r="F353" s="1488"/>
      <c r="G353" s="1287"/>
      <c r="H353" s="1287"/>
      <c r="I353" s="1287"/>
      <c r="J353" s="2466"/>
      <c r="K353" s="2466"/>
      <c r="L353" s="1488"/>
      <c r="M353" s="1488"/>
      <c r="N353" s="1488"/>
      <c r="O353" s="1488"/>
      <c r="P353" s="1488"/>
      <c r="Q353" s="1488"/>
      <c r="R353" s="1488"/>
      <c r="S353" s="1488"/>
      <c r="T353" s="1488"/>
      <c r="U353" s="1488"/>
      <c r="V353" s="1488"/>
      <c r="W353" s="688"/>
      <c r="X353" s="688"/>
      <c r="Y353" s="688"/>
      <c r="Z353" s="688"/>
      <c r="AA353" s="688"/>
      <c r="AB353" s="688"/>
      <c r="AC353" s="688"/>
      <c r="AD353" s="688"/>
      <c r="AE353" s="688"/>
      <c r="AF353" s="688" t="s">
        <v>111</v>
      </c>
      <c r="AG353" s="688" t="s">
        <v>111</v>
      </c>
      <c r="AH353" s="53">
        <f>SUM(C353:AG353)</f>
        <v>0</v>
      </c>
    </row>
    <row r="354" spans="1:34" ht="15">
      <c r="A354" s="132" t="s">
        <v>82</v>
      </c>
      <c r="B354" s="18">
        <f t="shared" si="66"/>
        <v>0</v>
      </c>
      <c r="C354" s="688" t="s">
        <v>111</v>
      </c>
      <c r="D354" s="688" t="s">
        <v>111</v>
      </c>
      <c r="E354" s="688" t="s">
        <v>111</v>
      </c>
      <c r="F354" s="688" t="s">
        <v>111</v>
      </c>
      <c r="G354" s="688" t="s">
        <v>111</v>
      </c>
      <c r="H354" s="688" t="s">
        <v>111</v>
      </c>
      <c r="I354" s="688" t="s">
        <v>111</v>
      </c>
      <c r="J354" s="688" t="s">
        <v>111</v>
      </c>
      <c r="K354" s="688" t="s">
        <v>111</v>
      </c>
      <c r="L354" s="688" t="s">
        <v>111</v>
      </c>
      <c r="M354" s="688" t="s">
        <v>111</v>
      </c>
      <c r="N354" s="688" t="s">
        <v>111</v>
      </c>
      <c r="O354" s="688" t="s">
        <v>111</v>
      </c>
      <c r="P354" s="688" t="s">
        <v>111</v>
      </c>
      <c r="Q354" s="688" t="s">
        <v>111</v>
      </c>
      <c r="R354" s="688" t="s">
        <v>111</v>
      </c>
      <c r="S354" s="688" t="s">
        <v>111</v>
      </c>
      <c r="T354" s="688" t="s">
        <v>111</v>
      </c>
      <c r="U354" s="688" t="s">
        <v>111</v>
      </c>
      <c r="V354" s="688" t="s">
        <v>111</v>
      </c>
      <c r="W354" s="688" t="s">
        <v>111</v>
      </c>
      <c r="X354" s="688" t="s">
        <v>111</v>
      </c>
      <c r="Y354" s="688" t="s">
        <v>111</v>
      </c>
      <c r="Z354" s="688" t="s">
        <v>111</v>
      </c>
      <c r="AA354" s="688" t="s">
        <v>111</v>
      </c>
      <c r="AB354" s="688" t="s">
        <v>111</v>
      </c>
      <c r="AC354" s="688" t="s">
        <v>111</v>
      </c>
      <c r="AD354" s="688" t="s">
        <v>111</v>
      </c>
      <c r="AE354" s="688" t="s">
        <v>111</v>
      </c>
      <c r="AF354" s="688" t="s">
        <v>111</v>
      </c>
      <c r="AG354" s="688" t="s">
        <v>111</v>
      </c>
      <c r="AH354" s="53">
        <f t="shared" si="67"/>
        <v>0</v>
      </c>
    </row>
    <row r="355" spans="1:34" ht="15">
      <c r="A355" s="128" t="s">
        <v>83</v>
      </c>
      <c r="B355" s="18">
        <f t="shared" si="66"/>
        <v>0</v>
      </c>
      <c r="C355" s="688" t="s">
        <v>111</v>
      </c>
      <c r="D355" s="688" t="s">
        <v>111</v>
      </c>
      <c r="E355" s="688" t="s">
        <v>111</v>
      </c>
      <c r="F355" s="688" t="s">
        <v>111</v>
      </c>
      <c r="G355" s="688" t="s">
        <v>111</v>
      </c>
      <c r="H355" s="688" t="s">
        <v>111</v>
      </c>
      <c r="I355" s="688" t="s">
        <v>111</v>
      </c>
      <c r="J355" s="688" t="s">
        <v>111</v>
      </c>
      <c r="K355" s="688" t="s">
        <v>111</v>
      </c>
      <c r="L355" s="688" t="s">
        <v>111</v>
      </c>
      <c r="M355" s="688" t="s">
        <v>111</v>
      </c>
      <c r="N355" s="688" t="s">
        <v>111</v>
      </c>
      <c r="O355" s="688" t="s">
        <v>111</v>
      </c>
      <c r="P355" s="688" t="s">
        <v>111</v>
      </c>
      <c r="Q355" s="688" t="s">
        <v>111</v>
      </c>
      <c r="R355" s="688" t="s">
        <v>111</v>
      </c>
      <c r="S355" s="688" t="s">
        <v>111</v>
      </c>
      <c r="T355" s="688" t="s">
        <v>111</v>
      </c>
      <c r="U355" s="688" t="s">
        <v>111</v>
      </c>
      <c r="V355" s="688" t="s">
        <v>111</v>
      </c>
      <c r="W355" s="688" t="s">
        <v>111</v>
      </c>
      <c r="X355" s="688" t="s">
        <v>111</v>
      </c>
      <c r="Y355" s="688" t="s">
        <v>111</v>
      </c>
      <c r="Z355" s="688" t="s">
        <v>111</v>
      </c>
      <c r="AA355" s="688" t="s">
        <v>111</v>
      </c>
      <c r="AB355" s="688" t="s">
        <v>111</v>
      </c>
      <c r="AC355" s="688" t="s">
        <v>111</v>
      </c>
      <c r="AD355" s="688" t="s">
        <v>111</v>
      </c>
      <c r="AE355" s="688" t="s">
        <v>111</v>
      </c>
      <c r="AF355" s="688" t="s">
        <v>111</v>
      </c>
      <c r="AG355" s="688" t="s">
        <v>111</v>
      </c>
      <c r="AH355" s="53">
        <f t="shared" si="67"/>
        <v>0</v>
      </c>
    </row>
    <row r="356" spans="1:34" ht="15">
      <c r="A356" s="128" t="s">
        <v>84</v>
      </c>
      <c r="B356" s="18">
        <f t="shared" si="66"/>
        <v>0</v>
      </c>
      <c r="C356" s="688" t="s">
        <v>111</v>
      </c>
      <c r="D356" s="688" t="s">
        <v>111</v>
      </c>
      <c r="E356" s="688" t="s">
        <v>111</v>
      </c>
      <c r="F356" s="688" t="s">
        <v>111</v>
      </c>
      <c r="G356" s="688" t="s">
        <v>111</v>
      </c>
      <c r="H356" s="688" t="s">
        <v>111</v>
      </c>
      <c r="I356" s="688" t="s">
        <v>111</v>
      </c>
      <c r="J356" s="688" t="s">
        <v>111</v>
      </c>
      <c r="K356" s="688" t="s">
        <v>111</v>
      </c>
      <c r="L356" s="688" t="s">
        <v>111</v>
      </c>
      <c r="M356" s="688" t="s">
        <v>111</v>
      </c>
      <c r="N356" s="688" t="s">
        <v>111</v>
      </c>
      <c r="O356" s="688" t="s">
        <v>111</v>
      </c>
      <c r="P356" s="688" t="s">
        <v>111</v>
      </c>
      <c r="Q356" s="688" t="s">
        <v>111</v>
      </c>
      <c r="R356" s="688" t="s">
        <v>111</v>
      </c>
      <c r="S356" s="688" t="s">
        <v>111</v>
      </c>
      <c r="T356" s="688" t="s">
        <v>111</v>
      </c>
      <c r="U356" s="688" t="s">
        <v>111</v>
      </c>
      <c r="V356" s="688" t="s">
        <v>111</v>
      </c>
      <c r="W356" s="688" t="s">
        <v>111</v>
      </c>
      <c r="X356" s="1287"/>
      <c r="Y356" s="1287"/>
      <c r="Z356" s="1287"/>
      <c r="AA356" s="1287"/>
      <c r="AB356" s="1287"/>
      <c r="AC356" s="1287"/>
      <c r="AD356" s="1287"/>
      <c r="AE356" s="1488"/>
      <c r="AF356" s="1287"/>
      <c r="AG356" s="1488"/>
      <c r="AH356" s="53">
        <f t="shared" si="67"/>
        <v>0</v>
      </c>
    </row>
    <row r="357" spans="1:34" ht="15">
      <c r="A357" s="128" t="s">
        <v>85</v>
      </c>
      <c r="B357" s="18">
        <f t="shared" si="66"/>
        <v>0.08</v>
      </c>
      <c r="C357" s="1287"/>
      <c r="D357" s="1287"/>
      <c r="E357" s="1287"/>
      <c r="F357" s="1287"/>
      <c r="G357" s="1433"/>
      <c r="H357" s="1287"/>
      <c r="I357" s="1287"/>
      <c r="J357" s="1287"/>
      <c r="K357" s="1287"/>
      <c r="L357" s="1287"/>
      <c r="M357" s="1287"/>
      <c r="N357" s="1287"/>
      <c r="O357" s="1287"/>
      <c r="P357" s="1287"/>
      <c r="Q357" s="1287"/>
      <c r="R357" s="1287"/>
      <c r="S357" s="1287"/>
      <c r="T357" s="1287"/>
      <c r="U357" s="1287"/>
      <c r="V357" s="1287"/>
      <c r="W357" s="1287"/>
      <c r="X357" s="1287"/>
      <c r="Y357" s="1433"/>
      <c r="Z357" s="1287"/>
      <c r="AA357" s="1287"/>
      <c r="AB357" s="1287">
        <v>0.08</v>
      </c>
      <c r="AC357" s="1287"/>
      <c r="AD357" s="1287"/>
      <c r="AE357" s="1488"/>
      <c r="AF357" s="1287"/>
      <c r="AG357" s="1488"/>
      <c r="AH357" s="53">
        <f t="shared" si="67"/>
        <v>0.08</v>
      </c>
    </row>
    <row r="358" spans="1:34" ht="15">
      <c r="A358" s="128" t="s">
        <v>86</v>
      </c>
      <c r="B358" s="18">
        <f t="shared" si="66"/>
        <v>0</v>
      </c>
      <c r="C358" s="1287"/>
      <c r="D358" s="1287"/>
      <c r="E358" s="1287"/>
      <c r="F358" s="1287"/>
      <c r="G358" s="1287"/>
      <c r="H358" s="1287"/>
      <c r="I358" s="1287"/>
      <c r="J358" s="1287"/>
      <c r="K358" s="1287"/>
      <c r="L358" s="1287"/>
      <c r="M358" s="1287"/>
      <c r="N358" s="1287"/>
      <c r="O358" s="1287"/>
      <c r="P358" s="1287"/>
      <c r="Q358" s="1287"/>
      <c r="R358" s="1287"/>
      <c r="S358" s="1287"/>
      <c r="T358" s="1287"/>
      <c r="U358" s="1287"/>
      <c r="V358" s="1287"/>
      <c r="W358" s="1287"/>
      <c r="X358" s="1287"/>
      <c r="Y358" s="1287"/>
      <c r="Z358" s="1287"/>
      <c r="AA358" s="1287"/>
      <c r="AB358" s="1287"/>
      <c r="AC358" s="1287"/>
      <c r="AD358" s="1287"/>
      <c r="AE358" s="1287"/>
      <c r="AF358" s="1287"/>
      <c r="AG358" s="1287"/>
      <c r="AH358" s="53">
        <f t="shared" si="67"/>
        <v>0</v>
      </c>
    </row>
    <row r="359" spans="1:34" ht="15">
      <c r="A359" s="88" t="s">
        <v>74</v>
      </c>
      <c r="B359" s="92">
        <f>SUM(B347:B358)</f>
        <v>0.08</v>
      </c>
      <c r="C359" s="46">
        <f>SUM(C347:C357)</f>
        <v>0</v>
      </c>
      <c r="D359" s="53">
        <f>SUM(D347:D357)</f>
        <v>0</v>
      </c>
      <c r="E359" s="53">
        <v>0</v>
      </c>
      <c r="F359" s="53">
        <f t="shared" ref="F359:AC359" si="68">SUM(F347:F357)</f>
        <v>0</v>
      </c>
      <c r="G359" s="53">
        <f t="shared" si="68"/>
        <v>0</v>
      </c>
      <c r="H359" s="53">
        <f t="shared" si="68"/>
        <v>0</v>
      </c>
      <c r="I359" s="53">
        <f t="shared" si="68"/>
        <v>0</v>
      </c>
      <c r="J359" s="53">
        <f t="shared" si="68"/>
        <v>0</v>
      </c>
      <c r="K359" s="53">
        <f t="shared" si="68"/>
        <v>0</v>
      </c>
      <c r="L359" s="53">
        <f t="shared" si="68"/>
        <v>0</v>
      </c>
      <c r="M359" s="53">
        <f t="shared" si="68"/>
        <v>0</v>
      </c>
      <c r="N359" s="53">
        <f t="shared" si="68"/>
        <v>0</v>
      </c>
      <c r="O359" s="53">
        <f t="shared" si="68"/>
        <v>0</v>
      </c>
      <c r="P359" s="53">
        <f t="shared" si="68"/>
        <v>0</v>
      </c>
      <c r="Q359" s="53">
        <f t="shared" si="68"/>
        <v>0</v>
      </c>
      <c r="R359" s="53">
        <f t="shared" si="68"/>
        <v>0</v>
      </c>
      <c r="S359" s="53">
        <f t="shared" si="68"/>
        <v>0</v>
      </c>
      <c r="T359" s="53">
        <f t="shared" si="68"/>
        <v>0</v>
      </c>
      <c r="U359" s="53">
        <f t="shared" si="68"/>
        <v>0</v>
      </c>
      <c r="V359" s="53">
        <f t="shared" si="68"/>
        <v>0</v>
      </c>
      <c r="W359" s="53">
        <f t="shared" si="68"/>
        <v>0</v>
      </c>
      <c r="X359" s="53">
        <f t="shared" si="68"/>
        <v>0</v>
      </c>
      <c r="Y359" s="53">
        <f t="shared" si="68"/>
        <v>0</v>
      </c>
      <c r="Z359" s="53">
        <f t="shared" si="68"/>
        <v>0</v>
      </c>
      <c r="AA359" s="53">
        <f t="shared" si="68"/>
        <v>0</v>
      </c>
      <c r="AB359" s="53">
        <f t="shared" si="68"/>
        <v>0.08</v>
      </c>
      <c r="AC359" s="53">
        <f t="shared" si="68"/>
        <v>0</v>
      </c>
      <c r="AD359" s="53">
        <v>0</v>
      </c>
      <c r="AE359" s="53">
        <f>SUM(AE347:AE357)</f>
        <v>0</v>
      </c>
      <c r="AF359" s="53">
        <f>SUM(AF347:AF357)</f>
        <v>0</v>
      </c>
      <c r="AG359" s="53">
        <f>SUM(AG347:AG357)</f>
        <v>0</v>
      </c>
      <c r="AH359" s="46">
        <f>SUM(AH347:AH357)</f>
        <v>0.08</v>
      </c>
    </row>
    <row r="360" spans="1:34" ht="15">
      <c r="A360" s="59"/>
      <c r="B360" s="59"/>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c r="AA360" s="60"/>
      <c r="AB360" s="60"/>
      <c r="AC360" s="60"/>
      <c r="AD360" s="60"/>
      <c r="AE360" s="60"/>
      <c r="AF360" s="60"/>
      <c r="AG360" s="60"/>
      <c r="AH360" s="60"/>
    </row>
    <row r="361" spans="1:34" ht="15">
      <c r="A361" s="3591" t="s">
        <v>61</v>
      </c>
      <c r="B361" s="3592"/>
      <c r="C361" s="3592"/>
      <c r="D361" s="3592"/>
      <c r="E361" s="3592"/>
      <c r="F361" s="3592"/>
      <c r="G361" s="3592"/>
      <c r="H361" s="3592"/>
      <c r="I361" s="3592"/>
      <c r="J361" s="3592"/>
      <c r="K361" s="3592"/>
      <c r="L361" s="3592"/>
      <c r="M361" s="3592"/>
      <c r="N361" s="3592"/>
      <c r="O361" s="3592"/>
      <c r="P361" s="3592"/>
      <c r="Q361" s="3592"/>
      <c r="R361" s="3593"/>
      <c r="S361" s="11"/>
      <c r="T361" s="11"/>
      <c r="U361" s="11"/>
      <c r="V361" s="11"/>
      <c r="W361" s="11"/>
      <c r="X361" s="11"/>
      <c r="Y361" s="11"/>
      <c r="Z361" s="11"/>
      <c r="AA361" s="11"/>
      <c r="AB361" s="11"/>
      <c r="AC361" s="11"/>
      <c r="AD361" s="11"/>
      <c r="AE361" s="11"/>
      <c r="AF361" s="11"/>
      <c r="AG361" s="11"/>
      <c r="AH361" s="11"/>
    </row>
    <row r="362" spans="1:34" ht="5.0999999999999996" customHeight="1">
      <c r="A362" s="50"/>
      <c r="B362" s="73"/>
      <c r="C362" s="50"/>
      <c r="D362" s="50"/>
      <c r="E362" s="50"/>
      <c r="F362" s="50"/>
      <c r="G362" s="50"/>
      <c r="H362" s="50"/>
      <c r="I362" s="50"/>
      <c r="J362" s="50"/>
      <c r="K362" s="50"/>
      <c r="L362" s="50"/>
      <c r="M362" s="50"/>
      <c r="N362" s="50"/>
      <c r="O362" s="50"/>
      <c r="P362" s="50"/>
      <c r="Q362" s="50"/>
      <c r="R362" s="50"/>
      <c r="S362" s="11"/>
      <c r="T362" s="11"/>
      <c r="U362" s="11"/>
      <c r="V362" s="11"/>
      <c r="W362" s="11"/>
      <c r="X362" s="11"/>
      <c r="Y362" s="11"/>
      <c r="Z362" s="11"/>
      <c r="AA362" s="11"/>
      <c r="AB362" s="11"/>
      <c r="AC362" s="11"/>
      <c r="AD362" s="11"/>
      <c r="AE362" s="11"/>
      <c r="AF362" s="11"/>
      <c r="AG362" s="11"/>
      <c r="AH362" s="11"/>
    </row>
    <row r="363" spans="1:34" ht="20.25">
      <c r="A363" s="3615" t="s">
        <v>62</v>
      </c>
      <c r="B363" s="3616"/>
      <c r="C363" s="3616"/>
      <c r="D363" s="3616"/>
      <c r="E363" s="3616"/>
      <c r="F363" s="3616"/>
      <c r="G363" s="3616"/>
      <c r="H363" s="3617"/>
      <c r="I363" s="11"/>
      <c r="J363" s="11"/>
      <c r="K363" s="11"/>
      <c r="L363" s="11"/>
      <c r="M363" s="2490"/>
      <c r="N363" s="11"/>
      <c r="O363" s="11"/>
      <c r="P363" s="11"/>
      <c r="Q363" s="11"/>
      <c r="R363" s="11"/>
      <c r="S363" s="11"/>
      <c r="T363" s="11"/>
      <c r="U363" s="11"/>
      <c r="V363" s="11"/>
      <c r="W363" s="11"/>
      <c r="X363" s="11"/>
      <c r="Y363" s="11"/>
      <c r="Z363" s="11"/>
      <c r="AA363" s="11"/>
      <c r="AB363" s="11"/>
      <c r="AC363" s="11"/>
      <c r="AD363" s="11"/>
      <c r="AE363" s="11"/>
      <c r="AF363" s="11"/>
      <c r="AG363" s="11"/>
      <c r="AH363" s="11"/>
    </row>
    <row r="364" spans="1:34" ht="15">
      <c r="A364" s="5" t="s">
        <v>91</v>
      </c>
      <c r="B364" s="71" t="s">
        <v>73</v>
      </c>
      <c r="C364" s="1233">
        <v>1</v>
      </c>
      <c r="D364" s="30">
        <v>2</v>
      </c>
      <c r="E364" s="30">
        <v>3</v>
      </c>
      <c r="F364" s="30">
        <v>4</v>
      </c>
      <c r="G364" s="30">
        <v>5</v>
      </c>
      <c r="H364" s="30">
        <v>6</v>
      </c>
      <c r="I364" s="30">
        <v>7</v>
      </c>
      <c r="J364" s="30">
        <v>8</v>
      </c>
      <c r="K364" s="30">
        <v>9</v>
      </c>
      <c r="L364" s="30">
        <v>10</v>
      </c>
      <c r="M364" s="30">
        <v>11</v>
      </c>
      <c r="N364" s="30">
        <v>12</v>
      </c>
      <c r="O364" s="30">
        <v>13</v>
      </c>
      <c r="P364" s="30">
        <v>14</v>
      </c>
      <c r="Q364" s="30">
        <v>15</v>
      </c>
      <c r="R364" s="30">
        <v>16</v>
      </c>
      <c r="S364" s="30">
        <v>17</v>
      </c>
      <c r="T364" s="30">
        <v>18</v>
      </c>
      <c r="U364" s="30">
        <v>19</v>
      </c>
      <c r="V364" s="30">
        <v>20</v>
      </c>
      <c r="W364" s="30">
        <v>21</v>
      </c>
      <c r="X364" s="30">
        <v>22</v>
      </c>
      <c r="Y364" s="30">
        <v>23</v>
      </c>
      <c r="Z364" s="30">
        <v>24</v>
      </c>
      <c r="AA364" s="30">
        <v>25</v>
      </c>
      <c r="AB364" s="30">
        <v>26</v>
      </c>
      <c r="AC364" s="30">
        <v>27</v>
      </c>
      <c r="AD364" s="30">
        <v>28</v>
      </c>
      <c r="AE364" s="30">
        <v>29</v>
      </c>
      <c r="AF364" s="30">
        <v>30</v>
      </c>
      <c r="AG364" s="30">
        <v>31</v>
      </c>
      <c r="AH364" s="39" t="s">
        <v>74</v>
      </c>
    </row>
    <row r="365" spans="1:34" ht="15">
      <c r="A365" s="1233" t="s">
        <v>75</v>
      </c>
      <c r="B365" s="116">
        <f t="shared" ref="B365:B376" si="69">+AH365</f>
        <v>0</v>
      </c>
      <c r="C365" s="1287"/>
      <c r="D365" s="1287"/>
      <c r="E365" s="1287"/>
      <c r="F365" s="1287"/>
      <c r="G365" s="1287"/>
      <c r="H365" s="1287"/>
      <c r="I365" s="1287"/>
      <c r="J365" s="1287"/>
      <c r="K365" s="1287"/>
      <c r="L365" s="1287"/>
      <c r="M365" s="1287"/>
      <c r="N365" s="1287"/>
      <c r="O365" s="1287"/>
      <c r="P365" s="1287"/>
      <c r="Q365" s="1287"/>
      <c r="R365" s="1287"/>
      <c r="S365" s="1287"/>
      <c r="T365" s="1287"/>
      <c r="U365" s="1287"/>
      <c r="V365" s="1287"/>
      <c r="W365" s="1287"/>
      <c r="X365" s="1287"/>
      <c r="Y365" s="1287"/>
      <c r="Z365" s="1287"/>
      <c r="AA365" s="1287"/>
      <c r="AB365" s="1287"/>
      <c r="AC365" s="1287"/>
      <c r="AD365" s="1287"/>
      <c r="AE365" s="1287"/>
      <c r="AF365" s="1287"/>
      <c r="AG365" s="1287"/>
      <c r="AH365" s="53">
        <f t="shared" ref="AH365:AH376" si="70">SUM(C365:AG365)</f>
        <v>0</v>
      </c>
    </row>
    <row r="366" spans="1:34" ht="15">
      <c r="A366" s="1233" t="s">
        <v>76</v>
      </c>
      <c r="B366" s="116">
        <f t="shared" si="69"/>
        <v>0</v>
      </c>
      <c r="C366" s="1287"/>
      <c r="D366" s="1287"/>
      <c r="E366" s="1287"/>
      <c r="F366" s="1287"/>
      <c r="G366" s="1287"/>
      <c r="H366" s="1287"/>
      <c r="I366" s="1287"/>
      <c r="J366" s="1287"/>
      <c r="K366" s="1287"/>
      <c r="L366" s="1287"/>
      <c r="M366" s="1287"/>
      <c r="N366" s="1287"/>
      <c r="O366" s="1287"/>
      <c r="P366" s="1287"/>
      <c r="Q366" s="1287"/>
      <c r="R366" s="1287"/>
      <c r="S366" s="1287"/>
      <c r="T366" s="1287"/>
      <c r="U366" s="1287"/>
      <c r="V366" s="1287"/>
      <c r="W366" s="1287"/>
      <c r="X366" s="1287"/>
      <c r="Y366" s="1287"/>
      <c r="Z366" s="1287"/>
      <c r="AA366" s="1287"/>
      <c r="AB366" s="1287"/>
      <c r="AC366" s="1287"/>
      <c r="AD366" s="1287"/>
      <c r="AE366" s="1287"/>
      <c r="AF366" s="1287"/>
      <c r="AG366" s="1287"/>
      <c r="AH366" s="53">
        <f t="shared" si="70"/>
        <v>0</v>
      </c>
    </row>
    <row r="367" spans="1:34" ht="15">
      <c r="A367" s="1233" t="s">
        <v>77</v>
      </c>
      <c r="B367" s="116">
        <f t="shared" si="69"/>
        <v>0</v>
      </c>
      <c r="C367" s="1930"/>
      <c r="D367" s="1930"/>
      <c r="E367" s="1930"/>
      <c r="F367" s="1930"/>
      <c r="G367" s="1930"/>
      <c r="H367" s="1287" t="s">
        <v>1307</v>
      </c>
      <c r="I367" s="1287"/>
      <c r="J367" s="1287"/>
      <c r="K367" s="1287"/>
      <c r="L367" s="1287"/>
      <c r="M367" s="1287"/>
      <c r="N367" s="1287"/>
      <c r="O367" s="1287" t="s">
        <v>1308</v>
      </c>
      <c r="P367" s="1287" t="s">
        <v>1309</v>
      </c>
      <c r="Q367" s="1280"/>
      <c r="R367" s="1280"/>
      <c r="S367" s="1280"/>
      <c r="T367" s="1280"/>
      <c r="U367" s="1280"/>
      <c r="V367" s="1280"/>
      <c r="W367" s="1280"/>
      <c r="X367" s="1280"/>
      <c r="Y367" s="1280"/>
      <c r="Z367" s="1280"/>
      <c r="AA367" s="1280"/>
      <c r="AB367" s="1280"/>
      <c r="AC367" s="1280"/>
      <c r="AD367" s="1280"/>
      <c r="AE367" s="1280"/>
      <c r="AF367" s="1280"/>
      <c r="AG367" s="1280"/>
      <c r="AH367" s="53">
        <f t="shared" si="70"/>
        <v>0</v>
      </c>
    </row>
    <row r="368" spans="1:34" ht="15">
      <c r="A368" s="1233" t="s">
        <v>78</v>
      </c>
      <c r="B368" s="116">
        <f t="shared" si="69"/>
        <v>0</v>
      </c>
      <c r="C368" s="1280"/>
      <c r="D368" s="1280"/>
      <c r="E368" s="1280"/>
      <c r="F368" s="1280"/>
      <c r="G368" s="1280"/>
      <c r="H368" s="1280"/>
      <c r="I368" s="1280"/>
      <c r="J368" s="1280"/>
      <c r="K368" s="1280"/>
      <c r="L368" s="1280"/>
      <c r="M368" s="1280"/>
      <c r="N368" s="1280"/>
      <c r="O368" s="1280" t="s">
        <v>1310</v>
      </c>
      <c r="P368" s="1280"/>
      <c r="Q368" s="1280" t="s">
        <v>1311</v>
      </c>
      <c r="R368" s="1280"/>
      <c r="S368" s="1280"/>
      <c r="T368" s="1280"/>
      <c r="U368" s="1280"/>
      <c r="V368" s="1280"/>
      <c r="W368" s="1280"/>
      <c r="X368" s="1280"/>
      <c r="Y368" s="1280"/>
      <c r="Z368" s="1280"/>
      <c r="AA368" s="1280"/>
      <c r="AB368" s="1280"/>
      <c r="AC368" s="1280"/>
      <c r="AD368" s="1280"/>
      <c r="AE368" s="1280"/>
      <c r="AF368" s="1280" t="s">
        <v>112</v>
      </c>
      <c r="AG368" s="1280" t="s">
        <v>112</v>
      </c>
      <c r="AH368" s="53">
        <f t="shared" si="70"/>
        <v>0</v>
      </c>
    </row>
    <row r="369" spans="1:34" ht="15">
      <c r="A369" s="1233" t="s">
        <v>79</v>
      </c>
      <c r="B369" s="116">
        <f t="shared" si="69"/>
        <v>0</v>
      </c>
      <c r="C369" s="1280" t="s">
        <v>112</v>
      </c>
      <c r="D369" s="1280" t="s">
        <v>112</v>
      </c>
      <c r="E369" s="1280" t="s">
        <v>112</v>
      </c>
      <c r="F369" s="1280" t="s">
        <v>112</v>
      </c>
      <c r="G369" s="1280" t="s">
        <v>112</v>
      </c>
      <c r="H369" s="1280" t="s">
        <v>112</v>
      </c>
      <c r="I369" s="1280" t="s">
        <v>112</v>
      </c>
      <c r="J369" s="1280" t="s">
        <v>112</v>
      </c>
      <c r="K369" s="1280" t="s">
        <v>112</v>
      </c>
      <c r="L369" s="1280" t="s">
        <v>112</v>
      </c>
      <c r="M369" s="1280" t="s">
        <v>112</v>
      </c>
      <c r="N369" s="1280" t="s">
        <v>112</v>
      </c>
      <c r="O369" s="1280" t="s">
        <v>112</v>
      </c>
      <c r="P369" s="1280" t="s">
        <v>112</v>
      </c>
      <c r="Q369" s="1280" t="s">
        <v>112</v>
      </c>
      <c r="R369" s="1287"/>
      <c r="S369" s="1287"/>
      <c r="T369" s="1287"/>
      <c r="U369" s="1287"/>
      <c r="V369" s="1287"/>
      <c r="W369" s="1287"/>
      <c r="X369" s="1287"/>
      <c r="Y369" s="1287"/>
      <c r="Z369" s="1287"/>
      <c r="AA369" s="1287"/>
      <c r="AB369" s="1287"/>
      <c r="AC369" s="1287"/>
      <c r="AD369" s="1287"/>
      <c r="AE369" s="1287"/>
      <c r="AF369" s="1287"/>
      <c r="AG369" s="1287"/>
      <c r="AH369" s="53">
        <f t="shared" si="70"/>
        <v>0</v>
      </c>
    </row>
    <row r="370" spans="1:34" ht="15">
      <c r="A370" s="1233" t="s">
        <v>80</v>
      </c>
      <c r="B370" s="116">
        <f t="shared" si="69"/>
        <v>0</v>
      </c>
      <c r="C370" s="49"/>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53">
        <f t="shared" si="70"/>
        <v>0</v>
      </c>
    </row>
    <row r="371" spans="1:34" ht="15">
      <c r="A371" s="1744" t="s">
        <v>81</v>
      </c>
      <c r="B371" s="28">
        <f t="shared" si="69"/>
        <v>0</v>
      </c>
      <c r="C371" s="49"/>
      <c r="D371" s="53"/>
      <c r="E371" s="53"/>
      <c r="F371" s="53"/>
      <c r="G371" s="18"/>
      <c r="H371" s="18"/>
      <c r="I371" s="18"/>
      <c r="J371" s="57"/>
      <c r="K371" s="57"/>
      <c r="L371" s="53"/>
      <c r="M371" s="53"/>
      <c r="N371" s="53"/>
      <c r="O371" s="53"/>
      <c r="P371" s="53"/>
      <c r="Q371" s="53"/>
      <c r="R371" s="53"/>
      <c r="S371" s="53"/>
      <c r="T371" s="53"/>
      <c r="U371" s="53"/>
      <c r="V371" s="53"/>
      <c r="W371" s="1002" t="s">
        <v>112</v>
      </c>
      <c r="X371" s="1002" t="s">
        <v>112</v>
      </c>
      <c r="Y371" s="1002" t="s">
        <v>112</v>
      </c>
      <c r="Z371" s="1002" t="s">
        <v>112</v>
      </c>
      <c r="AA371" s="1002" t="s">
        <v>112</v>
      </c>
      <c r="AB371" s="1002" t="s">
        <v>112</v>
      </c>
      <c r="AC371" s="1002" t="s">
        <v>112</v>
      </c>
      <c r="AD371" s="1002" t="s">
        <v>112</v>
      </c>
      <c r="AE371" s="1002" t="s">
        <v>112</v>
      </c>
      <c r="AF371" s="1002" t="s">
        <v>112</v>
      </c>
      <c r="AG371" s="1002" t="s">
        <v>112</v>
      </c>
      <c r="AH371" s="53">
        <f t="shared" si="70"/>
        <v>0</v>
      </c>
    </row>
    <row r="372" spans="1:34" ht="15">
      <c r="A372" s="1744" t="s">
        <v>82</v>
      </c>
      <c r="B372" s="119">
        <f t="shared" si="69"/>
        <v>0</v>
      </c>
      <c r="C372" s="1002" t="s">
        <v>112</v>
      </c>
      <c r="D372" s="1002" t="s">
        <v>112</v>
      </c>
      <c r="E372" s="1002" t="s">
        <v>112</v>
      </c>
      <c r="F372" s="1002" t="s">
        <v>112</v>
      </c>
      <c r="G372" s="1002" t="s">
        <v>112</v>
      </c>
      <c r="H372" s="1002" t="s">
        <v>112</v>
      </c>
      <c r="I372" s="1002" t="s">
        <v>112</v>
      </c>
      <c r="J372" s="1002" t="s">
        <v>112</v>
      </c>
      <c r="K372" s="1002" t="s">
        <v>112</v>
      </c>
      <c r="L372" s="1002" t="s">
        <v>112</v>
      </c>
      <c r="M372" s="1002" t="s">
        <v>112</v>
      </c>
      <c r="N372" s="1002" t="s">
        <v>112</v>
      </c>
      <c r="O372" s="1002" t="s">
        <v>112</v>
      </c>
      <c r="P372" s="1002" t="s">
        <v>112</v>
      </c>
      <c r="Q372" s="1002" t="s">
        <v>112</v>
      </c>
      <c r="R372" s="1002" t="s">
        <v>112</v>
      </c>
      <c r="S372" s="1002" t="s">
        <v>112</v>
      </c>
      <c r="T372" s="1002" t="s">
        <v>112</v>
      </c>
      <c r="U372" s="1002" t="s">
        <v>112</v>
      </c>
      <c r="V372" s="1002" t="s">
        <v>112</v>
      </c>
      <c r="W372" s="1002" t="s">
        <v>112</v>
      </c>
      <c r="X372" s="1002" t="s">
        <v>112</v>
      </c>
      <c r="Y372" s="1002" t="s">
        <v>112</v>
      </c>
      <c r="Z372" s="1002" t="s">
        <v>112</v>
      </c>
      <c r="AA372" s="1002" t="s">
        <v>112</v>
      </c>
      <c r="AB372" s="1002" t="s">
        <v>112</v>
      </c>
      <c r="AC372" s="1002" t="s">
        <v>112</v>
      </c>
      <c r="AD372" s="1002" t="s">
        <v>112</v>
      </c>
      <c r="AE372" s="1002" t="s">
        <v>112</v>
      </c>
      <c r="AF372" s="1002" t="s">
        <v>112</v>
      </c>
      <c r="AG372" s="1002" t="s">
        <v>112</v>
      </c>
      <c r="AH372" s="53">
        <f t="shared" si="70"/>
        <v>0</v>
      </c>
    </row>
    <row r="373" spans="1:34" ht="15">
      <c r="A373" s="1744" t="s">
        <v>83</v>
      </c>
      <c r="B373" s="119">
        <f t="shared" si="69"/>
        <v>0</v>
      </c>
      <c r="C373" s="46"/>
      <c r="D373" s="53"/>
      <c r="E373" s="53"/>
      <c r="F373" s="53"/>
      <c r="G373" s="53"/>
      <c r="H373" s="53"/>
      <c r="I373" s="53"/>
      <c r="J373" s="57"/>
      <c r="K373" s="57"/>
      <c r="L373" s="18"/>
      <c r="M373" s="18"/>
      <c r="N373" s="18"/>
      <c r="O373" s="18"/>
      <c r="P373" s="18"/>
      <c r="Q373" s="1002" t="s">
        <v>112</v>
      </c>
      <c r="R373" s="1002" t="s">
        <v>112</v>
      </c>
      <c r="S373" s="1002" t="s">
        <v>112</v>
      </c>
      <c r="T373" s="1002" t="s">
        <v>112</v>
      </c>
      <c r="U373" s="1002" t="s">
        <v>112</v>
      </c>
      <c r="V373" s="1002" t="s">
        <v>112</v>
      </c>
      <c r="W373" s="1002" t="s">
        <v>112</v>
      </c>
      <c r="X373" s="1002" t="s">
        <v>112</v>
      </c>
      <c r="Y373" s="1002" t="s">
        <v>112</v>
      </c>
      <c r="Z373" s="1002" t="s">
        <v>112</v>
      </c>
      <c r="AA373" s="1002" t="s">
        <v>112</v>
      </c>
      <c r="AB373" s="1002" t="s">
        <v>112</v>
      </c>
      <c r="AC373" s="1002" t="s">
        <v>112</v>
      </c>
      <c r="AD373" s="1002" t="s">
        <v>112</v>
      </c>
      <c r="AE373" s="1002" t="s">
        <v>112</v>
      </c>
      <c r="AF373" s="1002" t="s">
        <v>112</v>
      </c>
      <c r="AG373" s="1002" t="s">
        <v>112</v>
      </c>
      <c r="AH373" s="53">
        <f t="shared" si="70"/>
        <v>0</v>
      </c>
    </row>
    <row r="374" spans="1:34" ht="15">
      <c r="A374" s="1744" t="s">
        <v>84</v>
      </c>
      <c r="B374" s="119">
        <f t="shared" si="69"/>
        <v>0</v>
      </c>
      <c r="C374" s="49"/>
      <c r="D374" s="1002" t="s">
        <v>112</v>
      </c>
      <c r="E374" s="1002" t="s">
        <v>112</v>
      </c>
      <c r="F374" s="1002" t="s">
        <v>112</v>
      </c>
      <c r="G374" s="1002" t="s">
        <v>112</v>
      </c>
      <c r="H374" s="1002" t="s">
        <v>112</v>
      </c>
      <c r="I374" s="1002" t="s">
        <v>112</v>
      </c>
      <c r="J374" s="1002" t="s">
        <v>112</v>
      </c>
      <c r="K374" s="1002" t="s">
        <v>112</v>
      </c>
      <c r="L374" s="1002" t="s">
        <v>112</v>
      </c>
      <c r="M374" s="1002" t="s">
        <v>112</v>
      </c>
      <c r="N374" s="1002" t="s">
        <v>112</v>
      </c>
      <c r="O374" s="1002" t="s">
        <v>112</v>
      </c>
      <c r="P374" s="1002" t="s">
        <v>112</v>
      </c>
      <c r="Q374" s="1002" t="s">
        <v>112</v>
      </c>
      <c r="R374" s="1002" t="s">
        <v>112</v>
      </c>
      <c r="S374" s="1002" t="s">
        <v>112</v>
      </c>
      <c r="T374" s="1002" t="s">
        <v>112</v>
      </c>
      <c r="U374" s="1002" t="s">
        <v>112</v>
      </c>
      <c r="V374" s="1002" t="s">
        <v>112</v>
      </c>
      <c r="W374" s="1002" t="s">
        <v>112</v>
      </c>
      <c r="X374" s="1002" t="s">
        <v>112</v>
      </c>
      <c r="Y374" s="1002" t="s">
        <v>112</v>
      </c>
      <c r="Z374" s="1002" t="s">
        <v>112</v>
      </c>
      <c r="AA374" s="1002" t="s">
        <v>112</v>
      </c>
      <c r="AB374" s="1002" t="s">
        <v>112</v>
      </c>
      <c r="AC374" s="1002" t="s">
        <v>112</v>
      </c>
      <c r="AD374" s="1002" t="s">
        <v>112</v>
      </c>
      <c r="AE374" s="1002" t="s">
        <v>112</v>
      </c>
      <c r="AF374" s="1002" t="s">
        <v>112</v>
      </c>
      <c r="AG374" s="1002" t="s">
        <v>112</v>
      </c>
      <c r="AH374" s="53">
        <f t="shared" si="70"/>
        <v>0</v>
      </c>
    </row>
    <row r="375" spans="1:34" ht="15">
      <c r="A375" s="1744" t="s">
        <v>85</v>
      </c>
      <c r="B375" s="28">
        <f t="shared" si="69"/>
        <v>0</v>
      </c>
      <c r="C375" s="81" t="s">
        <v>112</v>
      </c>
      <c r="D375" s="81" t="s">
        <v>112</v>
      </c>
      <c r="E375" s="81" t="s">
        <v>112</v>
      </c>
      <c r="F375" s="81" t="s">
        <v>112</v>
      </c>
      <c r="G375" s="81" t="s">
        <v>112</v>
      </c>
      <c r="H375" s="81" t="s">
        <v>112</v>
      </c>
      <c r="I375" s="81" t="s">
        <v>112</v>
      </c>
      <c r="J375" s="81" t="s">
        <v>112</v>
      </c>
      <c r="K375" s="81" t="s">
        <v>112</v>
      </c>
      <c r="L375" s="81" t="s">
        <v>112</v>
      </c>
      <c r="M375" s="81" t="s">
        <v>112</v>
      </c>
      <c r="N375" s="81" t="s">
        <v>112</v>
      </c>
      <c r="O375" s="81" t="s">
        <v>112</v>
      </c>
      <c r="P375" s="81" t="s">
        <v>112</v>
      </c>
      <c r="Q375" s="81" t="s">
        <v>112</v>
      </c>
      <c r="R375" s="18"/>
      <c r="S375" s="18"/>
      <c r="T375" s="18"/>
      <c r="U375" s="18"/>
      <c r="V375" s="18"/>
      <c r="W375" s="18"/>
      <c r="X375" s="18"/>
      <c r="Y375" s="11"/>
      <c r="Z375" s="18"/>
      <c r="AA375" s="18"/>
      <c r="AB375" s="18"/>
      <c r="AC375" s="18"/>
      <c r="AD375" s="18"/>
      <c r="AE375" s="53"/>
      <c r="AF375" s="18"/>
      <c r="AG375" s="53"/>
      <c r="AH375" s="53">
        <f t="shared" si="70"/>
        <v>0</v>
      </c>
    </row>
    <row r="376" spans="1:34" ht="15">
      <c r="A376" s="1744" t="s">
        <v>86</v>
      </c>
      <c r="B376" s="28">
        <f t="shared" si="69"/>
        <v>0</v>
      </c>
      <c r="C376" s="49"/>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53"/>
      <c r="AF376" s="18"/>
      <c r="AG376" s="53"/>
      <c r="AH376" s="53">
        <f t="shared" si="70"/>
        <v>0</v>
      </c>
    </row>
    <row r="377" spans="1:34" ht="15">
      <c r="A377" s="88" t="s">
        <v>74</v>
      </c>
      <c r="B377" s="90">
        <f>SUM(B365:B376)</f>
        <v>0</v>
      </c>
      <c r="C377" s="46">
        <f>SUM(C365:C375)</f>
        <v>0</v>
      </c>
      <c r="D377" s="53">
        <f>SUM(D365:D375)</f>
        <v>0</v>
      </c>
      <c r="E377" s="53">
        <v>0</v>
      </c>
      <c r="F377" s="53">
        <f t="shared" ref="F377:AC377" si="71">SUM(F365:F375)</f>
        <v>0</v>
      </c>
      <c r="G377" s="53">
        <f t="shared" si="71"/>
        <v>0</v>
      </c>
      <c r="H377" s="53">
        <f t="shared" si="71"/>
        <v>0</v>
      </c>
      <c r="I377" s="53">
        <f t="shared" si="71"/>
        <v>0</v>
      </c>
      <c r="J377" s="53">
        <f t="shared" si="71"/>
        <v>0</v>
      </c>
      <c r="K377" s="53">
        <f t="shared" si="71"/>
        <v>0</v>
      </c>
      <c r="L377" s="53">
        <f t="shared" si="71"/>
        <v>0</v>
      </c>
      <c r="M377" s="53">
        <f t="shared" si="71"/>
        <v>0</v>
      </c>
      <c r="N377" s="53">
        <f t="shared" si="71"/>
        <v>0</v>
      </c>
      <c r="O377" s="53">
        <f t="shared" si="71"/>
        <v>0</v>
      </c>
      <c r="P377" s="53">
        <f t="shared" si="71"/>
        <v>0</v>
      </c>
      <c r="Q377" s="53">
        <f t="shared" si="71"/>
        <v>0</v>
      </c>
      <c r="R377" s="53">
        <f t="shared" si="71"/>
        <v>0</v>
      </c>
      <c r="S377" s="53">
        <f t="shared" si="71"/>
        <v>0</v>
      </c>
      <c r="T377" s="53">
        <f t="shared" si="71"/>
        <v>0</v>
      </c>
      <c r="U377" s="53">
        <f t="shared" si="71"/>
        <v>0</v>
      </c>
      <c r="V377" s="53">
        <f t="shared" si="71"/>
        <v>0</v>
      </c>
      <c r="W377" s="53">
        <f t="shared" si="71"/>
        <v>0</v>
      </c>
      <c r="X377" s="53">
        <f t="shared" si="71"/>
        <v>0</v>
      </c>
      <c r="Y377" s="53">
        <f t="shared" si="71"/>
        <v>0</v>
      </c>
      <c r="Z377" s="53">
        <f t="shared" si="71"/>
        <v>0</v>
      </c>
      <c r="AA377" s="53">
        <f t="shared" si="71"/>
        <v>0</v>
      </c>
      <c r="AB377" s="53">
        <f t="shared" si="71"/>
        <v>0</v>
      </c>
      <c r="AC377" s="53">
        <f t="shared" si="71"/>
        <v>0</v>
      </c>
      <c r="AD377" s="53">
        <v>0</v>
      </c>
      <c r="AE377" s="53">
        <f>SUM(AE365:AE375)</f>
        <v>0</v>
      </c>
      <c r="AF377" s="53">
        <f>SUM(AF365:AF375)</f>
        <v>0</v>
      </c>
      <c r="AG377" s="53">
        <f>SUM(AG365:AG375)</f>
        <v>0</v>
      </c>
      <c r="AH377" s="46">
        <f>SUM(AH365:AH375)</f>
        <v>0</v>
      </c>
    </row>
    <row r="378" spans="1:34" ht="15">
      <c r="A378" s="1918"/>
      <c r="B378" s="1795"/>
      <c r="C378" s="1923"/>
      <c r="D378" s="1923"/>
      <c r="E378" s="52"/>
      <c r="F378" s="52"/>
      <c r="G378" s="52"/>
      <c r="H378" s="52"/>
      <c r="I378" s="52"/>
      <c r="J378" s="52"/>
      <c r="K378" s="52"/>
      <c r="L378" s="52"/>
      <c r="M378" s="52"/>
      <c r="N378" s="52"/>
      <c r="O378" s="52"/>
      <c r="P378" s="52"/>
      <c r="Q378" s="52"/>
      <c r="R378" s="52"/>
      <c r="S378" s="52"/>
      <c r="T378" s="52"/>
      <c r="U378" s="52"/>
      <c r="V378" s="52"/>
      <c r="W378" s="52"/>
      <c r="X378" s="52"/>
      <c r="Y378" s="52"/>
      <c r="Z378" s="52"/>
      <c r="AA378" s="52"/>
      <c r="AB378" s="52"/>
      <c r="AC378" s="52"/>
      <c r="AD378" s="52"/>
      <c r="AE378" s="52"/>
      <c r="AF378" s="52"/>
      <c r="AG378" s="52"/>
      <c r="AH378" s="13"/>
    </row>
    <row r="379" spans="1:34" ht="20.25">
      <c r="A379" s="3621" t="s">
        <v>594</v>
      </c>
      <c r="B379" s="3622"/>
      <c r="C379" s="3622"/>
      <c r="D379" s="3622"/>
      <c r="E379" s="3622"/>
      <c r="F379" s="3622"/>
      <c r="G379" s="3622"/>
      <c r="H379" s="3623"/>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row>
    <row r="380" spans="1:34" ht="15">
      <c r="A380" s="5" t="s">
        <v>91</v>
      </c>
      <c r="B380" s="71" t="s">
        <v>73</v>
      </c>
      <c r="C380" s="1233">
        <v>1</v>
      </c>
      <c r="D380" s="30">
        <v>2</v>
      </c>
      <c r="E380" s="30">
        <v>3</v>
      </c>
      <c r="F380" s="30">
        <v>4</v>
      </c>
      <c r="G380" s="30">
        <v>5</v>
      </c>
      <c r="H380" s="30">
        <v>6</v>
      </c>
      <c r="I380" s="30">
        <v>7</v>
      </c>
      <c r="J380" s="30">
        <v>8</v>
      </c>
      <c r="K380" s="30">
        <v>9</v>
      </c>
      <c r="L380" s="30">
        <v>10</v>
      </c>
      <c r="M380" s="30">
        <v>11</v>
      </c>
      <c r="N380" s="30">
        <v>12</v>
      </c>
      <c r="O380" s="30">
        <v>13</v>
      </c>
      <c r="P380" s="30">
        <v>14</v>
      </c>
      <c r="Q380" s="30">
        <v>15</v>
      </c>
      <c r="R380" s="30">
        <v>16</v>
      </c>
      <c r="S380" s="30">
        <v>17</v>
      </c>
      <c r="T380" s="30">
        <v>18</v>
      </c>
      <c r="U380" s="30">
        <v>19</v>
      </c>
      <c r="V380" s="30">
        <v>20</v>
      </c>
      <c r="W380" s="30">
        <v>21</v>
      </c>
      <c r="X380" s="30">
        <v>22</v>
      </c>
      <c r="Y380" s="30">
        <v>23</v>
      </c>
      <c r="Z380" s="30">
        <v>24</v>
      </c>
      <c r="AA380" s="30">
        <v>25</v>
      </c>
      <c r="AB380" s="30">
        <v>26</v>
      </c>
      <c r="AC380" s="30">
        <v>27</v>
      </c>
      <c r="AD380" s="30">
        <v>28</v>
      </c>
      <c r="AE380" s="30">
        <v>29</v>
      </c>
      <c r="AF380" s="30">
        <v>30</v>
      </c>
      <c r="AG380" s="30">
        <v>31</v>
      </c>
      <c r="AH380" s="39" t="s">
        <v>74</v>
      </c>
    </row>
    <row r="381" spans="1:34" ht="15">
      <c r="A381" s="1233" t="s">
        <v>75</v>
      </c>
      <c r="B381" s="259">
        <f t="shared" ref="B381:B392" si="72">+AH381</f>
        <v>281.75800000000004</v>
      </c>
      <c r="C381" s="1815"/>
      <c r="D381" s="1815"/>
      <c r="E381" s="1815"/>
      <c r="F381" s="1815"/>
      <c r="G381" s="1815"/>
      <c r="H381" s="1815"/>
      <c r="I381" s="1815"/>
      <c r="J381" s="1815"/>
      <c r="K381" s="1815"/>
      <c r="L381" s="1815"/>
      <c r="M381" s="1815"/>
      <c r="N381" s="1815"/>
      <c r="O381" s="1815"/>
      <c r="P381" s="1815"/>
      <c r="Q381" s="1815"/>
      <c r="R381" s="1815"/>
      <c r="S381" s="1815"/>
      <c r="T381" s="1815"/>
      <c r="U381" s="1815"/>
      <c r="V381" s="1815"/>
      <c r="W381" s="1815"/>
      <c r="X381" s="1815"/>
      <c r="Y381" s="1815"/>
      <c r="Z381" s="1815"/>
      <c r="AA381" s="1815"/>
      <c r="AB381" s="1815"/>
      <c r="AC381" s="1815"/>
      <c r="AD381" s="1815">
        <v>69.787000000000006</v>
      </c>
      <c r="AE381" s="1815">
        <v>141.56100000000001</v>
      </c>
      <c r="AF381" s="1815">
        <v>70.41</v>
      </c>
      <c r="AG381" s="2930"/>
      <c r="AH381" s="53">
        <f t="shared" ref="AH381:AH392" si="73">SUM(C381:AG381)</f>
        <v>281.75800000000004</v>
      </c>
    </row>
    <row r="382" spans="1:34" ht="15">
      <c r="A382" s="1233" t="s">
        <v>76</v>
      </c>
      <c r="B382" s="259">
        <f t="shared" si="72"/>
        <v>765.41700000000003</v>
      </c>
      <c r="C382" s="1815">
        <v>67.06</v>
      </c>
      <c r="D382" s="1815">
        <v>70.86</v>
      </c>
      <c r="E382" s="1815"/>
      <c r="F382" s="1815">
        <v>55.6</v>
      </c>
      <c r="G382" s="1815">
        <v>124.01</v>
      </c>
      <c r="H382" s="1815">
        <f>51.963-2.223</f>
        <v>49.74</v>
      </c>
      <c r="I382" s="1815"/>
      <c r="J382" s="1815">
        <f>65.242-1.382-1.48</f>
        <v>62.38000000000001</v>
      </c>
      <c r="K382" s="1815">
        <v>81.212000000000003</v>
      </c>
      <c r="L382" s="1815"/>
      <c r="M382" s="1815" t="s">
        <v>1312</v>
      </c>
      <c r="N382" s="1815">
        <v>183.95599999999999</v>
      </c>
      <c r="O382" s="1815">
        <v>70.599000000000004</v>
      </c>
      <c r="P382" s="1815"/>
      <c r="Q382" s="1815" t="s">
        <v>1313</v>
      </c>
      <c r="R382" s="1815"/>
      <c r="S382" s="1815"/>
      <c r="T382" s="1815"/>
      <c r="U382" s="1815"/>
      <c r="V382" s="1815"/>
      <c r="W382" s="1815"/>
      <c r="X382" s="1815"/>
      <c r="Y382" s="1815"/>
      <c r="Z382" s="1815"/>
      <c r="AA382" s="1815"/>
      <c r="AB382" s="1815"/>
      <c r="AC382" s="1815"/>
      <c r="AD382" s="1815"/>
      <c r="AE382" s="1815"/>
      <c r="AF382" s="1815"/>
      <c r="AG382" s="1815"/>
      <c r="AH382" s="53">
        <f t="shared" si="73"/>
        <v>765.41700000000003</v>
      </c>
    </row>
    <row r="383" spans="1:34" ht="15">
      <c r="A383" s="1233" t="s">
        <v>77</v>
      </c>
      <c r="B383" s="259">
        <f t="shared" si="72"/>
        <v>285.33699999999999</v>
      </c>
      <c r="C383" s="1930"/>
      <c r="D383" s="1930"/>
      <c r="E383" s="1930"/>
      <c r="F383" s="1930"/>
      <c r="G383" s="1930"/>
      <c r="H383" s="1287" t="s">
        <v>1314</v>
      </c>
      <c r="I383" s="1287"/>
      <c r="J383" s="1287"/>
      <c r="K383" s="1287" t="s">
        <v>1315</v>
      </c>
      <c r="L383" s="1287"/>
      <c r="M383" s="1287"/>
      <c r="N383" s="1287"/>
      <c r="O383" s="1287"/>
      <c r="P383" s="1287"/>
      <c r="Q383" s="1280">
        <f>192.17-1.308</f>
        <v>190.86199999999999</v>
      </c>
      <c r="R383" s="1280" t="s">
        <v>1316</v>
      </c>
      <c r="S383" s="1280"/>
      <c r="T383" s="1280"/>
      <c r="U383" s="1280"/>
      <c r="V383" s="1280">
        <v>64.667000000000002</v>
      </c>
      <c r="W383" s="1280">
        <v>29.808</v>
      </c>
      <c r="X383" s="1280" t="s">
        <v>1317</v>
      </c>
      <c r="Y383" s="1280"/>
      <c r="Z383" s="1280"/>
      <c r="AA383" s="1280"/>
      <c r="AB383" s="1280"/>
      <c r="AC383" s="1280"/>
      <c r="AD383" s="1280"/>
      <c r="AE383" s="1280"/>
      <c r="AF383" s="1280"/>
      <c r="AG383" s="1280"/>
      <c r="AH383" s="53">
        <f t="shared" si="73"/>
        <v>285.33699999999999</v>
      </c>
    </row>
    <row r="384" spans="1:34" ht="15">
      <c r="A384" s="1233" t="s">
        <v>78</v>
      </c>
      <c r="B384" s="259">
        <f t="shared" si="72"/>
        <v>10.64</v>
      </c>
      <c r="C384" s="1280"/>
      <c r="D384" s="1280"/>
      <c r="E384" s="1280">
        <v>10.64</v>
      </c>
      <c r="F384" s="1280"/>
      <c r="G384" s="1280"/>
      <c r="H384" s="1280"/>
      <c r="I384" s="1280"/>
      <c r="J384" s="1280"/>
      <c r="K384" s="1280"/>
      <c r="L384" s="1280"/>
      <c r="M384" s="1280"/>
      <c r="N384" s="1280"/>
      <c r="O384" s="1280"/>
      <c r="P384" s="1280"/>
      <c r="Q384" s="1280"/>
      <c r="R384" s="1280"/>
      <c r="S384" s="1280"/>
      <c r="T384" s="1280"/>
      <c r="U384" s="1280"/>
      <c r="V384" s="1280"/>
      <c r="W384" s="1280"/>
      <c r="X384" s="1280"/>
      <c r="Y384" s="1280"/>
      <c r="Z384" s="1280"/>
      <c r="AA384" s="1280"/>
      <c r="AB384" s="1280"/>
      <c r="AC384" s="1280"/>
      <c r="AD384" s="1280"/>
      <c r="AE384" s="1280"/>
      <c r="AF384" s="1280" t="s">
        <v>112</v>
      </c>
      <c r="AG384" s="1280" t="s">
        <v>112</v>
      </c>
      <c r="AH384" s="53">
        <f t="shared" si="73"/>
        <v>10.64</v>
      </c>
    </row>
    <row r="385" spans="1:34" ht="15">
      <c r="A385" s="1233" t="s">
        <v>79</v>
      </c>
      <c r="B385" s="259">
        <f t="shared" si="72"/>
        <v>12.464</v>
      </c>
      <c r="C385" s="1280" t="s">
        <v>112</v>
      </c>
      <c r="D385" s="1280" t="s">
        <v>112</v>
      </c>
      <c r="E385" s="1280" t="s">
        <v>112</v>
      </c>
      <c r="F385" s="1280" t="s">
        <v>112</v>
      </c>
      <c r="G385" s="1280" t="s">
        <v>112</v>
      </c>
      <c r="H385" s="1280" t="s">
        <v>112</v>
      </c>
      <c r="I385" s="1280" t="s">
        <v>112</v>
      </c>
      <c r="J385" s="1280" t="s">
        <v>112</v>
      </c>
      <c r="K385" s="1280" t="s">
        <v>112</v>
      </c>
      <c r="L385" s="1280" t="s">
        <v>112</v>
      </c>
      <c r="M385" s="1280" t="s">
        <v>112</v>
      </c>
      <c r="N385" s="1280" t="s">
        <v>112</v>
      </c>
      <c r="O385" s="1280" t="s">
        <v>112</v>
      </c>
      <c r="P385" s="1280" t="s">
        <v>112</v>
      </c>
      <c r="Q385" s="1280" t="s">
        <v>112</v>
      </c>
      <c r="R385" s="1287"/>
      <c r="S385" s="1287">
        <v>12.464</v>
      </c>
      <c r="T385" s="1287"/>
      <c r="U385" s="1287"/>
      <c r="V385" s="1287" t="s">
        <v>1318</v>
      </c>
      <c r="W385" s="1287"/>
      <c r="X385" s="1287"/>
      <c r="Y385" s="1287"/>
      <c r="Z385" s="1287"/>
      <c r="AA385" s="1287"/>
      <c r="AB385" s="1287"/>
      <c r="AC385" s="1287"/>
      <c r="AD385" s="1287"/>
      <c r="AE385" s="1287"/>
      <c r="AF385" s="1287"/>
      <c r="AG385" s="1287"/>
      <c r="AH385" s="53">
        <f t="shared" si="73"/>
        <v>12.464</v>
      </c>
    </row>
    <row r="386" spans="1:34" ht="15">
      <c r="A386" s="1233" t="s">
        <v>80</v>
      </c>
      <c r="B386" s="259">
        <f t="shared" si="72"/>
        <v>0</v>
      </c>
      <c r="C386" s="49"/>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53">
        <f t="shared" si="73"/>
        <v>0</v>
      </c>
    </row>
    <row r="387" spans="1:34" ht="15">
      <c r="A387" s="1744" t="s">
        <v>81</v>
      </c>
      <c r="B387" s="67">
        <f t="shared" si="72"/>
        <v>0</v>
      </c>
      <c r="C387" s="49"/>
      <c r="D387" s="53"/>
      <c r="E387" s="53"/>
      <c r="F387" s="53"/>
      <c r="G387" s="18"/>
      <c r="H387" s="18"/>
      <c r="I387" s="18"/>
      <c r="J387" s="57"/>
      <c r="K387" s="57"/>
      <c r="L387" s="53"/>
      <c r="M387" s="53"/>
      <c r="N387" s="53"/>
      <c r="O387" s="53"/>
      <c r="P387" s="53"/>
      <c r="Q387" s="53"/>
      <c r="R387" s="53"/>
      <c r="S387" s="53"/>
      <c r="T387" s="53"/>
      <c r="U387" s="53"/>
      <c r="V387" s="53"/>
      <c r="W387" s="1002" t="s">
        <v>112</v>
      </c>
      <c r="X387" s="1002" t="s">
        <v>112</v>
      </c>
      <c r="Y387" s="1002" t="s">
        <v>112</v>
      </c>
      <c r="Z387" s="1002" t="s">
        <v>112</v>
      </c>
      <c r="AA387" s="1002" t="s">
        <v>112</v>
      </c>
      <c r="AB387" s="1002" t="s">
        <v>112</v>
      </c>
      <c r="AC387" s="1002" t="s">
        <v>112</v>
      </c>
      <c r="AD387" s="1002" t="s">
        <v>112</v>
      </c>
      <c r="AE387" s="1002" t="s">
        <v>112</v>
      </c>
      <c r="AF387" s="1002" t="s">
        <v>112</v>
      </c>
      <c r="AG387" s="1002" t="s">
        <v>112</v>
      </c>
      <c r="AH387" s="53">
        <f t="shared" si="73"/>
        <v>0</v>
      </c>
    </row>
    <row r="388" spans="1:34" ht="15">
      <c r="A388" s="1744" t="s">
        <v>82</v>
      </c>
      <c r="B388" s="124">
        <f t="shared" si="72"/>
        <v>0</v>
      </c>
      <c r="C388" s="1002" t="s">
        <v>1319</v>
      </c>
      <c r="D388" s="1002" t="s">
        <v>112</v>
      </c>
      <c r="E388" s="1002" t="s">
        <v>112</v>
      </c>
      <c r="F388" s="1002" t="s">
        <v>112</v>
      </c>
      <c r="G388" s="1002" t="s">
        <v>112</v>
      </c>
      <c r="H388" s="1002" t="s">
        <v>112</v>
      </c>
      <c r="I388" s="1002" t="s">
        <v>112</v>
      </c>
      <c r="J388" s="1002" t="s">
        <v>112</v>
      </c>
      <c r="K388" s="1002" t="s">
        <v>112</v>
      </c>
      <c r="L388" s="1002" t="s">
        <v>112</v>
      </c>
      <c r="M388" s="1002" t="s">
        <v>112</v>
      </c>
      <c r="N388" s="1002" t="s">
        <v>112</v>
      </c>
      <c r="O388" s="1002" t="s">
        <v>112</v>
      </c>
      <c r="P388" s="1002" t="s">
        <v>112</v>
      </c>
      <c r="Q388" s="1002" t="s">
        <v>112</v>
      </c>
      <c r="R388" s="1002" t="s">
        <v>112</v>
      </c>
      <c r="S388" s="1002" t="s">
        <v>112</v>
      </c>
      <c r="T388" s="1002" t="s">
        <v>112</v>
      </c>
      <c r="U388" s="1002" t="s">
        <v>112</v>
      </c>
      <c r="V388" s="1002" t="s">
        <v>112</v>
      </c>
      <c r="W388" s="1002" t="s">
        <v>112</v>
      </c>
      <c r="X388" s="1002" t="s">
        <v>112</v>
      </c>
      <c r="Y388" s="1002" t="s">
        <v>112</v>
      </c>
      <c r="Z388" s="1002" t="s">
        <v>112</v>
      </c>
      <c r="AA388" s="1002" t="s">
        <v>112</v>
      </c>
      <c r="AB388" s="1002" t="s">
        <v>112</v>
      </c>
      <c r="AC388" s="1002" t="s">
        <v>112</v>
      </c>
      <c r="AD388" s="1002" t="s">
        <v>112</v>
      </c>
      <c r="AE388" s="1002" t="s">
        <v>112</v>
      </c>
      <c r="AF388" s="1002" t="s">
        <v>112</v>
      </c>
      <c r="AG388" s="1002" t="s">
        <v>112</v>
      </c>
      <c r="AH388" s="53">
        <f t="shared" si="73"/>
        <v>0</v>
      </c>
    </row>
    <row r="389" spans="1:34" ht="15">
      <c r="A389" s="1744" t="s">
        <v>83</v>
      </c>
      <c r="B389" s="124">
        <f t="shared" si="72"/>
        <v>23.42</v>
      </c>
      <c r="C389" s="46"/>
      <c r="D389" s="53"/>
      <c r="E389" s="53"/>
      <c r="F389" s="53"/>
      <c r="G389" s="53"/>
      <c r="H389" s="53"/>
      <c r="I389" s="53"/>
      <c r="J389" s="57"/>
      <c r="K389" s="57"/>
      <c r="L389" s="18"/>
      <c r="M389" s="18" t="s">
        <v>1320</v>
      </c>
      <c r="N389" s="18"/>
      <c r="O389" s="18">
        <v>23.42</v>
      </c>
      <c r="P389" s="18" t="s">
        <v>1321</v>
      </c>
      <c r="Q389" s="1002" t="s">
        <v>112</v>
      </c>
      <c r="R389" s="1002" t="s">
        <v>112</v>
      </c>
      <c r="S389" s="1002" t="s">
        <v>112</v>
      </c>
      <c r="T389" s="1002" t="s">
        <v>112</v>
      </c>
      <c r="U389" s="1002" t="s">
        <v>112</v>
      </c>
      <c r="V389" s="1002" t="s">
        <v>112</v>
      </c>
      <c r="W389" s="1002" t="s">
        <v>112</v>
      </c>
      <c r="X389" s="1002" t="s">
        <v>112</v>
      </c>
      <c r="Y389" s="1002" t="s">
        <v>112</v>
      </c>
      <c r="Z389" s="1002" t="s">
        <v>112</v>
      </c>
      <c r="AA389" s="1002" t="s">
        <v>112</v>
      </c>
      <c r="AB389" s="1002" t="s">
        <v>112</v>
      </c>
      <c r="AC389" s="1002" t="s">
        <v>112</v>
      </c>
      <c r="AD389" s="1002" t="s">
        <v>112</v>
      </c>
      <c r="AE389" s="1002" t="s">
        <v>112</v>
      </c>
      <c r="AF389" s="1002" t="s">
        <v>112</v>
      </c>
      <c r="AG389" s="1002" t="s">
        <v>112</v>
      </c>
      <c r="AH389" s="53">
        <f t="shared" si="73"/>
        <v>23.42</v>
      </c>
    </row>
    <row r="390" spans="1:34" ht="15">
      <c r="A390" s="1744" t="s">
        <v>84</v>
      </c>
      <c r="B390" s="124">
        <f t="shared" si="72"/>
        <v>1.95</v>
      </c>
      <c r="C390" s="1002" t="s">
        <v>112</v>
      </c>
      <c r="D390" s="1002" t="s">
        <v>112</v>
      </c>
      <c r="E390" s="1002" t="s">
        <v>112</v>
      </c>
      <c r="F390" s="1002" t="s">
        <v>112</v>
      </c>
      <c r="G390" s="1002" t="s">
        <v>112</v>
      </c>
      <c r="H390" s="1002" t="s">
        <v>112</v>
      </c>
      <c r="I390" s="1002" t="s">
        <v>112</v>
      </c>
      <c r="J390" s="1002" t="s">
        <v>112</v>
      </c>
      <c r="K390" s="1002" t="s">
        <v>112</v>
      </c>
      <c r="L390" s="1002" t="s">
        <v>112</v>
      </c>
      <c r="M390" s="1002" t="s">
        <v>112</v>
      </c>
      <c r="N390" s="1002" t="s">
        <v>112</v>
      </c>
      <c r="O390" s="1002" t="s">
        <v>112</v>
      </c>
      <c r="P390" s="1002" t="s">
        <v>112</v>
      </c>
      <c r="Q390" s="1002" t="s">
        <v>112</v>
      </c>
      <c r="R390" s="1002">
        <v>1.95</v>
      </c>
      <c r="S390" s="1002" t="s">
        <v>112</v>
      </c>
      <c r="T390" s="1002" t="s">
        <v>112</v>
      </c>
      <c r="U390" s="1002" t="s">
        <v>112</v>
      </c>
      <c r="V390" s="1002" t="s">
        <v>112</v>
      </c>
      <c r="W390" s="1002" t="s">
        <v>112</v>
      </c>
      <c r="X390" s="1002" t="s">
        <v>112</v>
      </c>
      <c r="Y390" s="1002" t="s">
        <v>112</v>
      </c>
      <c r="Z390" s="1002" t="s">
        <v>112</v>
      </c>
      <c r="AA390" s="1002" t="s">
        <v>112</v>
      </c>
      <c r="AB390" s="1002" t="s">
        <v>112</v>
      </c>
      <c r="AC390" s="1002" t="s">
        <v>112</v>
      </c>
      <c r="AD390" s="1002" t="s">
        <v>112</v>
      </c>
      <c r="AE390" s="1002" t="s">
        <v>112</v>
      </c>
      <c r="AF390" s="1002" t="s">
        <v>112</v>
      </c>
      <c r="AG390" s="1002" t="s">
        <v>112</v>
      </c>
      <c r="AH390" s="53">
        <f t="shared" si="73"/>
        <v>1.95</v>
      </c>
    </row>
    <row r="391" spans="1:34" ht="15">
      <c r="A391" s="1744" t="s">
        <v>85</v>
      </c>
      <c r="B391" s="67">
        <f t="shared" si="72"/>
        <v>93.039999999999992</v>
      </c>
      <c r="C391" s="1002" t="s">
        <v>112</v>
      </c>
      <c r="D391" s="1002" t="s">
        <v>112</v>
      </c>
      <c r="E391" s="1002" t="s">
        <v>112</v>
      </c>
      <c r="F391" s="1002" t="s">
        <v>112</v>
      </c>
      <c r="G391" s="1002" t="s">
        <v>112</v>
      </c>
      <c r="H391" s="1002" t="s">
        <v>112</v>
      </c>
      <c r="I391" s="1002" t="s">
        <v>112</v>
      </c>
      <c r="J391" s="1002" t="s">
        <v>112</v>
      </c>
      <c r="K391" s="1002" t="s">
        <v>112</v>
      </c>
      <c r="L391" s="1002" t="s">
        <v>112</v>
      </c>
      <c r="M391" s="1002" t="s">
        <v>112</v>
      </c>
      <c r="N391" s="1002" t="s">
        <v>112</v>
      </c>
      <c r="O391" s="1002" t="s">
        <v>112</v>
      </c>
      <c r="P391" s="1002" t="s">
        <v>112</v>
      </c>
      <c r="Q391" s="1002" t="s">
        <v>112</v>
      </c>
      <c r="R391" s="18"/>
      <c r="S391" s="18"/>
      <c r="T391" s="18"/>
      <c r="U391" s="18"/>
      <c r="V391" s="18"/>
      <c r="W391" s="18"/>
      <c r="X391" s="18"/>
      <c r="Y391" s="11"/>
      <c r="Z391" s="18"/>
      <c r="AA391" s="18">
        <v>65.52</v>
      </c>
      <c r="AB391" s="18"/>
      <c r="AC391" s="18"/>
      <c r="AD391" s="18">
        <v>27.52</v>
      </c>
      <c r="AE391" s="53"/>
      <c r="AF391" s="18"/>
      <c r="AG391" s="53"/>
      <c r="AH391" s="53">
        <f t="shared" si="73"/>
        <v>93.039999999999992</v>
      </c>
    </row>
    <row r="392" spans="1:34" ht="15">
      <c r="A392" s="1744" t="s">
        <v>86</v>
      </c>
      <c r="B392" s="67">
        <f t="shared" si="72"/>
        <v>53.436999999999998</v>
      </c>
      <c r="C392" s="49"/>
      <c r="D392" s="18"/>
      <c r="E392" s="18">
        <f>50.083-3.867</f>
        <v>46.216000000000001</v>
      </c>
      <c r="F392" s="18"/>
      <c r="G392" s="18">
        <f>11.25-2.953-1.076</f>
        <v>7.2210000000000001</v>
      </c>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53"/>
      <c r="AF392" s="18"/>
      <c r="AG392" s="53"/>
      <c r="AH392" s="53">
        <f t="shared" si="73"/>
        <v>53.436999999999998</v>
      </c>
    </row>
    <row r="393" spans="1:34" ht="15">
      <c r="A393" s="88" t="s">
        <v>74</v>
      </c>
      <c r="B393" s="90">
        <f>SUM(B381:B392)</f>
        <v>1527.4630000000002</v>
      </c>
      <c r="C393" s="46">
        <f>SUM(C381:C391)</f>
        <v>67.06</v>
      </c>
      <c r="D393" s="53">
        <f>SUM(D381:D391)</f>
        <v>70.86</v>
      </c>
      <c r="E393" s="53">
        <v>0</v>
      </c>
      <c r="F393" s="53">
        <f t="shared" ref="F393:AC393" si="74">SUM(F381:F391)</f>
        <v>55.6</v>
      </c>
      <c r="G393" s="53">
        <f t="shared" si="74"/>
        <v>124.01</v>
      </c>
      <c r="H393" s="53">
        <f t="shared" si="74"/>
        <v>49.74</v>
      </c>
      <c r="I393" s="53">
        <f t="shared" si="74"/>
        <v>0</v>
      </c>
      <c r="J393" s="53">
        <f t="shared" si="74"/>
        <v>62.38000000000001</v>
      </c>
      <c r="K393" s="53">
        <f t="shared" si="74"/>
        <v>81.212000000000003</v>
      </c>
      <c r="L393" s="53">
        <f t="shared" si="74"/>
        <v>0</v>
      </c>
      <c r="M393" s="53">
        <f t="shared" si="74"/>
        <v>0</v>
      </c>
      <c r="N393" s="53">
        <f t="shared" si="74"/>
        <v>183.95599999999999</v>
      </c>
      <c r="O393" s="53">
        <f t="shared" si="74"/>
        <v>94.019000000000005</v>
      </c>
      <c r="P393" s="53">
        <f t="shared" si="74"/>
        <v>0</v>
      </c>
      <c r="Q393" s="53">
        <f t="shared" si="74"/>
        <v>190.86199999999999</v>
      </c>
      <c r="R393" s="53">
        <f t="shared" si="74"/>
        <v>1.95</v>
      </c>
      <c r="S393" s="53">
        <f t="shared" si="74"/>
        <v>12.464</v>
      </c>
      <c r="T393" s="53">
        <f t="shared" si="74"/>
        <v>0</v>
      </c>
      <c r="U393" s="53">
        <f t="shared" si="74"/>
        <v>0</v>
      </c>
      <c r="V393" s="53">
        <f t="shared" si="74"/>
        <v>64.667000000000002</v>
      </c>
      <c r="W393" s="53">
        <f t="shared" si="74"/>
        <v>29.808</v>
      </c>
      <c r="X393" s="53">
        <f t="shared" si="74"/>
        <v>0</v>
      </c>
      <c r="Y393" s="53">
        <f t="shared" si="74"/>
        <v>0</v>
      </c>
      <c r="Z393" s="53">
        <f t="shared" si="74"/>
        <v>0</v>
      </c>
      <c r="AA393" s="53">
        <f t="shared" si="74"/>
        <v>65.52</v>
      </c>
      <c r="AB393" s="53">
        <f t="shared" si="74"/>
        <v>0</v>
      </c>
      <c r="AC393" s="53">
        <f t="shared" si="74"/>
        <v>0</v>
      </c>
      <c r="AD393" s="53">
        <v>0</v>
      </c>
      <c r="AE393" s="53">
        <f>SUM(AE381:AE391)</f>
        <v>141.56100000000001</v>
      </c>
      <c r="AF393" s="53">
        <f>SUM(AF381:AF391)</f>
        <v>70.41</v>
      </c>
      <c r="AG393" s="53">
        <f>SUM(AG381:AG391)</f>
        <v>0</v>
      </c>
      <c r="AH393" s="46">
        <f>SUM(AH381:AH391)</f>
        <v>1474.0260000000003</v>
      </c>
    </row>
    <row r="394" spans="1:34" ht="15">
      <c r="A394" s="1918"/>
      <c r="B394" s="1795"/>
      <c r="C394" s="1923"/>
      <c r="D394" s="1923"/>
      <c r="E394" s="52"/>
      <c r="F394" s="52"/>
      <c r="G394" s="52"/>
      <c r="H394" s="52"/>
      <c r="I394" s="52"/>
      <c r="J394" s="52"/>
      <c r="K394" s="52"/>
      <c r="L394" s="52"/>
      <c r="M394" s="52"/>
      <c r="N394" s="52"/>
      <c r="O394" s="52"/>
      <c r="P394" s="52"/>
      <c r="Q394" s="52"/>
      <c r="R394" s="52"/>
      <c r="S394" s="52"/>
      <c r="T394" s="52"/>
      <c r="U394" s="52"/>
      <c r="V394" s="52"/>
      <c r="W394" s="52"/>
      <c r="X394" s="52"/>
      <c r="Y394" s="52"/>
      <c r="Z394" s="52"/>
      <c r="AA394" s="52"/>
      <c r="AB394" s="52"/>
      <c r="AC394" s="52"/>
      <c r="AD394" s="52"/>
      <c r="AE394" s="52"/>
      <c r="AF394" s="52"/>
      <c r="AG394" s="52"/>
      <c r="AH394" s="13"/>
    </row>
    <row r="395" spans="1:34" ht="20.25">
      <c r="A395" s="3615" t="s">
        <v>603</v>
      </c>
      <c r="B395" s="3616"/>
      <c r="C395" s="3616"/>
      <c r="D395" s="3616"/>
      <c r="E395" s="3616"/>
      <c r="F395" s="3616"/>
      <c r="G395" s="3616"/>
      <c r="H395" s="3617"/>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row>
    <row r="396" spans="1:34" ht="15">
      <c r="A396" s="5" t="s">
        <v>91</v>
      </c>
      <c r="B396" s="71" t="s">
        <v>73</v>
      </c>
      <c r="C396" s="1233">
        <v>1</v>
      </c>
      <c r="D396" s="30">
        <v>2</v>
      </c>
      <c r="E396" s="30">
        <v>3</v>
      </c>
      <c r="F396" s="30">
        <v>4</v>
      </c>
      <c r="G396" s="30">
        <v>5</v>
      </c>
      <c r="H396" s="30">
        <v>6</v>
      </c>
      <c r="I396" s="30">
        <v>7</v>
      </c>
      <c r="J396" s="30">
        <v>8</v>
      </c>
      <c r="K396" s="30">
        <v>9</v>
      </c>
      <c r="L396" s="30">
        <v>10</v>
      </c>
      <c r="M396" s="30">
        <v>11</v>
      </c>
      <c r="N396" s="30">
        <v>12</v>
      </c>
      <c r="O396" s="30">
        <v>13</v>
      </c>
      <c r="P396" s="30">
        <v>14</v>
      </c>
      <c r="Q396" s="30">
        <v>15</v>
      </c>
      <c r="R396" s="30">
        <v>16</v>
      </c>
      <c r="S396" s="30">
        <v>17</v>
      </c>
      <c r="T396" s="30">
        <v>18</v>
      </c>
      <c r="U396" s="30">
        <v>19</v>
      </c>
      <c r="V396" s="30">
        <v>20</v>
      </c>
      <c r="W396" s="30">
        <v>21</v>
      </c>
      <c r="X396" s="30">
        <v>22</v>
      </c>
      <c r="Y396" s="30">
        <v>23</v>
      </c>
      <c r="Z396" s="30">
        <v>24</v>
      </c>
      <c r="AA396" s="30">
        <v>25</v>
      </c>
      <c r="AB396" s="30">
        <v>26</v>
      </c>
      <c r="AC396" s="30">
        <v>27</v>
      </c>
      <c r="AD396" s="30">
        <v>28</v>
      </c>
      <c r="AE396" s="30">
        <v>29</v>
      </c>
      <c r="AF396" s="30">
        <v>30</v>
      </c>
      <c r="AG396" s="30">
        <v>31</v>
      </c>
      <c r="AH396" s="39" t="s">
        <v>74</v>
      </c>
    </row>
    <row r="397" spans="1:34" ht="15">
      <c r="A397" s="1233" t="s">
        <v>75</v>
      </c>
      <c r="B397" s="424">
        <f t="shared" ref="B397:B408" si="75">+AH397</f>
        <v>0</v>
      </c>
      <c r="C397" s="1815"/>
      <c r="D397" s="1815"/>
      <c r="E397" s="1815"/>
      <c r="F397" s="1815"/>
      <c r="G397" s="1815"/>
      <c r="H397" s="1815"/>
      <c r="I397" s="1815"/>
      <c r="J397" s="1815"/>
      <c r="K397" s="1815"/>
      <c r="L397" s="1815"/>
      <c r="M397" s="1815"/>
      <c r="N397" s="1815"/>
      <c r="O397" s="1815"/>
      <c r="P397" s="1815"/>
      <c r="Q397" s="1815"/>
      <c r="R397" s="1815"/>
      <c r="S397" s="1815"/>
      <c r="T397" s="1815"/>
      <c r="U397" s="1815"/>
      <c r="V397" s="1815"/>
      <c r="W397" s="1815"/>
      <c r="X397" s="1815"/>
      <c r="Y397" s="1815"/>
      <c r="Z397" s="1815"/>
      <c r="AA397" s="1815"/>
      <c r="AB397" s="1815"/>
      <c r="AC397" s="1815"/>
      <c r="AD397" s="1815"/>
      <c r="AE397" s="1815"/>
      <c r="AF397" s="1815"/>
      <c r="AG397" s="1815"/>
      <c r="AH397" s="53">
        <f>SUM(C397:AG397)</f>
        <v>0</v>
      </c>
    </row>
    <row r="398" spans="1:34" ht="15">
      <c r="A398" s="1233" t="s">
        <v>76</v>
      </c>
      <c r="B398" s="424">
        <f t="shared" si="75"/>
        <v>292.44</v>
      </c>
      <c r="C398" s="1815"/>
      <c r="D398" s="2930">
        <f>73.99+59.3</f>
        <v>133.29</v>
      </c>
      <c r="E398" s="2930"/>
      <c r="F398" s="2930">
        <v>71.5</v>
      </c>
      <c r="G398" s="2930">
        <f>27.05+47.72</f>
        <v>74.77</v>
      </c>
      <c r="H398" s="1815"/>
      <c r="I398" s="1815"/>
      <c r="J398" s="2930" t="s">
        <v>1322</v>
      </c>
      <c r="K398" s="2930" t="s">
        <v>1323</v>
      </c>
      <c r="L398" s="2930"/>
      <c r="M398" s="2930" t="s">
        <v>1324</v>
      </c>
      <c r="N398" s="2930"/>
      <c r="O398" s="2930">
        <v>10.436</v>
      </c>
      <c r="P398" s="1815"/>
      <c r="Q398" s="2930" t="s">
        <v>1325</v>
      </c>
      <c r="R398" s="2930" t="s">
        <v>1326</v>
      </c>
      <c r="S398" s="1815"/>
      <c r="T398" s="2930" t="s">
        <v>1327</v>
      </c>
      <c r="U398" s="1815"/>
      <c r="V398" s="1815"/>
      <c r="W398" s="1815"/>
      <c r="X398" s="2930">
        <f>2.373-1.173</f>
        <v>1.2000000000000002</v>
      </c>
      <c r="Y398" s="1815"/>
      <c r="Z398" s="1815"/>
      <c r="AA398" s="1815"/>
      <c r="AB398" s="1815"/>
      <c r="AC398" s="1815"/>
      <c r="AD398" s="2930">
        <v>1.244</v>
      </c>
      <c r="AE398" s="1815"/>
      <c r="AF398" s="1815"/>
      <c r="AG398" s="1815"/>
      <c r="AH398" s="123">
        <f t="shared" ref="AH398:AH407" si="76">SUM(C398:AG398)</f>
        <v>292.44</v>
      </c>
    </row>
    <row r="399" spans="1:34" s="115" customFormat="1" ht="15">
      <c r="A399" s="1233" t="s">
        <v>77</v>
      </c>
      <c r="B399" s="424">
        <f t="shared" si="75"/>
        <v>193.55500000000001</v>
      </c>
      <c r="C399" s="3450">
        <v>22.751999999999999</v>
      </c>
      <c r="D399" s="1930"/>
      <c r="E399" s="1930"/>
      <c r="F399" s="1930"/>
      <c r="G399" s="1930"/>
      <c r="H399" s="3327">
        <f>19.07-1.304-5.587</f>
        <v>12.179000000000002</v>
      </c>
      <c r="I399" s="1287"/>
      <c r="J399" s="1287"/>
      <c r="K399" s="1287"/>
      <c r="L399" s="1287"/>
      <c r="M399" s="3327">
        <v>2.1949999999999998</v>
      </c>
      <c r="N399" s="3327">
        <v>62.948</v>
      </c>
      <c r="O399" s="3327">
        <f>3.756-0.794-0.742-0.632</f>
        <v>1.5879999999999996</v>
      </c>
      <c r="P399" s="3327">
        <f>2.317-1.393-0.523</f>
        <v>0.40100000000000013</v>
      </c>
      <c r="Q399" s="3451">
        <f>31.399+60.093</f>
        <v>91.492000000000004</v>
      </c>
      <c r="R399" s="3451" t="s">
        <v>1328</v>
      </c>
      <c r="S399" s="1280"/>
      <c r="T399" s="1280"/>
      <c r="U399" s="1280"/>
      <c r="V399" s="1280" t="s">
        <v>1329</v>
      </c>
      <c r="W399" s="1280"/>
      <c r="X399" s="1280"/>
      <c r="Y399" s="1280" t="s">
        <v>1330</v>
      </c>
      <c r="Z399" s="1280"/>
      <c r="AA399" s="1280"/>
      <c r="AB399" s="1280"/>
      <c r="AC399" s="1280"/>
      <c r="AD399" s="1280" t="s">
        <v>1331</v>
      </c>
      <c r="AE399" s="1280"/>
      <c r="AF399" s="1280"/>
      <c r="AG399" s="1280"/>
      <c r="AH399" s="53">
        <f t="shared" si="76"/>
        <v>193.55500000000001</v>
      </c>
    </row>
    <row r="400" spans="1:34" ht="15">
      <c r="A400" s="1233" t="s">
        <v>78</v>
      </c>
      <c r="B400" s="424">
        <f t="shared" si="75"/>
        <v>0</v>
      </c>
      <c r="C400" s="1280"/>
      <c r="D400" s="1280"/>
      <c r="E400" s="1280"/>
      <c r="F400" s="1280"/>
      <c r="G400" s="1280"/>
      <c r="H400" s="1280"/>
      <c r="I400" s="1280"/>
      <c r="J400" s="1280"/>
      <c r="K400" s="1280"/>
      <c r="L400" s="1280"/>
      <c r="M400" s="1280"/>
      <c r="N400" s="1280"/>
      <c r="O400" s="1280"/>
      <c r="P400" s="1280"/>
      <c r="Q400" s="1280"/>
      <c r="R400" s="1280"/>
      <c r="S400" s="1280"/>
      <c r="T400" s="1280"/>
      <c r="U400" s="1280"/>
      <c r="V400" s="1280"/>
      <c r="W400" s="1280"/>
      <c r="X400" s="1280"/>
      <c r="Y400" s="1280"/>
      <c r="Z400" s="1280"/>
      <c r="AA400" s="1280"/>
      <c r="AB400" s="1280"/>
      <c r="AC400" s="1280"/>
      <c r="AD400" s="1280"/>
      <c r="AE400" s="1280"/>
      <c r="AF400" s="1280" t="s">
        <v>112</v>
      </c>
      <c r="AG400" s="1280" t="s">
        <v>112</v>
      </c>
      <c r="AH400" s="53">
        <f>SUM(C400:AG400)</f>
        <v>0</v>
      </c>
    </row>
    <row r="401" spans="1:34" s="115" customFormat="1" ht="15">
      <c r="A401" s="1233" t="s">
        <v>79</v>
      </c>
      <c r="B401" s="424">
        <f t="shared" si="75"/>
        <v>0</v>
      </c>
      <c r="C401" s="1280" t="s">
        <v>112</v>
      </c>
      <c r="D401" s="1280" t="s">
        <v>112</v>
      </c>
      <c r="E401" s="1280" t="s">
        <v>112</v>
      </c>
      <c r="F401" s="1280" t="s">
        <v>112</v>
      </c>
      <c r="G401" s="1280" t="s">
        <v>112</v>
      </c>
      <c r="H401" s="1280" t="s">
        <v>112</v>
      </c>
      <c r="I401" s="1280" t="s">
        <v>112</v>
      </c>
      <c r="J401" s="1280" t="s">
        <v>112</v>
      </c>
      <c r="K401" s="1280" t="s">
        <v>112</v>
      </c>
      <c r="L401" s="1280" t="s">
        <v>112</v>
      </c>
      <c r="M401" s="1280" t="s">
        <v>112</v>
      </c>
      <c r="N401" s="1280" t="s">
        <v>112</v>
      </c>
      <c r="O401" s="1280" t="s">
        <v>112</v>
      </c>
      <c r="P401" s="1280" t="s">
        <v>112</v>
      </c>
      <c r="Q401" s="1280" t="s">
        <v>112</v>
      </c>
      <c r="R401" s="1287"/>
      <c r="S401" s="1287"/>
      <c r="T401" s="1287"/>
      <c r="U401" s="1287"/>
      <c r="V401" s="1287"/>
      <c r="W401" s="1287"/>
      <c r="X401" s="1287"/>
      <c r="Y401" s="1287"/>
      <c r="Z401" s="1287"/>
      <c r="AA401" s="1287"/>
      <c r="AB401" s="1287"/>
      <c r="AC401" s="1287"/>
      <c r="AD401" s="1287"/>
      <c r="AE401" s="1287"/>
      <c r="AF401" s="1287"/>
      <c r="AG401" s="1287"/>
      <c r="AH401" s="118">
        <f t="shared" si="76"/>
        <v>0</v>
      </c>
    </row>
    <row r="402" spans="1:34" ht="15">
      <c r="A402" s="1233" t="s">
        <v>80</v>
      </c>
      <c r="B402" s="424">
        <f t="shared" si="75"/>
        <v>0</v>
      </c>
      <c r="C402" s="49"/>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53">
        <f t="shared" si="76"/>
        <v>0</v>
      </c>
    </row>
    <row r="403" spans="1:34" s="115" customFormat="1" ht="15">
      <c r="A403" s="1744" t="s">
        <v>81</v>
      </c>
      <c r="B403" s="1286">
        <f t="shared" si="75"/>
        <v>0</v>
      </c>
      <c r="C403" s="49"/>
      <c r="D403" s="53"/>
      <c r="E403" s="53"/>
      <c r="F403" s="53"/>
      <c r="G403" s="18"/>
      <c r="H403" s="18"/>
      <c r="I403" s="18"/>
      <c r="J403" s="57"/>
      <c r="K403" s="57"/>
      <c r="L403" s="53"/>
      <c r="M403" s="53"/>
      <c r="N403" s="53"/>
      <c r="O403" s="53"/>
      <c r="P403" s="53"/>
      <c r="Q403" s="53"/>
      <c r="R403" s="53"/>
      <c r="S403" s="53"/>
      <c r="T403" s="53"/>
      <c r="U403" s="53"/>
      <c r="V403" s="53"/>
      <c r="W403" s="1002" t="s">
        <v>112</v>
      </c>
      <c r="X403" s="1002" t="s">
        <v>112</v>
      </c>
      <c r="Y403" s="1002" t="s">
        <v>112</v>
      </c>
      <c r="Z403" s="1002" t="s">
        <v>112</v>
      </c>
      <c r="AA403" s="1002" t="s">
        <v>112</v>
      </c>
      <c r="AB403" s="1002" t="s">
        <v>112</v>
      </c>
      <c r="AC403" s="1002" t="s">
        <v>112</v>
      </c>
      <c r="AD403" s="1002" t="s">
        <v>112</v>
      </c>
      <c r="AE403" s="1002" t="s">
        <v>112</v>
      </c>
      <c r="AF403" s="1002" t="s">
        <v>112</v>
      </c>
      <c r="AG403" s="1002" t="s">
        <v>112</v>
      </c>
      <c r="AH403" s="53">
        <f t="shared" si="76"/>
        <v>0</v>
      </c>
    </row>
    <row r="404" spans="1:34" s="115" customFormat="1" ht="15">
      <c r="A404" s="1744" t="s">
        <v>82</v>
      </c>
      <c r="B404" s="1286">
        <f t="shared" si="75"/>
        <v>0</v>
      </c>
      <c r="C404" s="1002" t="s">
        <v>112</v>
      </c>
      <c r="D404" s="1002" t="s">
        <v>112</v>
      </c>
      <c r="E404" s="1002" t="s">
        <v>112</v>
      </c>
      <c r="F404" s="1002" t="s">
        <v>112</v>
      </c>
      <c r="G404" s="1002" t="s">
        <v>112</v>
      </c>
      <c r="H404" s="1002" t="s">
        <v>112</v>
      </c>
      <c r="I404" s="1002" t="s">
        <v>112</v>
      </c>
      <c r="J404" s="1002" t="s">
        <v>112</v>
      </c>
      <c r="K404" s="1002" t="s">
        <v>112</v>
      </c>
      <c r="L404" s="1002" t="s">
        <v>112</v>
      </c>
      <c r="M404" s="1002" t="s">
        <v>112</v>
      </c>
      <c r="N404" s="1002" t="s">
        <v>112</v>
      </c>
      <c r="O404" s="1002" t="s">
        <v>112</v>
      </c>
      <c r="P404" s="1002" t="s">
        <v>1332</v>
      </c>
      <c r="Q404" s="1002" t="s">
        <v>112</v>
      </c>
      <c r="R404" s="1002" t="s">
        <v>112</v>
      </c>
      <c r="S404" s="1002" t="s">
        <v>1333</v>
      </c>
      <c r="T404" s="1002" t="s">
        <v>112</v>
      </c>
      <c r="U404" s="1002" t="s">
        <v>112</v>
      </c>
      <c r="V404" s="1002" t="s">
        <v>112</v>
      </c>
      <c r="W404" s="1002" t="s">
        <v>112</v>
      </c>
      <c r="X404" s="1002" t="s">
        <v>112</v>
      </c>
      <c r="Y404" s="1002" t="s">
        <v>112</v>
      </c>
      <c r="Z404" s="1002" t="s">
        <v>112</v>
      </c>
      <c r="AA404" s="1002" t="s">
        <v>112</v>
      </c>
      <c r="AB404" s="1002" t="s">
        <v>112</v>
      </c>
      <c r="AC404" s="1002" t="s">
        <v>112</v>
      </c>
      <c r="AD404" s="1002" t="s">
        <v>112</v>
      </c>
      <c r="AE404" s="1002" t="s">
        <v>112</v>
      </c>
      <c r="AF404" s="1002" t="s">
        <v>112</v>
      </c>
      <c r="AG404" s="1002" t="s">
        <v>112</v>
      </c>
      <c r="AH404" s="53">
        <f t="shared" si="76"/>
        <v>0</v>
      </c>
    </row>
    <row r="405" spans="1:34" ht="15">
      <c r="A405" s="1744" t="s">
        <v>83</v>
      </c>
      <c r="B405" s="1286">
        <f t="shared" si="75"/>
        <v>0</v>
      </c>
      <c r="C405" s="46"/>
      <c r="D405" s="53"/>
      <c r="E405" s="53" t="s">
        <v>1334</v>
      </c>
      <c r="F405" s="53"/>
      <c r="G405" s="53"/>
      <c r="H405" s="53"/>
      <c r="I405" s="53"/>
      <c r="J405" s="57"/>
      <c r="K405" s="57"/>
      <c r="L405" s="18"/>
      <c r="M405" s="18"/>
      <c r="N405" s="18"/>
      <c r="O405" s="18"/>
      <c r="P405" s="18"/>
      <c r="Q405" s="1002" t="s">
        <v>112</v>
      </c>
      <c r="R405" s="1002" t="s">
        <v>112</v>
      </c>
      <c r="S405" s="1002" t="s">
        <v>112</v>
      </c>
      <c r="T405" s="1002" t="s">
        <v>112</v>
      </c>
      <c r="U405" s="1002" t="s">
        <v>112</v>
      </c>
      <c r="V405" s="1002" t="s">
        <v>112</v>
      </c>
      <c r="W405" s="1002" t="s">
        <v>112</v>
      </c>
      <c r="X405" s="1002" t="s">
        <v>112</v>
      </c>
      <c r="Y405" s="1002" t="s">
        <v>112</v>
      </c>
      <c r="Z405" s="1002" t="s">
        <v>112</v>
      </c>
      <c r="AA405" s="1002" t="s">
        <v>112</v>
      </c>
      <c r="AB405" s="1002" t="s">
        <v>112</v>
      </c>
      <c r="AC405" s="1002" t="s">
        <v>112</v>
      </c>
      <c r="AD405" s="1002" t="s">
        <v>112</v>
      </c>
      <c r="AE405" s="1002" t="s">
        <v>112</v>
      </c>
      <c r="AF405" s="1002" t="s">
        <v>112</v>
      </c>
      <c r="AG405" s="1002" t="s">
        <v>112</v>
      </c>
      <c r="AH405" s="53">
        <f t="shared" si="76"/>
        <v>0</v>
      </c>
    </row>
    <row r="406" spans="1:34" ht="15">
      <c r="A406" s="1744" t="s">
        <v>84</v>
      </c>
      <c r="B406" s="1286">
        <f t="shared" si="75"/>
        <v>0</v>
      </c>
      <c r="C406" s="1002" t="s">
        <v>112</v>
      </c>
      <c r="D406" s="1002" t="s">
        <v>112</v>
      </c>
      <c r="E406" s="1002" t="s">
        <v>112</v>
      </c>
      <c r="F406" s="1002" t="s">
        <v>112</v>
      </c>
      <c r="G406" s="1002" t="s">
        <v>112</v>
      </c>
      <c r="H406" s="1002" t="s">
        <v>112</v>
      </c>
      <c r="I406" s="1002" t="s">
        <v>112</v>
      </c>
      <c r="J406" s="1002" t="s">
        <v>112</v>
      </c>
      <c r="K406" s="1002" t="s">
        <v>112</v>
      </c>
      <c r="L406" s="1002" t="s">
        <v>112</v>
      </c>
      <c r="M406" s="1002" t="s">
        <v>112</v>
      </c>
      <c r="N406" s="1002" t="s">
        <v>112</v>
      </c>
      <c r="O406" s="1002" t="s">
        <v>112</v>
      </c>
      <c r="P406" s="1002" t="s">
        <v>112</v>
      </c>
      <c r="Q406" s="1002" t="s">
        <v>112</v>
      </c>
      <c r="R406" s="1002" t="s">
        <v>112</v>
      </c>
      <c r="S406" s="1002" t="s">
        <v>112</v>
      </c>
      <c r="T406" s="1002" t="s">
        <v>112</v>
      </c>
      <c r="U406" s="1002" t="s">
        <v>112</v>
      </c>
      <c r="V406" s="1002" t="s">
        <v>112</v>
      </c>
      <c r="W406" s="1002" t="s">
        <v>112</v>
      </c>
      <c r="X406" s="1002" t="s">
        <v>112</v>
      </c>
      <c r="Y406" s="1002" t="s">
        <v>112</v>
      </c>
      <c r="Z406" s="1002" t="s">
        <v>112</v>
      </c>
      <c r="AA406" s="1002" t="s">
        <v>112</v>
      </c>
      <c r="AB406" s="1002" t="s">
        <v>112</v>
      </c>
      <c r="AC406" s="1002" t="s">
        <v>112</v>
      </c>
      <c r="AD406" s="1002" t="s">
        <v>112</v>
      </c>
      <c r="AE406" s="1002" t="s">
        <v>112</v>
      </c>
      <c r="AF406" s="1002" t="s">
        <v>112</v>
      </c>
      <c r="AG406" s="1002" t="s">
        <v>112</v>
      </c>
      <c r="AH406" s="53">
        <f t="shared" si="76"/>
        <v>0</v>
      </c>
    </row>
    <row r="407" spans="1:34" ht="15">
      <c r="A407" s="1744" t="s">
        <v>85</v>
      </c>
      <c r="B407" s="1286">
        <f t="shared" si="75"/>
        <v>24.864999999999998</v>
      </c>
      <c r="C407" s="81" t="s">
        <v>112</v>
      </c>
      <c r="D407" s="81" t="s">
        <v>112</v>
      </c>
      <c r="E407" s="81" t="s">
        <v>112</v>
      </c>
      <c r="F407" s="81" t="s">
        <v>112</v>
      </c>
      <c r="G407" s="81" t="s">
        <v>112</v>
      </c>
      <c r="H407" s="81" t="s">
        <v>112</v>
      </c>
      <c r="I407" s="81" t="s">
        <v>112</v>
      </c>
      <c r="J407" s="81" t="s">
        <v>112</v>
      </c>
      <c r="K407" s="81" t="s">
        <v>112</v>
      </c>
      <c r="L407" s="81" t="s">
        <v>112</v>
      </c>
      <c r="M407" s="81" t="s">
        <v>112</v>
      </c>
      <c r="N407" s="81" t="s">
        <v>112</v>
      </c>
      <c r="O407" s="81" t="s">
        <v>112</v>
      </c>
      <c r="P407" s="81" t="s">
        <v>112</v>
      </c>
      <c r="Q407" s="81" t="s">
        <v>112</v>
      </c>
      <c r="R407" s="18"/>
      <c r="S407" s="18"/>
      <c r="T407" s="18"/>
      <c r="U407" s="18"/>
      <c r="V407" s="18"/>
      <c r="W407" s="18"/>
      <c r="X407" s="18"/>
      <c r="Y407" s="11"/>
      <c r="Z407" s="18"/>
      <c r="AA407" s="18">
        <v>24.864999999999998</v>
      </c>
      <c r="AB407" s="18"/>
      <c r="AC407" s="18"/>
      <c r="AD407" s="18"/>
      <c r="AE407" s="53"/>
      <c r="AF407" s="18"/>
      <c r="AG407" s="53"/>
      <c r="AH407" s="53">
        <f t="shared" si="76"/>
        <v>24.864999999999998</v>
      </c>
    </row>
    <row r="408" spans="1:34" ht="15">
      <c r="A408" s="1744" t="s">
        <v>86</v>
      </c>
      <c r="B408" s="1286">
        <f t="shared" si="75"/>
        <v>16.152999999999999</v>
      </c>
      <c r="C408" s="49"/>
      <c r="D408" s="18"/>
      <c r="E408" s="18"/>
      <c r="F408" s="18" t="s">
        <v>1335</v>
      </c>
      <c r="G408" s="18">
        <v>8.9689999999999994</v>
      </c>
      <c r="H408" s="18"/>
      <c r="I408" s="1287"/>
      <c r="J408" s="1287"/>
      <c r="K408" s="1287"/>
      <c r="L408" s="1287"/>
      <c r="M408" s="1287"/>
      <c r="N408" s="1287"/>
      <c r="O408" s="1287"/>
      <c r="P408" s="1287"/>
      <c r="Q408" s="1287"/>
      <c r="R408" s="1287"/>
      <c r="S408" s="1287"/>
      <c r="T408" s="1287"/>
      <c r="U408" s="1287"/>
      <c r="V408" s="1287"/>
      <c r="W408" s="1287"/>
      <c r="X408" s="1287"/>
      <c r="Y408" s="1287"/>
      <c r="Z408" s="1287"/>
      <c r="AA408" s="1287"/>
      <c r="AB408" s="1287"/>
      <c r="AC408" s="1287">
        <f>7.184</f>
        <v>7.1840000000000002</v>
      </c>
      <c r="AD408" s="1287"/>
      <c r="AE408" s="1488"/>
      <c r="AF408" s="1287"/>
      <c r="AG408" s="1488"/>
      <c r="AH408" s="53">
        <f>SUM(C408:AG408)</f>
        <v>16.152999999999999</v>
      </c>
    </row>
    <row r="409" spans="1:34" ht="15">
      <c r="A409" s="88" t="s">
        <v>74</v>
      </c>
      <c r="B409" s="91">
        <f>SUM(B397:B408)</f>
        <v>527.01300000000003</v>
      </c>
      <c r="C409" s="46">
        <f>SUM(C397:C407)</f>
        <v>22.751999999999999</v>
      </c>
      <c r="D409" s="53">
        <f>SUM(D397:D407)</f>
        <v>133.29</v>
      </c>
      <c r="E409" s="53">
        <v>0</v>
      </c>
      <c r="F409" s="53">
        <f t="shared" ref="F409:AC409" si="77">SUM(F397:F407)</f>
        <v>71.5</v>
      </c>
      <c r="G409" s="53">
        <f t="shared" si="77"/>
        <v>74.77</v>
      </c>
      <c r="H409" s="53">
        <f t="shared" si="77"/>
        <v>12.179000000000002</v>
      </c>
      <c r="I409" s="53">
        <f t="shared" si="77"/>
        <v>0</v>
      </c>
      <c r="J409" s="53">
        <f t="shared" si="77"/>
        <v>0</v>
      </c>
      <c r="K409" s="53">
        <f t="shared" si="77"/>
        <v>0</v>
      </c>
      <c r="L409" s="53">
        <f t="shared" si="77"/>
        <v>0</v>
      </c>
      <c r="M409" s="53">
        <f t="shared" si="77"/>
        <v>2.1949999999999998</v>
      </c>
      <c r="N409" s="53">
        <f t="shared" si="77"/>
        <v>62.948</v>
      </c>
      <c r="O409" s="53">
        <f t="shared" si="77"/>
        <v>12.023999999999999</v>
      </c>
      <c r="P409" s="53">
        <f t="shared" si="77"/>
        <v>0.40100000000000013</v>
      </c>
      <c r="Q409" s="53">
        <f t="shared" si="77"/>
        <v>91.492000000000004</v>
      </c>
      <c r="R409" s="53">
        <f t="shared" si="77"/>
        <v>0</v>
      </c>
      <c r="S409" s="53">
        <f t="shared" si="77"/>
        <v>0</v>
      </c>
      <c r="T409" s="53">
        <f t="shared" si="77"/>
        <v>0</v>
      </c>
      <c r="U409" s="53">
        <f t="shared" si="77"/>
        <v>0</v>
      </c>
      <c r="V409" s="53">
        <f t="shared" si="77"/>
        <v>0</v>
      </c>
      <c r="W409" s="53">
        <f t="shared" si="77"/>
        <v>0</v>
      </c>
      <c r="X409" s="53">
        <f t="shared" si="77"/>
        <v>1.2000000000000002</v>
      </c>
      <c r="Y409" s="53">
        <f t="shared" si="77"/>
        <v>0</v>
      </c>
      <c r="Z409" s="53">
        <f t="shared" si="77"/>
        <v>0</v>
      </c>
      <c r="AA409" s="53">
        <f t="shared" si="77"/>
        <v>24.864999999999998</v>
      </c>
      <c r="AB409" s="53">
        <f t="shared" si="77"/>
        <v>0</v>
      </c>
      <c r="AC409" s="53">
        <f t="shared" si="77"/>
        <v>0</v>
      </c>
      <c r="AD409" s="53">
        <v>0</v>
      </c>
      <c r="AE409" s="53">
        <f>SUM(AE397:AE407)</f>
        <v>0</v>
      </c>
      <c r="AF409" s="53">
        <f>SUM(AF397:AF407)</f>
        <v>0</v>
      </c>
      <c r="AG409" s="53">
        <f>SUM(AG397:AG407)</f>
        <v>0</v>
      </c>
      <c r="AH409" s="46">
        <f>SUM(AH397:AH407)</f>
        <v>510.86</v>
      </c>
    </row>
    <row r="410" spans="1:34" ht="15">
      <c r="A410" s="1918"/>
      <c r="B410" s="1928"/>
      <c r="C410" s="1923"/>
      <c r="D410" s="1923"/>
      <c r="E410" s="52"/>
      <c r="F410" s="52"/>
      <c r="G410" s="52"/>
      <c r="H410" s="52"/>
      <c r="I410" s="52"/>
      <c r="J410" s="52"/>
      <c r="K410" s="52"/>
      <c r="L410" s="52"/>
      <c r="M410" s="52"/>
      <c r="N410" s="52"/>
      <c r="O410" s="52"/>
      <c r="P410" s="52"/>
      <c r="Q410" s="52"/>
      <c r="R410" s="52"/>
      <c r="S410" s="52"/>
      <c r="T410" s="52"/>
      <c r="U410" s="52"/>
      <c r="V410" s="52"/>
      <c r="W410" s="52"/>
      <c r="X410" s="52"/>
      <c r="Y410" s="52"/>
      <c r="Z410" s="52"/>
      <c r="AA410" s="52"/>
      <c r="AB410" s="52"/>
      <c r="AC410" s="52"/>
      <c r="AD410" s="52"/>
      <c r="AE410" s="52"/>
      <c r="AF410" s="52"/>
      <c r="AG410" s="52"/>
      <c r="AH410" s="13"/>
    </row>
    <row r="411" spans="1:34" ht="20.25">
      <c r="A411" s="3621" t="s">
        <v>598</v>
      </c>
      <c r="B411" s="3622"/>
      <c r="C411" s="3622"/>
      <c r="D411" s="3622"/>
      <c r="E411" s="3622"/>
      <c r="F411" s="3622"/>
      <c r="G411" s="3622"/>
      <c r="H411" s="3623"/>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row>
    <row r="412" spans="1:34" ht="15">
      <c r="A412" s="5" t="s">
        <v>91</v>
      </c>
      <c r="B412" s="71" t="s">
        <v>73</v>
      </c>
      <c r="C412" s="1233">
        <v>1</v>
      </c>
      <c r="D412" s="30">
        <v>2</v>
      </c>
      <c r="E412" s="30">
        <v>3</v>
      </c>
      <c r="F412" s="30">
        <v>4</v>
      </c>
      <c r="G412" s="30">
        <v>5</v>
      </c>
      <c r="H412" s="30">
        <v>6</v>
      </c>
      <c r="I412" s="30">
        <v>7</v>
      </c>
      <c r="J412" s="30">
        <v>8</v>
      </c>
      <c r="K412" s="30">
        <v>9</v>
      </c>
      <c r="L412" s="30">
        <v>10</v>
      </c>
      <c r="M412" s="30">
        <v>11</v>
      </c>
      <c r="N412" s="30">
        <v>12</v>
      </c>
      <c r="O412" s="30">
        <v>13</v>
      </c>
      <c r="P412" s="30">
        <v>14</v>
      </c>
      <c r="Q412" s="30">
        <v>15</v>
      </c>
      <c r="R412" s="30">
        <v>16</v>
      </c>
      <c r="S412" s="30">
        <v>17</v>
      </c>
      <c r="T412" s="30">
        <v>18</v>
      </c>
      <c r="U412" s="30">
        <v>19</v>
      </c>
      <c r="V412" s="30">
        <v>20</v>
      </c>
      <c r="W412" s="30">
        <v>21</v>
      </c>
      <c r="X412" s="30">
        <v>22</v>
      </c>
      <c r="Y412" s="30">
        <v>23</v>
      </c>
      <c r="Z412" s="30">
        <v>24</v>
      </c>
      <c r="AA412" s="30">
        <v>25</v>
      </c>
      <c r="AB412" s="30">
        <v>26</v>
      </c>
      <c r="AC412" s="30">
        <v>27</v>
      </c>
      <c r="AD412" s="30">
        <v>28</v>
      </c>
      <c r="AE412" s="30">
        <v>29</v>
      </c>
      <c r="AF412" s="30">
        <v>30</v>
      </c>
      <c r="AG412" s="30">
        <v>31</v>
      </c>
      <c r="AH412" s="39" t="s">
        <v>74</v>
      </c>
    </row>
    <row r="413" spans="1:34" ht="15">
      <c r="A413" s="1233" t="s">
        <v>75</v>
      </c>
      <c r="B413" s="424">
        <f t="shared" ref="B413:B424" si="78">+AH413</f>
        <v>0</v>
      </c>
      <c r="C413" s="1287"/>
      <c r="D413" s="1287"/>
      <c r="E413" s="1287"/>
      <c r="F413" s="1287"/>
      <c r="G413" s="1287"/>
      <c r="H413" s="1287"/>
      <c r="I413" s="1287"/>
      <c r="J413" s="1287"/>
      <c r="K413" s="1287"/>
      <c r="L413" s="1287"/>
      <c r="M413" s="1287"/>
      <c r="N413" s="1287"/>
      <c r="O413" s="1287"/>
      <c r="P413" s="1287"/>
      <c r="Q413" s="1287"/>
      <c r="R413" s="1287"/>
      <c r="S413" s="1287"/>
      <c r="T413" s="1287"/>
      <c r="U413" s="1287"/>
      <c r="V413" s="1287"/>
      <c r="W413" s="1287"/>
      <c r="X413" s="1287"/>
      <c r="Y413" s="1287"/>
      <c r="Z413" s="1287"/>
      <c r="AA413" s="1287"/>
      <c r="AB413" s="1287"/>
      <c r="AC413" s="1287"/>
      <c r="AD413" s="1287"/>
      <c r="AE413" s="1287"/>
      <c r="AF413" s="1287"/>
      <c r="AG413" s="1287"/>
      <c r="AH413" s="53">
        <f>SUM(C413:AG413)</f>
        <v>0</v>
      </c>
    </row>
    <row r="414" spans="1:34" ht="15">
      <c r="A414" s="1233" t="s">
        <v>76</v>
      </c>
      <c r="B414" s="424">
        <f t="shared" si="78"/>
        <v>336.07799999999997</v>
      </c>
      <c r="C414" s="1287"/>
      <c r="D414" s="1287">
        <f>28.69+32.41</f>
        <v>61.099999999999994</v>
      </c>
      <c r="E414" s="1287"/>
      <c r="F414" s="1287">
        <v>50.91</v>
      </c>
      <c r="G414" s="1287"/>
      <c r="H414" s="1287" t="s">
        <v>1336</v>
      </c>
      <c r="I414" s="1287" t="s">
        <v>1337</v>
      </c>
      <c r="J414" s="1287"/>
      <c r="K414" s="1287">
        <f>41.16+45.325+64.798</f>
        <v>151.28300000000002</v>
      </c>
      <c r="L414" s="1287"/>
      <c r="M414" s="1287"/>
      <c r="N414" s="1287"/>
      <c r="O414" s="1287">
        <v>72.784999999999997</v>
      </c>
      <c r="P414" s="1287"/>
      <c r="Q414" s="1287" t="s">
        <v>1338</v>
      </c>
      <c r="R414" s="1287"/>
      <c r="S414" s="1287"/>
      <c r="T414" s="1287"/>
      <c r="U414" s="1287"/>
      <c r="V414" s="1287"/>
      <c r="W414" s="1287"/>
      <c r="X414" s="1287"/>
      <c r="Y414" s="1287"/>
      <c r="Z414" s="1287"/>
      <c r="AA414" s="1287"/>
      <c r="AB414" s="1287"/>
      <c r="AC414" s="1287"/>
      <c r="AD414" s="1287"/>
      <c r="AE414" s="1287"/>
      <c r="AF414" s="1287"/>
      <c r="AG414" s="1287"/>
      <c r="AH414" s="123">
        <f t="shared" ref="AH414:AH415" si="79">SUM(C414:AG414)</f>
        <v>336.07799999999997</v>
      </c>
    </row>
    <row r="415" spans="1:34" ht="15">
      <c r="A415" s="1233" t="s">
        <v>77</v>
      </c>
      <c r="B415" s="424">
        <f t="shared" si="78"/>
        <v>28.471</v>
      </c>
      <c r="C415" s="1930"/>
      <c r="D415" s="1930"/>
      <c r="E415" s="1930"/>
      <c r="F415" s="1930"/>
      <c r="G415" s="1930"/>
      <c r="H415" s="1287"/>
      <c r="I415" s="1287"/>
      <c r="J415" s="1287"/>
      <c r="K415" s="1287"/>
      <c r="L415" s="1287"/>
      <c r="M415" s="1287">
        <v>11.416</v>
      </c>
      <c r="N415" s="1287"/>
      <c r="O415" s="1287"/>
      <c r="P415" s="1287" t="s">
        <v>1339</v>
      </c>
      <c r="Q415" s="1280"/>
      <c r="R415" s="1280">
        <v>17.055</v>
      </c>
      <c r="S415" s="1280"/>
      <c r="T415" s="1280"/>
      <c r="U415" s="1280"/>
      <c r="V415" s="1280"/>
      <c r="W415" s="1280"/>
      <c r="X415" s="1280"/>
      <c r="Y415" s="1280"/>
      <c r="Z415" s="1280"/>
      <c r="AA415" s="1280"/>
      <c r="AB415" s="1280"/>
      <c r="AC415" s="1280"/>
      <c r="AD415" s="1280"/>
      <c r="AE415" s="1280"/>
      <c r="AF415" s="1280"/>
      <c r="AG415" s="1280"/>
      <c r="AH415" s="53">
        <f t="shared" si="79"/>
        <v>28.471</v>
      </c>
    </row>
    <row r="416" spans="1:34" ht="15">
      <c r="A416" s="1233" t="s">
        <v>78</v>
      </c>
      <c r="B416" s="424">
        <f t="shared" si="78"/>
        <v>0</v>
      </c>
      <c r="C416" s="1280"/>
      <c r="D416" s="1280"/>
      <c r="E416" s="1280"/>
      <c r="F416" s="1280"/>
      <c r="G416" s="1280"/>
      <c r="H416" s="1280"/>
      <c r="I416" s="1280"/>
      <c r="J416" s="1280" t="s">
        <v>1340</v>
      </c>
      <c r="K416" s="1280"/>
      <c r="L416" s="1280"/>
      <c r="M416" s="1280"/>
      <c r="N416" s="1280"/>
      <c r="O416" s="1280"/>
      <c r="P416" s="1280"/>
      <c r="Q416" s="1280"/>
      <c r="R416" s="1280"/>
      <c r="S416" s="1280"/>
      <c r="T416" s="1280"/>
      <c r="U416" s="1280"/>
      <c r="V416" s="1280"/>
      <c r="W416" s="1280"/>
      <c r="X416" s="1280"/>
      <c r="Y416" s="1280"/>
      <c r="Z416" s="1280"/>
      <c r="AA416" s="1280"/>
      <c r="AB416" s="1280"/>
      <c r="AC416" s="1280"/>
      <c r="AD416" s="1280"/>
      <c r="AE416" s="1280"/>
      <c r="AF416" s="1280" t="s">
        <v>112</v>
      </c>
      <c r="AG416" s="1280" t="s">
        <v>112</v>
      </c>
      <c r="AH416" s="53">
        <f>SUM(C416:AG416)</f>
        <v>0</v>
      </c>
    </row>
    <row r="417" spans="1:34" ht="15">
      <c r="A417" s="1233" t="s">
        <v>79</v>
      </c>
      <c r="B417" s="424">
        <f t="shared" si="78"/>
        <v>0</v>
      </c>
      <c r="C417" s="1280" t="s">
        <v>112</v>
      </c>
      <c r="D417" s="1280" t="s">
        <v>112</v>
      </c>
      <c r="E417" s="1280" t="s">
        <v>112</v>
      </c>
      <c r="F417" s="1280" t="s">
        <v>112</v>
      </c>
      <c r="G417" s="1280" t="s">
        <v>112</v>
      </c>
      <c r="H417" s="1280" t="s">
        <v>112</v>
      </c>
      <c r="I417" s="1280" t="s">
        <v>112</v>
      </c>
      <c r="J417" s="1280" t="s">
        <v>112</v>
      </c>
      <c r="K417" s="1280" t="s">
        <v>112</v>
      </c>
      <c r="L417" s="1280" t="s">
        <v>112</v>
      </c>
      <c r="M417" s="1280" t="s">
        <v>112</v>
      </c>
      <c r="N417" s="1280" t="s">
        <v>112</v>
      </c>
      <c r="O417" s="1280" t="s">
        <v>112</v>
      </c>
      <c r="P417" s="1280" t="s">
        <v>112</v>
      </c>
      <c r="Q417" s="1280" t="s">
        <v>112</v>
      </c>
      <c r="R417" s="1287"/>
      <c r="S417" s="1287"/>
      <c r="T417" s="1287"/>
      <c r="U417" s="1287"/>
      <c r="V417" s="1287"/>
      <c r="W417" s="1287"/>
      <c r="X417" s="1287"/>
      <c r="Y417" s="1287"/>
      <c r="Z417" s="1287"/>
      <c r="AA417" s="1287"/>
      <c r="AB417" s="1287"/>
      <c r="AC417" s="1287"/>
      <c r="AD417" s="1287"/>
      <c r="AE417" s="1287"/>
      <c r="AF417" s="1287"/>
      <c r="AG417" s="1287"/>
      <c r="AH417" s="118">
        <f t="shared" ref="AH417:AH423" si="80">SUM(C417:AG417)</f>
        <v>0</v>
      </c>
    </row>
    <row r="418" spans="1:34" ht="15">
      <c r="A418" s="1233" t="s">
        <v>80</v>
      </c>
      <c r="B418" s="424">
        <f t="shared" si="78"/>
        <v>0</v>
      </c>
      <c r="C418" s="49"/>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53">
        <f t="shared" si="80"/>
        <v>0</v>
      </c>
    </row>
    <row r="419" spans="1:34" ht="15">
      <c r="A419" s="1744" t="s">
        <v>81</v>
      </c>
      <c r="B419" s="1286">
        <f t="shared" si="78"/>
        <v>0</v>
      </c>
      <c r="C419" s="49"/>
      <c r="D419" s="53"/>
      <c r="E419" s="53"/>
      <c r="F419" s="53"/>
      <c r="G419" s="18"/>
      <c r="H419" s="18"/>
      <c r="I419" s="18"/>
      <c r="J419" s="57"/>
      <c r="K419" s="57"/>
      <c r="L419" s="53"/>
      <c r="M419" s="53"/>
      <c r="N419" s="53"/>
      <c r="O419" s="53"/>
      <c r="P419" s="53"/>
      <c r="Q419" s="53"/>
      <c r="R419" s="53"/>
      <c r="S419" s="53"/>
      <c r="T419" s="53"/>
      <c r="U419" s="53"/>
      <c r="V419" s="53"/>
      <c r="W419" s="1002" t="s">
        <v>112</v>
      </c>
      <c r="X419" s="1002" t="s">
        <v>112</v>
      </c>
      <c r="Y419" s="1002" t="s">
        <v>112</v>
      </c>
      <c r="Z419" s="1002" t="s">
        <v>112</v>
      </c>
      <c r="AA419" s="1002" t="s">
        <v>112</v>
      </c>
      <c r="AB419" s="1002" t="s">
        <v>112</v>
      </c>
      <c r="AC419" s="1002" t="s">
        <v>112</v>
      </c>
      <c r="AD419" s="1002" t="s">
        <v>112</v>
      </c>
      <c r="AE419" s="1002" t="s">
        <v>112</v>
      </c>
      <c r="AF419" s="1002" t="s">
        <v>112</v>
      </c>
      <c r="AG419" s="1002" t="s">
        <v>112</v>
      </c>
      <c r="AH419" s="53">
        <f t="shared" si="80"/>
        <v>0</v>
      </c>
    </row>
    <row r="420" spans="1:34" ht="15">
      <c r="A420" s="1744" t="s">
        <v>82</v>
      </c>
      <c r="B420" s="1286">
        <f t="shared" si="78"/>
        <v>0</v>
      </c>
      <c r="C420" s="1002" t="s">
        <v>112</v>
      </c>
      <c r="D420" s="1002" t="s">
        <v>112</v>
      </c>
      <c r="E420" s="1002" t="s">
        <v>112</v>
      </c>
      <c r="F420" s="1002" t="s">
        <v>112</v>
      </c>
      <c r="G420" s="1002" t="s">
        <v>112</v>
      </c>
      <c r="H420" s="1002" t="s">
        <v>112</v>
      </c>
      <c r="I420" s="1002" t="s">
        <v>112</v>
      </c>
      <c r="J420" s="1002" t="s">
        <v>112</v>
      </c>
      <c r="K420" s="1002" t="s">
        <v>112</v>
      </c>
      <c r="L420" s="1002" t="s">
        <v>112</v>
      </c>
      <c r="M420" s="1002" t="s">
        <v>112</v>
      </c>
      <c r="N420" s="1002" t="s">
        <v>112</v>
      </c>
      <c r="O420" s="1002" t="s">
        <v>112</v>
      </c>
      <c r="P420" s="1002" t="s">
        <v>112</v>
      </c>
      <c r="Q420" s="1002" t="s">
        <v>112</v>
      </c>
      <c r="R420" s="1002" t="s">
        <v>112</v>
      </c>
      <c r="S420" s="1002" t="s">
        <v>112</v>
      </c>
      <c r="T420" s="1002" t="s">
        <v>112</v>
      </c>
      <c r="U420" s="1002" t="s">
        <v>112</v>
      </c>
      <c r="V420" s="1002" t="s">
        <v>112</v>
      </c>
      <c r="W420" s="1002" t="s">
        <v>112</v>
      </c>
      <c r="X420" s="1002" t="s">
        <v>112</v>
      </c>
      <c r="Y420" s="1002" t="s">
        <v>112</v>
      </c>
      <c r="Z420" s="1002" t="s">
        <v>112</v>
      </c>
      <c r="AA420" s="1002" t="s">
        <v>112</v>
      </c>
      <c r="AB420" s="1002" t="s">
        <v>112</v>
      </c>
      <c r="AC420" s="1002" t="s">
        <v>112</v>
      </c>
      <c r="AD420" s="1002" t="s">
        <v>112</v>
      </c>
      <c r="AE420" s="1002" t="s">
        <v>112</v>
      </c>
      <c r="AF420" s="1002" t="s">
        <v>112</v>
      </c>
      <c r="AG420" s="1002" t="s">
        <v>112</v>
      </c>
      <c r="AH420" s="53">
        <f t="shared" si="80"/>
        <v>0</v>
      </c>
    </row>
    <row r="421" spans="1:34" ht="15">
      <c r="A421" s="1744" t="s">
        <v>83</v>
      </c>
      <c r="B421" s="1286">
        <f t="shared" si="78"/>
        <v>0</v>
      </c>
      <c r="C421" s="46"/>
      <c r="D421" s="53"/>
      <c r="E421" s="53" t="s">
        <v>1341</v>
      </c>
      <c r="F421" s="53"/>
      <c r="G421" s="53"/>
      <c r="H421" s="53"/>
      <c r="I421" s="53"/>
      <c r="J421" s="57"/>
      <c r="K421" s="57"/>
      <c r="L421" s="18"/>
      <c r="M421" s="18"/>
      <c r="N421" s="18"/>
      <c r="O421" s="18"/>
      <c r="P421" s="18"/>
      <c r="Q421" s="1002" t="s">
        <v>112</v>
      </c>
      <c r="R421" s="1002" t="s">
        <v>112</v>
      </c>
      <c r="S421" s="1002" t="s">
        <v>112</v>
      </c>
      <c r="T421" s="1002" t="s">
        <v>112</v>
      </c>
      <c r="U421" s="1002" t="s">
        <v>112</v>
      </c>
      <c r="V421" s="1002" t="s">
        <v>112</v>
      </c>
      <c r="W421" s="1002" t="s">
        <v>112</v>
      </c>
      <c r="X421" s="1002" t="s">
        <v>112</v>
      </c>
      <c r="Y421" s="1002" t="s">
        <v>112</v>
      </c>
      <c r="Z421" s="1002" t="s">
        <v>112</v>
      </c>
      <c r="AA421" s="1002" t="s">
        <v>112</v>
      </c>
      <c r="AB421" s="1002" t="s">
        <v>112</v>
      </c>
      <c r="AC421" s="1002" t="s">
        <v>112</v>
      </c>
      <c r="AD421" s="1002" t="s">
        <v>112</v>
      </c>
      <c r="AE421" s="1002" t="s">
        <v>112</v>
      </c>
      <c r="AF421" s="1002" t="s">
        <v>112</v>
      </c>
      <c r="AG421" s="1002" t="s">
        <v>112</v>
      </c>
      <c r="AH421" s="53">
        <f t="shared" si="80"/>
        <v>0</v>
      </c>
    </row>
    <row r="422" spans="1:34" ht="15">
      <c r="A422" s="1744" t="s">
        <v>84</v>
      </c>
      <c r="B422" s="1286">
        <f t="shared" si="78"/>
        <v>0</v>
      </c>
      <c r="C422" s="1002" t="s">
        <v>112</v>
      </c>
      <c r="D422" s="1002" t="s">
        <v>112</v>
      </c>
      <c r="E422" s="1002" t="s">
        <v>112</v>
      </c>
      <c r="F422" s="1002" t="s">
        <v>112</v>
      </c>
      <c r="G422" s="1002" t="s">
        <v>112</v>
      </c>
      <c r="H422" s="1002" t="s">
        <v>112</v>
      </c>
      <c r="I422" s="1002" t="s">
        <v>112</v>
      </c>
      <c r="J422" s="1002" t="s">
        <v>112</v>
      </c>
      <c r="K422" s="1002" t="s">
        <v>112</v>
      </c>
      <c r="L422" s="1002" t="s">
        <v>112</v>
      </c>
      <c r="M422" s="1002" t="s">
        <v>112</v>
      </c>
      <c r="N422" s="1002" t="s">
        <v>112</v>
      </c>
      <c r="O422" s="1002" t="s">
        <v>112</v>
      </c>
      <c r="P422" s="1002" t="s">
        <v>112</v>
      </c>
      <c r="Q422" s="1002" t="s">
        <v>112</v>
      </c>
      <c r="R422" s="1002" t="s">
        <v>112</v>
      </c>
      <c r="S422" s="1002" t="s">
        <v>112</v>
      </c>
      <c r="T422" s="1002" t="s">
        <v>112</v>
      </c>
      <c r="U422" s="1002" t="s">
        <v>112</v>
      </c>
      <c r="V422" s="1002" t="s">
        <v>112</v>
      </c>
      <c r="W422" s="1002" t="s">
        <v>112</v>
      </c>
      <c r="X422" s="1002" t="s">
        <v>112</v>
      </c>
      <c r="Y422" s="1002" t="s">
        <v>112</v>
      </c>
      <c r="Z422" s="1002" t="s">
        <v>112</v>
      </c>
      <c r="AA422" s="1002" t="s">
        <v>112</v>
      </c>
      <c r="AB422" s="1002" t="s">
        <v>112</v>
      </c>
      <c r="AC422" s="1002" t="s">
        <v>112</v>
      </c>
      <c r="AD422" s="1002" t="s">
        <v>112</v>
      </c>
      <c r="AE422" s="1002" t="s">
        <v>112</v>
      </c>
      <c r="AF422" s="1002" t="s">
        <v>112</v>
      </c>
      <c r="AG422" s="1002" t="s">
        <v>112</v>
      </c>
      <c r="AH422" s="53">
        <f t="shared" si="80"/>
        <v>0</v>
      </c>
    </row>
    <row r="423" spans="1:34" ht="15">
      <c r="A423" s="1744" t="s">
        <v>85</v>
      </c>
      <c r="B423" s="1286">
        <f t="shared" si="78"/>
        <v>98.722000000000008</v>
      </c>
      <c r="C423" s="81" t="s">
        <v>112</v>
      </c>
      <c r="D423" s="81" t="s">
        <v>112</v>
      </c>
      <c r="E423" s="81" t="s">
        <v>112</v>
      </c>
      <c r="F423" s="81" t="s">
        <v>112</v>
      </c>
      <c r="G423" s="81" t="s">
        <v>112</v>
      </c>
      <c r="H423" s="81" t="s">
        <v>112</v>
      </c>
      <c r="I423" s="81" t="s">
        <v>112</v>
      </c>
      <c r="J423" s="81" t="s">
        <v>112</v>
      </c>
      <c r="K423" s="81" t="s">
        <v>112</v>
      </c>
      <c r="L423" s="81" t="s">
        <v>112</v>
      </c>
      <c r="M423" s="81" t="s">
        <v>112</v>
      </c>
      <c r="N423" s="81" t="s">
        <v>112</v>
      </c>
      <c r="O423" s="81" t="s">
        <v>112</v>
      </c>
      <c r="P423" s="81" t="s">
        <v>112</v>
      </c>
      <c r="Q423" s="81" t="s">
        <v>112</v>
      </c>
      <c r="R423" s="18"/>
      <c r="S423" s="18"/>
      <c r="T423" s="18"/>
      <c r="U423" s="18"/>
      <c r="V423" s="18"/>
      <c r="W423" s="18"/>
      <c r="X423" s="18"/>
      <c r="Y423" s="11">
        <v>14.394</v>
      </c>
      <c r="Z423" s="18"/>
      <c r="AA423" s="18">
        <v>64.48</v>
      </c>
      <c r="AB423" s="18"/>
      <c r="AC423" s="18"/>
      <c r="AD423" s="18">
        <v>19.847999999999999</v>
      </c>
      <c r="AE423" s="53"/>
      <c r="AF423" s="18"/>
      <c r="AG423" s="53"/>
      <c r="AH423" s="53">
        <f t="shared" si="80"/>
        <v>98.722000000000008</v>
      </c>
    </row>
    <row r="424" spans="1:34" ht="15">
      <c r="A424" s="1744" t="s">
        <v>86</v>
      </c>
      <c r="B424" s="1286">
        <f t="shared" si="78"/>
        <v>0</v>
      </c>
      <c r="C424" s="1287"/>
      <c r="D424" s="1287"/>
      <c r="E424" s="1287"/>
      <c r="F424" s="1287"/>
      <c r="G424" s="1287"/>
      <c r="H424" s="1287"/>
      <c r="I424" s="1287"/>
      <c r="J424" s="1287"/>
      <c r="K424" s="1287"/>
      <c r="L424" s="1287"/>
      <c r="M424" s="1287"/>
      <c r="N424" s="1287"/>
      <c r="O424" s="1287"/>
      <c r="P424" s="1287"/>
      <c r="Q424" s="1287"/>
      <c r="R424" s="1287"/>
      <c r="S424" s="1287"/>
      <c r="T424" s="1287"/>
      <c r="U424" s="1287"/>
      <c r="V424" s="1287"/>
      <c r="W424" s="1287"/>
      <c r="X424" s="1287"/>
      <c r="Y424" s="1287"/>
      <c r="Z424" s="1287"/>
      <c r="AA424" s="1287"/>
      <c r="AB424" s="1287"/>
      <c r="AC424" s="1287"/>
      <c r="AD424" s="1287"/>
      <c r="AE424" s="1488"/>
      <c r="AF424" s="1287"/>
      <c r="AG424" s="1488"/>
      <c r="AH424" s="53">
        <f>SUM(C424:AG424)</f>
        <v>0</v>
      </c>
    </row>
    <row r="425" spans="1:34" ht="15">
      <c r="A425" s="88" t="s">
        <v>74</v>
      </c>
      <c r="B425" s="91">
        <f>SUM(B413:B424)</f>
        <v>463.27099999999996</v>
      </c>
      <c r="C425" s="46">
        <f>SUM(C413:C423)</f>
        <v>0</v>
      </c>
      <c r="D425" s="53">
        <f>SUM(D413:D423)</f>
        <v>61.099999999999994</v>
      </c>
      <c r="E425" s="53">
        <v>0</v>
      </c>
      <c r="F425" s="53">
        <f t="shared" ref="F425:AC425" si="81">SUM(F413:F423)</f>
        <v>50.91</v>
      </c>
      <c r="G425" s="53">
        <f t="shared" si="81"/>
        <v>0</v>
      </c>
      <c r="H425" s="53">
        <f t="shared" si="81"/>
        <v>0</v>
      </c>
      <c r="I425" s="53">
        <f t="shared" si="81"/>
        <v>0</v>
      </c>
      <c r="J425" s="53">
        <f t="shared" si="81"/>
        <v>0</v>
      </c>
      <c r="K425" s="53">
        <f t="shared" si="81"/>
        <v>151.28300000000002</v>
      </c>
      <c r="L425" s="53">
        <f t="shared" si="81"/>
        <v>0</v>
      </c>
      <c r="M425" s="53">
        <f t="shared" si="81"/>
        <v>11.416</v>
      </c>
      <c r="N425" s="53">
        <f t="shared" si="81"/>
        <v>0</v>
      </c>
      <c r="O425" s="53">
        <f t="shared" si="81"/>
        <v>72.784999999999997</v>
      </c>
      <c r="P425" s="53">
        <f t="shared" si="81"/>
        <v>0</v>
      </c>
      <c r="Q425" s="53">
        <f t="shared" si="81"/>
        <v>0</v>
      </c>
      <c r="R425" s="53">
        <f t="shared" si="81"/>
        <v>17.055</v>
      </c>
      <c r="S425" s="53">
        <f t="shared" si="81"/>
        <v>0</v>
      </c>
      <c r="T425" s="53">
        <f t="shared" si="81"/>
        <v>0</v>
      </c>
      <c r="U425" s="53">
        <f t="shared" si="81"/>
        <v>0</v>
      </c>
      <c r="V425" s="53">
        <f t="shared" si="81"/>
        <v>0</v>
      </c>
      <c r="W425" s="53">
        <f t="shared" si="81"/>
        <v>0</v>
      </c>
      <c r="X425" s="53">
        <f t="shared" si="81"/>
        <v>0</v>
      </c>
      <c r="Y425" s="53">
        <f t="shared" si="81"/>
        <v>14.394</v>
      </c>
      <c r="Z425" s="53">
        <f t="shared" si="81"/>
        <v>0</v>
      </c>
      <c r="AA425" s="53">
        <f t="shared" si="81"/>
        <v>64.48</v>
      </c>
      <c r="AB425" s="53">
        <f t="shared" si="81"/>
        <v>0</v>
      </c>
      <c r="AC425" s="53">
        <f t="shared" si="81"/>
        <v>0</v>
      </c>
      <c r="AD425" s="53">
        <v>0</v>
      </c>
      <c r="AE425" s="53">
        <f>SUM(AE413:AE423)</f>
        <v>0</v>
      </c>
      <c r="AF425" s="53">
        <f>SUM(AF413:AF423)</f>
        <v>0</v>
      </c>
      <c r="AG425" s="53">
        <f>SUM(AG413:AG423)</f>
        <v>0</v>
      </c>
      <c r="AH425" s="46">
        <f>SUM(AH413:AH423)</f>
        <v>463.27099999999996</v>
      </c>
    </row>
    <row r="426" spans="1:34" ht="15">
      <c r="A426" s="1918"/>
      <c r="B426" s="1928"/>
      <c r="C426" s="1923"/>
      <c r="D426" s="1923"/>
      <c r="E426" s="52"/>
      <c r="F426" s="52"/>
      <c r="G426" s="52"/>
      <c r="H426" s="52"/>
      <c r="I426" s="52"/>
      <c r="J426" s="52"/>
      <c r="K426" s="52"/>
      <c r="L426" s="52"/>
      <c r="M426" s="52"/>
      <c r="N426" s="52"/>
      <c r="O426" s="52"/>
      <c r="P426" s="52"/>
      <c r="Q426" s="52"/>
      <c r="R426" s="52"/>
      <c r="S426" s="52"/>
      <c r="T426" s="52"/>
      <c r="U426" s="52"/>
      <c r="V426" s="52"/>
      <c r="W426" s="52"/>
      <c r="X426" s="52"/>
      <c r="Y426" s="52"/>
      <c r="Z426" s="52"/>
      <c r="AA426" s="52"/>
      <c r="AB426" s="52"/>
      <c r="AC426" s="52"/>
      <c r="AD426" s="52"/>
      <c r="AE426" s="52"/>
      <c r="AF426" s="52"/>
      <c r="AG426" s="52"/>
      <c r="AH426" s="13"/>
    </row>
    <row r="427" spans="1:34" ht="20.25">
      <c r="A427" s="3618" t="s">
        <v>63</v>
      </c>
      <c r="B427" s="3619"/>
      <c r="C427" s="3619"/>
      <c r="D427" s="3619"/>
      <c r="E427" s="3619"/>
      <c r="F427" s="3619"/>
      <c r="G427" s="3619"/>
      <c r="H427" s="3620"/>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row>
    <row r="428" spans="1:34" ht="15">
      <c r="A428" s="5" t="s">
        <v>91</v>
      </c>
      <c r="B428" s="71" t="s">
        <v>73</v>
      </c>
      <c r="C428" s="1233">
        <v>1</v>
      </c>
      <c r="D428" s="30">
        <v>2</v>
      </c>
      <c r="E428" s="30">
        <v>3</v>
      </c>
      <c r="F428" s="30">
        <v>4</v>
      </c>
      <c r="G428" s="30">
        <v>5</v>
      </c>
      <c r="H428" s="30">
        <v>6</v>
      </c>
      <c r="I428" s="30">
        <v>7</v>
      </c>
      <c r="J428" s="30">
        <v>8</v>
      </c>
      <c r="K428" s="30">
        <v>9</v>
      </c>
      <c r="L428" s="30">
        <v>10</v>
      </c>
      <c r="M428" s="30">
        <v>11</v>
      </c>
      <c r="N428" s="30">
        <v>12</v>
      </c>
      <c r="O428" s="30">
        <v>13</v>
      </c>
      <c r="P428" s="30">
        <v>14</v>
      </c>
      <c r="Q428" s="30">
        <v>15</v>
      </c>
      <c r="R428" s="30">
        <v>16</v>
      </c>
      <c r="S428" s="30">
        <v>17</v>
      </c>
      <c r="T428" s="30">
        <v>18</v>
      </c>
      <c r="U428" s="30">
        <v>19</v>
      </c>
      <c r="V428" s="30">
        <v>20</v>
      </c>
      <c r="W428" s="30">
        <v>21</v>
      </c>
      <c r="X428" s="30">
        <v>22</v>
      </c>
      <c r="Y428" s="30">
        <v>23</v>
      </c>
      <c r="Z428" s="30">
        <v>24</v>
      </c>
      <c r="AA428" s="30">
        <v>25</v>
      </c>
      <c r="AB428" s="30">
        <v>26</v>
      </c>
      <c r="AC428" s="30">
        <v>27</v>
      </c>
      <c r="AD428" s="30">
        <v>28</v>
      </c>
      <c r="AE428" s="30">
        <v>29</v>
      </c>
      <c r="AF428" s="30">
        <v>30</v>
      </c>
      <c r="AG428" s="30">
        <v>31</v>
      </c>
      <c r="AH428" s="39" t="s">
        <v>74</v>
      </c>
    </row>
    <row r="429" spans="1:34" ht="15">
      <c r="A429" s="30" t="s">
        <v>75</v>
      </c>
      <c r="B429" s="116">
        <f t="shared" ref="B429:B440" si="82">+AH429</f>
        <v>0</v>
      </c>
      <c r="C429" s="1815"/>
      <c r="D429" s="1815"/>
      <c r="E429" s="1815"/>
      <c r="F429" s="1815"/>
      <c r="G429" s="1815"/>
      <c r="H429" s="1815"/>
      <c r="I429" s="1815"/>
      <c r="J429" s="1815"/>
      <c r="K429" s="1815"/>
      <c r="L429" s="1815"/>
      <c r="M429" s="1815"/>
      <c r="N429" s="1815"/>
      <c r="O429" s="1815"/>
      <c r="P429" s="1815"/>
      <c r="Q429" s="1815"/>
      <c r="R429" s="1815"/>
      <c r="S429" s="1815"/>
      <c r="T429" s="1815"/>
      <c r="U429" s="1815"/>
      <c r="V429" s="1815"/>
      <c r="W429" s="1815"/>
      <c r="X429" s="1815"/>
      <c r="Y429" s="1815"/>
      <c r="Z429" s="1815"/>
      <c r="AA429" s="1815"/>
      <c r="AB429" s="1815"/>
      <c r="AC429" s="1815"/>
      <c r="AD429" s="1815"/>
      <c r="AE429" s="1815"/>
      <c r="AF429" s="1815"/>
      <c r="AG429" s="1815"/>
      <c r="AH429" s="53">
        <f>SUM(C429:AG429)</f>
        <v>0</v>
      </c>
    </row>
    <row r="430" spans="1:34" ht="15">
      <c r="A430" s="30" t="s">
        <v>76</v>
      </c>
      <c r="B430" s="424">
        <f t="shared" si="82"/>
        <v>33.9</v>
      </c>
      <c r="C430" s="2930">
        <v>9.02</v>
      </c>
      <c r="D430" s="1815"/>
      <c r="E430" s="1815"/>
      <c r="F430" s="1815"/>
      <c r="G430" s="1815"/>
      <c r="H430" s="1815" t="s">
        <v>1342</v>
      </c>
      <c r="I430" s="1815"/>
      <c r="J430" s="1815"/>
      <c r="K430" s="1815" t="s">
        <v>1343</v>
      </c>
      <c r="L430" s="1815"/>
      <c r="M430" s="2930">
        <v>22.391999999999999</v>
      </c>
      <c r="N430" s="1815"/>
      <c r="O430" s="1815"/>
      <c r="P430" s="1815"/>
      <c r="Q430" s="1815"/>
      <c r="R430" s="1815"/>
      <c r="S430" s="1815"/>
      <c r="T430" s="1815"/>
      <c r="U430" s="1815"/>
      <c r="V430" s="1815"/>
      <c r="W430" s="1815"/>
      <c r="X430" s="1815" t="s">
        <v>1344</v>
      </c>
      <c r="Y430" s="2930">
        <v>2.488</v>
      </c>
      <c r="Z430" s="1815"/>
      <c r="AA430" s="1815"/>
      <c r="AB430" s="1815"/>
      <c r="AC430" s="1815"/>
      <c r="AD430" s="1815"/>
      <c r="AE430" s="1815"/>
      <c r="AF430" s="1815"/>
      <c r="AG430" s="1815"/>
      <c r="AH430" s="53">
        <f t="shared" ref="AH430:AH440" si="83">SUM(C430:AG430)</f>
        <v>33.9</v>
      </c>
    </row>
    <row r="431" spans="1:34" ht="15">
      <c r="A431" s="2931" t="s">
        <v>77</v>
      </c>
      <c r="B431" s="2932">
        <f t="shared" si="82"/>
        <v>77.925999999999988</v>
      </c>
      <c r="C431" s="1930"/>
      <c r="D431" s="1930"/>
      <c r="E431" s="1930"/>
      <c r="F431" s="1930"/>
      <c r="G431" s="3450">
        <v>13.3</v>
      </c>
      <c r="H431" s="1287" t="s">
        <v>1345</v>
      </c>
      <c r="I431" s="3327">
        <f>22.218+8.041</f>
        <v>30.259</v>
      </c>
      <c r="J431" s="1287"/>
      <c r="K431" s="3327">
        <v>2.363</v>
      </c>
      <c r="L431" s="1287"/>
      <c r="M431" s="1287" t="s">
        <v>1346</v>
      </c>
      <c r="N431" s="1287"/>
      <c r="O431" s="1287"/>
      <c r="P431" s="1287" t="s">
        <v>1347</v>
      </c>
      <c r="Q431" s="1280"/>
      <c r="R431" s="1280" t="s">
        <v>1348</v>
      </c>
      <c r="S431" s="1280"/>
      <c r="T431" s="1280"/>
      <c r="U431" s="1280"/>
      <c r="V431" s="1280"/>
      <c r="W431" s="3451">
        <v>7.1319999999999997</v>
      </c>
      <c r="X431" s="1280"/>
      <c r="Y431" s="3451">
        <v>20.466999999999999</v>
      </c>
      <c r="Z431" s="1280"/>
      <c r="AA431" s="1280"/>
      <c r="AB431" s="1280" t="s">
        <v>1349</v>
      </c>
      <c r="AC431" s="3451">
        <v>4.4050000000000002</v>
      </c>
      <c r="AD431" s="1280"/>
      <c r="AE431" s="1280"/>
      <c r="AF431" s="1280"/>
      <c r="AG431" s="1280"/>
      <c r="AH431" s="53">
        <f t="shared" si="83"/>
        <v>77.925999999999988</v>
      </c>
    </row>
    <row r="432" spans="1:34" s="115" customFormat="1" ht="15">
      <c r="A432" s="117" t="s">
        <v>78</v>
      </c>
      <c r="B432" s="424">
        <f t="shared" si="82"/>
        <v>0</v>
      </c>
      <c r="C432" s="1280"/>
      <c r="D432" s="1280"/>
      <c r="E432" s="1280" t="s">
        <v>1350</v>
      </c>
      <c r="F432" s="1280" t="s">
        <v>1351</v>
      </c>
      <c r="G432" s="1280" t="s">
        <v>1352</v>
      </c>
      <c r="H432" s="1280"/>
      <c r="I432" s="1280"/>
      <c r="J432" s="1280" t="s">
        <v>1353</v>
      </c>
      <c r="K432" s="1280" t="s">
        <v>1354</v>
      </c>
      <c r="L432" s="1280"/>
      <c r="M432" s="1280"/>
      <c r="N432" s="1280"/>
      <c r="O432" s="1280"/>
      <c r="P432" s="1280"/>
      <c r="Q432" s="1280"/>
      <c r="R432" s="1280"/>
      <c r="S432" s="1280"/>
      <c r="T432" s="1280"/>
      <c r="U432" s="1280"/>
      <c r="V432" s="1280"/>
      <c r="W432" s="1280"/>
      <c r="X432" s="1280"/>
      <c r="Y432" s="1280"/>
      <c r="Z432" s="1280"/>
      <c r="AA432" s="1280"/>
      <c r="AB432" s="1280"/>
      <c r="AC432" s="1280"/>
      <c r="AD432" s="1280"/>
      <c r="AE432" s="1280"/>
      <c r="AF432" s="1002" t="s">
        <v>112</v>
      </c>
      <c r="AG432" s="1002" t="s">
        <v>112</v>
      </c>
      <c r="AH432" s="217">
        <f t="shared" si="83"/>
        <v>0</v>
      </c>
    </row>
    <row r="433" spans="1:122" ht="15">
      <c r="A433" s="30" t="s">
        <v>79</v>
      </c>
      <c r="B433" s="116">
        <f t="shared" si="82"/>
        <v>0</v>
      </c>
      <c r="C433" s="1280" t="s">
        <v>112</v>
      </c>
      <c r="D433" s="1280" t="s">
        <v>112</v>
      </c>
      <c r="E433" s="1280" t="s">
        <v>112</v>
      </c>
      <c r="F433" s="1280" t="s">
        <v>112</v>
      </c>
      <c r="G433" s="1280" t="s">
        <v>112</v>
      </c>
      <c r="H433" s="1280" t="s">
        <v>112</v>
      </c>
      <c r="I433" s="1280" t="s">
        <v>112</v>
      </c>
      <c r="J433" s="1280" t="s">
        <v>112</v>
      </c>
      <c r="K433" s="1280" t="s">
        <v>112</v>
      </c>
      <c r="L433" s="1280" t="s">
        <v>112</v>
      </c>
      <c r="M433" s="1280" t="s">
        <v>112</v>
      </c>
      <c r="N433" s="1280" t="s">
        <v>112</v>
      </c>
      <c r="O433" s="1280" t="s">
        <v>112</v>
      </c>
      <c r="P433" s="1280" t="s">
        <v>112</v>
      </c>
      <c r="Q433" s="1280" t="s">
        <v>112</v>
      </c>
      <c r="R433" s="1287"/>
      <c r="S433" s="1287"/>
      <c r="T433" s="1287"/>
      <c r="U433" s="1287"/>
      <c r="V433" s="1287"/>
      <c r="W433" s="1287"/>
      <c r="X433" s="1287"/>
      <c r="Y433" s="1287"/>
      <c r="Z433" s="1287"/>
      <c r="AA433" s="1287"/>
      <c r="AB433" s="1287"/>
      <c r="AC433" s="1287"/>
      <c r="AD433" s="1287"/>
      <c r="AE433" s="1287"/>
      <c r="AF433" s="1287"/>
      <c r="AG433" s="1287"/>
      <c r="AH433" s="53">
        <f t="shared" si="83"/>
        <v>0</v>
      </c>
    </row>
    <row r="434" spans="1:122" ht="15">
      <c r="A434" s="30" t="s">
        <v>80</v>
      </c>
      <c r="B434" s="116">
        <f t="shared" si="82"/>
        <v>0</v>
      </c>
      <c r="C434" s="49"/>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53">
        <f t="shared" si="83"/>
        <v>0</v>
      </c>
    </row>
    <row r="435" spans="1:122" ht="15">
      <c r="A435" s="30" t="s">
        <v>81</v>
      </c>
      <c r="B435" s="119">
        <f t="shared" si="82"/>
        <v>0</v>
      </c>
      <c r="C435" s="49"/>
      <c r="D435" s="53"/>
      <c r="E435" s="53"/>
      <c r="F435" s="53"/>
      <c r="G435" s="18"/>
      <c r="H435" s="18"/>
      <c r="I435" s="18"/>
      <c r="J435" s="57"/>
      <c r="K435" s="57"/>
      <c r="L435" s="53"/>
      <c r="M435" s="53"/>
      <c r="N435" s="53"/>
      <c r="O435" s="53"/>
      <c r="P435" s="53"/>
      <c r="Q435" s="53"/>
      <c r="R435" s="53"/>
      <c r="S435" s="53"/>
      <c r="T435" s="53"/>
      <c r="U435" s="53"/>
      <c r="V435" s="53"/>
      <c r="W435" s="1002" t="s">
        <v>112</v>
      </c>
      <c r="X435" s="1002" t="s">
        <v>112</v>
      </c>
      <c r="Y435" s="1002" t="s">
        <v>112</v>
      </c>
      <c r="Z435" s="1002" t="s">
        <v>112</v>
      </c>
      <c r="AA435" s="1002" t="s">
        <v>112</v>
      </c>
      <c r="AB435" s="1002" t="s">
        <v>112</v>
      </c>
      <c r="AC435" s="1002" t="s">
        <v>112</v>
      </c>
      <c r="AD435" s="1002" t="s">
        <v>112</v>
      </c>
      <c r="AE435" s="1002" t="s">
        <v>112</v>
      </c>
      <c r="AF435" s="1002" t="s">
        <v>112</v>
      </c>
      <c r="AG435" s="1002" t="s">
        <v>112</v>
      </c>
      <c r="AH435" s="53">
        <f t="shared" si="83"/>
        <v>0</v>
      </c>
    </row>
    <row r="436" spans="1:122" s="115" customFormat="1" ht="15">
      <c r="A436" s="117" t="s">
        <v>82</v>
      </c>
      <c r="B436" s="119">
        <f t="shared" si="82"/>
        <v>0</v>
      </c>
      <c r="C436" s="1002" t="s">
        <v>1355</v>
      </c>
      <c r="D436" s="1002" t="s">
        <v>112</v>
      </c>
      <c r="E436" s="1002" t="s">
        <v>112</v>
      </c>
      <c r="F436" s="1002" t="s">
        <v>112</v>
      </c>
      <c r="G436" s="1002" t="s">
        <v>112</v>
      </c>
      <c r="H436" s="1002" t="s">
        <v>112</v>
      </c>
      <c r="I436" s="1002" t="s">
        <v>112</v>
      </c>
      <c r="J436" s="1002" t="s">
        <v>112</v>
      </c>
      <c r="K436" s="1002" t="s">
        <v>112</v>
      </c>
      <c r="L436" s="1002" t="s">
        <v>112</v>
      </c>
      <c r="M436" s="1002" t="s">
        <v>112</v>
      </c>
      <c r="N436" s="1002" t="s">
        <v>112</v>
      </c>
      <c r="O436" s="1002" t="s">
        <v>112</v>
      </c>
      <c r="P436" s="1002" t="s">
        <v>112</v>
      </c>
      <c r="Q436" s="1002" t="s">
        <v>112</v>
      </c>
      <c r="R436" s="1002" t="s">
        <v>112</v>
      </c>
      <c r="S436" s="1002" t="s">
        <v>112</v>
      </c>
      <c r="T436" s="1002" t="s">
        <v>112</v>
      </c>
      <c r="U436" s="1002" t="s">
        <v>112</v>
      </c>
      <c r="V436" s="1002" t="s">
        <v>112</v>
      </c>
      <c r="W436" s="1002" t="s">
        <v>112</v>
      </c>
      <c r="X436" s="1002" t="s">
        <v>112</v>
      </c>
      <c r="Y436" s="1002" t="s">
        <v>112</v>
      </c>
      <c r="Z436" s="1002" t="s">
        <v>112</v>
      </c>
      <c r="AA436" s="1002" t="s">
        <v>112</v>
      </c>
      <c r="AB436" s="1002" t="s">
        <v>112</v>
      </c>
      <c r="AC436" s="1002" t="s">
        <v>112</v>
      </c>
      <c r="AD436" s="1002" t="s">
        <v>112</v>
      </c>
      <c r="AE436" s="1002" t="s">
        <v>112</v>
      </c>
      <c r="AF436" s="1002" t="s">
        <v>112</v>
      </c>
      <c r="AG436" s="1002" t="s">
        <v>112</v>
      </c>
      <c r="AH436" s="118">
        <f t="shared" si="83"/>
        <v>0</v>
      </c>
    </row>
    <row r="437" spans="1:122" ht="15">
      <c r="A437" s="30" t="s">
        <v>83</v>
      </c>
      <c r="B437" s="119">
        <f t="shared" si="82"/>
        <v>0</v>
      </c>
      <c r="C437" s="46"/>
      <c r="D437" s="53"/>
      <c r="E437" s="53"/>
      <c r="F437" s="53"/>
      <c r="G437" s="53"/>
      <c r="H437" s="53"/>
      <c r="I437" s="53"/>
      <c r="J437" s="57"/>
      <c r="K437" s="57"/>
      <c r="L437" s="18"/>
      <c r="M437" s="18"/>
      <c r="N437" s="18"/>
      <c r="O437" s="18"/>
      <c r="P437" s="18"/>
      <c r="Q437" s="1002" t="s">
        <v>112</v>
      </c>
      <c r="R437" s="1002" t="s">
        <v>112</v>
      </c>
      <c r="S437" s="1002" t="s">
        <v>112</v>
      </c>
      <c r="T437" s="1002" t="s">
        <v>112</v>
      </c>
      <c r="U437" s="1002" t="s">
        <v>112</v>
      </c>
      <c r="V437" s="1002" t="s">
        <v>112</v>
      </c>
      <c r="W437" s="1002" t="s">
        <v>112</v>
      </c>
      <c r="X437" s="1002" t="s">
        <v>112</v>
      </c>
      <c r="Y437" s="1002" t="s">
        <v>112</v>
      </c>
      <c r="Z437" s="1002" t="s">
        <v>112</v>
      </c>
      <c r="AA437" s="1002" t="s">
        <v>112</v>
      </c>
      <c r="AB437" s="1002" t="s">
        <v>112</v>
      </c>
      <c r="AC437" s="1002" t="s">
        <v>112</v>
      </c>
      <c r="AD437" s="1002" t="s">
        <v>112</v>
      </c>
      <c r="AE437" s="1002" t="s">
        <v>112</v>
      </c>
      <c r="AF437" s="1002" t="s">
        <v>112</v>
      </c>
      <c r="AG437" s="1002" t="s">
        <v>112</v>
      </c>
      <c r="AH437" s="53">
        <f t="shared" si="83"/>
        <v>0</v>
      </c>
    </row>
    <row r="438" spans="1:122" ht="15">
      <c r="A438" s="30" t="s">
        <v>84</v>
      </c>
      <c r="B438" s="119">
        <f t="shared" si="82"/>
        <v>0</v>
      </c>
      <c r="C438" s="1002" t="s">
        <v>112</v>
      </c>
      <c r="D438" s="1002" t="s">
        <v>112</v>
      </c>
      <c r="E438" s="1002" t="s">
        <v>112</v>
      </c>
      <c r="F438" s="1002" t="s">
        <v>112</v>
      </c>
      <c r="G438" s="1002" t="s">
        <v>112</v>
      </c>
      <c r="H438" s="1002" t="s">
        <v>112</v>
      </c>
      <c r="I438" s="1002" t="s">
        <v>112</v>
      </c>
      <c r="J438" s="1002" t="s">
        <v>112</v>
      </c>
      <c r="K438" s="1002" t="s">
        <v>112</v>
      </c>
      <c r="L438" s="1002" t="s">
        <v>112</v>
      </c>
      <c r="M438" s="1002" t="s">
        <v>112</v>
      </c>
      <c r="N438" s="1002" t="s">
        <v>112</v>
      </c>
      <c r="O438" s="1002" t="s">
        <v>112</v>
      </c>
      <c r="P438" s="1002" t="s">
        <v>112</v>
      </c>
      <c r="Q438" s="1002" t="s">
        <v>112</v>
      </c>
      <c r="R438" s="1002" t="s">
        <v>112</v>
      </c>
      <c r="S438" s="1002" t="s">
        <v>112</v>
      </c>
      <c r="T438" s="1002" t="s">
        <v>112</v>
      </c>
      <c r="U438" s="1002" t="s">
        <v>112</v>
      </c>
      <c r="V438" s="1002" t="s">
        <v>112</v>
      </c>
      <c r="W438" s="1002" t="s">
        <v>112</v>
      </c>
      <c r="X438" s="1002" t="s">
        <v>112</v>
      </c>
      <c r="Y438" s="1002" t="s">
        <v>112</v>
      </c>
      <c r="Z438" s="1002" t="s">
        <v>112</v>
      </c>
      <c r="AA438" s="1002" t="s">
        <v>112</v>
      </c>
      <c r="AB438" s="1002" t="s">
        <v>112</v>
      </c>
      <c r="AC438" s="1002" t="s">
        <v>112</v>
      </c>
      <c r="AD438" s="1002" t="s">
        <v>112</v>
      </c>
      <c r="AE438" s="1002" t="s">
        <v>112</v>
      </c>
      <c r="AF438" s="1002" t="s">
        <v>112</v>
      </c>
      <c r="AG438" s="1002" t="s">
        <v>112</v>
      </c>
      <c r="AH438" s="53">
        <f t="shared" si="83"/>
        <v>0</v>
      </c>
    </row>
    <row r="439" spans="1:122" ht="15">
      <c r="A439" s="30" t="s">
        <v>85</v>
      </c>
      <c r="B439" s="28">
        <f t="shared" si="82"/>
        <v>0</v>
      </c>
      <c r="C439" s="1002" t="s">
        <v>112</v>
      </c>
      <c r="D439" s="1002" t="s">
        <v>112</v>
      </c>
      <c r="E439" s="1002" t="s">
        <v>112</v>
      </c>
      <c r="F439" s="1002" t="s">
        <v>112</v>
      </c>
      <c r="G439" s="1002" t="s">
        <v>112</v>
      </c>
      <c r="H439" s="1002" t="s">
        <v>112</v>
      </c>
      <c r="I439" s="1002" t="s">
        <v>112</v>
      </c>
      <c r="J439" s="1002" t="s">
        <v>112</v>
      </c>
      <c r="K439" s="1002" t="s">
        <v>112</v>
      </c>
      <c r="L439" s="1002" t="s">
        <v>112</v>
      </c>
      <c r="M439" s="1002" t="s">
        <v>112</v>
      </c>
      <c r="N439" s="1002" t="s">
        <v>112</v>
      </c>
      <c r="O439" s="1002" t="s">
        <v>112</v>
      </c>
      <c r="P439" s="1002" t="s">
        <v>112</v>
      </c>
      <c r="Q439" s="1002" t="s">
        <v>112</v>
      </c>
      <c r="R439" s="18"/>
      <c r="S439" s="18"/>
      <c r="T439" s="18"/>
      <c r="U439" s="18"/>
      <c r="V439" s="18"/>
      <c r="W439" s="18"/>
      <c r="X439" s="18"/>
      <c r="Y439" s="11"/>
      <c r="Z439" s="18"/>
      <c r="AA439" s="18"/>
      <c r="AB439" s="18"/>
      <c r="AC439" s="18"/>
      <c r="AD439" s="18"/>
      <c r="AE439" s="53"/>
      <c r="AF439" s="18"/>
      <c r="AG439" s="53"/>
      <c r="AH439" s="53">
        <f t="shared" si="83"/>
        <v>0</v>
      </c>
    </row>
    <row r="440" spans="1:122" ht="15">
      <c r="A440" s="30" t="s">
        <v>86</v>
      </c>
      <c r="B440" s="28">
        <f t="shared" si="82"/>
        <v>0</v>
      </c>
      <c r="C440" s="49"/>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53"/>
      <c r="AF440" s="18"/>
      <c r="AG440" s="53"/>
      <c r="AH440" s="53">
        <f t="shared" si="83"/>
        <v>0</v>
      </c>
    </row>
    <row r="441" spans="1:122" ht="15">
      <c r="A441" s="88" t="s">
        <v>74</v>
      </c>
      <c r="B441" s="91">
        <f>SUM(B429:B440)</f>
        <v>111.82599999999999</v>
      </c>
      <c r="C441" s="46">
        <f>SUM(C429:C439)</f>
        <v>9.02</v>
      </c>
      <c r="D441" s="53">
        <f>SUM(D429:D439)</f>
        <v>0</v>
      </c>
      <c r="E441" s="53">
        <v>0</v>
      </c>
      <c r="F441" s="53">
        <f t="shared" ref="F441:AC441" si="84">SUM(F429:F439)</f>
        <v>0</v>
      </c>
      <c r="G441" s="53">
        <f t="shared" si="84"/>
        <v>13.3</v>
      </c>
      <c r="H441" s="53">
        <f t="shared" si="84"/>
        <v>0</v>
      </c>
      <c r="I441" s="53">
        <f t="shared" si="84"/>
        <v>30.259</v>
      </c>
      <c r="J441" s="53">
        <f t="shared" si="84"/>
        <v>0</v>
      </c>
      <c r="K441" s="53">
        <f t="shared" si="84"/>
        <v>2.363</v>
      </c>
      <c r="L441" s="53">
        <f t="shared" si="84"/>
        <v>0</v>
      </c>
      <c r="M441" s="53">
        <f t="shared" si="84"/>
        <v>22.391999999999999</v>
      </c>
      <c r="N441" s="53">
        <f t="shared" si="84"/>
        <v>0</v>
      </c>
      <c r="O441" s="53">
        <f t="shared" si="84"/>
        <v>0</v>
      </c>
      <c r="P441" s="53">
        <f t="shared" si="84"/>
        <v>0</v>
      </c>
      <c r="Q441" s="53">
        <f t="shared" si="84"/>
        <v>0</v>
      </c>
      <c r="R441" s="53">
        <f t="shared" si="84"/>
        <v>0</v>
      </c>
      <c r="S441" s="53">
        <f t="shared" si="84"/>
        <v>0</v>
      </c>
      <c r="T441" s="53">
        <f t="shared" si="84"/>
        <v>0</v>
      </c>
      <c r="U441" s="53">
        <f t="shared" si="84"/>
        <v>0</v>
      </c>
      <c r="V441" s="53">
        <f t="shared" si="84"/>
        <v>0</v>
      </c>
      <c r="W441" s="53">
        <f t="shared" si="84"/>
        <v>7.1319999999999997</v>
      </c>
      <c r="X441" s="53">
        <f t="shared" si="84"/>
        <v>0</v>
      </c>
      <c r="Y441" s="53">
        <f t="shared" si="84"/>
        <v>22.954999999999998</v>
      </c>
      <c r="Z441" s="53">
        <f t="shared" si="84"/>
        <v>0</v>
      </c>
      <c r="AA441" s="53">
        <f t="shared" si="84"/>
        <v>0</v>
      </c>
      <c r="AB441" s="53">
        <f t="shared" si="84"/>
        <v>0</v>
      </c>
      <c r="AC441" s="53">
        <f t="shared" si="84"/>
        <v>4.4050000000000002</v>
      </c>
      <c r="AD441" s="53">
        <v>0</v>
      </c>
      <c r="AE441" s="53">
        <f>SUM(AE429:AE439)</f>
        <v>0</v>
      </c>
      <c r="AF441" s="53">
        <f>SUM(AF429:AF439)</f>
        <v>0</v>
      </c>
      <c r="AG441" s="53">
        <f>SUM(AG429:AG439)</f>
        <v>0</v>
      </c>
      <c r="AH441" s="46">
        <f>SUM(AH429:AH439)</f>
        <v>111.82599999999999</v>
      </c>
    </row>
    <row r="442" spans="1:122" ht="5.0999999999999996" customHeight="1">
      <c r="A442" s="14"/>
      <c r="B442" s="70"/>
      <c r="C442" s="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
    </row>
    <row r="443" spans="1:122" ht="20.25">
      <c r="A443" s="3624" t="s">
        <v>530</v>
      </c>
      <c r="B443" s="3625"/>
      <c r="C443" s="3625"/>
      <c r="D443" s="3625"/>
      <c r="E443" s="3625"/>
      <c r="F443" s="3625"/>
      <c r="G443" s="3625"/>
      <c r="H443" s="3625"/>
      <c r="I443" s="3625"/>
      <c r="J443" s="3625"/>
      <c r="K443" s="3625"/>
      <c r="L443" s="3625"/>
      <c r="M443" s="3625"/>
      <c r="N443" s="3625"/>
      <c r="O443" s="3625"/>
      <c r="P443" s="11"/>
      <c r="Q443" s="11"/>
      <c r="R443" s="11"/>
      <c r="S443" s="11"/>
      <c r="T443" s="11"/>
      <c r="U443" s="11"/>
      <c r="V443" s="11"/>
      <c r="W443" s="11"/>
      <c r="X443" s="11"/>
      <c r="Y443" s="11"/>
      <c r="Z443" s="11"/>
      <c r="AA443" s="11"/>
      <c r="AB443" s="11"/>
      <c r="AC443" s="11"/>
      <c r="AD443" s="11"/>
      <c r="AE443" s="11"/>
      <c r="AF443" s="11"/>
      <c r="AG443" s="11"/>
      <c r="AH443" s="11"/>
    </row>
    <row r="444" spans="1:122" ht="15">
      <c r="A444" s="5" t="s">
        <v>91</v>
      </c>
      <c r="B444" s="71" t="s">
        <v>73</v>
      </c>
      <c r="C444" s="1233">
        <v>1</v>
      </c>
      <c r="D444" s="30">
        <v>2</v>
      </c>
      <c r="E444" s="30">
        <v>3</v>
      </c>
      <c r="F444" s="30">
        <v>4</v>
      </c>
      <c r="G444" s="30">
        <v>5</v>
      </c>
      <c r="H444" s="30">
        <v>6</v>
      </c>
      <c r="I444" s="30">
        <v>7</v>
      </c>
      <c r="J444" s="30">
        <v>8</v>
      </c>
      <c r="K444" s="30">
        <v>9</v>
      </c>
      <c r="L444" s="30">
        <v>10</v>
      </c>
      <c r="M444" s="30">
        <v>11</v>
      </c>
      <c r="N444" s="30">
        <v>12</v>
      </c>
      <c r="O444" s="30">
        <v>13</v>
      </c>
      <c r="P444" s="30">
        <v>14</v>
      </c>
      <c r="Q444" s="30">
        <v>15</v>
      </c>
      <c r="R444" s="30">
        <v>16</v>
      </c>
      <c r="S444" s="30">
        <v>17</v>
      </c>
      <c r="T444" s="30">
        <v>18</v>
      </c>
      <c r="U444" s="30">
        <v>19</v>
      </c>
      <c r="V444" s="30">
        <v>20</v>
      </c>
      <c r="W444" s="30">
        <v>21</v>
      </c>
      <c r="X444" s="30">
        <v>22</v>
      </c>
      <c r="Y444" s="30">
        <v>23</v>
      </c>
      <c r="Z444" s="30">
        <v>24</v>
      </c>
      <c r="AA444" s="30">
        <v>25</v>
      </c>
      <c r="AB444" s="30">
        <v>26</v>
      </c>
      <c r="AC444" s="30">
        <v>27</v>
      </c>
      <c r="AD444" s="30">
        <v>28</v>
      </c>
      <c r="AE444" s="30">
        <v>29</v>
      </c>
      <c r="AF444" s="30">
        <v>30</v>
      </c>
      <c r="AG444" s="30">
        <v>31</v>
      </c>
      <c r="AH444" s="39" t="s">
        <v>74</v>
      </c>
    </row>
    <row r="445" spans="1:122" ht="15">
      <c r="A445" s="30" t="s">
        <v>75</v>
      </c>
      <c r="B445" s="116">
        <f t="shared" ref="B445:B456" si="85">+AH445</f>
        <v>0</v>
      </c>
      <c r="C445" s="1287"/>
      <c r="D445" s="1287"/>
      <c r="E445" s="1287"/>
      <c r="F445" s="1287"/>
      <c r="G445" s="1287"/>
      <c r="H445" s="1287"/>
      <c r="I445" s="1287"/>
      <c r="J445" s="1287"/>
      <c r="K445" s="1287"/>
      <c r="L445" s="1287"/>
      <c r="M445" s="1287"/>
      <c r="N445" s="1287"/>
      <c r="O445" s="1287"/>
      <c r="P445" s="1287"/>
      <c r="Q445" s="1287"/>
      <c r="R445" s="1287"/>
      <c r="S445" s="1287"/>
      <c r="T445" s="1287"/>
      <c r="U445" s="1287"/>
      <c r="V445" s="1287"/>
      <c r="W445" s="1287"/>
      <c r="X445" s="1287"/>
      <c r="Y445" s="1287"/>
      <c r="Z445" s="1287"/>
      <c r="AA445" s="1287"/>
      <c r="AB445" s="1287"/>
      <c r="AC445" s="1287"/>
      <c r="AD445" s="1287"/>
      <c r="AE445" s="1287"/>
      <c r="AF445" s="1287"/>
      <c r="AG445" s="1287"/>
      <c r="AH445" s="53">
        <f t="shared" ref="AH445:AH456" si="86">SUM(C445:AG445)</f>
        <v>0</v>
      </c>
    </row>
    <row r="446" spans="1:122" ht="15">
      <c r="A446" s="30" t="s">
        <v>76</v>
      </c>
      <c r="B446" s="116">
        <f t="shared" si="85"/>
        <v>0</v>
      </c>
      <c r="C446" s="1287"/>
      <c r="D446" s="1287"/>
      <c r="E446" s="1287"/>
      <c r="F446" s="1287"/>
      <c r="G446" s="1287"/>
      <c r="H446" s="1287"/>
      <c r="I446" s="1287"/>
      <c r="J446" s="1287"/>
      <c r="K446" s="1287"/>
      <c r="L446" s="1287"/>
      <c r="M446" s="1287"/>
      <c r="N446" s="1287"/>
      <c r="O446" s="1287"/>
      <c r="P446" s="1287"/>
      <c r="Q446" s="1287"/>
      <c r="R446" s="1287"/>
      <c r="S446" s="1287"/>
      <c r="T446" s="1287"/>
      <c r="U446" s="1287"/>
      <c r="V446" s="1287"/>
      <c r="W446" s="1287"/>
      <c r="X446" s="1287"/>
      <c r="Y446" s="1287"/>
      <c r="Z446" s="1287"/>
      <c r="AA446" s="1287"/>
      <c r="AB446" s="1287"/>
      <c r="AC446" s="1287"/>
      <c r="AD446" s="1287"/>
      <c r="AE446" s="1287"/>
      <c r="AF446" s="1287"/>
      <c r="AG446" s="1287"/>
      <c r="AH446" s="53">
        <f t="shared" si="86"/>
        <v>0</v>
      </c>
    </row>
    <row r="447" spans="1:122" ht="15">
      <c r="A447" s="30" t="s">
        <v>77</v>
      </c>
      <c r="B447" s="116">
        <f t="shared" si="85"/>
        <v>0</v>
      </c>
      <c r="C447" s="1930"/>
      <c r="D447" s="1930"/>
      <c r="E447" s="1930"/>
      <c r="F447" s="1930"/>
      <c r="G447" s="1930"/>
      <c r="H447" s="1287"/>
      <c r="I447" s="1287"/>
      <c r="J447" s="1287"/>
      <c r="K447" s="1287"/>
      <c r="L447" s="1287"/>
      <c r="M447" s="1287"/>
      <c r="N447" s="1287"/>
      <c r="O447" s="1287"/>
      <c r="P447" s="1287"/>
      <c r="Q447" s="1280"/>
      <c r="R447" s="1280"/>
      <c r="S447" s="1280"/>
      <c r="T447" s="1280"/>
      <c r="U447" s="1280"/>
      <c r="V447" s="1280"/>
      <c r="W447" s="1280"/>
      <c r="X447" s="1280"/>
      <c r="Y447" s="1280"/>
      <c r="Z447" s="1280"/>
      <c r="AA447" s="1280"/>
      <c r="AB447" s="1280"/>
      <c r="AC447" s="1280"/>
      <c r="AD447" s="1280"/>
      <c r="AE447" s="1280"/>
      <c r="AF447" s="1280"/>
      <c r="AG447" s="1280"/>
      <c r="AH447" s="53">
        <f t="shared" si="86"/>
        <v>0</v>
      </c>
    </row>
    <row r="448" spans="1:122" s="105" customFormat="1" ht="15">
      <c r="A448" s="117" t="s">
        <v>78</v>
      </c>
      <c r="B448" s="116">
        <f t="shared" si="85"/>
        <v>0</v>
      </c>
      <c r="C448" s="1280"/>
      <c r="D448" s="1280"/>
      <c r="E448" s="1280"/>
      <c r="F448" s="1280"/>
      <c r="G448" s="1280"/>
      <c r="H448" s="1280"/>
      <c r="I448" s="1280"/>
      <c r="J448" s="1280"/>
      <c r="K448" s="1280"/>
      <c r="L448" s="1280"/>
      <c r="M448" s="1280"/>
      <c r="N448" s="1280"/>
      <c r="O448" s="1280"/>
      <c r="P448" s="1280"/>
      <c r="Q448" s="1280"/>
      <c r="R448" s="1280"/>
      <c r="S448" s="1280"/>
      <c r="T448" s="1280"/>
      <c r="U448" s="1280"/>
      <c r="V448" s="1280"/>
      <c r="W448" s="1280"/>
      <c r="X448" s="1280"/>
      <c r="Y448" s="1280"/>
      <c r="Z448" s="1280"/>
      <c r="AA448" s="1280"/>
      <c r="AB448" s="1280"/>
      <c r="AC448" s="1280"/>
      <c r="AD448" s="1280"/>
      <c r="AE448" s="1280"/>
      <c r="AF448" s="1280" t="s">
        <v>112</v>
      </c>
      <c r="AG448" s="1280" t="s">
        <v>112</v>
      </c>
      <c r="AH448" s="1488">
        <f t="shared" si="86"/>
        <v>0</v>
      </c>
      <c r="AI448" s="1489"/>
      <c r="AJ448" s="1489"/>
      <c r="AK448" s="1489"/>
      <c r="AL448" s="1489"/>
      <c r="AM448" s="1489"/>
      <c r="AN448" s="1489"/>
      <c r="AO448" s="1489"/>
      <c r="AP448" s="1489"/>
      <c r="AQ448" s="1489"/>
      <c r="AR448" s="1489"/>
      <c r="AS448" s="1489"/>
      <c r="AT448" s="1489"/>
      <c r="AU448" s="1489"/>
      <c r="AV448" s="1489"/>
      <c r="AW448" s="1489"/>
      <c r="AX448" s="1489"/>
      <c r="AY448" s="1489"/>
      <c r="AZ448" s="1489"/>
      <c r="BA448" s="1489"/>
      <c r="BB448" s="1489"/>
      <c r="BC448" s="1489"/>
      <c r="BD448" s="1489"/>
      <c r="BE448" s="1489"/>
      <c r="BF448" s="1489"/>
      <c r="BG448" s="1489"/>
      <c r="BH448" s="1489"/>
      <c r="BI448" s="1489"/>
      <c r="BJ448" s="1489"/>
      <c r="BK448" s="1489"/>
      <c r="BL448" s="1489"/>
      <c r="BM448" s="1489"/>
      <c r="BN448" s="1489"/>
      <c r="BO448" s="1489"/>
      <c r="BP448" s="1489"/>
      <c r="BQ448" s="1489"/>
      <c r="BR448" s="1489"/>
      <c r="BS448" s="1489"/>
      <c r="BT448" s="1489"/>
      <c r="BU448" s="1489"/>
      <c r="BV448" s="1489"/>
      <c r="BW448" s="1489"/>
      <c r="BX448" s="1489"/>
      <c r="BY448" s="1489"/>
      <c r="BZ448" s="1489"/>
      <c r="CA448" s="1489"/>
      <c r="CB448" s="1489"/>
      <c r="CC448" s="1489"/>
      <c r="CD448" s="1489"/>
      <c r="CE448" s="1489"/>
      <c r="CF448" s="1489"/>
      <c r="CG448" s="1489"/>
      <c r="CH448" s="1489"/>
      <c r="CI448" s="1489"/>
      <c r="CJ448" s="1489"/>
      <c r="CK448" s="1489"/>
      <c r="CL448" s="1489"/>
      <c r="CM448" s="1489"/>
      <c r="CN448" s="1489"/>
      <c r="CO448" s="1489"/>
      <c r="CP448" s="1489"/>
      <c r="CQ448" s="1489"/>
      <c r="CR448" s="1489"/>
      <c r="CS448" s="1489"/>
      <c r="CT448" s="1489"/>
      <c r="CU448" s="1489"/>
      <c r="CV448" s="1489"/>
      <c r="CW448" s="1489"/>
      <c r="CX448" s="1489"/>
      <c r="CY448" s="1489"/>
      <c r="CZ448" s="1489"/>
      <c r="DA448" s="1489"/>
      <c r="DB448" s="1489"/>
      <c r="DC448" s="1489"/>
      <c r="DD448" s="1489"/>
      <c r="DE448" s="1489"/>
      <c r="DF448" s="1489"/>
      <c r="DG448" s="1489"/>
      <c r="DH448" s="1489"/>
      <c r="DI448" s="1489"/>
      <c r="DJ448" s="1489"/>
      <c r="DK448" s="1489"/>
      <c r="DL448" s="1489"/>
      <c r="DM448" s="1489"/>
      <c r="DN448" s="1489"/>
      <c r="DO448" s="1489"/>
      <c r="DP448" s="1489"/>
      <c r="DQ448" s="1489"/>
      <c r="DR448" s="1489"/>
    </row>
    <row r="449" spans="1:34" ht="15">
      <c r="A449" s="30" t="s">
        <v>79</v>
      </c>
      <c r="B449" s="116">
        <f t="shared" si="85"/>
        <v>0</v>
      </c>
      <c r="C449" s="1280" t="s">
        <v>112</v>
      </c>
      <c r="D449" s="1280" t="s">
        <v>112</v>
      </c>
      <c r="E449" s="1280" t="s">
        <v>112</v>
      </c>
      <c r="F449" s="1280" t="s">
        <v>112</v>
      </c>
      <c r="G449" s="1280" t="s">
        <v>112</v>
      </c>
      <c r="H449" s="1280" t="s">
        <v>112</v>
      </c>
      <c r="I449" s="1280" t="s">
        <v>112</v>
      </c>
      <c r="J449" s="1280" t="s">
        <v>112</v>
      </c>
      <c r="K449" s="1280" t="s">
        <v>112</v>
      </c>
      <c r="L449" s="1280" t="s">
        <v>112</v>
      </c>
      <c r="M449" s="1280" t="s">
        <v>112</v>
      </c>
      <c r="N449" s="1280" t="s">
        <v>112</v>
      </c>
      <c r="O449" s="1280" t="s">
        <v>112</v>
      </c>
      <c r="P449" s="1280" t="s">
        <v>112</v>
      </c>
      <c r="Q449" s="1280" t="s">
        <v>112</v>
      </c>
      <c r="R449" s="1287"/>
      <c r="S449" s="1287"/>
      <c r="T449" s="1287"/>
      <c r="U449" s="1287"/>
      <c r="V449" s="1287"/>
      <c r="W449" s="1287"/>
      <c r="X449" s="1287"/>
      <c r="Y449" s="1287"/>
      <c r="Z449" s="1287"/>
      <c r="AA449" s="1287"/>
      <c r="AB449" s="1287"/>
      <c r="AC449" s="1287"/>
      <c r="AD449" s="1287"/>
      <c r="AE449" s="1287"/>
      <c r="AF449" s="1287"/>
      <c r="AG449" s="1287"/>
      <c r="AH449" s="53">
        <f t="shared" si="86"/>
        <v>0</v>
      </c>
    </row>
    <row r="450" spans="1:34" ht="15">
      <c r="A450" s="30" t="s">
        <v>80</v>
      </c>
      <c r="B450" s="116">
        <f t="shared" si="85"/>
        <v>0</v>
      </c>
      <c r="C450" s="49"/>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53">
        <f t="shared" si="86"/>
        <v>0</v>
      </c>
    </row>
    <row r="451" spans="1:34" ht="15">
      <c r="A451" s="30" t="s">
        <v>81</v>
      </c>
      <c r="B451" s="119">
        <f t="shared" si="85"/>
        <v>0</v>
      </c>
      <c r="C451" s="49"/>
      <c r="D451" s="53"/>
      <c r="E451" s="53"/>
      <c r="F451" s="53"/>
      <c r="G451" s="18"/>
      <c r="H451" s="18"/>
      <c r="I451" s="18"/>
      <c r="J451" s="57"/>
      <c r="K451" s="57"/>
      <c r="L451" s="53"/>
      <c r="M451" s="53"/>
      <c r="N451" s="53"/>
      <c r="O451" s="53"/>
      <c r="P451" s="53"/>
      <c r="Q451" s="53"/>
      <c r="R451" s="53"/>
      <c r="S451" s="53"/>
      <c r="T451" s="53"/>
      <c r="U451" s="53"/>
      <c r="V451" s="53"/>
      <c r="W451" s="1002" t="s">
        <v>112</v>
      </c>
      <c r="X451" s="1002" t="s">
        <v>112</v>
      </c>
      <c r="Y451" s="1002" t="s">
        <v>112</v>
      </c>
      <c r="Z451" s="1002" t="s">
        <v>112</v>
      </c>
      <c r="AA451" s="1002" t="s">
        <v>112</v>
      </c>
      <c r="AB451" s="1002" t="s">
        <v>112</v>
      </c>
      <c r="AC451" s="1002" t="s">
        <v>112</v>
      </c>
      <c r="AD451" s="1002" t="s">
        <v>112</v>
      </c>
      <c r="AE451" s="1002" t="s">
        <v>112</v>
      </c>
      <c r="AF451" s="1002" t="s">
        <v>112</v>
      </c>
      <c r="AG451" s="1002" t="s">
        <v>112</v>
      </c>
      <c r="AH451" s="53">
        <f t="shared" si="86"/>
        <v>0</v>
      </c>
    </row>
    <row r="452" spans="1:34" ht="15">
      <c r="A452" s="30" t="s">
        <v>82</v>
      </c>
      <c r="B452" s="119">
        <f t="shared" si="85"/>
        <v>0</v>
      </c>
      <c r="C452" s="1002" t="s">
        <v>112</v>
      </c>
      <c r="D452" s="1002" t="s">
        <v>112</v>
      </c>
      <c r="E452" s="1002" t="s">
        <v>112</v>
      </c>
      <c r="F452" s="1002" t="s">
        <v>112</v>
      </c>
      <c r="G452" s="1002" t="s">
        <v>112</v>
      </c>
      <c r="H452" s="1002" t="s">
        <v>112</v>
      </c>
      <c r="I452" s="1002" t="s">
        <v>112</v>
      </c>
      <c r="J452" s="1002" t="s">
        <v>112</v>
      </c>
      <c r="K452" s="1002" t="s">
        <v>112</v>
      </c>
      <c r="L452" s="1002" t="s">
        <v>112</v>
      </c>
      <c r="M452" s="1002" t="s">
        <v>112</v>
      </c>
      <c r="N452" s="1002" t="s">
        <v>112</v>
      </c>
      <c r="O452" s="1002" t="s">
        <v>112</v>
      </c>
      <c r="P452" s="1002" t="s">
        <v>112</v>
      </c>
      <c r="Q452" s="1002" t="s">
        <v>112</v>
      </c>
      <c r="R452" s="1002" t="s">
        <v>112</v>
      </c>
      <c r="S452" s="1002" t="s">
        <v>112</v>
      </c>
      <c r="T452" s="1002" t="s">
        <v>112</v>
      </c>
      <c r="U452" s="1002" t="s">
        <v>112</v>
      </c>
      <c r="V452" s="1002" t="s">
        <v>112</v>
      </c>
      <c r="W452" s="1002" t="s">
        <v>112</v>
      </c>
      <c r="X452" s="1002" t="s">
        <v>112</v>
      </c>
      <c r="Y452" s="1002" t="s">
        <v>112</v>
      </c>
      <c r="Z452" s="1002" t="s">
        <v>112</v>
      </c>
      <c r="AA452" s="1002" t="s">
        <v>112</v>
      </c>
      <c r="AB452" s="1002" t="s">
        <v>112</v>
      </c>
      <c r="AC452" s="1002" t="s">
        <v>112</v>
      </c>
      <c r="AD452" s="1002" t="s">
        <v>112</v>
      </c>
      <c r="AE452" s="1002" t="s">
        <v>112</v>
      </c>
      <c r="AF452" s="1002" t="s">
        <v>112</v>
      </c>
      <c r="AG452" s="1002" t="s">
        <v>112</v>
      </c>
      <c r="AH452" s="53">
        <f t="shared" si="86"/>
        <v>0</v>
      </c>
    </row>
    <row r="453" spans="1:34" ht="15">
      <c r="A453" s="30" t="s">
        <v>83</v>
      </c>
      <c r="B453" s="119">
        <f t="shared" si="85"/>
        <v>0</v>
      </c>
      <c r="C453" s="46"/>
      <c r="D453" s="53"/>
      <c r="E453" s="53"/>
      <c r="F453" s="53"/>
      <c r="G453" s="53"/>
      <c r="H453" s="53"/>
      <c r="I453" s="53"/>
      <c r="J453" s="57"/>
      <c r="K453" s="57"/>
      <c r="L453" s="18"/>
      <c r="M453" s="18"/>
      <c r="N453" s="18"/>
      <c r="O453" s="18"/>
      <c r="P453" s="18"/>
      <c r="Q453" s="1002" t="s">
        <v>112</v>
      </c>
      <c r="R453" s="1002" t="s">
        <v>112</v>
      </c>
      <c r="S453" s="1002" t="s">
        <v>112</v>
      </c>
      <c r="T453" s="1002" t="s">
        <v>112</v>
      </c>
      <c r="U453" s="1002" t="s">
        <v>112</v>
      </c>
      <c r="V453" s="1002" t="s">
        <v>112</v>
      </c>
      <c r="W453" s="1002" t="s">
        <v>112</v>
      </c>
      <c r="X453" s="1002" t="s">
        <v>112</v>
      </c>
      <c r="Y453" s="1002" t="s">
        <v>112</v>
      </c>
      <c r="Z453" s="1002" t="s">
        <v>112</v>
      </c>
      <c r="AA453" s="1002" t="s">
        <v>112</v>
      </c>
      <c r="AB453" s="1002" t="s">
        <v>112</v>
      </c>
      <c r="AC453" s="1002" t="s">
        <v>112</v>
      </c>
      <c r="AD453" s="1002" t="s">
        <v>112</v>
      </c>
      <c r="AE453" s="1002" t="s">
        <v>112</v>
      </c>
      <c r="AF453" s="1002" t="s">
        <v>112</v>
      </c>
      <c r="AG453" s="1002" t="s">
        <v>112</v>
      </c>
      <c r="AH453" s="53">
        <f t="shared" si="86"/>
        <v>0</v>
      </c>
    </row>
    <row r="454" spans="1:34" ht="15">
      <c r="A454" s="30" t="s">
        <v>84</v>
      </c>
      <c r="B454" s="119">
        <f t="shared" si="85"/>
        <v>0</v>
      </c>
      <c r="C454" s="49"/>
      <c r="D454" s="1002" t="s">
        <v>112</v>
      </c>
      <c r="E454" s="1002" t="s">
        <v>112</v>
      </c>
      <c r="F454" s="1002" t="s">
        <v>112</v>
      </c>
      <c r="G454" s="1002" t="s">
        <v>112</v>
      </c>
      <c r="H454" s="1002" t="s">
        <v>112</v>
      </c>
      <c r="I454" s="1002" t="s">
        <v>112</v>
      </c>
      <c r="J454" s="1002" t="s">
        <v>112</v>
      </c>
      <c r="K454" s="1002" t="s">
        <v>112</v>
      </c>
      <c r="L454" s="1002" t="s">
        <v>112</v>
      </c>
      <c r="M454" s="1002" t="s">
        <v>112</v>
      </c>
      <c r="N454" s="1002" t="s">
        <v>112</v>
      </c>
      <c r="O454" s="1002" t="s">
        <v>112</v>
      </c>
      <c r="P454" s="1002" t="s">
        <v>112</v>
      </c>
      <c r="Q454" s="1002" t="s">
        <v>112</v>
      </c>
      <c r="R454" s="1002" t="s">
        <v>112</v>
      </c>
      <c r="S454" s="1002" t="s">
        <v>112</v>
      </c>
      <c r="T454" s="1002" t="s">
        <v>112</v>
      </c>
      <c r="U454" s="1002" t="s">
        <v>112</v>
      </c>
      <c r="V454" s="1002" t="s">
        <v>112</v>
      </c>
      <c r="W454" s="1002" t="s">
        <v>112</v>
      </c>
      <c r="X454" s="1002" t="s">
        <v>112</v>
      </c>
      <c r="Y454" s="1002" t="s">
        <v>112</v>
      </c>
      <c r="Z454" s="1002" t="s">
        <v>112</v>
      </c>
      <c r="AA454" s="1002" t="s">
        <v>112</v>
      </c>
      <c r="AB454" s="1002" t="s">
        <v>112</v>
      </c>
      <c r="AC454" s="1002" t="s">
        <v>112</v>
      </c>
      <c r="AD454" s="1002" t="s">
        <v>112</v>
      </c>
      <c r="AE454" s="1002" t="s">
        <v>112</v>
      </c>
      <c r="AF454" s="1002" t="s">
        <v>112</v>
      </c>
      <c r="AG454" s="1002" t="s">
        <v>112</v>
      </c>
      <c r="AH454" s="53">
        <f t="shared" si="86"/>
        <v>0</v>
      </c>
    </row>
    <row r="455" spans="1:34" ht="15">
      <c r="A455" s="30" t="s">
        <v>85</v>
      </c>
      <c r="B455" s="28">
        <f t="shared" si="85"/>
        <v>0</v>
      </c>
      <c r="C455" s="81" t="s">
        <v>112</v>
      </c>
      <c r="D455" s="81" t="s">
        <v>112</v>
      </c>
      <c r="E455" s="81" t="s">
        <v>112</v>
      </c>
      <c r="F455" s="81" t="s">
        <v>112</v>
      </c>
      <c r="G455" s="81" t="s">
        <v>112</v>
      </c>
      <c r="H455" s="81" t="s">
        <v>112</v>
      </c>
      <c r="I455" s="81" t="s">
        <v>112</v>
      </c>
      <c r="J455" s="81" t="s">
        <v>112</v>
      </c>
      <c r="K455" s="81" t="s">
        <v>112</v>
      </c>
      <c r="L455" s="81" t="s">
        <v>112</v>
      </c>
      <c r="M455" s="81" t="s">
        <v>112</v>
      </c>
      <c r="N455" s="81" t="s">
        <v>112</v>
      </c>
      <c r="O455" s="81" t="s">
        <v>112</v>
      </c>
      <c r="P455" s="81" t="s">
        <v>112</v>
      </c>
      <c r="Q455" s="81" t="s">
        <v>112</v>
      </c>
      <c r="R455" s="18"/>
      <c r="S455" s="18"/>
      <c r="T455" s="18"/>
      <c r="U455" s="18"/>
      <c r="V455" s="18"/>
      <c r="W455" s="18"/>
      <c r="X455" s="18"/>
      <c r="Y455" s="11"/>
      <c r="Z455" s="18"/>
      <c r="AA455" s="18"/>
      <c r="AB455" s="18"/>
      <c r="AC455" s="18"/>
      <c r="AD455" s="18"/>
      <c r="AE455" s="53"/>
      <c r="AF455" s="18"/>
      <c r="AG455" s="53"/>
      <c r="AH455" s="53">
        <f t="shared" si="86"/>
        <v>0</v>
      </c>
    </row>
    <row r="456" spans="1:34" ht="15">
      <c r="A456" s="30" t="s">
        <v>86</v>
      </c>
      <c r="B456" s="28">
        <f t="shared" si="85"/>
        <v>0</v>
      </c>
      <c r="C456" s="49"/>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53"/>
      <c r="AF456" s="18"/>
      <c r="AG456" s="53"/>
      <c r="AH456" s="53">
        <f t="shared" si="86"/>
        <v>0</v>
      </c>
    </row>
    <row r="457" spans="1:34" ht="15">
      <c r="A457" s="88" t="s">
        <v>74</v>
      </c>
      <c r="B457" s="90">
        <f>SUM(B445:B456)</f>
        <v>0</v>
      </c>
      <c r="C457" s="46">
        <f>SUM(C445:C455)</f>
        <v>0</v>
      </c>
      <c r="D457" s="53">
        <f>SUM(D445:D455)</f>
        <v>0</v>
      </c>
      <c r="E457" s="53">
        <v>0</v>
      </c>
      <c r="F457" s="53">
        <f t="shared" ref="F457:AC457" si="87">SUM(F445:F455)</f>
        <v>0</v>
      </c>
      <c r="G457" s="53">
        <f t="shared" si="87"/>
        <v>0</v>
      </c>
      <c r="H457" s="53">
        <f t="shared" si="87"/>
        <v>0</v>
      </c>
      <c r="I457" s="53">
        <f t="shared" si="87"/>
        <v>0</v>
      </c>
      <c r="J457" s="53">
        <f t="shared" si="87"/>
        <v>0</v>
      </c>
      <c r="K457" s="53">
        <f t="shared" si="87"/>
        <v>0</v>
      </c>
      <c r="L457" s="53">
        <f t="shared" si="87"/>
        <v>0</v>
      </c>
      <c r="M457" s="53">
        <f t="shared" si="87"/>
        <v>0</v>
      </c>
      <c r="N457" s="53">
        <f t="shared" si="87"/>
        <v>0</v>
      </c>
      <c r="O457" s="53">
        <f t="shared" si="87"/>
        <v>0</v>
      </c>
      <c r="P457" s="53">
        <f t="shared" si="87"/>
        <v>0</v>
      </c>
      <c r="Q457" s="53">
        <f t="shared" si="87"/>
        <v>0</v>
      </c>
      <c r="R457" s="53">
        <f t="shared" si="87"/>
        <v>0</v>
      </c>
      <c r="S457" s="53">
        <f t="shared" si="87"/>
        <v>0</v>
      </c>
      <c r="T457" s="53">
        <f t="shared" si="87"/>
        <v>0</v>
      </c>
      <c r="U457" s="53">
        <f t="shared" si="87"/>
        <v>0</v>
      </c>
      <c r="V457" s="53">
        <f t="shared" si="87"/>
        <v>0</v>
      </c>
      <c r="W457" s="53">
        <f t="shared" si="87"/>
        <v>0</v>
      </c>
      <c r="X457" s="53">
        <f t="shared" si="87"/>
        <v>0</v>
      </c>
      <c r="Y457" s="53">
        <f t="shared" si="87"/>
        <v>0</v>
      </c>
      <c r="Z457" s="53">
        <f t="shared" si="87"/>
        <v>0</v>
      </c>
      <c r="AA457" s="53">
        <f t="shared" si="87"/>
        <v>0</v>
      </c>
      <c r="AB457" s="53">
        <f t="shared" si="87"/>
        <v>0</v>
      </c>
      <c r="AC457" s="53">
        <f t="shared" si="87"/>
        <v>0</v>
      </c>
      <c r="AD457" s="53">
        <v>0</v>
      </c>
      <c r="AE457" s="53">
        <f>SUM(AE445:AE455)</f>
        <v>0</v>
      </c>
      <c r="AF457" s="53">
        <f>SUM(AF445:AF455)</f>
        <v>0</v>
      </c>
      <c r="AG457" s="53">
        <f>SUM(AG445:AG455)</f>
        <v>0</v>
      </c>
      <c r="AH457" s="46">
        <f>SUM(AH445:AH455)</f>
        <v>0</v>
      </c>
    </row>
    <row r="458" spans="1:34" ht="5.0999999999999996" customHeight="1">
      <c r="A458" s="14"/>
      <c r="B458" s="70"/>
      <c r="C458" s="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
    </row>
    <row r="459" spans="1:34" ht="20.25">
      <c r="A459" s="3615" t="s">
        <v>99</v>
      </c>
      <c r="B459" s="3616"/>
      <c r="C459" s="3616"/>
      <c r="D459" s="3616"/>
      <c r="E459" s="3616"/>
      <c r="F459" s="3616"/>
      <c r="G459" s="3616"/>
      <c r="H459" s="3617"/>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row>
    <row r="460" spans="1:34" ht="15">
      <c r="A460" s="5" t="s">
        <v>91</v>
      </c>
      <c r="B460" s="71" t="s">
        <v>73</v>
      </c>
      <c r="C460" s="1233">
        <v>1</v>
      </c>
      <c r="D460" s="30">
        <v>2</v>
      </c>
      <c r="E460" s="30">
        <v>3</v>
      </c>
      <c r="F460" s="30">
        <v>4</v>
      </c>
      <c r="G460" s="30">
        <v>5</v>
      </c>
      <c r="H460" s="30">
        <v>6</v>
      </c>
      <c r="I460" s="30">
        <v>7</v>
      </c>
      <c r="J460" s="30">
        <v>8</v>
      </c>
      <c r="K460" s="30">
        <v>9</v>
      </c>
      <c r="L460" s="30">
        <v>10</v>
      </c>
      <c r="M460" s="30">
        <v>11</v>
      </c>
      <c r="N460" s="30">
        <v>12</v>
      </c>
      <c r="O460" s="30">
        <v>13</v>
      </c>
      <c r="P460" s="30">
        <v>14</v>
      </c>
      <c r="Q460" s="30">
        <v>15</v>
      </c>
      <c r="R460" s="30">
        <v>16</v>
      </c>
      <c r="S460" s="30">
        <v>17</v>
      </c>
      <c r="T460" s="30">
        <v>18</v>
      </c>
      <c r="U460" s="30">
        <v>19</v>
      </c>
      <c r="V460" s="30">
        <v>20</v>
      </c>
      <c r="W460" s="30">
        <v>21</v>
      </c>
      <c r="X460" s="30">
        <v>22</v>
      </c>
      <c r="Y460" s="30">
        <v>23</v>
      </c>
      <c r="Z460" s="30">
        <v>24</v>
      </c>
      <c r="AA460" s="30">
        <v>25</v>
      </c>
      <c r="AB460" s="30">
        <v>26</v>
      </c>
      <c r="AC460" s="30">
        <v>27</v>
      </c>
      <c r="AD460" s="30">
        <v>28</v>
      </c>
      <c r="AE460" s="30">
        <v>29</v>
      </c>
      <c r="AF460" s="30">
        <v>30</v>
      </c>
      <c r="AG460" s="30">
        <v>31</v>
      </c>
      <c r="AH460" s="39" t="s">
        <v>74</v>
      </c>
    </row>
    <row r="461" spans="1:34" ht="15">
      <c r="A461" s="30" t="s">
        <v>75</v>
      </c>
      <c r="B461" s="116">
        <f t="shared" ref="B461:B472" si="88">+AH461</f>
        <v>0</v>
      </c>
      <c r="C461" s="1287"/>
      <c r="D461" s="1287"/>
      <c r="E461" s="1287"/>
      <c r="F461" s="1287"/>
      <c r="G461" s="1287"/>
      <c r="H461" s="1287"/>
      <c r="I461" s="1287"/>
      <c r="J461" s="1287"/>
      <c r="K461" s="1287"/>
      <c r="L461" s="1287"/>
      <c r="M461" s="1287"/>
      <c r="N461" s="1287"/>
      <c r="O461" s="1287"/>
      <c r="P461" s="1287"/>
      <c r="Q461" s="1287"/>
      <c r="R461" s="1287"/>
      <c r="S461" s="1287"/>
      <c r="T461" s="1287"/>
      <c r="U461" s="1287"/>
      <c r="V461" s="1287"/>
      <c r="W461" s="1287"/>
      <c r="X461" s="1287"/>
      <c r="Y461" s="1287"/>
      <c r="Z461" s="1287"/>
      <c r="AA461" s="1287"/>
      <c r="AB461" s="1287"/>
      <c r="AC461" s="1287"/>
      <c r="AD461" s="1287"/>
      <c r="AE461" s="1287"/>
      <c r="AF461" s="1287"/>
      <c r="AG461" s="1287"/>
      <c r="AH461" s="53">
        <f>SUM(C461:AG461)</f>
        <v>0</v>
      </c>
    </row>
    <row r="462" spans="1:34" ht="15">
      <c r="A462" s="30" t="s">
        <v>76</v>
      </c>
      <c r="B462" s="116">
        <f t="shared" si="88"/>
        <v>0</v>
      </c>
      <c r="C462" s="1287"/>
      <c r="D462" s="1287"/>
      <c r="E462" s="1287"/>
      <c r="F462" s="1287"/>
      <c r="G462" s="1287"/>
      <c r="H462" s="1287"/>
      <c r="I462" s="1287"/>
      <c r="J462" s="1287"/>
      <c r="K462" s="1287"/>
      <c r="L462" s="1287"/>
      <c r="M462" s="1287"/>
      <c r="N462" s="1287"/>
      <c r="O462" s="1287"/>
      <c r="P462" s="1287"/>
      <c r="Q462" s="1287"/>
      <c r="R462" s="1287"/>
      <c r="S462" s="1287"/>
      <c r="T462" s="1287"/>
      <c r="U462" s="1287"/>
      <c r="V462" s="1287"/>
      <c r="W462" s="1287"/>
      <c r="X462" s="1287"/>
      <c r="Y462" s="1287"/>
      <c r="Z462" s="1287"/>
      <c r="AA462" s="1287"/>
      <c r="AB462" s="1287"/>
      <c r="AC462" s="1287"/>
      <c r="AD462" s="1287"/>
      <c r="AE462" s="1287"/>
      <c r="AF462" s="1287"/>
      <c r="AG462" s="1287"/>
      <c r="AH462" s="53">
        <f t="shared" ref="AH462:AH472" si="89">SUM(C462:AG462)</f>
        <v>0</v>
      </c>
    </row>
    <row r="463" spans="1:34" ht="15">
      <c r="A463" s="30" t="s">
        <v>77</v>
      </c>
      <c r="B463" s="116">
        <f t="shared" si="88"/>
        <v>0</v>
      </c>
      <c r="C463" s="1930"/>
      <c r="D463" s="1930"/>
      <c r="E463" s="1930"/>
      <c r="F463" s="1930"/>
      <c r="G463" s="1930"/>
      <c r="H463" s="1287"/>
      <c r="I463" s="1287"/>
      <c r="J463" s="1287"/>
      <c r="K463" s="1287"/>
      <c r="L463" s="1287"/>
      <c r="M463" s="1287"/>
      <c r="N463" s="1287"/>
      <c r="O463" s="1287"/>
      <c r="P463" s="1287"/>
      <c r="Q463" s="1280"/>
      <c r="R463" s="1280"/>
      <c r="S463" s="1280"/>
      <c r="T463" s="1280"/>
      <c r="U463" s="1280"/>
      <c r="V463" s="1280"/>
      <c r="W463" s="1280"/>
      <c r="X463" s="1280"/>
      <c r="Y463" s="1280"/>
      <c r="Z463" s="1280"/>
      <c r="AA463" s="1280"/>
      <c r="AB463" s="1280"/>
      <c r="AC463" s="1280"/>
      <c r="AD463" s="1280"/>
      <c r="AE463" s="1280"/>
      <c r="AF463" s="1280"/>
      <c r="AG463" s="1280"/>
      <c r="AH463" s="53">
        <f t="shared" si="89"/>
        <v>0</v>
      </c>
    </row>
    <row r="464" spans="1:34" ht="15">
      <c r="A464" s="30" t="s">
        <v>78</v>
      </c>
      <c r="B464" s="116">
        <f t="shared" si="88"/>
        <v>0</v>
      </c>
      <c r="C464" s="1280"/>
      <c r="D464" s="1280"/>
      <c r="E464" s="1280"/>
      <c r="F464" s="1280"/>
      <c r="G464" s="1280"/>
      <c r="H464" s="1280"/>
      <c r="I464" s="1280"/>
      <c r="J464" s="1280"/>
      <c r="K464" s="1280"/>
      <c r="L464" s="1280"/>
      <c r="M464" s="1280"/>
      <c r="N464" s="1280"/>
      <c r="O464" s="1280"/>
      <c r="P464" s="1280"/>
      <c r="Q464" s="1280"/>
      <c r="R464" s="1280"/>
      <c r="S464" s="1280"/>
      <c r="T464" s="1280"/>
      <c r="U464" s="1280"/>
      <c r="V464" s="1280"/>
      <c r="W464" s="1280"/>
      <c r="X464" s="1280"/>
      <c r="Y464" s="1280"/>
      <c r="Z464" s="1280"/>
      <c r="AA464" s="1280"/>
      <c r="AB464" s="1280"/>
      <c r="AC464" s="1280"/>
      <c r="AD464" s="1280"/>
      <c r="AE464" s="1280"/>
      <c r="AF464" s="1280" t="s">
        <v>112</v>
      </c>
      <c r="AG464" s="1280" t="s">
        <v>112</v>
      </c>
      <c r="AH464" s="53">
        <f t="shared" si="89"/>
        <v>0</v>
      </c>
    </row>
    <row r="465" spans="1:39" ht="15">
      <c r="A465" s="30" t="s">
        <v>79</v>
      </c>
      <c r="B465" s="116">
        <f t="shared" si="88"/>
        <v>0</v>
      </c>
      <c r="C465" s="1280" t="s">
        <v>112</v>
      </c>
      <c r="D465" s="1280" t="s">
        <v>112</v>
      </c>
      <c r="E465" s="1280" t="s">
        <v>112</v>
      </c>
      <c r="F465" s="1280" t="s">
        <v>112</v>
      </c>
      <c r="G465" s="1280" t="s">
        <v>112</v>
      </c>
      <c r="H465" s="1280" t="s">
        <v>112</v>
      </c>
      <c r="I465" s="1280" t="s">
        <v>112</v>
      </c>
      <c r="J465" s="1280" t="s">
        <v>112</v>
      </c>
      <c r="K465" s="1280" t="s">
        <v>112</v>
      </c>
      <c r="L465" s="1280" t="s">
        <v>112</v>
      </c>
      <c r="M465" s="1280" t="s">
        <v>112</v>
      </c>
      <c r="N465" s="1280" t="s">
        <v>112</v>
      </c>
      <c r="O465" s="1280" t="s">
        <v>112</v>
      </c>
      <c r="P465" s="1280" t="s">
        <v>112</v>
      </c>
      <c r="Q465" s="1280" t="s">
        <v>112</v>
      </c>
      <c r="R465" s="1287"/>
      <c r="S465" s="1287"/>
      <c r="T465" s="1287"/>
      <c r="U465" s="1287"/>
      <c r="V465" s="1287"/>
      <c r="W465" s="1287"/>
      <c r="X465" s="1287"/>
      <c r="Y465" s="1287"/>
      <c r="Z465" s="1287"/>
      <c r="AA465" s="1287"/>
      <c r="AB465" s="1287"/>
      <c r="AC465" s="1287"/>
      <c r="AD465" s="1287"/>
      <c r="AE465" s="1287"/>
      <c r="AF465" s="1287"/>
      <c r="AG465" s="1287"/>
      <c r="AH465" s="53">
        <f t="shared" si="89"/>
        <v>0</v>
      </c>
    </row>
    <row r="466" spans="1:39" ht="15">
      <c r="A466" s="30" t="s">
        <v>80</v>
      </c>
      <c r="B466" s="116">
        <f t="shared" si="88"/>
        <v>0</v>
      </c>
      <c r="C466" s="49"/>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53">
        <f t="shared" si="89"/>
        <v>0</v>
      </c>
    </row>
    <row r="467" spans="1:39" ht="15">
      <c r="A467" s="30" t="s">
        <v>81</v>
      </c>
      <c r="B467" s="119">
        <f t="shared" si="88"/>
        <v>0</v>
      </c>
      <c r="C467" s="49"/>
      <c r="D467" s="53"/>
      <c r="E467" s="53"/>
      <c r="F467" s="53"/>
      <c r="G467" s="18"/>
      <c r="H467" s="18"/>
      <c r="I467" s="18"/>
      <c r="J467" s="57"/>
      <c r="K467" s="57"/>
      <c r="L467" s="53"/>
      <c r="M467" s="53"/>
      <c r="N467" s="53"/>
      <c r="O467" s="53"/>
      <c r="P467" s="53"/>
      <c r="Q467" s="53"/>
      <c r="R467" s="53"/>
      <c r="S467" s="53"/>
      <c r="T467" s="53"/>
      <c r="U467" s="53"/>
      <c r="V467" s="53"/>
      <c r="W467" s="1002" t="s">
        <v>112</v>
      </c>
      <c r="X467" s="1002" t="s">
        <v>112</v>
      </c>
      <c r="Y467" s="1002" t="s">
        <v>112</v>
      </c>
      <c r="Z467" s="1002" t="s">
        <v>112</v>
      </c>
      <c r="AA467" s="1002" t="s">
        <v>112</v>
      </c>
      <c r="AB467" s="1002" t="s">
        <v>112</v>
      </c>
      <c r="AC467" s="1002" t="s">
        <v>112</v>
      </c>
      <c r="AD467" s="1002" t="s">
        <v>112</v>
      </c>
      <c r="AE467" s="1002" t="s">
        <v>112</v>
      </c>
      <c r="AF467" s="1002" t="s">
        <v>112</v>
      </c>
      <c r="AG467" s="1002" t="s">
        <v>112</v>
      </c>
      <c r="AH467" s="53">
        <f t="shared" si="89"/>
        <v>0</v>
      </c>
    </row>
    <row r="468" spans="1:39" ht="15">
      <c r="A468" s="30" t="s">
        <v>82</v>
      </c>
      <c r="B468" s="119">
        <f t="shared" si="88"/>
        <v>0</v>
      </c>
      <c r="C468" s="1002" t="s">
        <v>112</v>
      </c>
      <c r="D468" s="1002" t="s">
        <v>112</v>
      </c>
      <c r="E468" s="1002" t="s">
        <v>112</v>
      </c>
      <c r="F468" s="1002" t="s">
        <v>112</v>
      </c>
      <c r="G468" s="1002" t="s">
        <v>112</v>
      </c>
      <c r="H468" s="1002" t="s">
        <v>112</v>
      </c>
      <c r="I468" s="1002" t="s">
        <v>112</v>
      </c>
      <c r="J468" s="1002" t="s">
        <v>112</v>
      </c>
      <c r="K468" s="1002" t="s">
        <v>112</v>
      </c>
      <c r="L468" s="1002" t="s">
        <v>112</v>
      </c>
      <c r="M468" s="1002" t="s">
        <v>112</v>
      </c>
      <c r="N468" s="1002" t="s">
        <v>112</v>
      </c>
      <c r="O468" s="1002" t="s">
        <v>112</v>
      </c>
      <c r="P468" s="1002" t="s">
        <v>112</v>
      </c>
      <c r="Q468" s="1002" t="s">
        <v>112</v>
      </c>
      <c r="R468" s="1002" t="s">
        <v>112</v>
      </c>
      <c r="S468" s="1002" t="s">
        <v>112</v>
      </c>
      <c r="T468" s="1002" t="s">
        <v>112</v>
      </c>
      <c r="U468" s="1002" t="s">
        <v>112</v>
      </c>
      <c r="V468" s="1002" t="s">
        <v>112</v>
      </c>
      <c r="W468" s="1002" t="s">
        <v>112</v>
      </c>
      <c r="X468" s="1002" t="s">
        <v>112</v>
      </c>
      <c r="Y468" s="1002" t="s">
        <v>112</v>
      </c>
      <c r="Z468" s="1002" t="s">
        <v>112</v>
      </c>
      <c r="AA468" s="1002" t="s">
        <v>112</v>
      </c>
      <c r="AB468" s="1002" t="s">
        <v>112</v>
      </c>
      <c r="AC468" s="1002" t="s">
        <v>112</v>
      </c>
      <c r="AD468" s="1002" t="s">
        <v>112</v>
      </c>
      <c r="AE468" s="1002" t="s">
        <v>112</v>
      </c>
      <c r="AF468" s="1002" t="s">
        <v>112</v>
      </c>
      <c r="AG468" s="1002" t="s">
        <v>112</v>
      </c>
      <c r="AH468" s="53">
        <f t="shared" si="89"/>
        <v>0</v>
      </c>
    </row>
    <row r="469" spans="1:39" ht="15">
      <c r="A469" s="30" t="s">
        <v>83</v>
      </c>
      <c r="B469" s="119">
        <f t="shared" si="88"/>
        <v>0</v>
      </c>
      <c r="C469" s="46"/>
      <c r="D469" s="53"/>
      <c r="E469" s="53"/>
      <c r="F469" s="53"/>
      <c r="G469" s="53"/>
      <c r="H469" s="53"/>
      <c r="I469" s="53"/>
      <c r="J469" s="57"/>
      <c r="K469" s="57"/>
      <c r="L469" s="18"/>
      <c r="M469" s="18"/>
      <c r="N469" s="18"/>
      <c r="O469" s="18"/>
      <c r="P469" s="18"/>
      <c r="Q469" s="1002" t="s">
        <v>112</v>
      </c>
      <c r="R469" s="1002" t="s">
        <v>112</v>
      </c>
      <c r="S469" s="1002" t="s">
        <v>112</v>
      </c>
      <c r="T469" s="1002" t="s">
        <v>112</v>
      </c>
      <c r="U469" s="1002" t="s">
        <v>112</v>
      </c>
      <c r="V469" s="1002" t="s">
        <v>112</v>
      </c>
      <c r="W469" s="1002" t="s">
        <v>112</v>
      </c>
      <c r="X469" s="1002" t="s">
        <v>112</v>
      </c>
      <c r="Y469" s="1002" t="s">
        <v>112</v>
      </c>
      <c r="Z469" s="1002" t="s">
        <v>112</v>
      </c>
      <c r="AA469" s="1002" t="s">
        <v>112</v>
      </c>
      <c r="AB469" s="1002" t="s">
        <v>112</v>
      </c>
      <c r="AC469" s="1002" t="s">
        <v>112</v>
      </c>
      <c r="AD469" s="1002" t="s">
        <v>112</v>
      </c>
      <c r="AE469" s="1002" t="s">
        <v>112</v>
      </c>
      <c r="AF469" s="1002" t="s">
        <v>112</v>
      </c>
      <c r="AG469" s="1002" t="s">
        <v>112</v>
      </c>
      <c r="AH469" s="53">
        <f t="shared" si="89"/>
        <v>0</v>
      </c>
    </row>
    <row r="470" spans="1:39" ht="15">
      <c r="A470" s="30" t="s">
        <v>84</v>
      </c>
      <c r="B470" s="28">
        <f t="shared" si="88"/>
        <v>0</v>
      </c>
      <c r="C470" s="49"/>
      <c r="D470" s="1002" t="s">
        <v>112</v>
      </c>
      <c r="E470" s="1002" t="s">
        <v>112</v>
      </c>
      <c r="F470" s="1002" t="s">
        <v>112</v>
      </c>
      <c r="G470" s="1002" t="s">
        <v>112</v>
      </c>
      <c r="H470" s="1002" t="s">
        <v>112</v>
      </c>
      <c r="I470" s="1002" t="s">
        <v>112</v>
      </c>
      <c r="J470" s="1002" t="s">
        <v>112</v>
      </c>
      <c r="K470" s="1002" t="s">
        <v>112</v>
      </c>
      <c r="L470" s="1002" t="s">
        <v>112</v>
      </c>
      <c r="M470" s="1002" t="s">
        <v>112</v>
      </c>
      <c r="N470" s="1002" t="s">
        <v>112</v>
      </c>
      <c r="O470" s="1002" t="s">
        <v>112</v>
      </c>
      <c r="P470" s="1002" t="s">
        <v>112</v>
      </c>
      <c r="Q470" s="1002" t="s">
        <v>112</v>
      </c>
      <c r="R470" s="1002" t="s">
        <v>112</v>
      </c>
      <c r="S470" s="1002" t="s">
        <v>112</v>
      </c>
      <c r="T470" s="1002" t="s">
        <v>112</v>
      </c>
      <c r="U470" s="1002" t="s">
        <v>112</v>
      </c>
      <c r="V470" s="1002" t="s">
        <v>112</v>
      </c>
      <c r="W470" s="1002" t="s">
        <v>112</v>
      </c>
      <c r="X470" s="1002" t="s">
        <v>112</v>
      </c>
      <c r="Y470" s="1002" t="s">
        <v>112</v>
      </c>
      <c r="Z470" s="1002" t="s">
        <v>112</v>
      </c>
      <c r="AA470" s="1002" t="s">
        <v>112</v>
      </c>
      <c r="AB470" s="1002" t="s">
        <v>112</v>
      </c>
      <c r="AC470" s="1002" t="s">
        <v>112</v>
      </c>
      <c r="AD470" s="1002" t="s">
        <v>112</v>
      </c>
      <c r="AE470" s="1002" t="s">
        <v>112</v>
      </c>
      <c r="AF470" s="1002" t="s">
        <v>112</v>
      </c>
      <c r="AG470" s="1002" t="s">
        <v>112</v>
      </c>
      <c r="AH470" s="53">
        <f t="shared" si="89"/>
        <v>0</v>
      </c>
    </row>
    <row r="471" spans="1:39" ht="15">
      <c r="A471" s="30" t="s">
        <v>85</v>
      </c>
      <c r="B471" s="28">
        <f t="shared" si="88"/>
        <v>0</v>
      </c>
      <c r="C471" s="81" t="s">
        <v>112</v>
      </c>
      <c r="D471" s="81" t="s">
        <v>112</v>
      </c>
      <c r="E471" s="81" t="s">
        <v>112</v>
      </c>
      <c r="F471" s="81" t="s">
        <v>112</v>
      </c>
      <c r="G471" s="81" t="s">
        <v>112</v>
      </c>
      <c r="H471" s="81" t="s">
        <v>112</v>
      </c>
      <c r="I471" s="81" t="s">
        <v>112</v>
      </c>
      <c r="J471" s="81" t="s">
        <v>112</v>
      </c>
      <c r="K471" s="81" t="s">
        <v>112</v>
      </c>
      <c r="L471" s="81" t="s">
        <v>112</v>
      </c>
      <c r="M471" s="81" t="s">
        <v>112</v>
      </c>
      <c r="N471" s="81" t="s">
        <v>112</v>
      </c>
      <c r="O471" s="81" t="s">
        <v>112</v>
      </c>
      <c r="P471" s="81" t="s">
        <v>112</v>
      </c>
      <c r="Q471" s="81" t="s">
        <v>112</v>
      </c>
      <c r="R471" s="18"/>
      <c r="S471" s="18"/>
      <c r="T471" s="18"/>
      <c r="U471" s="18"/>
      <c r="V471" s="18"/>
      <c r="W471" s="18"/>
      <c r="X471" s="18"/>
      <c r="Y471" s="11"/>
      <c r="Z471" s="18"/>
      <c r="AA471" s="18"/>
      <c r="AB471" s="18"/>
      <c r="AC471" s="18"/>
      <c r="AD471" s="18"/>
      <c r="AE471" s="53"/>
      <c r="AF471" s="18"/>
      <c r="AG471" s="53"/>
      <c r="AH471" s="53">
        <f t="shared" si="89"/>
        <v>0</v>
      </c>
    </row>
    <row r="472" spans="1:39" ht="15">
      <c r="A472" s="30" t="s">
        <v>86</v>
      </c>
      <c r="B472" s="28">
        <f t="shared" si="88"/>
        <v>0</v>
      </c>
      <c r="C472" s="49"/>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53"/>
      <c r="AF472" s="18"/>
      <c r="AG472" s="53"/>
      <c r="AH472" s="53">
        <f t="shared" si="89"/>
        <v>0</v>
      </c>
    </row>
    <row r="473" spans="1:39" ht="15">
      <c r="A473" s="88" t="s">
        <v>74</v>
      </c>
      <c r="B473" s="91">
        <f>SUM(B461:B472)</f>
        <v>0</v>
      </c>
      <c r="C473" s="46">
        <f>SUM(C461:C471)</f>
        <v>0</v>
      </c>
      <c r="D473" s="53">
        <f>SUM(D461:D471)</f>
        <v>0</v>
      </c>
      <c r="E473" s="53">
        <v>0</v>
      </c>
      <c r="F473" s="53">
        <f t="shared" ref="F473:AC473" si="90">SUM(F461:F471)</f>
        <v>0</v>
      </c>
      <c r="G473" s="53">
        <f t="shared" si="90"/>
        <v>0</v>
      </c>
      <c r="H473" s="53">
        <f t="shared" si="90"/>
        <v>0</v>
      </c>
      <c r="I473" s="53">
        <f t="shared" si="90"/>
        <v>0</v>
      </c>
      <c r="J473" s="53">
        <f t="shared" si="90"/>
        <v>0</v>
      </c>
      <c r="K473" s="53">
        <f t="shared" si="90"/>
        <v>0</v>
      </c>
      <c r="L473" s="53">
        <f t="shared" si="90"/>
        <v>0</v>
      </c>
      <c r="M473" s="53">
        <f t="shared" si="90"/>
        <v>0</v>
      </c>
      <c r="N473" s="53">
        <f t="shared" si="90"/>
        <v>0</v>
      </c>
      <c r="O473" s="53">
        <f t="shared" si="90"/>
        <v>0</v>
      </c>
      <c r="P473" s="53">
        <f t="shared" si="90"/>
        <v>0</v>
      </c>
      <c r="Q473" s="53">
        <f t="shared" si="90"/>
        <v>0</v>
      </c>
      <c r="R473" s="53">
        <f t="shared" si="90"/>
        <v>0</v>
      </c>
      <c r="S473" s="53">
        <f t="shared" si="90"/>
        <v>0</v>
      </c>
      <c r="T473" s="53">
        <f t="shared" si="90"/>
        <v>0</v>
      </c>
      <c r="U473" s="53">
        <f t="shared" si="90"/>
        <v>0</v>
      </c>
      <c r="V473" s="53">
        <f t="shared" si="90"/>
        <v>0</v>
      </c>
      <c r="W473" s="53">
        <f t="shared" si="90"/>
        <v>0</v>
      </c>
      <c r="X473" s="53">
        <f t="shared" si="90"/>
        <v>0</v>
      </c>
      <c r="Y473" s="53">
        <f t="shared" si="90"/>
        <v>0</v>
      </c>
      <c r="Z473" s="53">
        <f t="shared" si="90"/>
        <v>0</v>
      </c>
      <c r="AA473" s="53">
        <f t="shared" si="90"/>
        <v>0</v>
      </c>
      <c r="AB473" s="53">
        <f t="shared" si="90"/>
        <v>0</v>
      </c>
      <c r="AC473" s="53">
        <f t="shared" si="90"/>
        <v>0</v>
      </c>
      <c r="AD473" s="53">
        <v>0</v>
      </c>
      <c r="AE473" s="53">
        <f>SUM(AE461:AE471)</f>
        <v>0</v>
      </c>
      <c r="AF473" s="53">
        <f>SUM(AF461:AF471)</f>
        <v>0</v>
      </c>
      <c r="AG473" s="53">
        <f>SUM(AG461:AG471)</f>
        <v>0</v>
      </c>
      <c r="AH473" s="46">
        <f>SUM(AH461:AH471)</f>
        <v>0</v>
      </c>
    </row>
    <row r="474" spans="1:39" ht="5.0999999999999996" customHeight="1">
      <c r="A474" s="14"/>
      <c r="B474" s="14"/>
      <c r="C474" s="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
    </row>
    <row r="475" spans="1:39" ht="20.25">
      <c r="A475" s="3615" t="s">
        <v>64</v>
      </c>
      <c r="B475" s="3616"/>
      <c r="C475" s="3616"/>
      <c r="D475" s="3616"/>
      <c r="E475" s="3616"/>
      <c r="F475" s="3616"/>
      <c r="G475" s="3616"/>
      <c r="H475" s="3617"/>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row>
    <row r="476" spans="1:39" ht="15">
      <c r="A476" s="5" t="s">
        <v>91</v>
      </c>
      <c r="B476" s="117" t="s">
        <v>73</v>
      </c>
      <c r="C476" s="1233">
        <v>1</v>
      </c>
      <c r="D476" s="30">
        <v>2</v>
      </c>
      <c r="E476" s="30">
        <v>3</v>
      </c>
      <c r="F476" s="30">
        <v>4</v>
      </c>
      <c r="G476" s="30">
        <v>5</v>
      </c>
      <c r="H476" s="30">
        <v>6</v>
      </c>
      <c r="I476" s="30">
        <v>7</v>
      </c>
      <c r="J476" s="30">
        <v>8</v>
      </c>
      <c r="K476" s="30">
        <v>9</v>
      </c>
      <c r="L476" s="30">
        <v>10</v>
      </c>
      <c r="M476" s="30">
        <v>11</v>
      </c>
      <c r="N476" s="30">
        <v>12</v>
      </c>
      <c r="O476" s="30">
        <v>13</v>
      </c>
      <c r="P476" s="30">
        <v>14</v>
      </c>
      <c r="Q476" s="30">
        <v>15</v>
      </c>
      <c r="R476" s="30">
        <v>16</v>
      </c>
      <c r="S476" s="30">
        <v>17</v>
      </c>
      <c r="T476" s="30">
        <v>18</v>
      </c>
      <c r="U476" s="30">
        <v>19</v>
      </c>
      <c r="V476" s="30">
        <v>20</v>
      </c>
      <c r="W476" s="30">
        <v>21</v>
      </c>
      <c r="X476" s="30">
        <v>22</v>
      </c>
      <c r="Y476" s="30">
        <v>23</v>
      </c>
      <c r="Z476" s="30">
        <v>24</v>
      </c>
      <c r="AA476" s="30">
        <v>25</v>
      </c>
      <c r="AB476" s="30">
        <v>26</v>
      </c>
      <c r="AC476" s="30">
        <v>27</v>
      </c>
      <c r="AD476" s="30">
        <v>28</v>
      </c>
      <c r="AE476" s="30">
        <v>29</v>
      </c>
      <c r="AF476" s="30">
        <v>30</v>
      </c>
      <c r="AG476" s="30">
        <v>31</v>
      </c>
      <c r="AH476" s="39" t="s">
        <v>74</v>
      </c>
    </row>
    <row r="477" spans="1:39" ht="15">
      <c r="A477" s="30" t="s">
        <v>75</v>
      </c>
      <c r="B477" s="114">
        <f t="shared" ref="B477:B488" si="91">+AH477</f>
        <v>0</v>
      </c>
      <c r="C477" s="1287"/>
      <c r="D477" s="1287"/>
      <c r="E477" s="1287"/>
      <c r="F477" s="1287"/>
      <c r="G477" s="1287"/>
      <c r="H477" s="1287"/>
      <c r="I477" s="1287"/>
      <c r="J477" s="1287"/>
      <c r="K477" s="1287"/>
      <c r="L477" s="1287"/>
      <c r="M477" s="1287"/>
      <c r="N477" s="1287"/>
      <c r="O477" s="1287"/>
      <c r="P477" s="1287"/>
      <c r="Q477" s="1287"/>
      <c r="R477" s="1287"/>
      <c r="S477" s="1287"/>
      <c r="T477" s="1287"/>
      <c r="U477" s="1287"/>
      <c r="V477" s="1287"/>
      <c r="W477" s="1287"/>
      <c r="X477" s="1287"/>
      <c r="Y477" s="1287"/>
      <c r="Z477" s="1287"/>
      <c r="AA477" s="1287"/>
      <c r="AB477" s="1287"/>
      <c r="AC477" s="1287"/>
      <c r="AD477" s="1287"/>
      <c r="AE477" s="1287"/>
      <c r="AF477" s="1287"/>
      <c r="AG477" s="1287"/>
      <c r="AH477" s="53">
        <f>SUM(C477:AG477)</f>
        <v>0</v>
      </c>
    </row>
    <row r="478" spans="1:39" ht="15">
      <c r="A478" s="30" t="s">
        <v>76</v>
      </c>
      <c r="B478" s="259">
        <f t="shared" si="91"/>
        <v>147.97200000000001</v>
      </c>
      <c r="C478" s="1287"/>
      <c r="D478" s="1287"/>
      <c r="E478" s="1287"/>
      <c r="F478" s="3453">
        <v>58.54</v>
      </c>
      <c r="G478" s="3453">
        <v>59.93</v>
      </c>
      <c r="H478" s="3437" t="s">
        <v>1356</v>
      </c>
      <c r="I478" s="1287"/>
      <c r="J478" s="1287"/>
      <c r="K478" s="1287"/>
      <c r="L478" s="3437" t="s">
        <v>1357</v>
      </c>
      <c r="M478" s="1287"/>
      <c r="N478" s="1287"/>
      <c r="O478" s="1287"/>
      <c r="P478" s="1287"/>
      <c r="Q478" s="1287"/>
      <c r="R478" s="1287"/>
      <c r="S478" s="1287"/>
      <c r="T478" s="1287"/>
      <c r="U478" s="3453">
        <v>29.501999999999999</v>
      </c>
      <c r="V478" s="1287"/>
      <c r="W478" s="1287"/>
      <c r="X478" s="1287"/>
      <c r="Y478" s="1287"/>
      <c r="Z478" s="1287"/>
      <c r="AA478" s="1287"/>
      <c r="AB478" s="1287"/>
      <c r="AC478" s="1287"/>
      <c r="AD478" s="1287"/>
      <c r="AE478" s="1287"/>
      <c r="AF478" s="1287"/>
      <c r="AG478" s="1287"/>
      <c r="AH478" s="53">
        <f t="shared" ref="AH478:AH488" si="92">SUM(C478:AG478)</f>
        <v>147.97200000000001</v>
      </c>
    </row>
    <row r="479" spans="1:39" ht="15">
      <c r="A479" s="30" t="s">
        <v>77</v>
      </c>
      <c r="B479" s="425">
        <f t="shared" si="91"/>
        <v>14.950999999999999</v>
      </c>
      <c r="C479" s="1930"/>
      <c r="D479" s="1930"/>
      <c r="E479" s="1930"/>
      <c r="F479" s="1930"/>
      <c r="G479" s="3454">
        <v>0.251</v>
      </c>
      <c r="H479" s="1287"/>
      <c r="I479" s="3327">
        <v>14.7</v>
      </c>
      <c r="J479" s="1287"/>
      <c r="K479" s="1287"/>
      <c r="L479" s="1287"/>
      <c r="M479" s="1287"/>
      <c r="N479" s="1287"/>
      <c r="O479" s="1287"/>
      <c r="P479" s="1287"/>
      <c r="Q479" s="1280"/>
      <c r="R479" s="1280"/>
      <c r="S479" s="1280"/>
      <c r="T479" s="1280"/>
      <c r="U479" s="1280"/>
      <c r="V479" s="1280"/>
      <c r="W479" s="1280"/>
      <c r="X479" s="1280"/>
      <c r="Y479" s="1280"/>
      <c r="Z479" s="1280"/>
      <c r="AA479" s="1280"/>
      <c r="AB479" s="1280"/>
      <c r="AC479" s="1280"/>
      <c r="AD479" s="1280"/>
      <c r="AE479" s="1280"/>
      <c r="AF479" s="1280"/>
      <c r="AG479" s="1280"/>
      <c r="AH479" s="53">
        <f t="shared" si="92"/>
        <v>14.950999999999999</v>
      </c>
      <c r="AJ479" s="1289">
        <v>14.7</v>
      </c>
      <c r="AK479" s="1289" t="s">
        <v>1285</v>
      </c>
      <c r="AL479" s="1289"/>
      <c r="AM479" s="1289"/>
    </row>
    <row r="480" spans="1:39" ht="15">
      <c r="A480" s="30" t="s">
        <v>78</v>
      </c>
      <c r="B480" s="259">
        <f t="shared" si="91"/>
        <v>0</v>
      </c>
      <c r="C480" s="1280"/>
      <c r="D480" s="1280"/>
      <c r="E480" s="1280"/>
      <c r="F480" s="1280"/>
      <c r="G480" s="1280"/>
      <c r="H480" s="1280"/>
      <c r="I480" s="1280"/>
      <c r="J480" s="1280"/>
      <c r="K480" s="1280"/>
      <c r="L480" s="1280"/>
      <c r="M480" s="1280"/>
      <c r="N480" s="1280"/>
      <c r="O480" s="1280"/>
      <c r="P480" s="1280"/>
      <c r="Q480" s="1280"/>
      <c r="R480" s="1280"/>
      <c r="S480" s="1280"/>
      <c r="T480" s="1280"/>
      <c r="U480" s="1280"/>
      <c r="V480" s="1280"/>
      <c r="W480" s="1280"/>
      <c r="X480" s="1280"/>
      <c r="Y480" s="1280"/>
      <c r="Z480" s="1280"/>
      <c r="AA480" s="1280"/>
      <c r="AB480" s="1280"/>
      <c r="AC480" s="1280"/>
      <c r="AD480" s="1280"/>
      <c r="AE480" s="1280"/>
      <c r="AF480" s="1280" t="s">
        <v>112</v>
      </c>
      <c r="AG480" s="1280" t="s">
        <v>112</v>
      </c>
      <c r="AH480" s="53">
        <f t="shared" si="92"/>
        <v>0</v>
      </c>
    </row>
    <row r="481" spans="1:34" ht="15">
      <c r="A481" s="30" t="s">
        <v>79</v>
      </c>
      <c r="B481" s="259">
        <f t="shared" si="91"/>
        <v>0</v>
      </c>
      <c r="C481" s="1280" t="s">
        <v>112</v>
      </c>
      <c r="D481" s="1280" t="s">
        <v>112</v>
      </c>
      <c r="E481" s="1280" t="s">
        <v>112</v>
      </c>
      <c r="F481" s="1280" t="s">
        <v>112</v>
      </c>
      <c r="G481" s="1280" t="s">
        <v>112</v>
      </c>
      <c r="H481" s="1280" t="s">
        <v>112</v>
      </c>
      <c r="I481" s="1280" t="s">
        <v>112</v>
      </c>
      <c r="J481" s="1280" t="s">
        <v>112</v>
      </c>
      <c r="K481" s="1280" t="s">
        <v>112</v>
      </c>
      <c r="L481" s="1280" t="s">
        <v>112</v>
      </c>
      <c r="M481" s="1280" t="s">
        <v>112</v>
      </c>
      <c r="N481" s="1280" t="s">
        <v>112</v>
      </c>
      <c r="O481" s="1280" t="s">
        <v>112</v>
      </c>
      <c r="P481" s="1280" t="s">
        <v>112</v>
      </c>
      <c r="Q481" s="1280" t="s">
        <v>112</v>
      </c>
      <c r="R481" s="1287"/>
      <c r="S481" s="1287"/>
      <c r="T481" s="1287"/>
      <c r="U481" s="1287"/>
      <c r="V481" s="1287"/>
      <c r="W481" s="1287"/>
      <c r="X481" s="1287"/>
      <c r="Y481" s="1287"/>
      <c r="Z481" s="1287"/>
      <c r="AA481" s="1287"/>
      <c r="AB481" s="1287"/>
      <c r="AC481" s="1287"/>
      <c r="AD481" s="1287"/>
      <c r="AE481" s="1287"/>
      <c r="AF481" s="1287"/>
      <c r="AG481" s="1287"/>
      <c r="AH481" s="53">
        <f t="shared" si="92"/>
        <v>0</v>
      </c>
    </row>
    <row r="482" spans="1:34" ht="15">
      <c r="A482" s="30" t="s">
        <v>80</v>
      </c>
      <c r="B482" s="259">
        <f t="shared" si="91"/>
        <v>0</v>
      </c>
      <c r="C482" s="49"/>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53">
        <f t="shared" si="92"/>
        <v>0</v>
      </c>
    </row>
    <row r="483" spans="1:34" ht="15">
      <c r="A483" s="30" t="s">
        <v>81</v>
      </c>
      <c r="B483" s="124">
        <f t="shared" si="91"/>
        <v>0</v>
      </c>
      <c r="C483" s="49"/>
      <c r="D483" s="53"/>
      <c r="E483" s="53"/>
      <c r="F483" s="53"/>
      <c r="G483" s="18"/>
      <c r="H483" s="18"/>
      <c r="I483" s="18"/>
      <c r="J483" s="57"/>
      <c r="K483" s="57"/>
      <c r="L483" s="53"/>
      <c r="M483" s="53"/>
      <c r="N483" s="53"/>
      <c r="O483" s="53"/>
      <c r="P483" s="53"/>
      <c r="Q483" s="53"/>
      <c r="R483" s="53"/>
      <c r="S483" s="53"/>
      <c r="T483" s="53"/>
      <c r="U483" s="53"/>
      <c r="V483" s="53"/>
      <c r="W483" s="1002" t="s">
        <v>112</v>
      </c>
      <c r="X483" s="1002" t="s">
        <v>112</v>
      </c>
      <c r="Y483" s="1002" t="s">
        <v>112</v>
      </c>
      <c r="Z483" s="1002" t="s">
        <v>112</v>
      </c>
      <c r="AA483" s="1002" t="s">
        <v>112</v>
      </c>
      <c r="AB483" s="1002" t="s">
        <v>112</v>
      </c>
      <c r="AC483" s="1002" t="s">
        <v>112</v>
      </c>
      <c r="AD483" s="1002" t="s">
        <v>112</v>
      </c>
      <c r="AE483" s="1002" t="s">
        <v>112</v>
      </c>
      <c r="AF483" s="1002" t="s">
        <v>112</v>
      </c>
      <c r="AG483" s="1002" t="s">
        <v>112</v>
      </c>
      <c r="AH483" s="53">
        <f t="shared" si="92"/>
        <v>0</v>
      </c>
    </row>
    <row r="484" spans="1:34" ht="15">
      <c r="A484" s="30" t="s">
        <v>82</v>
      </c>
      <c r="B484" s="124">
        <f t="shared" si="91"/>
        <v>0</v>
      </c>
      <c r="C484" s="1002" t="s">
        <v>112</v>
      </c>
      <c r="D484" s="1002" t="s">
        <v>112</v>
      </c>
      <c r="E484" s="1002" t="s">
        <v>112</v>
      </c>
      <c r="F484" s="1002" t="s">
        <v>112</v>
      </c>
      <c r="G484" s="1002" t="s">
        <v>112</v>
      </c>
      <c r="H484" s="1002" t="s">
        <v>112</v>
      </c>
      <c r="I484" s="1002" t="s">
        <v>112</v>
      </c>
      <c r="J484" s="1002" t="s">
        <v>112</v>
      </c>
      <c r="K484" s="1002" t="s">
        <v>112</v>
      </c>
      <c r="L484" s="1002" t="s">
        <v>112</v>
      </c>
      <c r="M484" s="1002" t="s">
        <v>112</v>
      </c>
      <c r="N484" s="1002" t="s">
        <v>112</v>
      </c>
      <c r="O484" s="1002" t="s">
        <v>112</v>
      </c>
      <c r="P484" s="1002" t="s">
        <v>112</v>
      </c>
      <c r="Q484" s="1002" t="s">
        <v>112</v>
      </c>
      <c r="R484" s="1002" t="s">
        <v>112</v>
      </c>
      <c r="S484" s="1002" t="s">
        <v>112</v>
      </c>
      <c r="T484" s="1002" t="s">
        <v>112</v>
      </c>
      <c r="U484" s="1002" t="s">
        <v>112</v>
      </c>
      <c r="V484" s="1002" t="s">
        <v>112</v>
      </c>
      <c r="W484" s="1002" t="s">
        <v>112</v>
      </c>
      <c r="X484" s="1002" t="s">
        <v>112</v>
      </c>
      <c r="Y484" s="1002" t="s">
        <v>112</v>
      </c>
      <c r="Z484" s="1002" t="s">
        <v>112</v>
      </c>
      <c r="AA484" s="1002" t="s">
        <v>112</v>
      </c>
      <c r="AB484" s="1002" t="s">
        <v>112</v>
      </c>
      <c r="AC484" s="1002" t="s">
        <v>112</v>
      </c>
      <c r="AD484" s="1002" t="s">
        <v>112</v>
      </c>
      <c r="AE484" s="1002" t="s">
        <v>112</v>
      </c>
      <c r="AF484" s="1002" t="s">
        <v>112</v>
      </c>
      <c r="AG484" s="1002" t="s">
        <v>112</v>
      </c>
      <c r="AH484" s="53">
        <f t="shared" si="92"/>
        <v>0</v>
      </c>
    </row>
    <row r="485" spans="1:34" ht="15">
      <c r="A485" s="30" t="s">
        <v>83</v>
      </c>
      <c r="B485" s="124">
        <f t="shared" si="91"/>
        <v>0</v>
      </c>
      <c r="C485" s="46"/>
      <c r="D485" s="53"/>
      <c r="E485" s="53"/>
      <c r="F485" s="53"/>
      <c r="G485" s="53"/>
      <c r="H485" s="53"/>
      <c r="I485" s="53"/>
      <c r="J485" s="57"/>
      <c r="K485" s="57"/>
      <c r="L485" s="18"/>
      <c r="M485" s="18"/>
      <c r="N485" s="18"/>
      <c r="O485" s="18"/>
      <c r="P485" s="18"/>
      <c r="Q485" s="1002" t="s">
        <v>112</v>
      </c>
      <c r="R485" s="1002" t="s">
        <v>112</v>
      </c>
      <c r="S485" s="1002" t="s">
        <v>112</v>
      </c>
      <c r="T485" s="1002" t="s">
        <v>112</v>
      </c>
      <c r="U485" s="1002" t="s">
        <v>112</v>
      </c>
      <c r="V485" s="1002" t="s">
        <v>112</v>
      </c>
      <c r="W485" s="1002" t="s">
        <v>112</v>
      </c>
      <c r="X485" s="1002" t="s">
        <v>112</v>
      </c>
      <c r="Y485" s="1002" t="s">
        <v>112</v>
      </c>
      <c r="Z485" s="1002" t="s">
        <v>112</v>
      </c>
      <c r="AA485" s="1002" t="s">
        <v>112</v>
      </c>
      <c r="AB485" s="1002" t="s">
        <v>112</v>
      </c>
      <c r="AC485" s="1002" t="s">
        <v>112</v>
      </c>
      <c r="AD485" s="1002" t="s">
        <v>112</v>
      </c>
      <c r="AE485" s="1002" t="s">
        <v>112</v>
      </c>
      <c r="AF485" s="1002" t="s">
        <v>112</v>
      </c>
      <c r="AG485" s="1002" t="s">
        <v>112</v>
      </c>
      <c r="AH485" s="53">
        <f t="shared" si="92"/>
        <v>0</v>
      </c>
    </row>
    <row r="486" spans="1:34" ht="15">
      <c r="A486" s="30" t="s">
        <v>84</v>
      </c>
      <c r="B486" s="124">
        <f t="shared" si="91"/>
        <v>1.7000000000000002</v>
      </c>
      <c r="C486" s="1002" t="s">
        <v>112</v>
      </c>
      <c r="D486" s="1002" t="s">
        <v>112</v>
      </c>
      <c r="E486" s="1002" t="s">
        <v>112</v>
      </c>
      <c r="F486" s="1002" t="s">
        <v>112</v>
      </c>
      <c r="G486" s="1002" t="s">
        <v>112</v>
      </c>
      <c r="H486" s="1002" t="s">
        <v>112</v>
      </c>
      <c r="I486" s="1002" t="s">
        <v>112</v>
      </c>
      <c r="J486" s="1002" t="s">
        <v>112</v>
      </c>
      <c r="K486" s="1002" t="s">
        <v>112</v>
      </c>
      <c r="L486" s="1002" t="s">
        <v>112</v>
      </c>
      <c r="M486" s="3438">
        <v>0.8</v>
      </c>
      <c r="N486" s="1002" t="s">
        <v>112</v>
      </c>
      <c r="O486" s="1002" t="s">
        <v>112</v>
      </c>
      <c r="P486" s="1002" t="s">
        <v>112</v>
      </c>
      <c r="Q486" s="1002" t="s">
        <v>112</v>
      </c>
      <c r="R486" s="1002" t="s">
        <v>112</v>
      </c>
      <c r="S486" s="3455">
        <v>0.9</v>
      </c>
      <c r="T486" s="1002" t="s">
        <v>112</v>
      </c>
      <c r="U486" s="1002" t="s">
        <v>112</v>
      </c>
      <c r="V486" s="1002" t="s">
        <v>112</v>
      </c>
      <c r="W486" s="1002" t="s">
        <v>112</v>
      </c>
      <c r="X486" s="1002" t="s">
        <v>112</v>
      </c>
      <c r="Y486" s="1002" t="s">
        <v>112</v>
      </c>
      <c r="Z486" s="1002" t="s">
        <v>112</v>
      </c>
      <c r="AA486" s="1002" t="s">
        <v>112</v>
      </c>
      <c r="AB486" s="1002" t="s">
        <v>112</v>
      </c>
      <c r="AC486" s="1002" t="s">
        <v>112</v>
      </c>
      <c r="AD486" s="1002" t="s">
        <v>112</v>
      </c>
      <c r="AE486" s="1002" t="s">
        <v>112</v>
      </c>
      <c r="AF486" s="1002" t="s">
        <v>112</v>
      </c>
      <c r="AG486" s="1002" t="s">
        <v>112</v>
      </c>
      <c r="AH486" s="53">
        <f t="shared" si="92"/>
        <v>1.7000000000000002</v>
      </c>
    </row>
    <row r="487" spans="1:34" ht="15">
      <c r="A487" s="30" t="s">
        <v>85</v>
      </c>
      <c r="B487" s="124">
        <f t="shared" si="91"/>
        <v>0</v>
      </c>
      <c r="C487" s="81" t="s">
        <v>112</v>
      </c>
      <c r="D487" s="81" t="s">
        <v>112</v>
      </c>
      <c r="E487" s="81" t="s">
        <v>112</v>
      </c>
      <c r="F487" s="81" t="s">
        <v>112</v>
      </c>
      <c r="G487" s="81" t="s">
        <v>112</v>
      </c>
      <c r="H487" s="81" t="s">
        <v>112</v>
      </c>
      <c r="I487" s="81" t="s">
        <v>112</v>
      </c>
      <c r="J487" s="81" t="s">
        <v>112</v>
      </c>
      <c r="K487" s="81" t="s">
        <v>112</v>
      </c>
      <c r="L487" s="81" t="s">
        <v>112</v>
      </c>
      <c r="M487" s="81" t="s">
        <v>112</v>
      </c>
      <c r="N487" s="81" t="s">
        <v>112</v>
      </c>
      <c r="O487" s="81" t="s">
        <v>112</v>
      </c>
      <c r="P487" s="81" t="s">
        <v>112</v>
      </c>
      <c r="Q487" s="81" t="s">
        <v>112</v>
      </c>
      <c r="R487" s="18"/>
      <c r="S487" s="18"/>
      <c r="T487" s="18"/>
      <c r="U487" s="18"/>
      <c r="V487" s="18"/>
      <c r="W487" s="18"/>
      <c r="X487" s="18" t="s">
        <v>1358</v>
      </c>
      <c r="Y487" s="11"/>
      <c r="Z487" s="18"/>
      <c r="AA487" s="18"/>
      <c r="AB487" s="18"/>
      <c r="AC487" s="18"/>
      <c r="AD487" s="18"/>
      <c r="AE487" s="53"/>
      <c r="AF487" s="18" t="s">
        <v>1359</v>
      </c>
      <c r="AG487" s="53"/>
      <c r="AH487" s="53">
        <f t="shared" si="92"/>
        <v>0</v>
      </c>
    </row>
    <row r="488" spans="1:34" ht="15">
      <c r="A488" s="30" t="s">
        <v>86</v>
      </c>
      <c r="B488" s="124">
        <f t="shared" si="91"/>
        <v>0</v>
      </c>
      <c r="C488" s="49"/>
      <c r="D488" s="18">
        <v>0</v>
      </c>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53"/>
      <c r="AF488" s="18"/>
      <c r="AG488" s="53"/>
      <c r="AH488" s="53">
        <f t="shared" si="92"/>
        <v>0</v>
      </c>
    </row>
    <row r="489" spans="1:34" ht="15">
      <c r="A489" s="88" t="s">
        <v>74</v>
      </c>
      <c r="B489" s="89">
        <f>SUM(B477:B488)</f>
        <v>164.62299999999999</v>
      </c>
      <c r="C489" s="46">
        <f>SUM(C477:C487)</f>
        <v>0</v>
      </c>
      <c r="D489" s="53">
        <f>SUM(D477:D487)</f>
        <v>0</v>
      </c>
      <c r="E489" s="53">
        <v>0</v>
      </c>
      <c r="F489" s="53">
        <f t="shared" ref="F489:AC489" si="93">SUM(F477:F487)</f>
        <v>58.54</v>
      </c>
      <c r="G489" s="53">
        <f t="shared" si="93"/>
        <v>60.180999999999997</v>
      </c>
      <c r="H489" s="53">
        <f t="shared" si="93"/>
        <v>0</v>
      </c>
      <c r="I489" s="53">
        <f t="shared" si="93"/>
        <v>14.7</v>
      </c>
      <c r="J489" s="53">
        <f t="shared" si="93"/>
        <v>0</v>
      </c>
      <c r="K489" s="53">
        <f t="shared" si="93"/>
        <v>0</v>
      </c>
      <c r="L489" s="53">
        <f t="shared" si="93"/>
        <v>0</v>
      </c>
      <c r="M489" s="53">
        <f t="shared" si="93"/>
        <v>0.8</v>
      </c>
      <c r="N489" s="53">
        <f t="shared" si="93"/>
        <v>0</v>
      </c>
      <c r="O489" s="53">
        <f t="shared" si="93"/>
        <v>0</v>
      </c>
      <c r="P489" s="53">
        <f t="shared" si="93"/>
        <v>0</v>
      </c>
      <c r="Q489" s="53">
        <f t="shared" si="93"/>
        <v>0</v>
      </c>
      <c r="R489" s="53">
        <f t="shared" si="93"/>
        <v>0</v>
      </c>
      <c r="S489" s="53">
        <f t="shared" si="93"/>
        <v>0.9</v>
      </c>
      <c r="T489" s="53">
        <f t="shared" si="93"/>
        <v>0</v>
      </c>
      <c r="U489" s="53">
        <f t="shared" si="93"/>
        <v>29.501999999999999</v>
      </c>
      <c r="V489" s="53">
        <f t="shared" si="93"/>
        <v>0</v>
      </c>
      <c r="W489" s="53">
        <f t="shared" si="93"/>
        <v>0</v>
      </c>
      <c r="X489" s="53">
        <f t="shared" si="93"/>
        <v>0</v>
      </c>
      <c r="Y489" s="53">
        <f t="shared" si="93"/>
        <v>0</v>
      </c>
      <c r="Z489" s="53">
        <f t="shared" si="93"/>
        <v>0</v>
      </c>
      <c r="AA489" s="53">
        <f t="shared" si="93"/>
        <v>0</v>
      </c>
      <c r="AB489" s="53">
        <f t="shared" si="93"/>
        <v>0</v>
      </c>
      <c r="AC489" s="53">
        <f t="shared" si="93"/>
        <v>0</v>
      </c>
      <c r="AD489" s="53">
        <v>0</v>
      </c>
      <c r="AE489" s="53">
        <f>SUM(AE477:AE487)</f>
        <v>0</v>
      </c>
      <c r="AF489" s="53">
        <f>SUM(AF477:AF487)</f>
        <v>0</v>
      </c>
      <c r="AG489" s="53">
        <f>SUM(AG477:AG487)</f>
        <v>0</v>
      </c>
      <c r="AH489" s="46">
        <f>SUM(AH477:AH487)</f>
        <v>164.62299999999999</v>
      </c>
    </row>
    <row r="490" spans="1:34" ht="5.0999999999999996" customHeight="1">
      <c r="A490" s="14"/>
      <c r="B490" s="14"/>
      <c r="C490" s="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
    </row>
    <row r="491" spans="1:34" ht="20.25">
      <c r="A491" s="3615" t="s">
        <v>65</v>
      </c>
      <c r="B491" s="3616"/>
      <c r="C491" s="3616"/>
      <c r="D491" s="3616"/>
      <c r="E491" s="3616"/>
      <c r="F491" s="3616"/>
      <c r="G491" s="3616"/>
      <c r="H491" s="3617"/>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row>
    <row r="492" spans="1:34" ht="15">
      <c r="A492" s="5" t="s">
        <v>91</v>
      </c>
      <c r="B492" s="71" t="s">
        <v>73</v>
      </c>
      <c r="C492" s="1233">
        <v>1</v>
      </c>
      <c r="D492" s="30">
        <v>2</v>
      </c>
      <c r="E492" s="30">
        <v>3</v>
      </c>
      <c r="F492" s="30">
        <v>4</v>
      </c>
      <c r="G492" s="30">
        <v>5</v>
      </c>
      <c r="H492" s="30">
        <v>6</v>
      </c>
      <c r="I492" s="30">
        <v>7</v>
      </c>
      <c r="J492" s="30">
        <v>8</v>
      </c>
      <c r="K492" s="30">
        <v>9</v>
      </c>
      <c r="L492" s="30">
        <v>10</v>
      </c>
      <c r="M492" s="30">
        <v>11</v>
      </c>
      <c r="N492" s="30">
        <v>12</v>
      </c>
      <c r="O492" s="30">
        <v>13</v>
      </c>
      <c r="P492" s="30">
        <v>14</v>
      </c>
      <c r="Q492" s="30">
        <v>15</v>
      </c>
      <c r="R492" s="30">
        <v>16</v>
      </c>
      <c r="S492" s="30">
        <v>17</v>
      </c>
      <c r="T492" s="30">
        <v>18</v>
      </c>
      <c r="U492" s="30">
        <v>19</v>
      </c>
      <c r="V492" s="30">
        <v>20</v>
      </c>
      <c r="W492" s="30">
        <v>21</v>
      </c>
      <c r="X492" s="30">
        <v>22</v>
      </c>
      <c r="Y492" s="30">
        <v>23</v>
      </c>
      <c r="Z492" s="30">
        <v>24</v>
      </c>
      <c r="AA492" s="30">
        <v>25</v>
      </c>
      <c r="AB492" s="30">
        <v>26</v>
      </c>
      <c r="AC492" s="30">
        <v>27</v>
      </c>
      <c r="AD492" s="30">
        <v>28</v>
      </c>
      <c r="AE492" s="30">
        <v>29</v>
      </c>
      <c r="AF492" s="30">
        <v>30</v>
      </c>
      <c r="AG492" s="30">
        <v>31</v>
      </c>
      <c r="AH492" s="39" t="s">
        <v>74</v>
      </c>
    </row>
    <row r="493" spans="1:34" ht="15">
      <c r="A493" s="30" t="s">
        <v>75</v>
      </c>
      <c r="B493" s="116">
        <f t="shared" ref="B493:B504" si="94">+AH493</f>
        <v>0</v>
      </c>
      <c r="C493" s="1287"/>
      <c r="D493" s="1287"/>
      <c r="E493" s="1287"/>
      <c r="F493" s="1287"/>
      <c r="G493" s="1287"/>
      <c r="H493" s="1287"/>
      <c r="I493" s="1287"/>
      <c r="J493" s="1287"/>
      <c r="K493" s="1287"/>
      <c r="L493" s="1287"/>
      <c r="M493" s="1287"/>
      <c r="N493" s="1287"/>
      <c r="O493" s="1287"/>
      <c r="P493" s="1287"/>
      <c r="Q493" s="1287"/>
      <c r="R493" s="1287"/>
      <c r="S493" s="1287"/>
      <c r="T493" s="1287"/>
      <c r="U493" s="1287"/>
      <c r="V493" s="1287"/>
      <c r="W493" s="1287"/>
      <c r="X493" s="1287"/>
      <c r="Y493" s="1287"/>
      <c r="Z493" s="1287"/>
      <c r="AA493" s="1287"/>
      <c r="AB493" s="1287"/>
      <c r="AC493" s="1287"/>
      <c r="AD493" s="1287"/>
      <c r="AE493" s="1287"/>
      <c r="AF493" s="1287"/>
      <c r="AG493" s="1287"/>
      <c r="AH493" s="53">
        <f>SUM(C493:AG493)</f>
        <v>0</v>
      </c>
    </row>
    <row r="494" spans="1:34" ht="15">
      <c r="A494" s="30" t="s">
        <v>76</v>
      </c>
      <c r="B494" s="116">
        <f t="shared" si="94"/>
        <v>0</v>
      </c>
      <c r="C494" s="1287"/>
      <c r="D494" s="1287"/>
      <c r="E494" s="1287"/>
      <c r="F494" s="1287"/>
      <c r="G494" s="1287"/>
      <c r="H494" s="1287"/>
      <c r="I494" s="1287"/>
      <c r="J494" s="1287"/>
      <c r="K494" s="1287"/>
      <c r="L494" s="1287"/>
      <c r="M494" s="1287"/>
      <c r="N494" s="1287"/>
      <c r="O494" s="1287"/>
      <c r="P494" s="1287"/>
      <c r="Q494" s="1287"/>
      <c r="R494" s="1287"/>
      <c r="S494" s="1287"/>
      <c r="T494" s="1287"/>
      <c r="U494" s="1287"/>
      <c r="V494" s="1287"/>
      <c r="W494" s="1287"/>
      <c r="X494" s="1287"/>
      <c r="Y494" s="1287"/>
      <c r="Z494" s="1287"/>
      <c r="AA494" s="1287"/>
      <c r="AB494" s="1287"/>
      <c r="AC494" s="1287"/>
      <c r="AD494" s="1287"/>
      <c r="AE494" s="1287"/>
      <c r="AF494" s="1287"/>
      <c r="AG494" s="1287"/>
      <c r="AH494" s="53">
        <f t="shared" ref="AH494:AH504" si="95">SUM(C494:AG494)</f>
        <v>0</v>
      </c>
    </row>
    <row r="495" spans="1:34" ht="15">
      <c r="A495" s="30" t="s">
        <v>77</v>
      </c>
      <c r="B495" s="116">
        <f t="shared" si="94"/>
        <v>0</v>
      </c>
      <c r="C495" s="1930"/>
      <c r="D495" s="1930"/>
      <c r="E495" s="1930"/>
      <c r="F495" s="1930"/>
      <c r="G495" s="1930"/>
      <c r="H495" s="1287"/>
      <c r="I495" s="1287"/>
      <c r="J495" s="1287"/>
      <c r="K495" s="1287"/>
      <c r="L495" s="1287"/>
      <c r="M495" s="1287"/>
      <c r="N495" s="1287"/>
      <c r="O495" s="1287"/>
      <c r="P495" s="1287"/>
      <c r="Q495" s="1280"/>
      <c r="R495" s="1280"/>
      <c r="S495" s="1280"/>
      <c r="T495" s="1280"/>
      <c r="U495" s="1280"/>
      <c r="V495" s="1280"/>
      <c r="W495" s="1280"/>
      <c r="X495" s="1280"/>
      <c r="Y495" s="1280"/>
      <c r="Z495" s="1280"/>
      <c r="AA495" s="1280"/>
      <c r="AB495" s="1280"/>
      <c r="AC495" s="1280"/>
      <c r="AD495" s="1280"/>
      <c r="AE495" s="1280"/>
      <c r="AF495" s="1280"/>
      <c r="AG495" s="1280"/>
      <c r="AH495" s="53">
        <f t="shared" si="95"/>
        <v>0</v>
      </c>
    </row>
    <row r="496" spans="1:34" ht="15">
      <c r="A496" s="30" t="s">
        <v>78</v>
      </c>
      <c r="B496" s="116">
        <f t="shared" si="94"/>
        <v>0</v>
      </c>
      <c r="C496" s="1280"/>
      <c r="D496" s="1280"/>
      <c r="E496" s="1280"/>
      <c r="F496" s="1280"/>
      <c r="G496" s="1280"/>
      <c r="H496" s="1280"/>
      <c r="I496" s="1280"/>
      <c r="J496" s="1280"/>
      <c r="K496" s="1280"/>
      <c r="L496" s="1280"/>
      <c r="M496" s="1280"/>
      <c r="N496" s="1280"/>
      <c r="O496" s="1280"/>
      <c r="P496" s="1280"/>
      <c r="Q496" s="1280"/>
      <c r="R496" s="1280"/>
      <c r="S496" s="1280"/>
      <c r="T496" s="1280"/>
      <c r="U496" s="1280"/>
      <c r="V496" s="1280"/>
      <c r="W496" s="1280"/>
      <c r="X496" s="1280"/>
      <c r="Y496" s="1280"/>
      <c r="Z496" s="1280"/>
      <c r="AA496" s="1280"/>
      <c r="AB496" s="1280"/>
      <c r="AC496" s="1280"/>
      <c r="AD496" s="1280"/>
      <c r="AE496" s="1280"/>
      <c r="AF496" s="1280" t="s">
        <v>112</v>
      </c>
      <c r="AG496" s="1280" t="s">
        <v>112</v>
      </c>
      <c r="AH496" s="53">
        <f t="shared" si="95"/>
        <v>0</v>
      </c>
    </row>
    <row r="497" spans="1:34" ht="15">
      <c r="A497" s="30" t="s">
        <v>79</v>
      </c>
      <c r="B497" s="116">
        <f t="shared" si="94"/>
        <v>0</v>
      </c>
      <c r="C497" s="1280" t="s">
        <v>112</v>
      </c>
      <c r="D497" s="1280" t="s">
        <v>112</v>
      </c>
      <c r="E497" s="1280" t="s">
        <v>112</v>
      </c>
      <c r="F497" s="1280" t="s">
        <v>112</v>
      </c>
      <c r="G497" s="1280" t="s">
        <v>112</v>
      </c>
      <c r="H497" s="1280" t="s">
        <v>112</v>
      </c>
      <c r="I497" s="1280" t="s">
        <v>112</v>
      </c>
      <c r="J497" s="1280" t="s">
        <v>112</v>
      </c>
      <c r="K497" s="1280" t="s">
        <v>112</v>
      </c>
      <c r="L497" s="1280" t="s">
        <v>112</v>
      </c>
      <c r="M497" s="1280" t="s">
        <v>112</v>
      </c>
      <c r="N497" s="1280" t="s">
        <v>112</v>
      </c>
      <c r="O497" s="1280" t="s">
        <v>112</v>
      </c>
      <c r="P497" s="1280" t="s">
        <v>112</v>
      </c>
      <c r="Q497" s="1280" t="s">
        <v>112</v>
      </c>
      <c r="R497" s="1287"/>
      <c r="S497" s="1287"/>
      <c r="T497" s="1287"/>
      <c r="U497" s="1287"/>
      <c r="V497" s="1287"/>
      <c r="W497" s="1287"/>
      <c r="X497" s="1287"/>
      <c r="Y497" s="1287"/>
      <c r="Z497" s="1287"/>
      <c r="AA497" s="1287"/>
      <c r="AB497" s="1287"/>
      <c r="AC497" s="1287"/>
      <c r="AD497" s="1287"/>
      <c r="AE497" s="1287"/>
      <c r="AF497" s="1287"/>
      <c r="AG497" s="1287"/>
      <c r="AH497" s="53">
        <f t="shared" si="95"/>
        <v>0</v>
      </c>
    </row>
    <row r="498" spans="1:34" s="115" customFormat="1" ht="15">
      <c r="A498" s="117" t="s">
        <v>80</v>
      </c>
      <c r="B498" s="116">
        <f t="shared" si="94"/>
        <v>0</v>
      </c>
      <c r="C498" s="49"/>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18">
        <f t="shared" si="95"/>
        <v>0</v>
      </c>
    </row>
    <row r="499" spans="1:34" ht="15">
      <c r="A499" s="30" t="s">
        <v>81</v>
      </c>
      <c r="B499" s="119">
        <f t="shared" si="94"/>
        <v>0</v>
      </c>
      <c r="C499" s="49"/>
      <c r="D499" s="53"/>
      <c r="E499" s="53"/>
      <c r="F499" s="53"/>
      <c r="G499" s="18"/>
      <c r="H499" s="18"/>
      <c r="I499" s="18"/>
      <c r="J499" s="57"/>
      <c r="K499" s="57"/>
      <c r="L499" s="53"/>
      <c r="M499" s="53"/>
      <c r="N499" s="53"/>
      <c r="O499" s="53"/>
      <c r="P499" s="53"/>
      <c r="Q499" s="53"/>
      <c r="R499" s="53"/>
      <c r="S499" s="53"/>
      <c r="T499" s="53"/>
      <c r="U499" s="53"/>
      <c r="V499" s="53"/>
      <c r="W499" s="1002" t="s">
        <v>112</v>
      </c>
      <c r="X499" s="1002" t="s">
        <v>112</v>
      </c>
      <c r="Y499" s="1002" t="s">
        <v>112</v>
      </c>
      <c r="Z499" s="1002" t="s">
        <v>112</v>
      </c>
      <c r="AA499" s="1002" t="s">
        <v>112</v>
      </c>
      <c r="AB499" s="1002" t="s">
        <v>112</v>
      </c>
      <c r="AC499" s="1002" t="s">
        <v>112</v>
      </c>
      <c r="AD499" s="1002" t="s">
        <v>112</v>
      </c>
      <c r="AE499" s="1002" t="s">
        <v>112</v>
      </c>
      <c r="AF499" s="1002" t="s">
        <v>112</v>
      </c>
      <c r="AG499" s="1002" t="s">
        <v>112</v>
      </c>
      <c r="AH499" s="53">
        <f t="shared" si="95"/>
        <v>0</v>
      </c>
    </row>
    <row r="500" spans="1:34" ht="15">
      <c r="A500" s="30" t="s">
        <v>82</v>
      </c>
      <c r="B500" s="119">
        <f t="shared" si="94"/>
        <v>0</v>
      </c>
      <c r="C500" s="1002" t="s">
        <v>112</v>
      </c>
      <c r="D500" s="1002" t="s">
        <v>112</v>
      </c>
      <c r="E500" s="1002" t="s">
        <v>112</v>
      </c>
      <c r="F500" s="1002" t="s">
        <v>112</v>
      </c>
      <c r="G500" s="1002" t="s">
        <v>112</v>
      </c>
      <c r="H500" s="1002" t="s">
        <v>112</v>
      </c>
      <c r="I500" s="1002" t="s">
        <v>112</v>
      </c>
      <c r="J500" s="1002" t="s">
        <v>112</v>
      </c>
      <c r="K500" s="1002" t="s">
        <v>112</v>
      </c>
      <c r="L500" s="1002" t="s">
        <v>112</v>
      </c>
      <c r="M500" s="1002" t="s">
        <v>112</v>
      </c>
      <c r="N500" s="1002" t="s">
        <v>112</v>
      </c>
      <c r="O500" s="1002" t="s">
        <v>112</v>
      </c>
      <c r="P500" s="1002" t="s">
        <v>112</v>
      </c>
      <c r="Q500" s="1002" t="s">
        <v>112</v>
      </c>
      <c r="R500" s="1002" t="s">
        <v>112</v>
      </c>
      <c r="S500" s="1002" t="s">
        <v>112</v>
      </c>
      <c r="T500" s="1002" t="s">
        <v>112</v>
      </c>
      <c r="U500" s="1002" t="s">
        <v>112</v>
      </c>
      <c r="V500" s="1002" t="s">
        <v>112</v>
      </c>
      <c r="W500" s="1002" t="s">
        <v>112</v>
      </c>
      <c r="X500" s="1002" t="s">
        <v>112</v>
      </c>
      <c r="Y500" s="1002" t="s">
        <v>112</v>
      </c>
      <c r="Z500" s="1002" t="s">
        <v>112</v>
      </c>
      <c r="AA500" s="1002" t="s">
        <v>112</v>
      </c>
      <c r="AB500" s="1002" t="s">
        <v>112</v>
      </c>
      <c r="AC500" s="1002" t="s">
        <v>112</v>
      </c>
      <c r="AD500" s="1002" t="s">
        <v>112</v>
      </c>
      <c r="AE500" s="1002" t="s">
        <v>112</v>
      </c>
      <c r="AF500" s="1002" t="s">
        <v>112</v>
      </c>
      <c r="AG500" s="1002" t="s">
        <v>112</v>
      </c>
      <c r="AH500" s="53">
        <f t="shared" si="95"/>
        <v>0</v>
      </c>
    </row>
    <row r="501" spans="1:34" ht="15">
      <c r="A501" s="30" t="s">
        <v>83</v>
      </c>
      <c r="B501" s="119">
        <f t="shared" si="94"/>
        <v>0</v>
      </c>
      <c r="C501" s="46"/>
      <c r="D501" s="53"/>
      <c r="E501" s="53"/>
      <c r="F501" s="53"/>
      <c r="G501" s="53"/>
      <c r="H501" s="53"/>
      <c r="I501" s="53"/>
      <c r="J501" s="57"/>
      <c r="K501" s="57"/>
      <c r="L501" s="18"/>
      <c r="M501" s="18"/>
      <c r="N501" s="18"/>
      <c r="O501" s="18"/>
      <c r="P501" s="18"/>
      <c r="Q501" s="1002" t="s">
        <v>112</v>
      </c>
      <c r="R501" s="1002" t="s">
        <v>112</v>
      </c>
      <c r="S501" s="1002" t="s">
        <v>112</v>
      </c>
      <c r="T501" s="1002" t="s">
        <v>112</v>
      </c>
      <c r="U501" s="1002" t="s">
        <v>112</v>
      </c>
      <c r="V501" s="1002" t="s">
        <v>112</v>
      </c>
      <c r="W501" s="1002" t="s">
        <v>112</v>
      </c>
      <c r="X501" s="1002" t="s">
        <v>112</v>
      </c>
      <c r="Y501" s="1002" t="s">
        <v>112</v>
      </c>
      <c r="Z501" s="1002" t="s">
        <v>112</v>
      </c>
      <c r="AA501" s="1002" t="s">
        <v>112</v>
      </c>
      <c r="AB501" s="1002" t="s">
        <v>112</v>
      </c>
      <c r="AC501" s="1002" t="s">
        <v>112</v>
      </c>
      <c r="AD501" s="1002" t="s">
        <v>112</v>
      </c>
      <c r="AE501" s="1002" t="s">
        <v>112</v>
      </c>
      <c r="AF501" s="1002" t="s">
        <v>112</v>
      </c>
      <c r="AG501" s="1002" t="s">
        <v>112</v>
      </c>
      <c r="AH501" s="53">
        <f t="shared" si="95"/>
        <v>0</v>
      </c>
    </row>
    <row r="502" spans="1:34" ht="15">
      <c r="A502" s="30" t="s">
        <v>84</v>
      </c>
      <c r="B502" s="28">
        <f t="shared" si="94"/>
        <v>0</v>
      </c>
      <c r="C502" s="49"/>
      <c r="D502" s="1002" t="s">
        <v>112</v>
      </c>
      <c r="E502" s="1002" t="s">
        <v>112</v>
      </c>
      <c r="F502" s="1002" t="s">
        <v>112</v>
      </c>
      <c r="G502" s="1002" t="s">
        <v>112</v>
      </c>
      <c r="H502" s="1002" t="s">
        <v>112</v>
      </c>
      <c r="I502" s="1002" t="s">
        <v>112</v>
      </c>
      <c r="J502" s="1002" t="s">
        <v>112</v>
      </c>
      <c r="K502" s="1002" t="s">
        <v>112</v>
      </c>
      <c r="L502" s="1002" t="s">
        <v>112</v>
      </c>
      <c r="M502" s="1002" t="s">
        <v>112</v>
      </c>
      <c r="N502" s="1002" t="s">
        <v>112</v>
      </c>
      <c r="O502" s="1002" t="s">
        <v>112</v>
      </c>
      <c r="P502" s="1002" t="s">
        <v>112</v>
      </c>
      <c r="Q502" s="1002" t="s">
        <v>112</v>
      </c>
      <c r="R502" s="1002" t="s">
        <v>112</v>
      </c>
      <c r="S502" s="1002" t="s">
        <v>112</v>
      </c>
      <c r="T502" s="1002" t="s">
        <v>112</v>
      </c>
      <c r="U502" s="1002" t="s">
        <v>112</v>
      </c>
      <c r="V502" s="1002" t="s">
        <v>112</v>
      </c>
      <c r="W502" s="1002" t="s">
        <v>112</v>
      </c>
      <c r="X502" s="1002" t="s">
        <v>112</v>
      </c>
      <c r="Y502" s="1002" t="s">
        <v>112</v>
      </c>
      <c r="Z502" s="1002" t="s">
        <v>112</v>
      </c>
      <c r="AA502" s="1002" t="s">
        <v>112</v>
      </c>
      <c r="AB502" s="1002" t="s">
        <v>112</v>
      </c>
      <c r="AC502" s="1002" t="s">
        <v>112</v>
      </c>
      <c r="AD502" s="1002" t="s">
        <v>112</v>
      </c>
      <c r="AE502" s="1002" t="s">
        <v>112</v>
      </c>
      <c r="AF502" s="1002" t="s">
        <v>112</v>
      </c>
      <c r="AG502" s="1002" t="s">
        <v>112</v>
      </c>
      <c r="AH502" s="53">
        <f t="shared" si="95"/>
        <v>0</v>
      </c>
    </row>
    <row r="503" spans="1:34" ht="15">
      <c r="A503" s="30" t="s">
        <v>85</v>
      </c>
      <c r="B503" s="28">
        <f t="shared" si="94"/>
        <v>0</v>
      </c>
      <c r="C503" s="81" t="s">
        <v>112</v>
      </c>
      <c r="D503" s="81" t="s">
        <v>112</v>
      </c>
      <c r="E503" s="81" t="s">
        <v>112</v>
      </c>
      <c r="F503" s="81" t="s">
        <v>112</v>
      </c>
      <c r="G503" s="81" t="s">
        <v>112</v>
      </c>
      <c r="H503" s="81" t="s">
        <v>112</v>
      </c>
      <c r="I503" s="81" t="s">
        <v>112</v>
      </c>
      <c r="J503" s="81" t="s">
        <v>112</v>
      </c>
      <c r="K503" s="81" t="s">
        <v>112</v>
      </c>
      <c r="L503" s="81" t="s">
        <v>112</v>
      </c>
      <c r="M503" s="81" t="s">
        <v>112</v>
      </c>
      <c r="N503" s="81" t="s">
        <v>112</v>
      </c>
      <c r="O503" s="81" t="s">
        <v>112</v>
      </c>
      <c r="P503" s="81" t="s">
        <v>112</v>
      </c>
      <c r="Q503" s="81" t="s">
        <v>112</v>
      </c>
      <c r="R503" s="18"/>
      <c r="S503" s="18"/>
      <c r="T503" s="18"/>
      <c r="U503" s="18"/>
      <c r="V503" s="18"/>
      <c r="W503" s="18"/>
      <c r="X503" s="18"/>
      <c r="Y503" s="11"/>
      <c r="Z503" s="18"/>
      <c r="AA503" s="18"/>
      <c r="AB503" s="18"/>
      <c r="AC503" s="18"/>
      <c r="AD503" s="18"/>
      <c r="AE503" s="53"/>
      <c r="AF503" s="18"/>
      <c r="AG503" s="53"/>
      <c r="AH503" s="53">
        <f t="shared" si="95"/>
        <v>0</v>
      </c>
    </row>
    <row r="504" spans="1:34" ht="15">
      <c r="A504" s="30" t="s">
        <v>86</v>
      </c>
      <c r="B504" s="28">
        <f t="shared" si="94"/>
        <v>0</v>
      </c>
      <c r="C504" s="49"/>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53"/>
      <c r="AF504" s="18"/>
      <c r="AG504" s="53"/>
      <c r="AH504" s="53">
        <f t="shared" si="95"/>
        <v>0</v>
      </c>
    </row>
    <row r="505" spans="1:34" ht="15">
      <c r="A505" s="88" t="s">
        <v>74</v>
      </c>
      <c r="B505" s="91">
        <f>SUM(B493:B504)</f>
        <v>0</v>
      </c>
      <c r="C505" s="46">
        <f>SUM(C493:C503)</f>
        <v>0</v>
      </c>
      <c r="D505" s="53">
        <f>SUM(D493:D503)</f>
        <v>0</v>
      </c>
      <c r="E505" s="53">
        <v>0</v>
      </c>
      <c r="F505" s="53">
        <f t="shared" ref="F505:AC505" si="96">SUM(F493:F503)</f>
        <v>0</v>
      </c>
      <c r="G505" s="53">
        <f t="shared" si="96"/>
        <v>0</v>
      </c>
      <c r="H505" s="53">
        <f t="shared" si="96"/>
        <v>0</v>
      </c>
      <c r="I505" s="53">
        <f t="shared" si="96"/>
        <v>0</v>
      </c>
      <c r="J505" s="53">
        <f t="shared" si="96"/>
        <v>0</v>
      </c>
      <c r="K505" s="53">
        <f t="shared" si="96"/>
        <v>0</v>
      </c>
      <c r="L505" s="53">
        <f t="shared" si="96"/>
        <v>0</v>
      </c>
      <c r="M505" s="53">
        <f t="shared" si="96"/>
        <v>0</v>
      </c>
      <c r="N505" s="53">
        <f t="shared" si="96"/>
        <v>0</v>
      </c>
      <c r="O505" s="53">
        <f t="shared" si="96"/>
        <v>0</v>
      </c>
      <c r="P505" s="53">
        <f t="shared" si="96"/>
        <v>0</v>
      </c>
      <c r="Q505" s="53">
        <f t="shared" si="96"/>
        <v>0</v>
      </c>
      <c r="R505" s="53">
        <f t="shared" si="96"/>
        <v>0</v>
      </c>
      <c r="S505" s="53">
        <f t="shared" si="96"/>
        <v>0</v>
      </c>
      <c r="T505" s="53">
        <f t="shared" si="96"/>
        <v>0</v>
      </c>
      <c r="U505" s="53">
        <f t="shared" si="96"/>
        <v>0</v>
      </c>
      <c r="V505" s="53">
        <f t="shared" si="96"/>
        <v>0</v>
      </c>
      <c r="W505" s="53">
        <f t="shared" si="96"/>
        <v>0</v>
      </c>
      <c r="X505" s="53">
        <f t="shared" si="96"/>
        <v>0</v>
      </c>
      <c r="Y505" s="53">
        <f t="shared" si="96"/>
        <v>0</v>
      </c>
      <c r="Z505" s="53">
        <f t="shared" si="96"/>
        <v>0</v>
      </c>
      <c r="AA505" s="53">
        <f t="shared" si="96"/>
        <v>0</v>
      </c>
      <c r="AB505" s="53">
        <f t="shared" si="96"/>
        <v>0</v>
      </c>
      <c r="AC505" s="53">
        <f t="shared" si="96"/>
        <v>0</v>
      </c>
      <c r="AD505" s="53">
        <v>0</v>
      </c>
      <c r="AE505" s="53">
        <f>SUM(AE493:AE503)</f>
        <v>0</v>
      </c>
      <c r="AF505" s="53">
        <f>SUM(AF493:AF503)</f>
        <v>0</v>
      </c>
      <c r="AG505" s="53">
        <f>SUM(AG493:AG503)</f>
        <v>0</v>
      </c>
      <c r="AH505" s="46">
        <f>SUM(AH493:AH503)</f>
        <v>0</v>
      </c>
    </row>
    <row r="506" spans="1:34" ht="5.0999999999999996" customHeight="1">
      <c r="A506" s="14"/>
      <c r="B506" s="14"/>
      <c r="C506" s="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
    </row>
    <row r="507" spans="1:34" ht="20.25">
      <c r="A507" s="3615" t="s">
        <v>100</v>
      </c>
      <c r="B507" s="3616"/>
      <c r="C507" s="3616"/>
      <c r="D507" s="3616"/>
      <c r="E507" s="3616"/>
      <c r="F507" s="3616"/>
      <c r="G507" s="3616"/>
      <c r="H507" s="3617"/>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row>
    <row r="508" spans="1:34" ht="15">
      <c r="A508" s="5" t="s">
        <v>72</v>
      </c>
      <c r="B508" s="5" t="s">
        <v>73</v>
      </c>
      <c r="C508" s="1233">
        <v>1</v>
      </c>
      <c r="D508" s="30">
        <v>2</v>
      </c>
      <c r="E508" s="30">
        <v>3</v>
      </c>
      <c r="F508" s="30">
        <v>4</v>
      </c>
      <c r="G508" s="30">
        <v>5</v>
      </c>
      <c r="H508" s="30">
        <v>6</v>
      </c>
      <c r="I508" s="30">
        <v>7</v>
      </c>
      <c r="J508" s="30">
        <v>8</v>
      </c>
      <c r="K508" s="30">
        <v>9</v>
      </c>
      <c r="L508" s="30">
        <v>10</v>
      </c>
      <c r="M508" s="30">
        <v>11</v>
      </c>
      <c r="N508" s="30">
        <v>12</v>
      </c>
      <c r="O508" s="30">
        <v>13</v>
      </c>
      <c r="P508" s="30">
        <v>14</v>
      </c>
      <c r="Q508" s="30">
        <v>15</v>
      </c>
      <c r="R508" s="30">
        <v>16</v>
      </c>
      <c r="S508" s="30">
        <v>17</v>
      </c>
      <c r="T508" s="30">
        <v>18</v>
      </c>
      <c r="U508" s="30">
        <v>19</v>
      </c>
      <c r="V508" s="30">
        <v>20</v>
      </c>
      <c r="W508" s="30">
        <v>21</v>
      </c>
      <c r="X508" s="30">
        <v>22</v>
      </c>
      <c r="Y508" s="30">
        <v>23</v>
      </c>
      <c r="Z508" s="30">
        <v>24</v>
      </c>
      <c r="AA508" s="30">
        <v>25</v>
      </c>
      <c r="AB508" s="30">
        <v>26</v>
      </c>
      <c r="AC508" s="30">
        <v>27</v>
      </c>
      <c r="AD508" s="30">
        <v>28</v>
      </c>
      <c r="AE508" s="30">
        <v>29</v>
      </c>
      <c r="AF508" s="30">
        <v>30</v>
      </c>
      <c r="AG508" s="30">
        <v>31</v>
      </c>
      <c r="AH508" s="39" t="s">
        <v>74</v>
      </c>
    </row>
    <row r="509" spans="1:34" ht="15">
      <c r="A509" s="30" t="s">
        <v>75</v>
      </c>
      <c r="B509" s="114">
        <f t="shared" ref="B509:B520" si="97">+AH509</f>
        <v>0</v>
      </c>
      <c r="C509" s="1287"/>
      <c r="D509" s="1287"/>
      <c r="E509" s="1287"/>
      <c r="F509" s="1287"/>
      <c r="G509" s="1287"/>
      <c r="H509" s="1287"/>
      <c r="I509" s="1287"/>
      <c r="J509" s="1287"/>
      <c r="K509" s="1287"/>
      <c r="L509" s="1287"/>
      <c r="M509" s="1287"/>
      <c r="N509" s="1287"/>
      <c r="O509" s="1287"/>
      <c r="P509" s="1287"/>
      <c r="Q509" s="1287"/>
      <c r="R509" s="1287"/>
      <c r="S509" s="1287"/>
      <c r="T509" s="1287"/>
      <c r="U509" s="1287"/>
      <c r="V509" s="1287"/>
      <c r="W509" s="1287"/>
      <c r="X509" s="1287"/>
      <c r="Y509" s="1287"/>
      <c r="Z509" s="1287"/>
      <c r="AA509" s="1287"/>
      <c r="AB509" s="1287"/>
      <c r="AC509" s="1287"/>
      <c r="AD509" s="1287"/>
      <c r="AE509" s="1287"/>
      <c r="AF509" s="1287"/>
      <c r="AG509" s="1287"/>
      <c r="AH509" s="53">
        <f>SUM(C509:AG509)</f>
        <v>0</v>
      </c>
    </row>
    <row r="510" spans="1:34" ht="15">
      <c r="A510" s="30" t="s">
        <v>76</v>
      </c>
      <c r="B510" s="114">
        <f t="shared" si="97"/>
        <v>0</v>
      </c>
      <c r="C510" s="1287"/>
      <c r="D510" s="1287"/>
      <c r="E510" s="1287"/>
      <c r="F510" s="1287"/>
      <c r="G510" s="1287"/>
      <c r="H510" s="1287"/>
      <c r="I510" s="1287"/>
      <c r="J510" s="1287"/>
      <c r="K510" s="1287"/>
      <c r="L510" s="1287"/>
      <c r="M510" s="1287"/>
      <c r="N510" s="1287"/>
      <c r="O510" s="1287"/>
      <c r="P510" s="1287"/>
      <c r="Q510" s="1287"/>
      <c r="R510" s="1287"/>
      <c r="S510" s="1287"/>
      <c r="T510" s="1287"/>
      <c r="U510" s="1287"/>
      <c r="V510" s="1287"/>
      <c r="W510" s="1287"/>
      <c r="X510" s="1287"/>
      <c r="Y510" s="1287"/>
      <c r="Z510" s="1287"/>
      <c r="AA510" s="1287"/>
      <c r="AB510" s="1287"/>
      <c r="AC510" s="1287"/>
      <c r="AD510" s="1287"/>
      <c r="AE510" s="1287"/>
      <c r="AF510" s="1287"/>
      <c r="AG510" s="1287"/>
      <c r="AH510" s="53">
        <f t="shared" ref="AH510:AH520" si="98">SUM(C510:AG510)</f>
        <v>0</v>
      </c>
    </row>
    <row r="511" spans="1:34" ht="15">
      <c r="A511" s="30" t="s">
        <v>77</v>
      </c>
      <c r="B511" s="114">
        <f t="shared" si="97"/>
        <v>0</v>
      </c>
      <c r="C511" s="1930"/>
      <c r="D511" s="1930"/>
      <c r="E511" s="1930"/>
      <c r="F511" s="1930"/>
      <c r="G511" s="1930"/>
      <c r="H511" s="1287"/>
      <c r="I511" s="1287"/>
      <c r="J511" s="1287"/>
      <c r="K511" s="1287"/>
      <c r="L511" s="1287"/>
      <c r="M511" s="1287"/>
      <c r="N511" s="1287"/>
      <c r="O511" s="1287"/>
      <c r="P511" s="1287"/>
      <c r="Q511" s="1280"/>
      <c r="R511" s="1280"/>
      <c r="S511" s="1280"/>
      <c r="T511" s="1280"/>
      <c r="U511" s="1280"/>
      <c r="V511" s="1280"/>
      <c r="W511" s="1280"/>
      <c r="X511" s="1280"/>
      <c r="Y511" s="1280"/>
      <c r="Z511" s="1280"/>
      <c r="AA511" s="1280"/>
      <c r="AB511" s="1280"/>
      <c r="AC511" s="1280"/>
      <c r="AD511" s="1280"/>
      <c r="AE511" s="1280"/>
      <c r="AF511" s="1280"/>
      <c r="AG511" s="1280"/>
      <c r="AH511" s="53">
        <f t="shared" si="98"/>
        <v>0</v>
      </c>
    </row>
    <row r="512" spans="1:34" ht="15">
      <c r="A512" s="30" t="s">
        <v>78</v>
      </c>
      <c r="B512" s="114">
        <f t="shared" si="97"/>
        <v>0</v>
      </c>
      <c r="C512" s="1280"/>
      <c r="D512" s="1280"/>
      <c r="E512" s="1280"/>
      <c r="F512" s="1280"/>
      <c r="G512" s="1280"/>
      <c r="H512" s="1280"/>
      <c r="I512" s="1280"/>
      <c r="J512" s="1280"/>
      <c r="K512" s="1280"/>
      <c r="L512" s="1280"/>
      <c r="M512" s="1280"/>
      <c r="N512" s="1280"/>
      <c r="O512" s="1280"/>
      <c r="P512" s="1280"/>
      <c r="Q512" s="1280"/>
      <c r="R512" s="1280"/>
      <c r="S512" s="1280"/>
      <c r="T512" s="1280"/>
      <c r="U512" s="1280"/>
      <c r="V512" s="1280"/>
      <c r="W512" s="1280"/>
      <c r="X512" s="1280"/>
      <c r="Y512" s="1280"/>
      <c r="Z512" s="1280"/>
      <c r="AA512" s="1280"/>
      <c r="AB512" s="1280"/>
      <c r="AC512" s="1280"/>
      <c r="AD512" s="1280"/>
      <c r="AE512" s="1280"/>
      <c r="AF512" s="1280" t="s">
        <v>112</v>
      </c>
      <c r="AG512" s="1280" t="s">
        <v>112</v>
      </c>
      <c r="AH512" s="53">
        <f t="shared" si="98"/>
        <v>0</v>
      </c>
    </row>
    <row r="513" spans="1:34" ht="15">
      <c r="A513" s="30" t="s">
        <v>79</v>
      </c>
      <c r="B513" s="114">
        <f t="shared" si="97"/>
        <v>0</v>
      </c>
      <c r="C513" s="1280" t="s">
        <v>112</v>
      </c>
      <c r="D513" s="1280" t="s">
        <v>112</v>
      </c>
      <c r="E513" s="1280" t="s">
        <v>112</v>
      </c>
      <c r="F513" s="1280" t="s">
        <v>112</v>
      </c>
      <c r="G513" s="1280" t="s">
        <v>112</v>
      </c>
      <c r="H513" s="1280" t="s">
        <v>112</v>
      </c>
      <c r="I513" s="1280" t="s">
        <v>112</v>
      </c>
      <c r="J513" s="1280" t="s">
        <v>112</v>
      </c>
      <c r="K513" s="1280" t="s">
        <v>112</v>
      </c>
      <c r="L513" s="1280" t="s">
        <v>112</v>
      </c>
      <c r="M513" s="1280" t="s">
        <v>112</v>
      </c>
      <c r="N513" s="1280" t="s">
        <v>112</v>
      </c>
      <c r="O513" s="1280" t="s">
        <v>112</v>
      </c>
      <c r="P513" s="1280" t="s">
        <v>112</v>
      </c>
      <c r="Q513" s="1280" t="s">
        <v>112</v>
      </c>
      <c r="R513" s="1287"/>
      <c r="S513" s="1287"/>
      <c r="T513" s="1287"/>
      <c r="U513" s="1287"/>
      <c r="V513" s="1287"/>
      <c r="W513" s="1287"/>
      <c r="X513" s="1287"/>
      <c r="Y513" s="1287"/>
      <c r="Z513" s="1287"/>
      <c r="AA513" s="1287"/>
      <c r="AB513" s="1287"/>
      <c r="AC513" s="1287"/>
      <c r="AD513" s="1287"/>
      <c r="AE513" s="1287"/>
      <c r="AF513" s="1287"/>
      <c r="AG513" s="1287"/>
      <c r="AH513" s="53">
        <f t="shared" si="98"/>
        <v>0</v>
      </c>
    </row>
    <row r="514" spans="1:34" ht="15">
      <c r="A514" s="30" t="s">
        <v>80</v>
      </c>
      <c r="B514" s="114">
        <f t="shared" si="97"/>
        <v>0</v>
      </c>
      <c r="C514" s="49"/>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53">
        <f t="shared" si="98"/>
        <v>0</v>
      </c>
    </row>
    <row r="515" spans="1:34" ht="15">
      <c r="A515" s="30" t="s">
        <v>81</v>
      </c>
      <c r="B515" s="112">
        <f t="shared" si="97"/>
        <v>0</v>
      </c>
      <c r="C515" s="49"/>
      <c r="D515" s="53"/>
      <c r="E515" s="53"/>
      <c r="F515" s="53"/>
      <c r="G515" s="18"/>
      <c r="H515" s="18"/>
      <c r="I515" s="18"/>
      <c r="J515" s="57"/>
      <c r="K515" s="57"/>
      <c r="L515" s="53"/>
      <c r="M515" s="53"/>
      <c r="N515" s="53"/>
      <c r="O515" s="53"/>
      <c r="P515" s="53"/>
      <c r="Q515" s="53"/>
      <c r="R515" s="53"/>
      <c r="S515" s="53"/>
      <c r="T515" s="53"/>
      <c r="U515" s="53"/>
      <c r="V515" s="53"/>
      <c r="W515" s="1002" t="s">
        <v>112</v>
      </c>
      <c r="X515" s="1002" t="s">
        <v>112</v>
      </c>
      <c r="Y515" s="1002" t="s">
        <v>112</v>
      </c>
      <c r="Z515" s="1002" t="s">
        <v>112</v>
      </c>
      <c r="AA515" s="1002" t="s">
        <v>112</v>
      </c>
      <c r="AB515" s="1002" t="s">
        <v>112</v>
      </c>
      <c r="AC515" s="1002" t="s">
        <v>112</v>
      </c>
      <c r="AD515" s="1002" t="s">
        <v>112</v>
      </c>
      <c r="AE515" s="1002" t="s">
        <v>112</v>
      </c>
      <c r="AF515" s="1002" t="s">
        <v>112</v>
      </c>
      <c r="AG515" s="1002" t="s">
        <v>112</v>
      </c>
      <c r="AH515" s="53">
        <f t="shared" si="98"/>
        <v>0</v>
      </c>
    </row>
    <row r="516" spans="1:34" ht="15">
      <c r="A516" s="30" t="s">
        <v>82</v>
      </c>
      <c r="B516" s="112">
        <f t="shared" si="97"/>
        <v>0</v>
      </c>
      <c r="C516" s="1002" t="s">
        <v>112</v>
      </c>
      <c r="D516" s="1002" t="s">
        <v>112</v>
      </c>
      <c r="E516" s="1002" t="s">
        <v>112</v>
      </c>
      <c r="F516" s="1002" t="s">
        <v>112</v>
      </c>
      <c r="G516" s="1002" t="s">
        <v>112</v>
      </c>
      <c r="H516" s="1002" t="s">
        <v>112</v>
      </c>
      <c r="I516" s="1002" t="s">
        <v>112</v>
      </c>
      <c r="J516" s="1002" t="s">
        <v>112</v>
      </c>
      <c r="K516" s="1002" t="s">
        <v>112</v>
      </c>
      <c r="L516" s="1002" t="s">
        <v>112</v>
      </c>
      <c r="M516" s="1002" t="s">
        <v>112</v>
      </c>
      <c r="N516" s="1002" t="s">
        <v>112</v>
      </c>
      <c r="O516" s="1002" t="s">
        <v>112</v>
      </c>
      <c r="P516" s="1002" t="s">
        <v>112</v>
      </c>
      <c r="Q516" s="1002" t="s">
        <v>112</v>
      </c>
      <c r="R516" s="1002" t="s">
        <v>112</v>
      </c>
      <c r="S516" s="1002" t="s">
        <v>112</v>
      </c>
      <c r="T516" s="1002" t="s">
        <v>112</v>
      </c>
      <c r="U516" s="1002" t="s">
        <v>112</v>
      </c>
      <c r="V516" s="1002" t="s">
        <v>112</v>
      </c>
      <c r="W516" s="1002" t="s">
        <v>112</v>
      </c>
      <c r="X516" s="1002" t="s">
        <v>112</v>
      </c>
      <c r="Y516" s="1002" t="s">
        <v>112</v>
      </c>
      <c r="Z516" s="1002" t="s">
        <v>112</v>
      </c>
      <c r="AA516" s="1002" t="s">
        <v>112</v>
      </c>
      <c r="AB516" s="1002" t="s">
        <v>112</v>
      </c>
      <c r="AC516" s="1002" t="s">
        <v>112</v>
      </c>
      <c r="AD516" s="1002" t="s">
        <v>112</v>
      </c>
      <c r="AE516" s="1002" t="s">
        <v>112</v>
      </c>
      <c r="AF516" s="1002" t="s">
        <v>112</v>
      </c>
      <c r="AG516" s="1002" t="s">
        <v>112</v>
      </c>
      <c r="AH516" s="53">
        <f t="shared" si="98"/>
        <v>0</v>
      </c>
    </row>
    <row r="517" spans="1:34" ht="15">
      <c r="A517" s="30" t="s">
        <v>83</v>
      </c>
      <c r="B517" s="112">
        <f t="shared" si="97"/>
        <v>0</v>
      </c>
      <c r="C517" s="46"/>
      <c r="D517" s="53"/>
      <c r="E517" s="53"/>
      <c r="F517" s="53"/>
      <c r="G517" s="53"/>
      <c r="H517" s="53"/>
      <c r="I517" s="53"/>
      <c r="J517" s="57"/>
      <c r="K517" s="57"/>
      <c r="L517" s="18"/>
      <c r="M517" s="18"/>
      <c r="N517" s="18"/>
      <c r="O517" s="18"/>
      <c r="P517" s="18"/>
      <c r="Q517" s="1002" t="s">
        <v>112</v>
      </c>
      <c r="R517" s="1002" t="s">
        <v>112</v>
      </c>
      <c r="S517" s="1002" t="s">
        <v>112</v>
      </c>
      <c r="T517" s="1002" t="s">
        <v>112</v>
      </c>
      <c r="U517" s="1002" t="s">
        <v>112</v>
      </c>
      <c r="V517" s="1002" t="s">
        <v>112</v>
      </c>
      <c r="W517" s="1002" t="s">
        <v>112</v>
      </c>
      <c r="X517" s="1002" t="s">
        <v>112</v>
      </c>
      <c r="Y517" s="1002" t="s">
        <v>112</v>
      </c>
      <c r="Z517" s="1002" t="s">
        <v>112</v>
      </c>
      <c r="AA517" s="1002" t="s">
        <v>112</v>
      </c>
      <c r="AB517" s="1002" t="s">
        <v>112</v>
      </c>
      <c r="AC517" s="1002" t="s">
        <v>112</v>
      </c>
      <c r="AD517" s="1002" t="s">
        <v>112</v>
      </c>
      <c r="AE517" s="1002" t="s">
        <v>112</v>
      </c>
      <c r="AF517" s="1002" t="s">
        <v>112</v>
      </c>
      <c r="AG517" s="1002" t="s">
        <v>112</v>
      </c>
      <c r="AH517" s="53">
        <f t="shared" si="98"/>
        <v>0</v>
      </c>
    </row>
    <row r="518" spans="1:34" ht="15">
      <c r="A518" s="30" t="s">
        <v>84</v>
      </c>
      <c r="B518" s="112">
        <f t="shared" si="97"/>
        <v>0</v>
      </c>
      <c r="C518" s="49"/>
      <c r="D518" s="1002" t="s">
        <v>112</v>
      </c>
      <c r="E518" s="1002" t="s">
        <v>112</v>
      </c>
      <c r="F518" s="1002" t="s">
        <v>112</v>
      </c>
      <c r="G518" s="1002" t="s">
        <v>112</v>
      </c>
      <c r="H518" s="1002" t="s">
        <v>112</v>
      </c>
      <c r="I518" s="1002" t="s">
        <v>112</v>
      </c>
      <c r="J518" s="1002" t="s">
        <v>112</v>
      </c>
      <c r="K518" s="1002" t="s">
        <v>112</v>
      </c>
      <c r="L518" s="1002" t="s">
        <v>112</v>
      </c>
      <c r="M518" s="1002" t="s">
        <v>112</v>
      </c>
      <c r="N518" s="1002" t="s">
        <v>112</v>
      </c>
      <c r="O518" s="1002" t="s">
        <v>112</v>
      </c>
      <c r="P518" s="1002" t="s">
        <v>112</v>
      </c>
      <c r="Q518" s="1002" t="s">
        <v>112</v>
      </c>
      <c r="R518" s="1002" t="s">
        <v>112</v>
      </c>
      <c r="S518" s="1002" t="s">
        <v>112</v>
      </c>
      <c r="T518" s="1002" t="s">
        <v>112</v>
      </c>
      <c r="U518" s="1002" t="s">
        <v>112</v>
      </c>
      <c r="V518" s="1002" t="s">
        <v>112</v>
      </c>
      <c r="W518" s="1002" t="s">
        <v>112</v>
      </c>
      <c r="X518" s="1002" t="s">
        <v>112</v>
      </c>
      <c r="Y518" s="1002" t="s">
        <v>112</v>
      </c>
      <c r="Z518" s="1002" t="s">
        <v>112</v>
      </c>
      <c r="AA518" s="1002" t="s">
        <v>112</v>
      </c>
      <c r="AB518" s="1002" t="s">
        <v>112</v>
      </c>
      <c r="AC518" s="1002" t="s">
        <v>112</v>
      </c>
      <c r="AD518" s="1002" t="s">
        <v>112</v>
      </c>
      <c r="AE518" s="1002" t="s">
        <v>112</v>
      </c>
      <c r="AF518" s="1002" t="s">
        <v>112</v>
      </c>
      <c r="AG518" s="1002" t="s">
        <v>112</v>
      </c>
      <c r="AH518" s="53">
        <f t="shared" si="98"/>
        <v>0</v>
      </c>
    </row>
    <row r="519" spans="1:34" ht="15">
      <c r="A519" s="30" t="s">
        <v>85</v>
      </c>
      <c r="B519" s="18">
        <f t="shared" si="97"/>
        <v>0</v>
      </c>
      <c r="C519" s="81" t="s">
        <v>112</v>
      </c>
      <c r="D519" s="81" t="s">
        <v>112</v>
      </c>
      <c r="E519" s="81" t="s">
        <v>112</v>
      </c>
      <c r="F519" s="81" t="s">
        <v>112</v>
      </c>
      <c r="G519" s="81" t="s">
        <v>112</v>
      </c>
      <c r="H519" s="81" t="s">
        <v>112</v>
      </c>
      <c r="I519" s="81" t="s">
        <v>112</v>
      </c>
      <c r="J519" s="81" t="s">
        <v>112</v>
      </c>
      <c r="K519" s="81" t="s">
        <v>112</v>
      </c>
      <c r="L519" s="81" t="s">
        <v>112</v>
      </c>
      <c r="M519" s="81" t="s">
        <v>112</v>
      </c>
      <c r="N519" s="81" t="s">
        <v>112</v>
      </c>
      <c r="O519" s="81" t="s">
        <v>112</v>
      </c>
      <c r="P519" s="81" t="s">
        <v>112</v>
      </c>
      <c r="Q519" s="81" t="s">
        <v>112</v>
      </c>
      <c r="R519" s="18"/>
      <c r="S519" s="18"/>
      <c r="T519" s="18"/>
      <c r="U519" s="18"/>
      <c r="V519" s="18"/>
      <c r="W519" s="18"/>
      <c r="X519" s="18"/>
      <c r="Y519" s="11"/>
      <c r="Z519" s="18"/>
      <c r="AA519" s="18"/>
      <c r="AB519" s="18"/>
      <c r="AC519" s="18"/>
      <c r="AD519" s="18"/>
      <c r="AE519" s="53"/>
      <c r="AF519" s="18"/>
      <c r="AG519" s="53"/>
      <c r="AH519" s="53">
        <f t="shared" si="98"/>
        <v>0</v>
      </c>
    </row>
    <row r="520" spans="1:34" ht="15">
      <c r="A520" s="30" t="s">
        <v>86</v>
      </c>
      <c r="B520" s="18">
        <f t="shared" si="97"/>
        <v>0</v>
      </c>
      <c r="C520" s="49"/>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53"/>
      <c r="AF520" s="18"/>
      <c r="AG520" s="53"/>
      <c r="AH520" s="53">
        <f t="shared" si="98"/>
        <v>0</v>
      </c>
    </row>
    <row r="521" spans="1:34" ht="15">
      <c r="A521" s="88" t="s">
        <v>74</v>
      </c>
      <c r="B521" s="89">
        <f>SUM(B509:B520)</f>
        <v>0</v>
      </c>
      <c r="C521" s="46">
        <f>SUM(C509:C519)</f>
        <v>0</v>
      </c>
      <c r="D521" s="53">
        <f>SUM(D509:D519)</f>
        <v>0</v>
      </c>
      <c r="E521" s="53">
        <v>0</v>
      </c>
      <c r="F521" s="53">
        <f t="shared" ref="F521:AC521" si="99">SUM(F509:F519)</f>
        <v>0</v>
      </c>
      <c r="G521" s="53">
        <f t="shared" si="99"/>
        <v>0</v>
      </c>
      <c r="H521" s="53">
        <f t="shared" si="99"/>
        <v>0</v>
      </c>
      <c r="I521" s="53">
        <f t="shared" si="99"/>
        <v>0</v>
      </c>
      <c r="J521" s="53">
        <f t="shared" si="99"/>
        <v>0</v>
      </c>
      <c r="K521" s="53">
        <f t="shared" si="99"/>
        <v>0</v>
      </c>
      <c r="L521" s="53">
        <f t="shared" si="99"/>
        <v>0</v>
      </c>
      <c r="M521" s="53">
        <f t="shared" si="99"/>
        <v>0</v>
      </c>
      <c r="N521" s="53">
        <f t="shared" si="99"/>
        <v>0</v>
      </c>
      <c r="O521" s="53">
        <f t="shared" si="99"/>
        <v>0</v>
      </c>
      <c r="P521" s="53">
        <f t="shared" si="99"/>
        <v>0</v>
      </c>
      <c r="Q521" s="53">
        <f t="shared" si="99"/>
        <v>0</v>
      </c>
      <c r="R521" s="53">
        <f t="shared" si="99"/>
        <v>0</v>
      </c>
      <c r="S521" s="53">
        <f t="shared" si="99"/>
        <v>0</v>
      </c>
      <c r="T521" s="53">
        <f t="shared" si="99"/>
        <v>0</v>
      </c>
      <c r="U521" s="53">
        <f t="shared" si="99"/>
        <v>0</v>
      </c>
      <c r="V521" s="53">
        <f t="shared" si="99"/>
        <v>0</v>
      </c>
      <c r="W521" s="53">
        <f t="shared" si="99"/>
        <v>0</v>
      </c>
      <c r="X521" s="53">
        <f t="shared" si="99"/>
        <v>0</v>
      </c>
      <c r="Y521" s="53">
        <f t="shared" si="99"/>
        <v>0</v>
      </c>
      <c r="Z521" s="53">
        <f t="shared" si="99"/>
        <v>0</v>
      </c>
      <c r="AA521" s="53">
        <f t="shared" si="99"/>
        <v>0</v>
      </c>
      <c r="AB521" s="53">
        <f t="shared" si="99"/>
        <v>0</v>
      </c>
      <c r="AC521" s="53">
        <f t="shared" si="99"/>
        <v>0</v>
      </c>
      <c r="AD521" s="53">
        <v>0</v>
      </c>
      <c r="AE521" s="53">
        <f>SUM(AE509:AE519)</f>
        <v>0</v>
      </c>
      <c r="AF521" s="53">
        <f>SUM(AF509:AF519)</f>
        <v>0</v>
      </c>
      <c r="AG521" s="53">
        <f>SUM(AG509:AG519)</f>
        <v>0</v>
      </c>
      <c r="AH521" s="46">
        <f>SUM(AH509:AH519)</f>
        <v>0</v>
      </c>
    </row>
    <row r="522" spans="1:34" ht="5.0999999999999996" customHeight="1">
      <c r="A522" s="14"/>
      <c r="B522" s="14"/>
      <c r="C522" s="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
    </row>
    <row r="523" spans="1:34" ht="20.25">
      <c r="A523" s="3615" t="s">
        <v>123</v>
      </c>
      <c r="B523" s="3616"/>
      <c r="C523" s="3616"/>
      <c r="D523" s="3616"/>
      <c r="E523" s="3616"/>
      <c r="F523" s="3616"/>
      <c r="G523" s="3616"/>
      <c r="H523" s="3617"/>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row>
    <row r="524" spans="1:34" ht="15">
      <c r="A524" s="5" t="s">
        <v>72</v>
      </c>
      <c r="B524" s="5" t="s">
        <v>73</v>
      </c>
      <c r="C524" s="1233">
        <v>1</v>
      </c>
      <c r="D524" s="30">
        <v>2</v>
      </c>
      <c r="E524" s="30">
        <v>3</v>
      </c>
      <c r="F524" s="30">
        <v>4</v>
      </c>
      <c r="G524" s="30">
        <v>5</v>
      </c>
      <c r="H524" s="30">
        <v>6</v>
      </c>
      <c r="I524" s="30">
        <v>7</v>
      </c>
      <c r="J524" s="30">
        <v>8</v>
      </c>
      <c r="K524" s="30">
        <v>9</v>
      </c>
      <c r="L524" s="30">
        <v>10</v>
      </c>
      <c r="M524" s="30">
        <v>11</v>
      </c>
      <c r="N524" s="30">
        <v>12</v>
      </c>
      <c r="O524" s="30">
        <v>13</v>
      </c>
      <c r="P524" s="30">
        <v>14</v>
      </c>
      <c r="Q524" s="30">
        <v>15</v>
      </c>
      <c r="R524" s="30">
        <v>16</v>
      </c>
      <c r="S524" s="30">
        <v>17</v>
      </c>
      <c r="T524" s="30">
        <v>18</v>
      </c>
      <c r="U524" s="30">
        <v>19</v>
      </c>
      <c r="V524" s="30">
        <v>20</v>
      </c>
      <c r="W524" s="30">
        <v>21</v>
      </c>
      <c r="X524" s="30">
        <v>22</v>
      </c>
      <c r="Y524" s="30">
        <v>23</v>
      </c>
      <c r="Z524" s="30">
        <v>24</v>
      </c>
      <c r="AA524" s="30">
        <v>25</v>
      </c>
      <c r="AB524" s="30">
        <v>26</v>
      </c>
      <c r="AC524" s="30">
        <v>27</v>
      </c>
      <c r="AD524" s="30">
        <v>28</v>
      </c>
      <c r="AE524" s="30">
        <v>29</v>
      </c>
      <c r="AF524" s="30">
        <v>30</v>
      </c>
      <c r="AG524" s="30">
        <v>31</v>
      </c>
      <c r="AH524" s="39" t="s">
        <v>74</v>
      </c>
    </row>
    <row r="525" spans="1:34" ht="15">
      <c r="A525" s="30" t="s">
        <v>75</v>
      </c>
      <c r="B525" s="259">
        <f t="shared" ref="B525:B536" si="100">+AH525</f>
        <v>38.304000000000002</v>
      </c>
      <c r="C525" s="1287"/>
      <c r="D525" s="1287"/>
      <c r="E525" s="1287"/>
      <c r="F525" s="1287"/>
      <c r="G525" s="1287"/>
      <c r="H525" s="1287"/>
      <c r="I525" s="1287"/>
      <c r="J525" s="1287"/>
      <c r="K525" s="1287"/>
      <c r="L525" s="1287"/>
      <c r="M525" s="1287"/>
      <c r="N525" s="1287"/>
      <c r="O525" s="1287"/>
      <c r="P525" s="1287"/>
      <c r="Q525" s="1287"/>
      <c r="R525" s="1287"/>
      <c r="S525" s="1287"/>
      <c r="T525" s="1287"/>
      <c r="U525" s="1287"/>
      <c r="V525" s="1287"/>
      <c r="W525" s="1287"/>
      <c r="X525" s="1287"/>
      <c r="Y525" s="1287"/>
      <c r="Z525" s="1287"/>
      <c r="AA525" s="1287"/>
      <c r="AB525" s="1287"/>
      <c r="AC525" s="1287"/>
      <c r="AD525" s="1287"/>
      <c r="AE525" s="2930">
        <v>38.304000000000002</v>
      </c>
      <c r="AF525" s="1287"/>
      <c r="AG525" s="1287"/>
      <c r="AH525" s="53">
        <f>SUM(C525:AG525)</f>
        <v>38.304000000000002</v>
      </c>
    </row>
    <row r="526" spans="1:34" ht="15">
      <c r="A526" s="30" t="s">
        <v>76</v>
      </c>
      <c r="B526" s="259">
        <f t="shared" si="100"/>
        <v>187.96700000000001</v>
      </c>
      <c r="C526" s="1287"/>
      <c r="D526" s="1287"/>
      <c r="E526" s="3327">
        <v>46.53</v>
      </c>
      <c r="F526" s="3327">
        <f>59.424+51.616</f>
        <v>111.03999999999999</v>
      </c>
      <c r="G526" s="1287"/>
      <c r="H526" s="2930">
        <v>21.047999999999998</v>
      </c>
      <c r="I526" s="1287"/>
      <c r="J526" s="1287"/>
      <c r="K526" s="1287"/>
      <c r="L526" s="1287"/>
      <c r="M526" s="1815" t="s">
        <v>1360</v>
      </c>
      <c r="N526" s="2930">
        <v>5.9669999999999996</v>
      </c>
      <c r="O526" s="1287"/>
      <c r="P526" s="2930">
        <v>3.3820000000000001</v>
      </c>
      <c r="Q526" s="1287" t="s">
        <v>1361</v>
      </c>
      <c r="R526" s="1287" t="s">
        <v>1362</v>
      </c>
      <c r="S526" s="1287"/>
      <c r="T526" s="1287"/>
      <c r="U526" s="1287"/>
      <c r="V526" s="1287" t="s">
        <v>1363</v>
      </c>
      <c r="W526" s="1287"/>
      <c r="X526" s="1287"/>
      <c r="Y526" s="1815"/>
      <c r="Z526" s="1287"/>
      <c r="AA526" s="1287"/>
      <c r="AB526" s="1287"/>
      <c r="AC526" s="1287"/>
      <c r="AD526" s="1287"/>
      <c r="AE526" s="1287"/>
      <c r="AF526" s="1287"/>
      <c r="AG526" s="1287"/>
      <c r="AH526" s="53">
        <f t="shared" ref="AH526:AH536" si="101">SUM(C526:AG526)</f>
        <v>187.96700000000001</v>
      </c>
    </row>
    <row r="527" spans="1:34" ht="15">
      <c r="A527" s="30" t="s">
        <v>77</v>
      </c>
      <c r="B527" s="259">
        <f t="shared" si="100"/>
        <v>1.7450000000000001</v>
      </c>
      <c r="C527" s="1930"/>
      <c r="D527" s="1930"/>
      <c r="E527" s="1930"/>
      <c r="F527" s="1930"/>
      <c r="G527" s="1930"/>
      <c r="H527" s="1287"/>
      <c r="I527" s="1287"/>
      <c r="J527" s="1287"/>
      <c r="K527" s="1287"/>
      <c r="L527" s="1287"/>
      <c r="M527" s="3327">
        <v>1.7450000000000001</v>
      </c>
      <c r="N527" s="1287"/>
      <c r="O527" s="1287" t="s">
        <v>1364</v>
      </c>
      <c r="P527" s="1287"/>
      <c r="Q527" s="1280" t="s">
        <v>1365</v>
      </c>
      <c r="R527" s="1280"/>
      <c r="S527" s="1280"/>
      <c r="T527" s="1280"/>
      <c r="U527" s="1280"/>
      <c r="V527" s="1280"/>
      <c r="W527" s="1280"/>
      <c r="X527" s="1280"/>
      <c r="Y527" s="1280"/>
      <c r="Z527" s="1280"/>
      <c r="AA527" s="1280"/>
      <c r="AB527" s="1280" t="s">
        <v>1366</v>
      </c>
      <c r="AC527" s="1280"/>
      <c r="AD527" s="1280"/>
      <c r="AE527" s="1280"/>
      <c r="AF527" s="1280"/>
      <c r="AG527" s="1280"/>
      <c r="AH527" s="53">
        <f t="shared" si="101"/>
        <v>1.7450000000000001</v>
      </c>
    </row>
    <row r="528" spans="1:34" ht="15">
      <c r="A528" s="30" t="s">
        <v>78</v>
      </c>
      <c r="B528" s="259">
        <f t="shared" si="100"/>
        <v>0</v>
      </c>
      <c r="C528" s="1280"/>
      <c r="D528" s="1280"/>
      <c r="E528" s="1280"/>
      <c r="F528" s="1280"/>
      <c r="G528" s="1280"/>
      <c r="H528" s="1280"/>
      <c r="I528" s="1280"/>
      <c r="J528" s="1280" t="s">
        <v>1367</v>
      </c>
      <c r="K528" s="1280"/>
      <c r="L528" s="1280"/>
      <c r="M528" s="1280"/>
      <c r="N528" s="1280"/>
      <c r="O528" s="1280"/>
      <c r="P528" s="1280"/>
      <c r="Q528" s="1280"/>
      <c r="R528" s="1280"/>
      <c r="S528" s="1280"/>
      <c r="T528" s="1280"/>
      <c r="U528" s="1280"/>
      <c r="V528" s="1280"/>
      <c r="W528" s="1280"/>
      <c r="X528" s="1280"/>
      <c r="Y528" s="1280"/>
      <c r="Z528" s="1280"/>
      <c r="AA528" s="1280"/>
      <c r="AB528" s="1280"/>
      <c r="AC528" s="1280"/>
      <c r="AD528" s="1280"/>
      <c r="AE528" s="1280"/>
      <c r="AF528" s="1280" t="s">
        <v>112</v>
      </c>
      <c r="AG528" s="1280" t="s">
        <v>112</v>
      </c>
      <c r="AH528" s="53">
        <f t="shared" si="101"/>
        <v>0</v>
      </c>
    </row>
    <row r="529" spans="1:34" ht="15">
      <c r="A529" s="30" t="s">
        <v>79</v>
      </c>
      <c r="B529" s="259">
        <f t="shared" si="100"/>
        <v>0</v>
      </c>
      <c r="C529" s="1280" t="s">
        <v>112</v>
      </c>
      <c r="D529" s="1280" t="s">
        <v>112</v>
      </c>
      <c r="E529" s="1280" t="s">
        <v>112</v>
      </c>
      <c r="F529" s="1280" t="s">
        <v>112</v>
      </c>
      <c r="G529" s="1280" t="s">
        <v>112</v>
      </c>
      <c r="H529" s="1280" t="s">
        <v>112</v>
      </c>
      <c r="I529" s="1280" t="s">
        <v>112</v>
      </c>
      <c r="J529" s="1280" t="s">
        <v>112</v>
      </c>
      <c r="K529" s="1280" t="s">
        <v>112</v>
      </c>
      <c r="L529" s="1280" t="s">
        <v>112</v>
      </c>
      <c r="M529" s="1280" t="s">
        <v>112</v>
      </c>
      <c r="N529" s="1280" t="s">
        <v>112</v>
      </c>
      <c r="O529" s="1280" t="s">
        <v>112</v>
      </c>
      <c r="P529" s="1280" t="s">
        <v>112</v>
      </c>
      <c r="Q529" s="1280" t="s">
        <v>112</v>
      </c>
      <c r="R529" s="1287"/>
      <c r="S529" s="1287" t="s">
        <v>1368</v>
      </c>
      <c r="T529" s="1287"/>
      <c r="U529" s="1287"/>
      <c r="V529" s="1287"/>
      <c r="W529" s="1287"/>
      <c r="X529" s="1287"/>
      <c r="Y529" s="1287"/>
      <c r="Z529" s="1287"/>
      <c r="AA529" s="1287"/>
      <c r="AB529" s="1287"/>
      <c r="AC529" s="1287"/>
      <c r="AD529" s="1287"/>
      <c r="AE529" s="1287"/>
      <c r="AF529" s="1287"/>
      <c r="AG529" s="1287"/>
      <c r="AH529" s="53">
        <f t="shared" si="101"/>
        <v>0</v>
      </c>
    </row>
    <row r="530" spans="1:34" ht="15">
      <c r="A530" s="30" t="s">
        <v>80</v>
      </c>
      <c r="B530" s="259">
        <f t="shared" si="100"/>
        <v>0</v>
      </c>
      <c r="C530" s="49"/>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53">
        <f t="shared" si="101"/>
        <v>0</v>
      </c>
    </row>
    <row r="531" spans="1:34" ht="15">
      <c r="A531" s="30" t="s">
        <v>81</v>
      </c>
      <c r="B531" s="124">
        <f t="shared" si="100"/>
        <v>0</v>
      </c>
      <c r="C531" s="49"/>
      <c r="D531" s="53"/>
      <c r="E531" s="53"/>
      <c r="F531" s="53"/>
      <c r="G531" s="18"/>
      <c r="H531" s="18"/>
      <c r="I531" s="18"/>
      <c r="J531" s="57"/>
      <c r="K531" s="57"/>
      <c r="L531" s="53"/>
      <c r="M531" s="53"/>
      <c r="N531" s="53"/>
      <c r="O531" s="53"/>
      <c r="P531" s="53"/>
      <c r="Q531" s="53"/>
      <c r="R531" s="53"/>
      <c r="S531" s="53"/>
      <c r="T531" s="53"/>
      <c r="U531" s="53"/>
      <c r="V531" s="53"/>
      <c r="W531" s="1002" t="s">
        <v>112</v>
      </c>
      <c r="X531" s="1002" t="s">
        <v>112</v>
      </c>
      <c r="Y531" s="1002" t="s">
        <v>112</v>
      </c>
      <c r="Z531" s="1002" t="s">
        <v>112</v>
      </c>
      <c r="AA531" s="1002" t="s">
        <v>112</v>
      </c>
      <c r="AB531" s="1002" t="s">
        <v>112</v>
      </c>
      <c r="AC531" s="1002" t="s">
        <v>112</v>
      </c>
      <c r="AD531" s="1002" t="s">
        <v>112</v>
      </c>
      <c r="AE531" s="1002" t="s">
        <v>112</v>
      </c>
      <c r="AF531" s="1002" t="s">
        <v>112</v>
      </c>
      <c r="AG531" s="1002" t="s">
        <v>112</v>
      </c>
      <c r="AH531" s="53">
        <f t="shared" si="101"/>
        <v>0</v>
      </c>
    </row>
    <row r="532" spans="1:34" ht="15">
      <c r="A532" s="30" t="s">
        <v>82</v>
      </c>
      <c r="B532" s="124">
        <f t="shared" si="100"/>
        <v>0</v>
      </c>
      <c r="C532" s="1002" t="s">
        <v>112</v>
      </c>
      <c r="D532" s="1002" t="s">
        <v>112</v>
      </c>
      <c r="E532" s="1002" t="s">
        <v>112</v>
      </c>
      <c r="F532" s="1002" t="s">
        <v>112</v>
      </c>
      <c r="G532" s="1002" t="s">
        <v>112</v>
      </c>
      <c r="H532" s="1002" t="s">
        <v>112</v>
      </c>
      <c r="I532" s="1002" t="s">
        <v>112</v>
      </c>
      <c r="J532" s="1002" t="s">
        <v>112</v>
      </c>
      <c r="K532" s="1002" t="s">
        <v>112</v>
      </c>
      <c r="L532" s="1002" t="s">
        <v>112</v>
      </c>
      <c r="M532" s="1002" t="s">
        <v>112</v>
      </c>
      <c r="N532" s="1002" t="s">
        <v>112</v>
      </c>
      <c r="O532" s="1002" t="s">
        <v>112</v>
      </c>
      <c r="P532" s="1002" t="s">
        <v>112</v>
      </c>
      <c r="Q532" s="1002" t="s">
        <v>112</v>
      </c>
      <c r="R532" s="1002" t="s">
        <v>112</v>
      </c>
      <c r="S532" s="1002" t="s">
        <v>112</v>
      </c>
      <c r="T532" s="1002" t="s">
        <v>112</v>
      </c>
      <c r="U532" s="1002" t="s">
        <v>112</v>
      </c>
      <c r="V532" s="1002" t="s">
        <v>112</v>
      </c>
      <c r="W532" s="1002" t="s">
        <v>112</v>
      </c>
      <c r="X532" s="1002" t="s">
        <v>112</v>
      </c>
      <c r="Y532" s="1002" t="s">
        <v>112</v>
      </c>
      <c r="Z532" s="1002" t="s">
        <v>112</v>
      </c>
      <c r="AA532" s="1002" t="s">
        <v>112</v>
      </c>
      <c r="AB532" s="1002" t="s">
        <v>112</v>
      </c>
      <c r="AC532" s="1002" t="s">
        <v>112</v>
      </c>
      <c r="AD532" s="1002" t="s">
        <v>112</v>
      </c>
      <c r="AE532" s="1002" t="s">
        <v>112</v>
      </c>
      <c r="AF532" s="1002" t="s">
        <v>112</v>
      </c>
      <c r="AG532" s="1002" t="s">
        <v>112</v>
      </c>
      <c r="AH532" s="53">
        <f t="shared" si="101"/>
        <v>0</v>
      </c>
    </row>
    <row r="533" spans="1:34" ht="15">
      <c r="A533" s="30" t="s">
        <v>83</v>
      </c>
      <c r="B533" s="124">
        <f t="shared" si="100"/>
        <v>72.407999999999987</v>
      </c>
      <c r="C533" s="46"/>
      <c r="D533" s="53"/>
      <c r="E533" s="3378">
        <v>15</v>
      </c>
      <c r="F533" s="3456">
        <v>12</v>
      </c>
      <c r="G533" s="53"/>
      <c r="H533" s="3456">
        <v>12.82</v>
      </c>
      <c r="I533" s="53"/>
      <c r="J533" s="3457">
        <v>10</v>
      </c>
      <c r="K533" s="57"/>
      <c r="L533" s="3458">
        <v>8.5</v>
      </c>
      <c r="M533" s="3458">
        <v>10</v>
      </c>
      <c r="N533" s="18"/>
      <c r="O533" s="3458">
        <v>4.0880000000000001</v>
      </c>
      <c r="P533" s="18"/>
      <c r="Q533" s="1002" t="s">
        <v>112</v>
      </c>
      <c r="R533" s="1002" t="s">
        <v>112</v>
      </c>
      <c r="S533" s="1002" t="s">
        <v>112</v>
      </c>
      <c r="T533" s="1002" t="s">
        <v>112</v>
      </c>
      <c r="U533" s="1002" t="s">
        <v>112</v>
      </c>
      <c r="V533" s="1002" t="s">
        <v>112</v>
      </c>
      <c r="W533" s="1002" t="s">
        <v>112</v>
      </c>
      <c r="X533" s="1002" t="s">
        <v>112</v>
      </c>
      <c r="Y533" s="1002" t="s">
        <v>112</v>
      </c>
      <c r="Z533" s="1002" t="s">
        <v>112</v>
      </c>
      <c r="AA533" s="1002" t="s">
        <v>112</v>
      </c>
      <c r="AB533" s="1002" t="s">
        <v>112</v>
      </c>
      <c r="AC533" s="1002" t="s">
        <v>112</v>
      </c>
      <c r="AD533" s="1002" t="s">
        <v>112</v>
      </c>
      <c r="AE533" s="1002" t="s">
        <v>112</v>
      </c>
      <c r="AF533" s="1002" t="s">
        <v>112</v>
      </c>
      <c r="AG533" s="1002" t="s">
        <v>112</v>
      </c>
      <c r="AH533" s="53">
        <f t="shared" si="101"/>
        <v>72.407999999999987</v>
      </c>
    </row>
    <row r="534" spans="1:34" ht="15">
      <c r="A534" s="30" t="s">
        <v>84</v>
      </c>
      <c r="B534" s="124">
        <f t="shared" si="100"/>
        <v>91.1</v>
      </c>
      <c r="C534" s="1002" t="s">
        <v>112</v>
      </c>
      <c r="D534" s="1002" t="s">
        <v>112</v>
      </c>
      <c r="E534" s="1002" t="s">
        <v>112</v>
      </c>
      <c r="F534" s="1002" t="s">
        <v>112</v>
      </c>
      <c r="G534" s="3256">
        <v>0.6</v>
      </c>
      <c r="H534" s="1002" t="s">
        <v>112</v>
      </c>
      <c r="I534" s="1002" t="s">
        <v>112</v>
      </c>
      <c r="J534" s="1002" t="s">
        <v>112</v>
      </c>
      <c r="K534" s="1002" t="s">
        <v>112</v>
      </c>
      <c r="L534" s="1002" t="s">
        <v>112</v>
      </c>
      <c r="M534" s="1002" t="s">
        <v>112</v>
      </c>
      <c r="N534" s="1002" t="s">
        <v>112</v>
      </c>
      <c r="O534" s="1002" t="s">
        <v>112</v>
      </c>
      <c r="P534" s="1002" t="s">
        <v>112</v>
      </c>
      <c r="Q534" s="1002" t="s">
        <v>112</v>
      </c>
      <c r="R534" s="1002" t="s">
        <v>112</v>
      </c>
      <c r="S534" s="3256">
        <v>12</v>
      </c>
      <c r="T534" s="3256">
        <v>15</v>
      </c>
      <c r="U534" s="1002" t="s">
        <v>112</v>
      </c>
      <c r="V534" s="3256">
        <v>15</v>
      </c>
      <c r="W534" s="1002" t="s">
        <v>112</v>
      </c>
      <c r="X534" s="1002" t="s">
        <v>112</v>
      </c>
      <c r="Y534" s="1002" t="s">
        <v>112</v>
      </c>
      <c r="Z534" s="1002" t="s">
        <v>112</v>
      </c>
      <c r="AA534" s="3256">
        <v>16</v>
      </c>
      <c r="AB534" s="1002" t="s">
        <v>112</v>
      </c>
      <c r="AC534" s="3256">
        <v>14.5</v>
      </c>
      <c r="AD534" s="1002" t="s">
        <v>112</v>
      </c>
      <c r="AE534" s="1002" t="s">
        <v>112</v>
      </c>
      <c r="AF534" s="3256">
        <v>18</v>
      </c>
      <c r="AG534" s="1002" t="s">
        <v>112</v>
      </c>
      <c r="AH534" s="53">
        <f t="shared" si="101"/>
        <v>91.1</v>
      </c>
    </row>
    <row r="535" spans="1:34" ht="15">
      <c r="A535" s="30" t="s">
        <v>85</v>
      </c>
      <c r="B535" s="67">
        <f t="shared" si="100"/>
        <v>381.20799999999997</v>
      </c>
      <c r="C535" s="3245">
        <v>16.5</v>
      </c>
      <c r="D535" s="81" t="s">
        <v>112</v>
      </c>
      <c r="E535" s="81" t="s">
        <v>112</v>
      </c>
      <c r="F535" s="3245">
        <v>15</v>
      </c>
      <c r="G535" s="81" t="s">
        <v>112</v>
      </c>
      <c r="H535" s="81" t="s">
        <v>112</v>
      </c>
      <c r="I535" s="81" t="s">
        <v>112</v>
      </c>
      <c r="J535" s="3245">
        <v>19</v>
      </c>
      <c r="K535" s="3245">
        <v>10</v>
      </c>
      <c r="L535" s="3245">
        <v>12</v>
      </c>
      <c r="M535" s="3245">
        <v>18</v>
      </c>
      <c r="N535" s="3245">
        <v>15</v>
      </c>
      <c r="O535" s="3245">
        <v>15</v>
      </c>
      <c r="P535" s="3245">
        <f>18+17</f>
        <v>35</v>
      </c>
      <c r="Q535" s="3245">
        <v>19</v>
      </c>
      <c r="R535" s="3458">
        <f>15</f>
        <v>15</v>
      </c>
      <c r="S535" s="3458">
        <v>10</v>
      </c>
      <c r="T535" s="3458">
        <f>15+12</f>
        <v>27</v>
      </c>
      <c r="U535" s="3458">
        <v>16</v>
      </c>
      <c r="V535" s="18"/>
      <c r="W535" s="18"/>
      <c r="X535" s="18"/>
      <c r="Y535" s="3459">
        <v>18.5</v>
      </c>
      <c r="Z535" s="18"/>
      <c r="AA535" s="3458">
        <v>19.5</v>
      </c>
      <c r="AB535" s="18"/>
      <c r="AC535" s="3458">
        <v>19.5</v>
      </c>
      <c r="AD535" s="3458">
        <v>10.901999999999999</v>
      </c>
      <c r="AE535" s="3378">
        <f>16.839+36.211+17.256</f>
        <v>70.305999999999997</v>
      </c>
      <c r="AF535" s="18"/>
      <c r="AG535" s="53"/>
      <c r="AH535" s="53">
        <f t="shared" si="101"/>
        <v>381.20799999999997</v>
      </c>
    </row>
    <row r="536" spans="1:34" ht="15">
      <c r="A536" s="30" t="s">
        <v>86</v>
      </c>
      <c r="B536" s="67">
        <f t="shared" si="100"/>
        <v>344.22500000000002</v>
      </c>
      <c r="C536" s="1287"/>
      <c r="D536" s="3327">
        <f>17.8+19.3</f>
        <v>37.1</v>
      </c>
      <c r="E536" s="3327">
        <v>16.5</v>
      </c>
      <c r="F536" s="1287" t="s">
        <v>1369</v>
      </c>
      <c r="G536" s="3327">
        <v>10.08</v>
      </c>
      <c r="H536" s="1287" t="s">
        <v>1370</v>
      </c>
      <c r="I536" s="1287"/>
      <c r="J536" s="3327">
        <v>17</v>
      </c>
      <c r="K536" s="1287"/>
      <c r="L536" s="3327">
        <v>16.5</v>
      </c>
      <c r="M536" s="1287" t="s">
        <v>1371</v>
      </c>
      <c r="N536" s="3327">
        <v>16.5</v>
      </c>
      <c r="O536" s="3327">
        <f>15.5+17</f>
        <v>32.5</v>
      </c>
      <c r="P536" s="1287"/>
      <c r="Q536" s="1287"/>
      <c r="R536" s="18"/>
      <c r="S536" s="18"/>
      <c r="T536" s="18"/>
      <c r="U536" s="18"/>
      <c r="V536" s="3458">
        <v>18.3</v>
      </c>
      <c r="W536" s="18"/>
      <c r="X536" s="3458">
        <v>15</v>
      </c>
      <c r="Y536" s="18"/>
      <c r="Z536" s="3458">
        <f>24+22.5</f>
        <v>46.5</v>
      </c>
      <c r="AA536" s="18"/>
      <c r="AB536" s="3458">
        <v>14.6</v>
      </c>
      <c r="AC536" s="3458">
        <f>15.945+19.5+21</f>
        <v>56.445</v>
      </c>
      <c r="AD536" s="18"/>
      <c r="AE536" s="3378">
        <v>23.2</v>
      </c>
      <c r="AF536" s="3458">
        <v>24</v>
      </c>
      <c r="AG536" s="53"/>
      <c r="AH536" s="53">
        <f t="shared" si="101"/>
        <v>344.22500000000002</v>
      </c>
    </row>
    <row r="537" spans="1:34" ht="15">
      <c r="A537" s="88" t="s">
        <v>74</v>
      </c>
      <c r="B537" s="92">
        <f>SUM(B525:B536)</f>
        <v>1116.9569999999999</v>
      </c>
      <c r="C537" s="46">
        <f>SUM(C525:C535)</f>
        <v>16.5</v>
      </c>
      <c r="D537" s="53">
        <f>SUM(D525:D535)</f>
        <v>0</v>
      </c>
      <c r="E537" s="53">
        <v>0</v>
      </c>
      <c r="F537" s="53">
        <f t="shared" ref="F537:AC537" si="102">SUM(F525:F535)</f>
        <v>138.04</v>
      </c>
      <c r="G537" s="53">
        <f t="shared" si="102"/>
        <v>0.6</v>
      </c>
      <c r="H537" s="53">
        <f t="shared" si="102"/>
        <v>33.867999999999995</v>
      </c>
      <c r="I537" s="53">
        <f t="shared" si="102"/>
        <v>0</v>
      </c>
      <c r="J537" s="53">
        <f t="shared" si="102"/>
        <v>29</v>
      </c>
      <c r="K537" s="53">
        <f t="shared" si="102"/>
        <v>10</v>
      </c>
      <c r="L537" s="53">
        <f t="shared" si="102"/>
        <v>20.5</v>
      </c>
      <c r="M537" s="53">
        <f t="shared" si="102"/>
        <v>29.745000000000001</v>
      </c>
      <c r="N537" s="53">
        <f t="shared" si="102"/>
        <v>20.966999999999999</v>
      </c>
      <c r="O537" s="53">
        <f t="shared" si="102"/>
        <v>19.088000000000001</v>
      </c>
      <c r="P537" s="53">
        <f t="shared" si="102"/>
        <v>38.381999999999998</v>
      </c>
      <c r="Q537" s="53">
        <f t="shared" si="102"/>
        <v>19</v>
      </c>
      <c r="R537" s="53">
        <f t="shared" si="102"/>
        <v>15</v>
      </c>
      <c r="S537" s="53">
        <f t="shared" si="102"/>
        <v>22</v>
      </c>
      <c r="T537" s="53">
        <f t="shared" si="102"/>
        <v>42</v>
      </c>
      <c r="U537" s="53">
        <f t="shared" si="102"/>
        <v>16</v>
      </c>
      <c r="V537" s="53">
        <f t="shared" si="102"/>
        <v>15</v>
      </c>
      <c r="W537" s="53">
        <f t="shared" si="102"/>
        <v>0</v>
      </c>
      <c r="X537" s="53">
        <f t="shared" si="102"/>
        <v>0</v>
      </c>
      <c r="Y537" s="53">
        <f t="shared" si="102"/>
        <v>18.5</v>
      </c>
      <c r="Z537" s="53">
        <f t="shared" si="102"/>
        <v>0</v>
      </c>
      <c r="AA537" s="53">
        <f t="shared" si="102"/>
        <v>35.5</v>
      </c>
      <c r="AB537" s="53">
        <f t="shared" si="102"/>
        <v>0</v>
      </c>
      <c r="AC537" s="53">
        <f t="shared" si="102"/>
        <v>34</v>
      </c>
      <c r="AD537" s="53">
        <v>0</v>
      </c>
      <c r="AE537" s="53">
        <f>SUM(AE525:AE535)</f>
        <v>108.61</v>
      </c>
      <c r="AF537" s="53">
        <f>SUM(AF525:AF535)</f>
        <v>18</v>
      </c>
      <c r="AG537" s="53">
        <f>SUM(AG525:AG535)</f>
        <v>0</v>
      </c>
      <c r="AH537" s="47">
        <f>SUM(AH525:AH535)</f>
        <v>772.73199999999997</v>
      </c>
    </row>
    <row r="538" spans="1:34" ht="8.25" customHeight="1"/>
    <row r="539" spans="1:34" ht="20.25">
      <c r="A539" s="3615" t="s">
        <v>124</v>
      </c>
      <c r="B539" s="3616"/>
      <c r="C539" s="3616"/>
      <c r="D539" s="3616"/>
      <c r="E539" s="3616"/>
      <c r="F539" s="3616"/>
      <c r="G539" s="3616"/>
      <c r="H539" s="3617"/>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row>
    <row r="540" spans="1:34" ht="15">
      <c r="A540" s="5" t="s">
        <v>72</v>
      </c>
      <c r="B540" s="5" t="s">
        <v>73</v>
      </c>
      <c r="C540" s="1233">
        <v>1</v>
      </c>
      <c r="D540" s="30">
        <v>2</v>
      </c>
      <c r="E540" s="30">
        <v>3</v>
      </c>
      <c r="F540" s="30">
        <v>4</v>
      </c>
      <c r="G540" s="30">
        <v>5</v>
      </c>
      <c r="H540" s="30">
        <v>6</v>
      </c>
      <c r="I540" s="30">
        <v>7</v>
      </c>
      <c r="J540" s="30">
        <v>8</v>
      </c>
      <c r="K540" s="30">
        <v>9</v>
      </c>
      <c r="L540" s="30">
        <v>10</v>
      </c>
      <c r="M540" s="30">
        <v>11</v>
      </c>
      <c r="N540" s="30">
        <v>12</v>
      </c>
      <c r="O540" s="30">
        <v>13</v>
      </c>
      <c r="P540" s="30">
        <v>14</v>
      </c>
      <c r="Q540" s="30">
        <v>15</v>
      </c>
      <c r="R540" s="30">
        <v>16</v>
      </c>
      <c r="S540" s="30">
        <v>17</v>
      </c>
      <c r="T540" s="30">
        <v>18</v>
      </c>
      <c r="U540" s="30">
        <v>19</v>
      </c>
      <c r="V540" s="30">
        <v>20</v>
      </c>
      <c r="W540" s="30">
        <v>21</v>
      </c>
      <c r="X540" s="30">
        <v>22</v>
      </c>
      <c r="Y540" s="30">
        <v>23</v>
      </c>
      <c r="Z540" s="30">
        <v>24</v>
      </c>
      <c r="AA540" s="30">
        <v>25</v>
      </c>
      <c r="AB540" s="30">
        <v>26</v>
      </c>
      <c r="AC540" s="30">
        <v>27</v>
      </c>
      <c r="AD540" s="30">
        <v>28</v>
      </c>
      <c r="AE540" s="30">
        <v>29</v>
      </c>
      <c r="AF540" s="30">
        <v>30</v>
      </c>
      <c r="AG540" s="30">
        <v>31</v>
      </c>
      <c r="AH540" s="39" t="s">
        <v>74</v>
      </c>
    </row>
    <row r="541" spans="1:34" ht="15">
      <c r="A541" s="30" t="s">
        <v>75</v>
      </c>
      <c r="B541" s="114">
        <f t="shared" ref="B541:B552" si="103">+AH541</f>
        <v>41.927999999999997</v>
      </c>
      <c r="C541" s="1815"/>
      <c r="D541" s="1815"/>
      <c r="E541" s="1815"/>
      <c r="F541" s="1815"/>
      <c r="G541" s="1815"/>
      <c r="H541" s="1815"/>
      <c r="I541" s="1815"/>
      <c r="J541" s="1815"/>
      <c r="K541" s="1815"/>
      <c r="L541" s="1815"/>
      <c r="M541" s="1815"/>
      <c r="N541" s="1815"/>
      <c r="O541" s="1815"/>
      <c r="P541" s="1815"/>
      <c r="Q541" s="1815"/>
      <c r="R541" s="1815"/>
      <c r="S541" s="1815"/>
      <c r="T541" s="1815"/>
      <c r="U541" s="1815"/>
      <c r="V541" s="1815"/>
      <c r="W541" s="1815"/>
      <c r="X541" s="1815"/>
      <c r="Y541" s="1815"/>
      <c r="Z541" s="1815"/>
      <c r="AA541" s="1815"/>
      <c r="AB541" s="1815"/>
      <c r="AC541" s="1815"/>
      <c r="AD541" s="1815"/>
      <c r="AE541" s="2930">
        <v>22.338000000000001</v>
      </c>
      <c r="AF541" s="2930">
        <v>19.59</v>
      </c>
      <c r="AG541" s="1815"/>
      <c r="AH541" s="53">
        <f>SUM(C541:AG541)</f>
        <v>41.927999999999997</v>
      </c>
    </row>
    <row r="542" spans="1:34" ht="15">
      <c r="A542" s="30" t="s">
        <v>76</v>
      </c>
      <c r="B542" s="114">
        <f t="shared" si="103"/>
        <v>12.01</v>
      </c>
      <c r="C542" s="1815"/>
      <c r="D542" s="1815"/>
      <c r="E542" s="1815"/>
      <c r="F542" s="2930">
        <v>12.01</v>
      </c>
      <c r="G542" s="1815"/>
      <c r="H542" s="1815" t="s">
        <v>1372</v>
      </c>
      <c r="I542" s="1815"/>
      <c r="J542" s="1815"/>
      <c r="K542" s="1815"/>
      <c r="L542" s="1815"/>
      <c r="M542" s="1815"/>
      <c r="N542" s="1815"/>
      <c r="O542" s="1815"/>
      <c r="P542" s="1815"/>
      <c r="Q542" s="1815"/>
      <c r="R542" s="1815"/>
      <c r="S542" s="1815"/>
      <c r="T542" s="1815"/>
      <c r="U542" s="1815"/>
      <c r="V542" s="1815"/>
      <c r="W542" s="1815"/>
      <c r="X542" s="1815"/>
      <c r="Y542" s="1815"/>
      <c r="Z542" s="1815"/>
      <c r="AA542" s="1815"/>
      <c r="AB542" s="1815"/>
      <c r="AC542" s="1815"/>
      <c r="AD542" s="1815"/>
      <c r="AE542" s="1815"/>
      <c r="AF542" s="1815"/>
      <c r="AG542" s="1815"/>
      <c r="AH542" s="53">
        <f t="shared" ref="AH542:AH552" si="104">SUM(C542:AG542)</f>
        <v>12.01</v>
      </c>
    </row>
    <row r="543" spans="1:34" ht="15">
      <c r="A543" s="30" t="s">
        <v>77</v>
      </c>
      <c r="B543" s="114">
        <f t="shared" si="103"/>
        <v>22.777999999999999</v>
      </c>
      <c r="C543" s="1930"/>
      <c r="D543" s="1930"/>
      <c r="E543" s="1930"/>
      <c r="F543" s="1930"/>
      <c r="G543" s="1930"/>
      <c r="H543" s="1287"/>
      <c r="I543" s="1287">
        <v>7.1319999999999997</v>
      </c>
      <c r="J543" s="1287"/>
      <c r="K543" s="1287" t="s">
        <v>1373</v>
      </c>
      <c r="L543" s="1287"/>
      <c r="M543" s="1287" t="s">
        <v>1374</v>
      </c>
      <c r="N543" s="1287"/>
      <c r="O543" s="3327">
        <v>2.3860000000000001</v>
      </c>
      <c r="P543" s="1287" t="s">
        <v>1375</v>
      </c>
      <c r="Q543" s="1280"/>
      <c r="R543" s="1280" t="s">
        <v>1376</v>
      </c>
      <c r="S543" s="1280"/>
      <c r="T543" s="1280"/>
      <c r="U543" s="1280"/>
      <c r="V543" s="1280"/>
      <c r="W543" s="1280"/>
      <c r="X543" s="1280" t="s">
        <v>1377</v>
      </c>
      <c r="Y543" s="3451">
        <v>13.26</v>
      </c>
      <c r="Z543" s="1280"/>
      <c r="AA543" s="1280" t="s">
        <v>1380</v>
      </c>
      <c r="AB543" s="1280" t="s">
        <v>1378</v>
      </c>
      <c r="AC543" s="1280"/>
      <c r="AD543" s="1280" t="s">
        <v>1379</v>
      </c>
      <c r="AE543" s="1280"/>
      <c r="AF543" s="1280"/>
      <c r="AG543" s="1280"/>
      <c r="AH543" s="53">
        <f t="shared" si="104"/>
        <v>22.777999999999999</v>
      </c>
    </row>
    <row r="544" spans="1:34" ht="15">
      <c r="A544" s="30" t="s">
        <v>78</v>
      </c>
      <c r="B544" s="259">
        <f t="shared" si="103"/>
        <v>0</v>
      </c>
      <c r="C544" s="1280" t="s">
        <v>1381</v>
      </c>
      <c r="D544" s="1280"/>
      <c r="E544" s="1280" t="s">
        <v>1382</v>
      </c>
      <c r="F544" s="1280" t="s">
        <v>1383</v>
      </c>
      <c r="G544" s="1280"/>
      <c r="H544" s="1280"/>
      <c r="I544" s="1280"/>
      <c r="J544" s="1280" t="s">
        <v>1384</v>
      </c>
      <c r="K544" s="1280"/>
      <c r="L544" s="1280"/>
      <c r="M544" s="1280" t="s">
        <v>1385</v>
      </c>
      <c r="N544" s="1280" t="s">
        <v>1386</v>
      </c>
      <c r="O544" s="1280"/>
      <c r="P544" s="1280"/>
      <c r="Q544" s="1280" t="s">
        <v>1387</v>
      </c>
      <c r="R544" s="1280"/>
      <c r="S544" s="1280"/>
      <c r="T544" s="1280"/>
      <c r="U544" s="1280"/>
      <c r="V544" s="1280"/>
      <c r="W544" s="1280"/>
      <c r="X544" s="1280"/>
      <c r="Y544" s="1280"/>
      <c r="Z544" s="1280"/>
      <c r="AA544" s="1280"/>
      <c r="AB544" s="1280"/>
      <c r="AC544" s="1280"/>
      <c r="AD544" s="1280"/>
      <c r="AE544" s="1280"/>
      <c r="AF544" s="1280" t="s">
        <v>112</v>
      </c>
      <c r="AG544" s="1280" t="s">
        <v>112</v>
      </c>
      <c r="AH544" s="53">
        <f t="shared" si="104"/>
        <v>0</v>
      </c>
    </row>
    <row r="545" spans="1:34" ht="15.75" thickBot="1">
      <c r="A545" s="30" t="s">
        <v>79</v>
      </c>
      <c r="B545" s="114">
        <f t="shared" si="103"/>
        <v>5.71</v>
      </c>
      <c r="C545" s="1280" t="s">
        <v>112</v>
      </c>
      <c r="D545" s="1280" t="s">
        <v>112</v>
      </c>
      <c r="E545" s="1280" t="s">
        <v>112</v>
      </c>
      <c r="F545" s="1280" t="s">
        <v>112</v>
      </c>
      <c r="G545" s="1280" t="s">
        <v>112</v>
      </c>
      <c r="H545" s="1280" t="s">
        <v>112</v>
      </c>
      <c r="I545" s="1280" t="s">
        <v>112</v>
      </c>
      <c r="J545" s="1280" t="s">
        <v>112</v>
      </c>
      <c r="K545" s="1280" t="s">
        <v>112</v>
      </c>
      <c r="L545" s="1280" t="s">
        <v>112</v>
      </c>
      <c r="M545" s="1280" t="s">
        <v>112</v>
      </c>
      <c r="N545" s="1280" t="s">
        <v>112</v>
      </c>
      <c r="O545" s="1280" t="s">
        <v>112</v>
      </c>
      <c r="P545" s="1280" t="s">
        <v>112</v>
      </c>
      <c r="Q545" s="1280" t="s">
        <v>112</v>
      </c>
      <c r="R545" s="3327">
        <v>5.71</v>
      </c>
      <c r="S545" s="1287"/>
      <c r="T545" s="1287"/>
      <c r="U545" s="1287"/>
      <c r="V545" s="3371" t="s">
        <v>1388</v>
      </c>
      <c r="W545" s="1287"/>
      <c r="X545" s="1287"/>
      <c r="Y545" s="1287"/>
      <c r="Z545" s="1287"/>
      <c r="AA545" s="1287"/>
      <c r="AB545" s="1287"/>
      <c r="AC545" s="1287"/>
      <c r="AD545" s="1287"/>
      <c r="AE545" s="1287"/>
      <c r="AF545" s="1287"/>
      <c r="AG545" s="1287"/>
      <c r="AH545" s="53">
        <f t="shared" si="104"/>
        <v>5.71</v>
      </c>
    </row>
    <row r="546" spans="1:34" ht="15.75" thickBot="1">
      <c r="A546" s="30" t="s">
        <v>80</v>
      </c>
      <c r="B546" s="114">
        <f t="shared" si="103"/>
        <v>29.047000000000001</v>
      </c>
      <c r="C546" s="49"/>
      <c r="D546" s="18"/>
      <c r="E546" s="18"/>
      <c r="F546" s="18"/>
      <c r="G546" s="18"/>
      <c r="H546" s="18" t="s">
        <v>1389</v>
      </c>
      <c r="I546" s="18" t="s">
        <v>1390</v>
      </c>
      <c r="J546" s="18" t="s">
        <v>1391</v>
      </c>
      <c r="K546" s="18"/>
      <c r="L546" s="18" t="s">
        <v>1392</v>
      </c>
      <c r="M546" s="18"/>
      <c r="N546" s="18" t="s">
        <v>1393</v>
      </c>
      <c r="O546" s="18" t="s">
        <v>1394</v>
      </c>
      <c r="P546" s="18">
        <v>3.387</v>
      </c>
      <c r="Q546" s="18"/>
      <c r="R546" s="18"/>
      <c r="S546" s="18" t="s">
        <v>1395</v>
      </c>
      <c r="T546" s="18"/>
      <c r="U546" s="3369"/>
      <c r="V546" s="3373">
        <v>25.66</v>
      </c>
      <c r="W546" s="3370" t="s">
        <v>1396</v>
      </c>
      <c r="X546" s="18" t="s">
        <v>1397</v>
      </c>
      <c r="Y546" s="18"/>
      <c r="Z546" s="18"/>
      <c r="AA546" s="18"/>
      <c r="AB546" s="18"/>
      <c r="AC546" s="18"/>
      <c r="AD546" s="18"/>
      <c r="AE546" s="18"/>
      <c r="AF546" s="18"/>
      <c r="AG546" s="18"/>
      <c r="AH546" s="53">
        <f t="shared" si="104"/>
        <v>29.047000000000001</v>
      </c>
    </row>
    <row r="547" spans="1:34" ht="15">
      <c r="A547" s="30" t="s">
        <v>81</v>
      </c>
      <c r="B547" s="112">
        <f t="shared" si="103"/>
        <v>0</v>
      </c>
      <c r="C547" s="49"/>
      <c r="D547" s="18"/>
      <c r="E547" s="18"/>
      <c r="F547" s="18"/>
      <c r="G547" s="18" t="s">
        <v>1398</v>
      </c>
      <c r="H547" s="18"/>
      <c r="I547" s="18"/>
      <c r="J547" s="49"/>
      <c r="K547" s="49"/>
      <c r="L547" s="18"/>
      <c r="M547" s="18"/>
      <c r="N547" s="18"/>
      <c r="O547" s="18"/>
      <c r="P547" s="18"/>
      <c r="Q547" s="18"/>
      <c r="R547" s="18"/>
      <c r="S547" s="18"/>
      <c r="T547" s="18"/>
      <c r="U547" s="18"/>
      <c r="V547" s="3372"/>
      <c r="W547" s="81" t="s">
        <v>112</v>
      </c>
      <c r="X547" s="81" t="s">
        <v>112</v>
      </c>
      <c r="Y547" s="81" t="s">
        <v>112</v>
      </c>
      <c r="Z547" s="81" t="s">
        <v>112</v>
      </c>
      <c r="AA547" s="81" t="s">
        <v>112</v>
      </c>
      <c r="AB547" s="81" t="s">
        <v>112</v>
      </c>
      <c r="AC547" s="81" t="s">
        <v>112</v>
      </c>
      <c r="AD547" s="81" t="s">
        <v>112</v>
      </c>
      <c r="AE547" s="81" t="s">
        <v>112</v>
      </c>
      <c r="AF547" s="81" t="s">
        <v>112</v>
      </c>
      <c r="AG547" s="81" t="s">
        <v>112</v>
      </c>
      <c r="AH547" s="53">
        <f t="shared" si="104"/>
        <v>0</v>
      </c>
    </row>
    <row r="548" spans="1:34" ht="15">
      <c r="A548" s="30" t="s">
        <v>82</v>
      </c>
      <c r="B548" s="112">
        <f t="shared" si="103"/>
        <v>0</v>
      </c>
      <c r="C548" s="81" t="s">
        <v>1399</v>
      </c>
      <c r="D548" s="81" t="s">
        <v>112</v>
      </c>
      <c r="E548" s="81" t="s">
        <v>1400</v>
      </c>
      <c r="F548" s="81" t="s">
        <v>112</v>
      </c>
      <c r="G548" s="81" t="s">
        <v>112</v>
      </c>
      <c r="H548" s="81" t="s">
        <v>112</v>
      </c>
      <c r="I548" s="81" t="s">
        <v>112</v>
      </c>
      <c r="J548" s="81" t="s">
        <v>112</v>
      </c>
      <c r="K548" s="81" t="s">
        <v>112</v>
      </c>
      <c r="L548" s="81" t="s">
        <v>112</v>
      </c>
      <c r="M548" s="81" t="s">
        <v>112</v>
      </c>
      <c r="N548" s="81" t="s">
        <v>112</v>
      </c>
      <c r="O548" s="81" t="s">
        <v>112</v>
      </c>
      <c r="P548" s="81" t="s">
        <v>1400</v>
      </c>
      <c r="Q548" s="81" t="s">
        <v>112</v>
      </c>
      <c r="R548" s="81" t="s">
        <v>112</v>
      </c>
      <c r="S548" s="81" t="s">
        <v>112</v>
      </c>
      <c r="T548" s="81" t="s">
        <v>112</v>
      </c>
      <c r="U548" s="81" t="s">
        <v>112</v>
      </c>
      <c r="V548" s="81" t="s">
        <v>112</v>
      </c>
      <c r="W548" s="81" t="s">
        <v>112</v>
      </c>
      <c r="X548" s="81" t="s">
        <v>112</v>
      </c>
      <c r="Y548" s="81" t="s">
        <v>112</v>
      </c>
      <c r="Z548" s="81" t="s">
        <v>112</v>
      </c>
      <c r="AA548" s="81" t="s">
        <v>112</v>
      </c>
      <c r="AB548" s="81" t="s">
        <v>112</v>
      </c>
      <c r="AC548" s="81" t="s">
        <v>112</v>
      </c>
      <c r="AD548" s="81" t="s">
        <v>112</v>
      </c>
      <c r="AE548" s="81" t="s">
        <v>112</v>
      </c>
      <c r="AF548" s="81" t="s">
        <v>112</v>
      </c>
      <c r="AG548" s="81" t="s">
        <v>112</v>
      </c>
      <c r="AH548" s="53">
        <f t="shared" si="104"/>
        <v>0</v>
      </c>
    </row>
    <row r="549" spans="1:34" ht="15">
      <c r="A549" s="30" t="s">
        <v>83</v>
      </c>
      <c r="B549" s="112">
        <f t="shared" si="103"/>
        <v>0</v>
      </c>
      <c r="C549" s="49"/>
      <c r="D549" s="18"/>
      <c r="E549" s="18"/>
      <c r="F549" s="18" t="s">
        <v>1401</v>
      </c>
      <c r="G549" s="18"/>
      <c r="H549" s="18"/>
      <c r="I549" s="18"/>
      <c r="J549" s="49"/>
      <c r="K549" s="49"/>
      <c r="L549" s="18"/>
      <c r="M549" s="18"/>
      <c r="N549" s="18"/>
      <c r="O549" s="18"/>
      <c r="P549" s="18"/>
      <c r="Q549" s="81" t="s">
        <v>112</v>
      </c>
      <c r="R549" s="81" t="s">
        <v>112</v>
      </c>
      <c r="S549" s="81" t="s">
        <v>112</v>
      </c>
      <c r="T549" s="81" t="s">
        <v>112</v>
      </c>
      <c r="U549" s="81" t="s">
        <v>112</v>
      </c>
      <c r="V549" s="81" t="s">
        <v>112</v>
      </c>
      <c r="W549" s="81" t="s">
        <v>112</v>
      </c>
      <c r="X549" s="81" t="s">
        <v>112</v>
      </c>
      <c r="Y549" s="81" t="s">
        <v>112</v>
      </c>
      <c r="Z549" s="81" t="s">
        <v>112</v>
      </c>
      <c r="AA549" s="81" t="s">
        <v>112</v>
      </c>
      <c r="AB549" s="81" t="s">
        <v>112</v>
      </c>
      <c r="AC549" s="81" t="s">
        <v>112</v>
      </c>
      <c r="AD549" s="81" t="s">
        <v>112</v>
      </c>
      <c r="AE549" s="81" t="s">
        <v>112</v>
      </c>
      <c r="AF549" s="81" t="s">
        <v>112</v>
      </c>
      <c r="AG549" s="81" t="s">
        <v>112</v>
      </c>
      <c r="AH549" s="53">
        <f t="shared" si="104"/>
        <v>0</v>
      </c>
    </row>
    <row r="550" spans="1:34" ht="15">
      <c r="A550" s="30" t="s">
        <v>84</v>
      </c>
      <c r="B550" s="112">
        <f t="shared" si="103"/>
        <v>0</v>
      </c>
      <c r="C550" s="81" t="s">
        <v>112</v>
      </c>
      <c r="D550" s="81" t="s">
        <v>112</v>
      </c>
      <c r="E550" s="81" t="s">
        <v>112</v>
      </c>
      <c r="F550" s="81" t="s">
        <v>112</v>
      </c>
      <c r="G550" s="81" t="s">
        <v>112</v>
      </c>
      <c r="H550" s="81" t="s">
        <v>112</v>
      </c>
      <c r="I550" s="81" t="s">
        <v>112</v>
      </c>
      <c r="J550" s="81" t="s">
        <v>112</v>
      </c>
      <c r="K550" s="81" t="s">
        <v>112</v>
      </c>
      <c r="L550" s="81" t="s">
        <v>112</v>
      </c>
      <c r="M550" s="81" t="s">
        <v>112</v>
      </c>
      <c r="N550" s="81" t="s">
        <v>112</v>
      </c>
      <c r="O550" s="81" t="s">
        <v>112</v>
      </c>
      <c r="P550" s="81" t="s">
        <v>112</v>
      </c>
      <c r="Q550" s="81" t="s">
        <v>112</v>
      </c>
      <c r="R550" s="81" t="s">
        <v>112</v>
      </c>
      <c r="S550" s="81" t="s">
        <v>112</v>
      </c>
      <c r="T550" s="81" t="s">
        <v>112</v>
      </c>
      <c r="U550" s="81" t="s">
        <v>112</v>
      </c>
      <c r="V550" s="81" t="s">
        <v>112</v>
      </c>
      <c r="W550" s="81" t="s">
        <v>112</v>
      </c>
      <c r="X550" s="81" t="s">
        <v>112</v>
      </c>
      <c r="Y550" s="81" t="s">
        <v>112</v>
      </c>
      <c r="Z550" s="81" t="s">
        <v>112</v>
      </c>
      <c r="AA550" s="81" t="s">
        <v>112</v>
      </c>
      <c r="AB550" s="81" t="s">
        <v>112</v>
      </c>
      <c r="AC550" s="81" t="s">
        <v>112</v>
      </c>
      <c r="AD550" s="81" t="s">
        <v>112</v>
      </c>
      <c r="AE550" s="81" t="s">
        <v>1402</v>
      </c>
      <c r="AF550" s="81" t="s">
        <v>1403</v>
      </c>
      <c r="AG550" s="81" t="s">
        <v>112</v>
      </c>
      <c r="AH550" s="53">
        <f t="shared" si="104"/>
        <v>0</v>
      </c>
    </row>
    <row r="551" spans="1:34" ht="15">
      <c r="A551" s="30" t="s">
        <v>85</v>
      </c>
      <c r="B551" s="18">
        <f t="shared" si="103"/>
        <v>0</v>
      </c>
      <c r="C551" s="81" t="s">
        <v>112</v>
      </c>
      <c r="D551" s="81" t="s">
        <v>112</v>
      </c>
      <c r="E551" s="81" t="s">
        <v>112</v>
      </c>
      <c r="F551" s="81" t="s">
        <v>1404</v>
      </c>
      <c r="G551" s="81" t="s">
        <v>112</v>
      </c>
      <c r="H551" s="81" t="s">
        <v>1405</v>
      </c>
      <c r="I551" s="81" t="s">
        <v>112</v>
      </c>
      <c r="J551" s="81" t="s">
        <v>112</v>
      </c>
      <c r="K551" s="81" t="s">
        <v>112</v>
      </c>
      <c r="L551" s="81" t="s">
        <v>112</v>
      </c>
      <c r="M551" s="81" t="s">
        <v>112</v>
      </c>
      <c r="N551" s="81" t="s">
        <v>112</v>
      </c>
      <c r="O551" s="81" t="s">
        <v>112</v>
      </c>
      <c r="P551" s="81" t="s">
        <v>112</v>
      </c>
      <c r="Q551" s="81" t="s">
        <v>112</v>
      </c>
      <c r="R551" s="18"/>
      <c r="S551" s="18"/>
      <c r="T551" s="18"/>
      <c r="U551" s="18"/>
      <c r="V551" s="18"/>
      <c r="W551" s="18"/>
      <c r="X551" s="18"/>
      <c r="Y551" s="8"/>
      <c r="Z551" s="18"/>
      <c r="AA551" s="18"/>
      <c r="AB551" s="18"/>
      <c r="AC551" s="18"/>
      <c r="AD551" s="18"/>
      <c r="AE551" s="18" t="s">
        <v>1406</v>
      </c>
      <c r="AF551" s="18"/>
      <c r="AG551" s="18"/>
      <c r="AH551" s="53">
        <f t="shared" si="104"/>
        <v>0</v>
      </c>
    </row>
    <row r="552" spans="1:34" ht="15">
      <c r="A552" s="30" t="s">
        <v>86</v>
      </c>
      <c r="B552" s="18">
        <f t="shared" si="103"/>
        <v>28.98</v>
      </c>
      <c r="C552" s="49"/>
      <c r="D552" s="18"/>
      <c r="E552" s="18"/>
      <c r="F552" s="3458">
        <v>11.26</v>
      </c>
      <c r="G552" s="18"/>
      <c r="H552" s="18"/>
      <c r="I552" s="18"/>
      <c r="J552" s="18"/>
      <c r="K552" s="18"/>
      <c r="L552" s="18"/>
      <c r="M552" s="18"/>
      <c r="N552" s="18"/>
      <c r="O552" s="18"/>
      <c r="P552" s="18"/>
      <c r="Q552" s="18"/>
      <c r="R552" s="18"/>
      <c r="S552" s="18"/>
      <c r="T552" s="18"/>
      <c r="U552" s="3458">
        <v>2</v>
      </c>
      <c r="V552" s="18"/>
      <c r="W552" s="18"/>
      <c r="X552" s="18"/>
      <c r="Y552" s="18"/>
      <c r="Z552" s="18"/>
      <c r="AA552" s="18"/>
      <c r="AB552" s="18"/>
      <c r="AC552" s="18"/>
      <c r="AD552" s="3458">
        <f>12+3.72</f>
        <v>15.72</v>
      </c>
      <c r="AE552" s="18"/>
      <c r="AF552" s="18"/>
      <c r="AG552" s="18"/>
      <c r="AH552" s="53">
        <f t="shared" si="104"/>
        <v>28.98</v>
      </c>
    </row>
    <row r="553" spans="1:34" ht="15">
      <c r="A553" s="88" t="s">
        <v>74</v>
      </c>
      <c r="B553" s="92">
        <f>SUM(B541:B552)</f>
        <v>140.45299999999997</v>
      </c>
      <c r="C553" s="46">
        <f>SUM(C541:C551)</f>
        <v>0</v>
      </c>
      <c r="D553" s="53">
        <f>SUM(D541:D551)</f>
        <v>0</v>
      </c>
      <c r="E553" s="53">
        <v>0</v>
      </c>
      <c r="F553" s="53">
        <f t="shared" ref="F553:AC553" si="105">SUM(F541:F551)</f>
        <v>12.01</v>
      </c>
      <c r="G553" s="53">
        <f t="shared" si="105"/>
        <v>0</v>
      </c>
      <c r="H553" s="53">
        <f t="shared" si="105"/>
        <v>0</v>
      </c>
      <c r="I553" s="53">
        <f t="shared" si="105"/>
        <v>7.1319999999999997</v>
      </c>
      <c r="J553" s="53">
        <f t="shared" si="105"/>
        <v>0</v>
      </c>
      <c r="K553" s="53">
        <f t="shared" si="105"/>
        <v>0</v>
      </c>
      <c r="L553" s="53">
        <f t="shared" si="105"/>
        <v>0</v>
      </c>
      <c r="M553" s="53">
        <f t="shared" si="105"/>
        <v>0</v>
      </c>
      <c r="N553" s="53">
        <f t="shared" si="105"/>
        <v>0</v>
      </c>
      <c r="O553" s="53">
        <f t="shared" si="105"/>
        <v>2.3860000000000001</v>
      </c>
      <c r="P553" s="53">
        <f t="shared" si="105"/>
        <v>3.387</v>
      </c>
      <c r="Q553" s="53">
        <f t="shared" si="105"/>
        <v>0</v>
      </c>
      <c r="R553" s="53">
        <f t="shared" si="105"/>
        <v>5.71</v>
      </c>
      <c r="S553" s="53">
        <f t="shared" si="105"/>
        <v>0</v>
      </c>
      <c r="T553" s="53">
        <f t="shared" si="105"/>
        <v>0</v>
      </c>
      <c r="U553" s="53">
        <f t="shared" si="105"/>
        <v>0</v>
      </c>
      <c r="V553" s="53">
        <f t="shared" si="105"/>
        <v>25.66</v>
      </c>
      <c r="W553" s="53">
        <f t="shared" si="105"/>
        <v>0</v>
      </c>
      <c r="X553" s="53">
        <f t="shared" si="105"/>
        <v>0</v>
      </c>
      <c r="Y553" s="53">
        <f t="shared" si="105"/>
        <v>13.26</v>
      </c>
      <c r="Z553" s="53">
        <f t="shared" si="105"/>
        <v>0</v>
      </c>
      <c r="AA553" s="53">
        <f t="shared" si="105"/>
        <v>0</v>
      </c>
      <c r="AB553" s="53">
        <f t="shared" si="105"/>
        <v>0</v>
      </c>
      <c r="AC553" s="53">
        <f t="shared" si="105"/>
        <v>0</v>
      </c>
      <c r="AD553" s="53">
        <v>0</v>
      </c>
      <c r="AE553" s="53">
        <f>SUM(AE541:AE551)</f>
        <v>22.338000000000001</v>
      </c>
      <c r="AF553" s="53">
        <f>SUM(AF541:AF551)</f>
        <v>19.59</v>
      </c>
      <c r="AG553" s="53">
        <f>SUM(AG541:AG551)</f>
        <v>0</v>
      </c>
      <c r="AH553" s="46">
        <f>SUM(AH541:AH551)</f>
        <v>111.47299999999998</v>
      </c>
    </row>
  </sheetData>
  <mergeCells count="38">
    <mergeCell ref="A539:H539"/>
    <mergeCell ref="A265:H265"/>
    <mergeCell ref="A345:H345"/>
    <mergeCell ref="A361:R361"/>
    <mergeCell ref="A363:H363"/>
    <mergeCell ref="A297:H297"/>
    <mergeCell ref="A313:H313"/>
    <mergeCell ref="A475:H475"/>
    <mergeCell ref="A379:H379"/>
    <mergeCell ref="A411:H411"/>
    <mergeCell ref="A443:O443"/>
    <mergeCell ref="A89:H89"/>
    <mergeCell ref="A38:R38"/>
    <mergeCell ref="A71:C71"/>
    <mergeCell ref="A507:H507"/>
    <mergeCell ref="A523:H523"/>
    <mergeCell ref="A491:H491"/>
    <mergeCell ref="A395:H395"/>
    <mergeCell ref="A427:H427"/>
    <mergeCell ref="A459:H459"/>
    <mergeCell ref="A137:H137"/>
    <mergeCell ref="A153:H153"/>
    <mergeCell ref="A169:H169"/>
    <mergeCell ref="A249:H249"/>
    <mergeCell ref="A185:H185"/>
    <mergeCell ref="A281:H281"/>
    <mergeCell ref="A105:H105"/>
    <mergeCell ref="A22:H22"/>
    <mergeCell ref="A2:T2"/>
    <mergeCell ref="A4:R4"/>
    <mergeCell ref="A6:H6"/>
    <mergeCell ref="A87:R87"/>
    <mergeCell ref="A55:I55"/>
    <mergeCell ref="A121:H121"/>
    <mergeCell ref="A329:H329"/>
    <mergeCell ref="A201:H201"/>
    <mergeCell ref="A217:H217"/>
    <mergeCell ref="A233:H233"/>
  </mergeCells>
  <phoneticPr fontId="0" type="noConversion"/>
  <pageMargins left="0.75" right="0.75" top="1" bottom="1" header="0" footer="0"/>
  <pageSetup paperSize="5" orientation="portrait" r:id="rId1"/>
  <headerFooter alignWithMargins="0"/>
  <legacyDrawing r:id="rId2"/>
</worksheet>
</file>

<file path=xl/worksheets/sheet9.xml><?xml version="1.0" encoding="utf-8"?>
<worksheet xmlns="http://schemas.openxmlformats.org/spreadsheetml/2006/main" xmlns:r="http://schemas.openxmlformats.org/officeDocument/2006/relationships">
  <sheetPr>
    <tabColor rgb="FFCCCC00"/>
  </sheetPr>
  <dimension ref="A2:BS116"/>
  <sheetViews>
    <sheetView workbookViewId="0"/>
  </sheetViews>
  <sheetFormatPr baseColWidth="10" defaultRowHeight="12.75"/>
  <cols>
    <col min="1" max="1" width="11.42578125" style="82"/>
    <col min="2" max="2" width="12.85546875" style="82" customWidth="1"/>
    <col min="3" max="38" width="11.42578125" style="82"/>
    <col min="39" max="39" width="13.140625" style="82" customWidth="1"/>
    <col min="40" max="40" width="11.42578125" style="82"/>
    <col min="41" max="71" width="8.85546875" style="82" customWidth="1"/>
    <col min="72" max="16384" width="11.42578125" style="82"/>
  </cols>
  <sheetData>
    <row r="2" spans="1:34" ht="15">
      <c r="A2" s="3569" t="s">
        <v>566</v>
      </c>
      <c r="B2" s="3570"/>
      <c r="C2" s="3570"/>
      <c r="D2" s="3570"/>
      <c r="E2" s="3570"/>
      <c r="F2" s="3570"/>
      <c r="G2" s="3570"/>
      <c r="H2" s="3570"/>
      <c r="I2" s="3570"/>
      <c r="J2" s="3570"/>
      <c r="K2" s="3570"/>
      <c r="L2" s="3570"/>
      <c r="M2" s="3570"/>
      <c r="N2" s="3570"/>
      <c r="O2" s="3570"/>
      <c r="P2" s="3570"/>
      <c r="Q2" s="3570"/>
      <c r="R2" s="3570"/>
      <c r="S2" s="3570"/>
      <c r="T2" s="3571"/>
      <c r="U2" s="11"/>
      <c r="V2" s="11"/>
      <c r="W2" s="11"/>
      <c r="X2" s="11"/>
      <c r="Y2" s="11"/>
      <c r="Z2" s="11"/>
      <c r="AA2" s="11"/>
      <c r="AB2" s="11"/>
      <c r="AC2" s="11"/>
      <c r="AD2" s="11"/>
      <c r="AE2" s="11"/>
      <c r="AF2" s="11"/>
      <c r="AG2" s="11"/>
      <c r="AH2" s="1"/>
    </row>
    <row r="3" spans="1:34" s="83" customFormat="1" ht="15">
      <c r="A3" s="50"/>
      <c r="B3" s="50"/>
      <c r="C3" s="50"/>
      <c r="D3" s="50"/>
      <c r="E3" s="50"/>
      <c r="F3" s="50"/>
      <c r="G3" s="50"/>
      <c r="H3" s="50"/>
      <c r="I3" s="50"/>
      <c r="J3" s="50"/>
      <c r="K3" s="50"/>
      <c r="L3" s="50"/>
      <c r="M3" s="50"/>
      <c r="N3" s="50"/>
      <c r="O3" s="50"/>
      <c r="P3" s="50"/>
      <c r="Q3" s="50"/>
      <c r="R3" s="50"/>
      <c r="S3" s="50"/>
      <c r="T3" s="50"/>
      <c r="U3" s="11"/>
      <c r="V3" s="11"/>
      <c r="W3" s="11"/>
      <c r="X3" s="11"/>
      <c r="Y3" s="11"/>
      <c r="Z3" s="11"/>
      <c r="AA3" s="11"/>
      <c r="AB3" s="11"/>
      <c r="AC3" s="11"/>
      <c r="AD3" s="11"/>
      <c r="AE3" s="11"/>
      <c r="AF3" s="11"/>
      <c r="AG3" s="11"/>
      <c r="AH3" s="11"/>
    </row>
    <row r="4" spans="1:34" ht="15" hidden="1">
      <c r="A4" s="3569" t="s">
        <v>557</v>
      </c>
      <c r="B4" s="3570"/>
      <c r="C4" s="357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
    </row>
    <row r="5" spans="1:34" ht="15" hidden="1">
      <c r="A5" s="5" t="s">
        <v>72</v>
      </c>
      <c r="B5" s="30" t="s">
        <v>73</v>
      </c>
      <c r="C5" s="5">
        <v>1</v>
      </c>
      <c r="D5" s="30">
        <v>2</v>
      </c>
      <c r="E5" s="30">
        <v>3</v>
      </c>
      <c r="F5" s="30">
        <v>4</v>
      </c>
      <c r="G5" s="30">
        <v>5</v>
      </c>
      <c r="H5" s="30">
        <v>6</v>
      </c>
      <c r="I5" s="30">
        <v>7</v>
      </c>
      <c r="J5" s="30">
        <v>8</v>
      </c>
      <c r="K5" s="30">
        <v>9</v>
      </c>
      <c r="L5" s="30">
        <v>10</v>
      </c>
      <c r="M5" s="30">
        <v>11</v>
      </c>
      <c r="N5" s="30">
        <v>12</v>
      </c>
      <c r="O5" s="30">
        <v>13</v>
      </c>
      <c r="P5" s="30">
        <v>14</v>
      </c>
      <c r="Q5" s="30">
        <v>15</v>
      </c>
      <c r="R5" s="30">
        <v>16</v>
      </c>
      <c r="S5" s="30">
        <v>17</v>
      </c>
      <c r="T5" s="30">
        <v>18</v>
      </c>
      <c r="U5" s="30">
        <v>19</v>
      </c>
      <c r="V5" s="30">
        <v>20</v>
      </c>
      <c r="W5" s="30">
        <v>21</v>
      </c>
      <c r="X5" s="30">
        <v>22</v>
      </c>
      <c r="Y5" s="30">
        <v>23</v>
      </c>
      <c r="Z5" s="30">
        <v>24</v>
      </c>
      <c r="AA5" s="30">
        <v>25</v>
      </c>
      <c r="AB5" s="30">
        <v>26</v>
      </c>
      <c r="AC5" s="30">
        <v>27</v>
      </c>
      <c r="AD5" s="30">
        <v>28</v>
      </c>
      <c r="AE5" s="30">
        <v>29</v>
      </c>
      <c r="AF5" s="30">
        <v>30</v>
      </c>
      <c r="AG5" s="30">
        <v>31</v>
      </c>
      <c r="AH5" s="5" t="s">
        <v>74</v>
      </c>
    </row>
    <row r="6" spans="1:34" ht="15" hidden="1">
      <c r="A6" s="1233" t="s">
        <v>75</v>
      </c>
      <c r="B6" s="18">
        <f t="shared" ref="B6:B17" si="0">+AH6</f>
        <v>0</v>
      </c>
      <c r="C6" s="81" t="s">
        <v>111</v>
      </c>
      <c r="D6" s="81" t="s">
        <v>111</v>
      </c>
      <c r="E6" s="81" t="s">
        <v>111</v>
      </c>
      <c r="F6" s="81" t="s">
        <v>111</v>
      </c>
      <c r="G6" s="81" t="s">
        <v>111</v>
      </c>
      <c r="H6" s="81" t="s">
        <v>111</v>
      </c>
      <c r="I6" s="81" t="s">
        <v>111</v>
      </c>
      <c r="J6" s="81" t="s">
        <v>111</v>
      </c>
      <c r="K6" s="81" t="s">
        <v>111</v>
      </c>
      <c r="L6" s="81" t="s">
        <v>111</v>
      </c>
      <c r="M6" s="81" t="s">
        <v>111</v>
      </c>
      <c r="N6" s="81" t="s">
        <v>111</v>
      </c>
      <c r="O6" s="81" t="s">
        <v>111</v>
      </c>
      <c r="P6" s="81" t="s">
        <v>111</v>
      </c>
      <c r="Q6" s="81" t="s">
        <v>111</v>
      </c>
      <c r="R6" s="81" t="s">
        <v>111</v>
      </c>
      <c r="S6" s="81" t="s">
        <v>111</v>
      </c>
      <c r="T6" s="81" t="s">
        <v>111</v>
      </c>
      <c r="U6" s="81" t="s">
        <v>111</v>
      </c>
      <c r="V6" s="81" t="s">
        <v>111</v>
      </c>
      <c r="W6" s="81" t="s">
        <v>111</v>
      </c>
      <c r="X6" s="81" t="s">
        <v>111</v>
      </c>
      <c r="Y6" s="81" t="s">
        <v>111</v>
      </c>
      <c r="Z6" s="81" t="s">
        <v>111</v>
      </c>
      <c r="AA6" s="81" t="s">
        <v>111</v>
      </c>
      <c r="AB6" s="81" t="s">
        <v>111</v>
      </c>
      <c r="AC6" s="81" t="s">
        <v>111</v>
      </c>
      <c r="AD6" s="81" t="s">
        <v>111</v>
      </c>
      <c r="AE6" s="81" t="s">
        <v>111</v>
      </c>
      <c r="AF6" s="81" t="s">
        <v>111</v>
      </c>
      <c r="AG6" s="81" t="s">
        <v>111</v>
      </c>
      <c r="AH6" s="49">
        <f>SUM(C6:AG6)</f>
        <v>0</v>
      </c>
    </row>
    <row r="7" spans="1:34" ht="15" hidden="1">
      <c r="A7" s="1233" t="s">
        <v>76</v>
      </c>
      <c r="B7" s="18">
        <f t="shared" si="0"/>
        <v>0</v>
      </c>
      <c r="C7" s="81" t="s">
        <v>111</v>
      </c>
      <c r="D7" s="81" t="s">
        <v>111</v>
      </c>
      <c r="E7" s="81" t="s">
        <v>111</v>
      </c>
      <c r="F7" s="81" t="s">
        <v>111</v>
      </c>
      <c r="G7" s="81" t="s">
        <v>111</v>
      </c>
      <c r="H7" s="81" t="s">
        <v>111</v>
      </c>
      <c r="I7" s="81" t="s">
        <v>111</v>
      </c>
      <c r="J7" s="81" t="s">
        <v>111</v>
      </c>
      <c r="K7" s="81" t="s">
        <v>111</v>
      </c>
      <c r="L7" s="81" t="s">
        <v>111</v>
      </c>
      <c r="M7" s="81" t="s">
        <v>111</v>
      </c>
      <c r="N7" s="81" t="s">
        <v>111</v>
      </c>
      <c r="O7" s="81" t="s">
        <v>111</v>
      </c>
      <c r="P7" s="81" t="s">
        <v>111</v>
      </c>
      <c r="Q7" s="81" t="s">
        <v>111</v>
      </c>
      <c r="R7" s="81" t="s">
        <v>111</v>
      </c>
      <c r="S7" s="81" t="s">
        <v>111</v>
      </c>
      <c r="T7" s="81" t="s">
        <v>111</v>
      </c>
      <c r="U7" s="81" t="s">
        <v>111</v>
      </c>
      <c r="V7" s="81" t="s">
        <v>111</v>
      </c>
      <c r="W7" s="81" t="s">
        <v>111</v>
      </c>
      <c r="X7" s="81" t="s">
        <v>111</v>
      </c>
      <c r="Y7" s="81" t="s">
        <v>111</v>
      </c>
      <c r="Z7" s="81" t="s">
        <v>111</v>
      </c>
      <c r="AA7" s="81" t="s">
        <v>111</v>
      </c>
      <c r="AB7" s="81" t="s">
        <v>111</v>
      </c>
      <c r="AC7" s="81" t="s">
        <v>111</v>
      </c>
      <c r="AD7" s="81" t="s">
        <v>111</v>
      </c>
      <c r="AE7" s="81" t="s">
        <v>111</v>
      </c>
      <c r="AF7" s="81" t="s">
        <v>111</v>
      </c>
      <c r="AG7" s="81" t="s">
        <v>111</v>
      </c>
      <c r="AH7" s="49">
        <f t="shared" ref="AH7:AH17" si="1">SUM(C7:AG7)</f>
        <v>0</v>
      </c>
    </row>
    <row r="8" spans="1:34" ht="15" hidden="1">
      <c r="A8" s="1233" t="s">
        <v>77</v>
      </c>
      <c r="B8" s="18">
        <f t="shared" si="0"/>
        <v>0</v>
      </c>
      <c r="C8" s="81" t="s">
        <v>111</v>
      </c>
      <c r="D8" s="81" t="s">
        <v>111</v>
      </c>
      <c r="E8" s="81" t="s">
        <v>111</v>
      </c>
      <c r="F8" s="81" t="s">
        <v>111</v>
      </c>
      <c r="G8" s="81" t="s">
        <v>111</v>
      </c>
      <c r="H8" s="49"/>
      <c r="I8" s="18"/>
      <c r="J8" s="18"/>
      <c r="K8" s="18"/>
      <c r="L8" s="18"/>
      <c r="M8" s="18"/>
      <c r="N8" s="18"/>
      <c r="O8" s="18"/>
      <c r="P8" s="18"/>
      <c r="Q8" s="18"/>
      <c r="R8" s="18"/>
      <c r="S8" s="18"/>
      <c r="T8" s="18"/>
      <c r="U8" s="18"/>
      <c r="V8" s="18"/>
      <c r="W8" s="18"/>
      <c r="X8" s="18"/>
      <c r="Y8" s="18"/>
      <c r="Z8" s="18"/>
      <c r="AA8" s="18"/>
      <c r="AB8" s="18"/>
      <c r="AC8" s="81" t="s">
        <v>111</v>
      </c>
      <c r="AD8" s="81" t="s">
        <v>111</v>
      </c>
      <c r="AE8" s="81" t="s">
        <v>111</v>
      </c>
      <c r="AF8" s="81" t="s">
        <v>111</v>
      </c>
      <c r="AG8" s="81" t="s">
        <v>111</v>
      </c>
      <c r="AH8" s="49">
        <f t="shared" si="1"/>
        <v>0</v>
      </c>
    </row>
    <row r="9" spans="1:34" ht="15" hidden="1">
      <c r="A9" s="1233" t="s">
        <v>78</v>
      </c>
      <c r="B9" s="18">
        <f t="shared" si="0"/>
        <v>0</v>
      </c>
      <c r="C9" s="81" t="s">
        <v>111</v>
      </c>
      <c r="D9" s="81" t="s">
        <v>111</v>
      </c>
      <c r="E9" s="81" t="s">
        <v>111</v>
      </c>
      <c r="F9" s="81" t="s">
        <v>111</v>
      </c>
      <c r="G9" s="81" t="s">
        <v>111</v>
      </c>
      <c r="H9" s="81" t="s">
        <v>111</v>
      </c>
      <c r="I9" s="81" t="s">
        <v>111</v>
      </c>
      <c r="J9" s="81" t="s">
        <v>111</v>
      </c>
      <c r="K9" s="81" t="s">
        <v>111</v>
      </c>
      <c r="L9" s="18"/>
      <c r="M9" s="18"/>
      <c r="N9" s="18"/>
      <c r="O9" s="18"/>
      <c r="P9" s="18"/>
      <c r="Q9" s="18"/>
      <c r="R9" s="18"/>
      <c r="S9" s="18"/>
      <c r="T9" s="18"/>
      <c r="U9" s="18"/>
      <c r="V9" s="18"/>
      <c r="W9" s="18"/>
      <c r="X9" s="18"/>
      <c r="Y9" s="18"/>
      <c r="Z9" s="18"/>
      <c r="AA9" s="18"/>
      <c r="AB9" s="18"/>
      <c r="AC9" s="18"/>
      <c r="AD9" s="18"/>
      <c r="AE9" s="18"/>
      <c r="AF9" s="18"/>
      <c r="AG9" s="18"/>
      <c r="AH9" s="49">
        <f t="shared" si="1"/>
        <v>0</v>
      </c>
    </row>
    <row r="10" spans="1:34" ht="15" hidden="1">
      <c r="A10" s="1745" t="s">
        <v>79</v>
      </c>
      <c r="B10" s="18">
        <f t="shared" si="0"/>
        <v>0</v>
      </c>
      <c r="C10" s="49"/>
      <c r="D10" s="18"/>
      <c r="E10" s="18"/>
      <c r="F10" s="18"/>
      <c r="G10" s="18"/>
      <c r="H10" s="49"/>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49">
        <f t="shared" si="1"/>
        <v>0</v>
      </c>
    </row>
    <row r="11" spans="1:34" ht="15" hidden="1">
      <c r="A11" s="1745" t="s">
        <v>80</v>
      </c>
      <c r="B11" s="18">
        <f t="shared" si="0"/>
        <v>0</v>
      </c>
      <c r="C11" s="49"/>
      <c r="D11" s="18"/>
      <c r="E11" s="18"/>
      <c r="F11" s="18"/>
      <c r="G11" s="18"/>
      <c r="H11" s="81" t="s">
        <v>92</v>
      </c>
      <c r="I11" s="81" t="s">
        <v>92</v>
      </c>
      <c r="J11" s="81" t="s">
        <v>92</v>
      </c>
      <c r="K11" s="81" t="s">
        <v>92</v>
      </c>
      <c r="L11" s="81" t="s">
        <v>92</v>
      </c>
      <c r="M11" s="81" t="s">
        <v>92</v>
      </c>
      <c r="N11" s="81" t="s">
        <v>92</v>
      </c>
      <c r="O11" s="81" t="s">
        <v>92</v>
      </c>
      <c r="P11" s="81" t="s">
        <v>92</v>
      </c>
      <c r="Q11" s="81" t="s">
        <v>92</v>
      </c>
      <c r="R11" s="81" t="s">
        <v>92</v>
      </c>
      <c r="S11" s="81" t="s">
        <v>92</v>
      </c>
      <c r="T11" s="81" t="s">
        <v>92</v>
      </c>
      <c r="U11" s="81" t="s">
        <v>92</v>
      </c>
      <c r="V11" s="81" t="s">
        <v>92</v>
      </c>
      <c r="W11" s="81" t="s">
        <v>92</v>
      </c>
      <c r="X11" s="81" t="s">
        <v>92</v>
      </c>
      <c r="Y11" s="18"/>
      <c r="Z11" s="18"/>
      <c r="AA11" s="18"/>
      <c r="AB11" s="18"/>
      <c r="AC11" s="18"/>
      <c r="AD11" s="18"/>
      <c r="AE11" s="18"/>
      <c r="AF11" s="18"/>
      <c r="AG11" s="18"/>
      <c r="AH11" s="49">
        <f t="shared" si="1"/>
        <v>0</v>
      </c>
    </row>
    <row r="12" spans="1:34" ht="15" hidden="1">
      <c r="A12" s="1745" t="s">
        <v>81</v>
      </c>
      <c r="B12" s="18">
        <f t="shared" si="0"/>
        <v>0</v>
      </c>
      <c r="C12" s="49"/>
      <c r="D12" s="18"/>
      <c r="E12" s="18"/>
      <c r="F12" s="18"/>
      <c r="G12" s="18"/>
      <c r="H12" s="49"/>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49">
        <f t="shared" si="1"/>
        <v>0</v>
      </c>
    </row>
    <row r="13" spans="1:34" ht="15" hidden="1">
      <c r="A13" s="1745" t="s">
        <v>82</v>
      </c>
      <c r="B13" s="18">
        <f t="shared" si="0"/>
        <v>0</v>
      </c>
      <c r="C13" s="49"/>
      <c r="D13" s="18"/>
      <c r="E13" s="18"/>
      <c r="F13" s="18"/>
      <c r="G13" s="18"/>
      <c r="H13" s="18"/>
      <c r="I13" s="18"/>
      <c r="J13" s="844" t="s">
        <v>112</v>
      </c>
      <c r="K13" s="844" t="s">
        <v>112</v>
      </c>
      <c r="L13" s="844" t="s">
        <v>112</v>
      </c>
      <c r="M13" s="81" t="s">
        <v>112</v>
      </c>
      <c r="N13" s="81" t="s">
        <v>112</v>
      </c>
      <c r="O13" s="81" t="s">
        <v>112</v>
      </c>
      <c r="P13" s="81" t="s">
        <v>112</v>
      </c>
      <c r="Q13" s="81" t="s">
        <v>112</v>
      </c>
      <c r="R13" s="81" t="s">
        <v>112</v>
      </c>
      <c r="S13" s="81" t="s">
        <v>112</v>
      </c>
      <c r="T13" s="81" t="s">
        <v>112</v>
      </c>
      <c r="U13" s="81" t="s">
        <v>112</v>
      </c>
      <c r="V13" s="81" t="s">
        <v>112</v>
      </c>
      <c r="W13" s="81" t="s">
        <v>112</v>
      </c>
      <c r="X13" s="81" t="s">
        <v>112</v>
      </c>
      <c r="Y13" s="81" t="s">
        <v>112</v>
      </c>
      <c r="Z13" s="81" t="s">
        <v>112</v>
      </c>
      <c r="AA13" s="81" t="s">
        <v>112</v>
      </c>
      <c r="AB13" s="81" t="s">
        <v>112</v>
      </c>
      <c r="AC13" s="81" t="s">
        <v>112</v>
      </c>
      <c r="AD13" s="81" t="s">
        <v>112</v>
      </c>
      <c r="AE13" s="81" t="s">
        <v>112</v>
      </c>
      <c r="AF13" s="81" t="s">
        <v>112</v>
      </c>
      <c r="AG13" s="81" t="s">
        <v>112</v>
      </c>
      <c r="AH13" s="49">
        <f t="shared" si="1"/>
        <v>0</v>
      </c>
    </row>
    <row r="14" spans="1:34" ht="15" hidden="1">
      <c r="A14" s="1744" t="s">
        <v>83</v>
      </c>
      <c r="B14" s="18">
        <f t="shared" si="0"/>
        <v>0</v>
      </c>
      <c r="C14" s="81" t="s">
        <v>112</v>
      </c>
      <c r="D14" s="81" t="s">
        <v>112</v>
      </c>
      <c r="E14" s="81" t="s">
        <v>112</v>
      </c>
      <c r="F14" s="81" t="s">
        <v>112</v>
      </c>
      <c r="G14" s="81" t="s">
        <v>112</v>
      </c>
      <c r="H14" s="81" t="s">
        <v>112</v>
      </c>
      <c r="I14" s="81" t="s">
        <v>112</v>
      </c>
      <c r="J14" s="844" t="s">
        <v>112</v>
      </c>
      <c r="K14" s="844" t="s">
        <v>112</v>
      </c>
      <c r="L14" s="844" t="s">
        <v>112</v>
      </c>
      <c r="M14" s="81" t="s">
        <v>112</v>
      </c>
      <c r="N14" s="81" t="s">
        <v>112</v>
      </c>
      <c r="O14" s="81" t="s">
        <v>112</v>
      </c>
      <c r="P14" s="81" t="s">
        <v>112</v>
      </c>
      <c r="Q14" s="81" t="s">
        <v>112</v>
      </c>
      <c r="R14" s="81" t="s">
        <v>112</v>
      </c>
      <c r="S14" s="81" t="s">
        <v>112</v>
      </c>
      <c r="T14" s="81" t="s">
        <v>112</v>
      </c>
      <c r="U14" s="81" t="s">
        <v>112</v>
      </c>
      <c r="V14" s="81" t="s">
        <v>112</v>
      </c>
      <c r="W14" s="81" t="s">
        <v>112</v>
      </c>
      <c r="X14" s="81" t="s">
        <v>112</v>
      </c>
      <c r="Y14" s="81" t="s">
        <v>112</v>
      </c>
      <c r="Z14" s="81" t="s">
        <v>112</v>
      </c>
      <c r="AA14" s="81" t="s">
        <v>112</v>
      </c>
      <c r="AB14" s="81" t="s">
        <v>112</v>
      </c>
      <c r="AC14" s="81" t="s">
        <v>112</v>
      </c>
      <c r="AD14" s="81" t="s">
        <v>112</v>
      </c>
      <c r="AE14" s="81" t="s">
        <v>112</v>
      </c>
      <c r="AF14" s="81" t="s">
        <v>112</v>
      </c>
      <c r="AG14" s="81" t="s">
        <v>112</v>
      </c>
      <c r="AH14" s="49">
        <f t="shared" si="1"/>
        <v>0</v>
      </c>
    </row>
    <row r="15" spans="1:34" ht="15" hidden="1">
      <c r="A15" s="1744" t="s">
        <v>84</v>
      </c>
      <c r="B15" s="18">
        <f t="shared" si="0"/>
        <v>0</v>
      </c>
      <c r="C15" s="81" t="s">
        <v>112</v>
      </c>
      <c r="D15" s="81" t="s">
        <v>112</v>
      </c>
      <c r="E15" s="81" t="s">
        <v>112</v>
      </c>
      <c r="F15" s="81" t="s">
        <v>112</v>
      </c>
      <c r="G15" s="81" t="s">
        <v>112</v>
      </c>
      <c r="H15" s="81" t="s">
        <v>112</v>
      </c>
      <c r="I15" s="81" t="s">
        <v>112</v>
      </c>
      <c r="J15" s="844" t="s">
        <v>112</v>
      </c>
      <c r="K15" s="844" t="s">
        <v>112</v>
      </c>
      <c r="L15" s="844" t="s">
        <v>112</v>
      </c>
      <c r="M15" s="81" t="s">
        <v>112</v>
      </c>
      <c r="N15" s="81" t="s">
        <v>112</v>
      </c>
      <c r="O15" s="81" t="s">
        <v>112</v>
      </c>
      <c r="P15" s="81" t="s">
        <v>112</v>
      </c>
      <c r="Q15" s="81" t="s">
        <v>112</v>
      </c>
      <c r="R15" s="81" t="s">
        <v>112</v>
      </c>
      <c r="S15" s="81" t="s">
        <v>112</v>
      </c>
      <c r="T15" s="81" t="s">
        <v>112</v>
      </c>
      <c r="U15" s="81" t="s">
        <v>112</v>
      </c>
      <c r="V15" s="81" t="s">
        <v>112</v>
      </c>
      <c r="W15" s="81" t="s">
        <v>112</v>
      </c>
      <c r="X15" s="18"/>
      <c r="Y15" s="18"/>
      <c r="Z15" s="18"/>
      <c r="AA15" s="18"/>
      <c r="AB15" s="18"/>
      <c r="AC15" s="18"/>
      <c r="AD15" s="18"/>
      <c r="AE15" s="53"/>
      <c r="AF15" s="18"/>
      <c r="AG15" s="53"/>
      <c r="AH15" s="49">
        <f t="shared" si="1"/>
        <v>0</v>
      </c>
    </row>
    <row r="16" spans="1:34" ht="15" hidden="1">
      <c r="A16" s="1744" t="s">
        <v>85</v>
      </c>
      <c r="B16" s="18">
        <f t="shared" si="0"/>
        <v>0</v>
      </c>
      <c r="C16" s="49"/>
      <c r="D16" s="18"/>
      <c r="E16" s="18"/>
      <c r="F16" s="18"/>
      <c r="G16" s="18"/>
      <c r="H16" s="49"/>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49">
        <f t="shared" si="1"/>
        <v>0</v>
      </c>
    </row>
    <row r="17" spans="1:34" ht="15" hidden="1">
      <c r="A17" s="1744" t="s">
        <v>86</v>
      </c>
      <c r="B17" s="18">
        <f t="shared" si="0"/>
        <v>0</v>
      </c>
      <c r="C17" s="49"/>
      <c r="D17" s="18"/>
      <c r="E17" s="18"/>
      <c r="F17" s="18"/>
      <c r="G17" s="18"/>
      <c r="H17" s="18"/>
      <c r="I17" s="18"/>
      <c r="J17" s="18"/>
      <c r="K17" s="18"/>
      <c r="L17" s="18"/>
      <c r="M17" s="18"/>
      <c r="N17" s="18"/>
      <c r="O17" s="18"/>
      <c r="P17" s="1280" t="s">
        <v>111</v>
      </c>
      <c r="Q17" s="1280" t="s">
        <v>111</v>
      </c>
      <c r="R17" s="1280" t="s">
        <v>111</v>
      </c>
      <c r="S17" s="1280" t="s">
        <v>111</v>
      </c>
      <c r="T17" s="1280" t="s">
        <v>111</v>
      </c>
      <c r="U17" s="1280" t="s">
        <v>111</v>
      </c>
      <c r="V17" s="1280" t="s">
        <v>111</v>
      </c>
      <c r="W17" s="1280" t="s">
        <v>111</v>
      </c>
      <c r="X17" s="1280" t="s">
        <v>111</v>
      </c>
      <c r="Y17" s="1280" t="s">
        <v>111</v>
      </c>
      <c r="Z17" s="1280" t="s">
        <v>111</v>
      </c>
      <c r="AA17" s="1280" t="s">
        <v>111</v>
      </c>
      <c r="AB17" s="1280" t="s">
        <v>111</v>
      </c>
      <c r="AC17" s="1280" t="s">
        <v>111</v>
      </c>
      <c r="AD17" s="1280" t="s">
        <v>111</v>
      </c>
      <c r="AE17" s="1280" t="s">
        <v>111</v>
      </c>
      <c r="AF17" s="1280" t="s">
        <v>111</v>
      </c>
      <c r="AG17" s="1280" t="s">
        <v>111</v>
      </c>
      <c r="AH17" s="49">
        <f t="shared" si="1"/>
        <v>0</v>
      </c>
    </row>
    <row r="18" spans="1:34" ht="15" hidden="1">
      <c r="A18" s="88" t="s">
        <v>52</v>
      </c>
      <c r="B18" s="89">
        <f t="shared" ref="B18:AH18" si="2">SUM(B6:B17)</f>
        <v>0</v>
      </c>
      <c r="C18" s="49">
        <f t="shared" si="2"/>
        <v>0</v>
      </c>
      <c r="D18" s="49">
        <f t="shared" si="2"/>
        <v>0</v>
      </c>
      <c r="E18" s="49">
        <f t="shared" si="2"/>
        <v>0</v>
      </c>
      <c r="F18" s="49">
        <f t="shared" si="2"/>
        <v>0</v>
      </c>
      <c r="G18" s="49">
        <f t="shared" si="2"/>
        <v>0</v>
      </c>
      <c r="H18" s="49">
        <f t="shared" si="2"/>
        <v>0</v>
      </c>
      <c r="I18" s="49">
        <f t="shared" si="2"/>
        <v>0</v>
      </c>
      <c r="J18" s="49">
        <f t="shared" si="2"/>
        <v>0</v>
      </c>
      <c r="K18" s="49">
        <f t="shared" si="2"/>
        <v>0</v>
      </c>
      <c r="L18" s="49">
        <f t="shared" si="2"/>
        <v>0</v>
      </c>
      <c r="M18" s="49">
        <f t="shared" si="2"/>
        <v>0</v>
      </c>
      <c r="N18" s="49">
        <f t="shared" si="2"/>
        <v>0</v>
      </c>
      <c r="O18" s="49">
        <f t="shared" si="2"/>
        <v>0</v>
      </c>
      <c r="P18" s="49">
        <f t="shared" si="2"/>
        <v>0</v>
      </c>
      <c r="Q18" s="49">
        <f t="shared" si="2"/>
        <v>0</v>
      </c>
      <c r="R18" s="49">
        <f t="shared" si="2"/>
        <v>0</v>
      </c>
      <c r="S18" s="49">
        <f t="shared" si="2"/>
        <v>0</v>
      </c>
      <c r="T18" s="49">
        <f t="shared" si="2"/>
        <v>0</v>
      </c>
      <c r="U18" s="49">
        <f t="shared" si="2"/>
        <v>0</v>
      </c>
      <c r="V18" s="49">
        <f t="shared" si="2"/>
        <v>0</v>
      </c>
      <c r="W18" s="49">
        <f t="shared" si="2"/>
        <v>0</v>
      </c>
      <c r="X18" s="49">
        <f t="shared" si="2"/>
        <v>0</v>
      </c>
      <c r="Y18" s="49">
        <f t="shared" si="2"/>
        <v>0</v>
      </c>
      <c r="Z18" s="49">
        <f t="shared" si="2"/>
        <v>0</v>
      </c>
      <c r="AA18" s="49">
        <f t="shared" si="2"/>
        <v>0</v>
      </c>
      <c r="AB18" s="49">
        <f t="shared" si="2"/>
        <v>0</v>
      </c>
      <c r="AC18" s="49">
        <f t="shared" si="2"/>
        <v>0</v>
      </c>
      <c r="AD18" s="49">
        <f t="shared" si="2"/>
        <v>0</v>
      </c>
      <c r="AE18" s="49">
        <f t="shared" si="2"/>
        <v>0</v>
      </c>
      <c r="AF18" s="49">
        <f t="shared" si="2"/>
        <v>0</v>
      </c>
      <c r="AG18" s="49">
        <f t="shared" si="2"/>
        <v>0</v>
      </c>
      <c r="AH18" s="49">
        <f t="shared" si="2"/>
        <v>0</v>
      </c>
    </row>
    <row r="19" spans="1:34" ht="15">
      <c r="A19" s="1"/>
      <c r="B19" s="1"/>
      <c r="C19" s="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
    </row>
    <row r="20" spans="1:34" ht="15">
      <c r="A20" s="3569" t="s">
        <v>69</v>
      </c>
      <c r="B20" s="3570"/>
      <c r="C20" s="357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
    </row>
    <row r="21" spans="1:34" ht="15">
      <c r="A21" s="5" t="s">
        <v>72</v>
      </c>
      <c r="B21" s="30" t="s">
        <v>73</v>
      </c>
      <c r="C21" s="5">
        <v>1</v>
      </c>
      <c r="D21" s="30">
        <v>2</v>
      </c>
      <c r="E21" s="30">
        <v>3</v>
      </c>
      <c r="F21" s="30">
        <v>4</v>
      </c>
      <c r="G21" s="30">
        <v>5</v>
      </c>
      <c r="H21" s="30">
        <v>6</v>
      </c>
      <c r="I21" s="30">
        <v>7</v>
      </c>
      <c r="J21" s="30">
        <v>8</v>
      </c>
      <c r="K21" s="30">
        <v>9</v>
      </c>
      <c r="L21" s="30">
        <v>10</v>
      </c>
      <c r="M21" s="30">
        <v>11</v>
      </c>
      <c r="N21" s="30">
        <v>12</v>
      </c>
      <c r="O21" s="30">
        <v>13</v>
      </c>
      <c r="P21" s="30">
        <v>14</v>
      </c>
      <c r="Q21" s="30">
        <v>15</v>
      </c>
      <c r="R21" s="30">
        <v>16</v>
      </c>
      <c r="S21" s="30">
        <v>17</v>
      </c>
      <c r="T21" s="30">
        <v>18</v>
      </c>
      <c r="U21" s="30">
        <v>19</v>
      </c>
      <c r="V21" s="30">
        <v>20</v>
      </c>
      <c r="W21" s="30">
        <v>21</v>
      </c>
      <c r="X21" s="30">
        <v>22</v>
      </c>
      <c r="Y21" s="30">
        <v>23</v>
      </c>
      <c r="Z21" s="30">
        <v>24</v>
      </c>
      <c r="AA21" s="30">
        <v>25</v>
      </c>
      <c r="AB21" s="30">
        <v>26</v>
      </c>
      <c r="AC21" s="30">
        <v>27</v>
      </c>
      <c r="AD21" s="30">
        <v>28</v>
      </c>
      <c r="AE21" s="30">
        <v>29</v>
      </c>
      <c r="AF21" s="30">
        <v>30</v>
      </c>
      <c r="AG21" s="30">
        <v>31</v>
      </c>
      <c r="AH21" s="5" t="s">
        <v>74</v>
      </c>
    </row>
    <row r="22" spans="1:34" ht="15">
      <c r="A22" s="1233" t="s">
        <v>75</v>
      </c>
      <c r="B22" s="18">
        <f t="shared" ref="B22:B33" si="3">+AH22</f>
        <v>0</v>
      </c>
      <c r="C22" s="688" t="s">
        <v>111</v>
      </c>
      <c r="D22" s="688" t="s">
        <v>111</v>
      </c>
      <c r="E22" s="688" t="s">
        <v>111</v>
      </c>
      <c r="F22" s="688" t="s">
        <v>111</v>
      </c>
      <c r="G22" s="688" t="s">
        <v>111</v>
      </c>
      <c r="H22" s="688" t="s">
        <v>111</v>
      </c>
      <c r="I22" s="688" t="s">
        <v>111</v>
      </c>
      <c r="J22" s="688" t="s">
        <v>111</v>
      </c>
      <c r="K22" s="688" t="s">
        <v>111</v>
      </c>
      <c r="L22" s="688" t="s">
        <v>111</v>
      </c>
      <c r="M22" s="688" t="s">
        <v>111</v>
      </c>
      <c r="N22" s="688" t="s">
        <v>111</v>
      </c>
      <c r="O22" s="688" t="s">
        <v>111</v>
      </c>
      <c r="P22" s="688" t="s">
        <v>111</v>
      </c>
      <c r="Q22" s="688" t="s">
        <v>111</v>
      </c>
      <c r="R22" s="688" t="s">
        <v>111</v>
      </c>
      <c r="S22" s="688" t="s">
        <v>111</v>
      </c>
      <c r="T22" s="688" t="s">
        <v>111</v>
      </c>
      <c r="U22" s="688" t="s">
        <v>111</v>
      </c>
      <c r="V22" s="688" t="s">
        <v>111</v>
      </c>
      <c r="W22" s="688" t="s">
        <v>111</v>
      </c>
      <c r="X22" s="688" t="s">
        <v>111</v>
      </c>
      <c r="Y22" s="688" t="s">
        <v>111</v>
      </c>
      <c r="Z22" s="688" t="s">
        <v>111</v>
      </c>
      <c r="AA22" s="688" t="s">
        <v>111</v>
      </c>
      <c r="AB22" s="688" t="s">
        <v>111</v>
      </c>
      <c r="AC22" s="688" t="s">
        <v>111</v>
      </c>
      <c r="AD22" s="688" t="s">
        <v>111</v>
      </c>
      <c r="AE22" s="688" t="s">
        <v>111</v>
      </c>
      <c r="AF22" s="688" t="s">
        <v>111</v>
      </c>
      <c r="AG22" s="688" t="s">
        <v>111</v>
      </c>
      <c r="AH22" s="49">
        <f>SUM(C22:AG22)</f>
        <v>0</v>
      </c>
    </row>
    <row r="23" spans="1:34" ht="15">
      <c r="A23" s="1233" t="s">
        <v>76</v>
      </c>
      <c r="B23" s="18">
        <f t="shared" si="3"/>
        <v>0</v>
      </c>
      <c r="C23" s="688" t="s">
        <v>111</v>
      </c>
      <c r="D23" s="688" t="s">
        <v>111</v>
      </c>
      <c r="E23" s="688" t="s">
        <v>111</v>
      </c>
      <c r="F23" s="688" t="s">
        <v>111</v>
      </c>
      <c r="G23" s="688" t="s">
        <v>111</v>
      </c>
      <c r="H23" s="688" t="s">
        <v>111</v>
      </c>
      <c r="I23" s="688" t="s">
        <v>111</v>
      </c>
      <c r="J23" s="688" t="s">
        <v>111</v>
      </c>
      <c r="K23" s="688" t="s">
        <v>111</v>
      </c>
      <c r="L23" s="688" t="s">
        <v>111</v>
      </c>
      <c r="M23" s="688" t="s">
        <v>111</v>
      </c>
      <c r="N23" s="688" t="s">
        <v>111</v>
      </c>
      <c r="O23" s="688" t="s">
        <v>111</v>
      </c>
      <c r="P23" s="688" t="s">
        <v>111</v>
      </c>
      <c r="Q23" s="688" t="s">
        <v>111</v>
      </c>
      <c r="R23" s="688" t="s">
        <v>111</v>
      </c>
      <c r="S23" s="688" t="s">
        <v>111</v>
      </c>
      <c r="T23" s="688" t="s">
        <v>111</v>
      </c>
      <c r="U23" s="688" t="s">
        <v>111</v>
      </c>
      <c r="V23" s="688" t="s">
        <v>111</v>
      </c>
      <c r="W23" s="688" t="s">
        <v>111</v>
      </c>
      <c r="X23" s="688" t="s">
        <v>111</v>
      </c>
      <c r="Y23" s="688" t="s">
        <v>111</v>
      </c>
      <c r="Z23" s="688" t="s">
        <v>111</v>
      </c>
      <c r="AA23" s="688" t="s">
        <v>111</v>
      </c>
      <c r="AB23" s="688" t="s">
        <v>111</v>
      </c>
      <c r="AC23" s="688" t="s">
        <v>111</v>
      </c>
      <c r="AD23" s="688" t="s">
        <v>111</v>
      </c>
      <c r="AE23" s="688" t="s">
        <v>111</v>
      </c>
      <c r="AF23" s="688" t="s">
        <v>111</v>
      </c>
      <c r="AG23" s="688" t="s">
        <v>111</v>
      </c>
      <c r="AH23" s="49">
        <f t="shared" ref="AH23:AH33" si="4">SUM(C23:AG23)</f>
        <v>0</v>
      </c>
    </row>
    <row r="24" spans="1:34" ht="15">
      <c r="A24" s="1233" t="s">
        <v>77</v>
      </c>
      <c r="B24" s="18">
        <f t="shared" si="3"/>
        <v>0</v>
      </c>
      <c r="C24" s="688" t="s">
        <v>111</v>
      </c>
      <c r="D24" s="688" t="s">
        <v>111</v>
      </c>
      <c r="E24" s="688" t="s">
        <v>111</v>
      </c>
      <c r="F24" s="688" t="s">
        <v>111</v>
      </c>
      <c r="G24" s="688" t="s">
        <v>111</v>
      </c>
      <c r="H24" s="1287"/>
      <c r="I24" s="1287"/>
      <c r="J24" s="1287"/>
      <c r="K24" s="1287"/>
      <c r="L24" s="1287"/>
      <c r="M24" s="1287"/>
      <c r="N24" s="1287"/>
      <c r="O24" s="1287"/>
      <c r="P24" s="1287"/>
      <c r="Q24" s="1287"/>
      <c r="R24" s="1287"/>
      <c r="S24" s="1287"/>
      <c r="T24" s="1287"/>
      <c r="U24" s="1815"/>
      <c r="V24" s="1287"/>
      <c r="W24" s="1287"/>
      <c r="X24" s="1287"/>
      <c r="Y24" s="1287"/>
      <c r="Z24" s="1287"/>
      <c r="AA24" s="1287"/>
      <c r="AB24" s="1287"/>
      <c r="AC24" s="1930"/>
      <c r="AD24" s="1930"/>
      <c r="AE24" s="1930"/>
      <c r="AF24" s="1930"/>
      <c r="AG24" s="1930"/>
      <c r="AH24" s="49">
        <f t="shared" si="4"/>
        <v>0</v>
      </c>
    </row>
    <row r="25" spans="1:34" ht="15">
      <c r="A25" s="1233" t="s">
        <v>78</v>
      </c>
      <c r="B25" s="18">
        <f t="shared" si="3"/>
        <v>0</v>
      </c>
      <c r="C25" s="3168"/>
      <c r="D25" s="3168"/>
      <c r="E25" s="3168"/>
      <c r="F25" s="3168"/>
      <c r="G25" s="3168"/>
      <c r="H25" s="3168"/>
      <c r="I25" s="3168"/>
      <c r="J25" s="3168"/>
      <c r="K25" s="3168"/>
      <c r="L25" s="18"/>
      <c r="M25" s="18"/>
      <c r="N25" s="18"/>
      <c r="O25" s="18"/>
      <c r="P25" s="18"/>
      <c r="Q25" s="287"/>
      <c r="R25" s="287"/>
      <c r="S25" s="153"/>
      <c r="T25" s="153"/>
      <c r="U25" s="153"/>
      <c r="V25" s="153"/>
      <c r="W25" s="153"/>
      <c r="X25" s="153"/>
      <c r="Y25" s="153"/>
      <c r="Z25" s="153"/>
      <c r="AA25" s="153"/>
      <c r="AB25" s="153"/>
      <c r="AC25" s="153"/>
      <c r="AD25" s="153"/>
      <c r="AE25" s="153"/>
      <c r="AF25" s="153"/>
      <c r="AG25" s="153"/>
      <c r="AH25" s="49">
        <f t="shared" si="4"/>
        <v>0</v>
      </c>
    </row>
    <row r="26" spans="1:34" ht="15">
      <c r="A26" s="1745" t="s">
        <v>79</v>
      </c>
      <c r="B26" s="18">
        <f t="shared" si="3"/>
        <v>0</v>
      </c>
      <c r="C26" s="2465"/>
      <c r="D26" s="2465"/>
      <c r="E26" s="2465"/>
      <c r="F26" s="2465"/>
      <c r="G26" s="2465"/>
      <c r="H26" s="1287"/>
      <c r="I26" s="1287"/>
      <c r="J26" s="1287"/>
      <c r="K26" s="1287"/>
      <c r="L26" s="1287"/>
      <c r="M26" s="1287"/>
      <c r="N26" s="1287"/>
      <c r="O26" s="1287"/>
      <c r="P26" s="1287"/>
      <c r="Q26" s="1287"/>
      <c r="R26" s="1287"/>
      <c r="S26" s="1287"/>
      <c r="T26" s="1287"/>
      <c r="U26" s="1287"/>
      <c r="V26" s="1287"/>
      <c r="W26" s="1287"/>
      <c r="X26" s="1287"/>
      <c r="Y26" s="1287"/>
      <c r="Z26" s="1287"/>
      <c r="AA26" s="1287"/>
      <c r="AB26" s="1287"/>
      <c r="AC26" s="1287"/>
      <c r="AD26" s="1287"/>
      <c r="AE26" s="1287"/>
      <c r="AF26" s="1287"/>
      <c r="AG26" s="1287"/>
      <c r="AH26" s="49">
        <f t="shared" si="4"/>
        <v>0</v>
      </c>
    </row>
    <row r="27" spans="1:34" ht="15">
      <c r="A27" s="1745" t="s">
        <v>80</v>
      </c>
      <c r="B27" s="18">
        <f t="shared" si="3"/>
        <v>0</v>
      </c>
      <c r="C27" s="1287"/>
      <c r="D27" s="1287"/>
      <c r="E27" s="1287"/>
      <c r="F27" s="1287"/>
      <c r="G27" s="1287"/>
      <c r="H27" s="1287"/>
      <c r="I27" s="1287"/>
      <c r="J27" s="1287"/>
      <c r="K27" s="1287"/>
      <c r="L27" s="1287"/>
      <c r="M27" s="1287"/>
      <c r="N27" s="1287"/>
      <c r="O27" s="1287"/>
      <c r="P27" s="1287"/>
      <c r="Q27" s="1287"/>
      <c r="R27" s="1287"/>
      <c r="S27" s="1287"/>
      <c r="T27" s="1287"/>
      <c r="U27" s="1287"/>
      <c r="V27" s="1287"/>
      <c r="W27" s="1287"/>
      <c r="X27" s="1287"/>
      <c r="Y27" s="1287"/>
      <c r="Z27" s="1287"/>
      <c r="AA27" s="1287"/>
      <c r="AB27" s="1287"/>
      <c r="AC27" s="1287"/>
      <c r="AD27" s="1287"/>
      <c r="AE27" s="1287"/>
      <c r="AF27" s="1287"/>
      <c r="AG27" s="1287"/>
      <c r="AH27" s="49">
        <f t="shared" si="4"/>
        <v>0</v>
      </c>
    </row>
    <row r="28" spans="1:34" ht="15">
      <c r="A28" s="1745" t="s">
        <v>81</v>
      </c>
      <c r="B28" s="18">
        <f t="shared" si="3"/>
        <v>0</v>
      </c>
      <c r="C28" s="1287"/>
      <c r="D28" s="1488"/>
      <c r="E28" s="1488"/>
      <c r="F28" s="1488"/>
      <c r="G28" s="1287"/>
      <c r="H28" s="1287"/>
      <c r="I28" s="1287"/>
      <c r="J28" s="2466"/>
      <c r="K28" s="2466"/>
      <c r="L28" s="1488"/>
      <c r="M28" s="1488"/>
      <c r="N28" s="1488"/>
      <c r="O28" s="1488"/>
      <c r="P28" s="1488"/>
      <c r="Q28" s="1488"/>
      <c r="R28" s="1488"/>
      <c r="S28" s="1488"/>
      <c r="T28" s="1488"/>
      <c r="U28" s="1488"/>
      <c r="V28" s="1488"/>
      <c r="W28" s="688"/>
      <c r="X28" s="688"/>
      <c r="Y28" s="688"/>
      <c r="Z28" s="688"/>
      <c r="AA28" s="688"/>
      <c r="AB28" s="688"/>
      <c r="AC28" s="688"/>
      <c r="AD28" s="688"/>
      <c r="AE28" s="688"/>
      <c r="AF28" s="688" t="s">
        <v>111</v>
      </c>
      <c r="AG28" s="688" t="s">
        <v>111</v>
      </c>
      <c r="AH28" s="49">
        <f t="shared" si="4"/>
        <v>0</v>
      </c>
    </row>
    <row r="29" spans="1:34" ht="15">
      <c r="A29" s="1745" t="s">
        <v>82</v>
      </c>
      <c r="B29" s="18">
        <f t="shared" si="3"/>
        <v>0</v>
      </c>
      <c r="C29" s="688" t="s">
        <v>111</v>
      </c>
      <c r="D29" s="688" t="s">
        <v>111</v>
      </c>
      <c r="E29" s="688" t="s">
        <v>111</v>
      </c>
      <c r="F29" s="688" t="s">
        <v>111</v>
      </c>
      <c r="G29" s="688" t="s">
        <v>111</v>
      </c>
      <c r="H29" s="688" t="s">
        <v>111</v>
      </c>
      <c r="I29" s="688" t="s">
        <v>111</v>
      </c>
      <c r="J29" s="688" t="s">
        <v>111</v>
      </c>
      <c r="K29" s="688" t="s">
        <v>111</v>
      </c>
      <c r="L29" s="688" t="s">
        <v>111</v>
      </c>
      <c r="M29" s="688" t="s">
        <v>111</v>
      </c>
      <c r="N29" s="688" t="s">
        <v>111</v>
      </c>
      <c r="O29" s="688" t="s">
        <v>111</v>
      </c>
      <c r="P29" s="688" t="s">
        <v>111</v>
      </c>
      <c r="Q29" s="688" t="s">
        <v>111</v>
      </c>
      <c r="R29" s="688" t="s">
        <v>111</v>
      </c>
      <c r="S29" s="688" t="s">
        <v>111</v>
      </c>
      <c r="T29" s="688" t="s">
        <v>111</v>
      </c>
      <c r="U29" s="688" t="s">
        <v>111</v>
      </c>
      <c r="V29" s="688" t="s">
        <v>111</v>
      </c>
      <c r="W29" s="688" t="s">
        <v>111</v>
      </c>
      <c r="X29" s="688" t="s">
        <v>111</v>
      </c>
      <c r="Y29" s="688" t="s">
        <v>111</v>
      </c>
      <c r="Z29" s="688" t="s">
        <v>111</v>
      </c>
      <c r="AA29" s="688" t="s">
        <v>111</v>
      </c>
      <c r="AB29" s="688" t="s">
        <v>111</v>
      </c>
      <c r="AC29" s="688" t="s">
        <v>111</v>
      </c>
      <c r="AD29" s="688" t="s">
        <v>111</v>
      </c>
      <c r="AE29" s="688" t="s">
        <v>111</v>
      </c>
      <c r="AF29" s="688" t="s">
        <v>111</v>
      </c>
      <c r="AG29" s="688" t="s">
        <v>111</v>
      </c>
      <c r="AH29" s="49">
        <f t="shared" si="4"/>
        <v>0</v>
      </c>
    </row>
    <row r="30" spans="1:34" ht="15">
      <c r="A30" s="1744" t="s">
        <v>83</v>
      </c>
      <c r="B30" s="18">
        <f t="shared" si="3"/>
        <v>0</v>
      </c>
      <c r="C30" s="688" t="s">
        <v>111</v>
      </c>
      <c r="D30" s="688" t="s">
        <v>111</v>
      </c>
      <c r="E30" s="688" t="s">
        <v>111</v>
      </c>
      <c r="F30" s="688" t="s">
        <v>111</v>
      </c>
      <c r="G30" s="688" t="s">
        <v>111</v>
      </c>
      <c r="H30" s="688" t="s">
        <v>111</v>
      </c>
      <c r="I30" s="688" t="s">
        <v>111</v>
      </c>
      <c r="J30" s="688" t="s">
        <v>111</v>
      </c>
      <c r="K30" s="688" t="s">
        <v>111</v>
      </c>
      <c r="L30" s="688" t="s">
        <v>111</v>
      </c>
      <c r="M30" s="688" t="s">
        <v>111</v>
      </c>
      <c r="N30" s="688" t="s">
        <v>111</v>
      </c>
      <c r="O30" s="688" t="s">
        <v>111</v>
      </c>
      <c r="P30" s="688" t="s">
        <v>111</v>
      </c>
      <c r="Q30" s="688" t="s">
        <v>111</v>
      </c>
      <c r="R30" s="688" t="s">
        <v>111</v>
      </c>
      <c r="S30" s="688" t="s">
        <v>111</v>
      </c>
      <c r="T30" s="688" t="s">
        <v>111</v>
      </c>
      <c r="U30" s="688" t="s">
        <v>111</v>
      </c>
      <c r="V30" s="688" t="s">
        <v>111</v>
      </c>
      <c r="W30" s="688" t="s">
        <v>111</v>
      </c>
      <c r="X30" s="688" t="s">
        <v>111</v>
      </c>
      <c r="Y30" s="688" t="s">
        <v>111</v>
      </c>
      <c r="Z30" s="688" t="s">
        <v>111</v>
      </c>
      <c r="AA30" s="688" t="s">
        <v>111</v>
      </c>
      <c r="AB30" s="688" t="s">
        <v>111</v>
      </c>
      <c r="AC30" s="688" t="s">
        <v>111</v>
      </c>
      <c r="AD30" s="688" t="s">
        <v>111</v>
      </c>
      <c r="AE30" s="688" t="s">
        <v>111</v>
      </c>
      <c r="AF30" s="688" t="s">
        <v>111</v>
      </c>
      <c r="AG30" s="688" t="s">
        <v>111</v>
      </c>
      <c r="AH30" s="49">
        <f t="shared" si="4"/>
        <v>0</v>
      </c>
    </row>
    <row r="31" spans="1:34" ht="15">
      <c r="A31" s="1744" t="s">
        <v>84</v>
      </c>
      <c r="B31" s="18">
        <f t="shared" si="3"/>
        <v>0</v>
      </c>
      <c r="C31" s="688" t="s">
        <v>111</v>
      </c>
      <c r="D31" s="688" t="s">
        <v>111</v>
      </c>
      <c r="E31" s="688" t="s">
        <v>111</v>
      </c>
      <c r="F31" s="688" t="s">
        <v>111</v>
      </c>
      <c r="G31" s="688" t="s">
        <v>111</v>
      </c>
      <c r="H31" s="688" t="s">
        <v>111</v>
      </c>
      <c r="I31" s="688" t="s">
        <v>111</v>
      </c>
      <c r="J31" s="688" t="s">
        <v>111</v>
      </c>
      <c r="K31" s="688" t="s">
        <v>111</v>
      </c>
      <c r="L31" s="688" t="s">
        <v>111</v>
      </c>
      <c r="M31" s="688" t="s">
        <v>111</v>
      </c>
      <c r="N31" s="688" t="s">
        <v>111</v>
      </c>
      <c r="O31" s="688" t="s">
        <v>111</v>
      </c>
      <c r="P31" s="688" t="s">
        <v>111</v>
      </c>
      <c r="Q31" s="688" t="s">
        <v>111</v>
      </c>
      <c r="R31" s="688" t="s">
        <v>111</v>
      </c>
      <c r="S31" s="688" t="s">
        <v>111</v>
      </c>
      <c r="T31" s="688" t="s">
        <v>111</v>
      </c>
      <c r="U31" s="688" t="s">
        <v>111</v>
      </c>
      <c r="V31" s="688" t="s">
        <v>111</v>
      </c>
      <c r="W31" s="688" t="s">
        <v>111</v>
      </c>
      <c r="X31" s="1287"/>
      <c r="Y31" s="1287"/>
      <c r="Z31" s="1287"/>
      <c r="AA31" s="1287"/>
      <c r="AB31" s="1287"/>
      <c r="AC31" s="1287"/>
      <c r="AD31" s="1287"/>
      <c r="AE31" s="1488"/>
      <c r="AF31" s="1287"/>
      <c r="AG31" s="1488"/>
      <c r="AH31" s="49">
        <f t="shared" si="4"/>
        <v>0</v>
      </c>
    </row>
    <row r="32" spans="1:34" ht="15">
      <c r="A32" s="1744" t="s">
        <v>85</v>
      </c>
      <c r="B32" s="18">
        <f t="shared" si="3"/>
        <v>0</v>
      </c>
      <c r="C32" s="49"/>
      <c r="D32" s="18"/>
      <c r="E32" s="18"/>
      <c r="F32" s="18"/>
      <c r="G32" s="11"/>
      <c r="H32" s="18"/>
      <c r="I32" s="18"/>
      <c r="J32" s="18"/>
      <c r="K32" s="18"/>
      <c r="L32" s="18"/>
      <c r="M32" s="18"/>
      <c r="N32" s="18"/>
      <c r="O32" s="18"/>
      <c r="P32" s="18"/>
      <c r="Q32" s="18"/>
      <c r="R32" s="18"/>
      <c r="S32" s="18"/>
      <c r="T32" s="18"/>
      <c r="U32" s="18"/>
      <c r="V32" s="18"/>
      <c r="W32" s="18"/>
      <c r="X32" s="18"/>
      <c r="Y32" s="11"/>
      <c r="Z32" s="18"/>
      <c r="AA32" s="18"/>
      <c r="AB32" s="18"/>
      <c r="AC32" s="18"/>
      <c r="AD32" s="18"/>
      <c r="AE32" s="53"/>
      <c r="AF32" s="18"/>
      <c r="AG32" s="53"/>
      <c r="AH32" s="49">
        <f t="shared" si="4"/>
        <v>0</v>
      </c>
    </row>
    <row r="33" spans="1:34" ht="15">
      <c r="A33" s="1744" t="s">
        <v>86</v>
      </c>
      <c r="B33" s="18">
        <f t="shared" si="3"/>
        <v>0</v>
      </c>
      <c r="C33" s="49"/>
      <c r="D33" s="18"/>
      <c r="E33" s="18"/>
      <c r="F33" s="18"/>
      <c r="G33" s="18"/>
      <c r="H33" s="18"/>
      <c r="I33" s="18"/>
      <c r="J33" s="18"/>
      <c r="K33" s="18"/>
      <c r="L33" s="1280" t="s">
        <v>111</v>
      </c>
      <c r="M33" s="1280" t="s">
        <v>111</v>
      </c>
      <c r="N33" s="1280" t="s">
        <v>111</v>
      </c>
      <c r="O33" s="1280" t="s">
        <v>111</v>
      </c>
      <c r="P33" s="1280" t="s">
        <v>111</v>
      </c>
      <c r="Q33" s="1280" t="s">
        <v>111</v>
      </c>
      <c r="R33" s="1280" t="s">
        <v>111</v>
      </c>
      <c r="S33" s="1280" t="s">
        <v>111</v>
      </c>
      <c r="T33" s="1280" t="s">
        <v>111</v>
      </c>
      <c r="U33" s="1280" t="s">
        <v>111</v>
      </c>
      <c r="V33" s="1280" t="s">
        <v>111</v>
      </c>
      <c r="W33" s="1280" t="s">
        <v>111</v>
      </c>
      <c r="X33" s="1280" t="s">
        <v>111</v>
      </c>
      <c r="Y33" s="1280" t="s">
        <v>111</v>
      </c>
      <c r="Z33" s="1280" t="s">
        <v>111</v>
      </c>
      <c r="AA33" s="1280" t="s">
        <v>111</v>
      </c>
      <c r="AB33" s="1280" t="s">
        <v>111</v>
      </c>
      <c r="AC33" s="1280" t="s">
        <v>111</v>
      </c>
      <c r="AD33" s="1280" t="s">
        <v>111</v>
      </c>
      <c r="AE33" s="1280" t="s">
        <v>111</v>
      </c>
      <c r="AF33" s="1280" t="s">
        <v>111</v>
      </c>
      <c r="AG33" s="1280" t="s">
        <v>111</v>
      </c>
      <c r="AH33" s="49">
        <f t="shared" si="4"/>
        <v>0</v>
      </c>
    </row>
    <row r="34" spans="1:34" ht="15">
      <c r="A34" s="88" t="s">
        <v>52</v>
      </c>
      <c r="B34" s="89">
        <f t="shared" ref="B34:AH34" si="5">SUM(B22:B33)</f>
        <v>0</v>
      </c>
      <c r="C34" s="49">
        <f t="shared" si="5"/>
        <v>0</v>
      </c>
      <c r="D34" s="49">
        <f t="shared" si="5"/>
        <v>0</v>
      </c>
      <c r="E34" s="49">
        <f t="shared" si="5"/>
        <v>0</v>
      </c>
      <c r="F34" s="49">
        <f t="shared" si="5"/>
        <v>0</v>
      </c>
      <c r="G34" s="49">
        <f t="shared" si="5"/>
        <v>0</v>
      </c>
      <c r="H34" s="49">
        <f t="shared" si="5"/>
        <v>0</v>
      </c>
      <c r="I34" s="49">
        <f t="shared" si="5"/>
        <v>0</v>
      </c>
      <c r="J34" s="49">
        <f t="shared" si="5"/>
        <v>0</v>
      </c>
      <c r="K34" s="49">
        <f t="shared" si="5"/>
        <v>0</v>
      </c>
      <c r="L34" s="49">
        <f t="shared" si="5"/>
        <v>0</v>
      </c>
      <c r="M34" s="49">
        <f t="shared" si="5"/>
        <v>0</v>
      </c>
      <c r="N34" s="49">
        <f t="shared" si="5"/>
        <v>0</v>
      </c>
      <c r="O34" s="49">
        <f t="shared" si="5"/>
        <v>0</v>
      </c>
      <c r="P34" s="49">
        <f t="shared" si="5"/>
        <v>0</v>
      </c>
      <c r="Q34" s="49">
        <f t="shared" si="5"/>
        <v>0</v>
      </c>
      <c r="R34" s="49">
        <f t="shared" si="5"/>
        <v>0</v>
      </c>
      <c r="S34" s="49">
        <f t="shared" si="5"/>
        <v>0</v>
      </c>
      <c r="T34" s="49">
        <f t="shared" si="5"/>
        <v>0</v>
      </c>
      <c r="U34" s="49">
        <f t="shared" si="5"/>
        <v>0</v>
      </c>
      <c r="V34" s="49">
        <f t="shared" si="5"/>
        <v>0</v>
      </c>
      <c r="W34" s="49">
        <f t="shared" si="5"/>
        <v>0</v>
      </c>
      <c r="X34" s="49">
        <f t="shared" si="5"/>
        <v>0</v>
      </c>
      <c r="Y34" s="49">
        <f t="shared" si="5"/>
        <v>0</v>
      </c>
      <c r="Z34" s="49">
        <f t="shared" si="5"/>
        <v>0</v>
      </c>
      <c r="AA34" s="49">
        <f t="shared" si="5"/>
        <v>0</v>
      </c>
      <c r="AB34" s="49">
        <f t="shared" si="5"/>
        <v>0</v>
      </c>
      <c r="AC34" s="49">
        <f t="shared" si="5"/>
        <v>0</v>
      </c>
      <c r="AD34" s="49">
        <f t="shared" si="5"/>
        <v>0</v>
      </c>
      <c r="AE34" s="49">
        <f t="shared" si="5"/>
        <v>0</v>
      </c>
      <c r="AF34" s="49">
        <f t="shared" si="5"/>
        <v>0</v>
      </c>
      <c r="AG34" s="49">
        <f t="shared" si="5"/>
        <v>0</v>
      </c>
      <c r="AH34" s="49">
        <f t="shared" si="5"/>
        <v>0</v>
      </c>
    </row>
    <row r="35" spans="1:34" ht="15">
      <c r="A35" s="1"/>
      <c r="B35" s="1"/>
      <c r="C35" s="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
    </row>
    <row r="36" spans="1:34" ht="15" hidden="1">
      <c r="A36" s="3569" t="s">
        <v>70</v>
      </c>
      <c r="B36" s="3570"/>
      <c r="C36" s="357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
    </row>
    <row r="37" spans="1:34" ht="15" hidden="1">
      <c r="A37" s="5" t="s">
        <v>72</v>
      </c>
      <c r="B37" s="30" t="s">
        <v>73</v>
      </c>
      <c r="C37" s="129">
        <v>1</v>
      </c>
      <c r="D37" s="30">
        <v>2</v>
      </c>
      <c r="E37" s="30">
        <v>3</v>
      </c>
      <c r="F37" s="30">
        <v>4</v>
      </c>
      <c r="G37" s="30">
        <v>5</v>
      </c>
      <c r="H37" s="30">
        <v>6</v>
      </c>
      <c r="I37" s="30">
        <v>7</v>
      </c>
      <c r="J37" s="30">
        <v>8</v>
      </c>
      <c r="K37" s="30">
        <v>9</v>
      </c>
      <c r="L37" s="30">
        <v>10</v>
      </c>
      <c r="M37" s="30">
        <v>11</v>
      </c>
      <c r="N37" s="30">
        <v>12</v>
      </c>
      <c r="O37" s="30">
        <v>13</v>
      </c>
      <c r="P37" s="30">
        <v>14</v>
      </c>
      <c r="Q37" s="30">
        <v>15</v>
      </c>
      <c r="R37" s="30">
        <v>16</v>
      </c>
      <c r="S37" s="30">
        <v>17</v>
      </c>
      <c r="T37" s="30">
        <v>18</v>
      </c>
      <c r="U37" s="30">
        <v>19</v>
      </c>
      <c r="V37" s="30">
        <v>20</v>
      </c>
      <c r="W37" s="30">
        <v>21</v>
      </c>
      <c r="X37" s="30">
        <v>22</v>
      </c>
      <c r="Y37" s="30">
        <v>23</v>
      </c>
      <c r="Z37" s="30">
        <v>24</v>
      </c>
      <c r="AA37" s="30">
        <v>25</v>
      </c>
      <c r="AB37" s="30">
        <v>26</v>
      </c>
      <c r="AC37" s="30">
        <v>27</v>
      </c>
      <c r="AD37" s="30">
        <v>28</v>
      </c>
      <c r="AE37" s="30">
        <v>29</v>
      </c>
      <c r="AF37" s="30">
        <v>30</v>
      </c>
      <c r="AG37" s="30">
        <v>31</v>
      </c>
      <c r="AH37" s="5" t="s">
        <v>74</v>
      </c>
    </row>
    <row r="38" spans="1:34" ht="15" hidden="1">
      <c r="A38" s="1233" t="s">
        <v>75</v>
      </c>
      <c r="B38" s="67">
        <f t="shared" ref="B38:B49" si="6">+AH38</f>
        <v>0</v>
      </c>
      <c r="C38" s="81" t="s">
        <v>111</v>
      </c>
      <c r="D38" s="81" t="s">
        <v>111</v>
      </c>
      <c r="E38" s="81" t="s">
        <v>111</v>
      </c>
      <c r="F38" s="81" t="s">
        <v>111</v>
      </c>
      <c r="G38" s="81" t="s">
        <v>111</v>
      </c>
      <c r="H38" s="81" t="s">
        <v>111</v>
      </c>
      <c r="I38" s="81" t="s">
        <v>111</v>
      </c>
      <c r="J38" s="81" t="s">
        <v>111</v>
      </c>
      <c r="K38" s="81" t="s">
        <v>111</v>
      </c>
      <c r="L38" s="81" t="s">
        <v>111</v>
      </c>
      <c r="M38" s="81" t="s">
        <v>111</v>
      </c>
      <c r="N38" s="81" t="s">
        <v>111</v>
      </c>
      <c r="O38" s="81" t="s">
        <v>111</v>
      </c>
      <c r="P38" s="81" t="s">
        <v>111</v>
      </c>
      <c r="Q38" s="81" t="s">
        <v>111</v>
      </c>
      <c r="R38" s="81" t="s">
        <v>111</v>
      </c>
      <c r="S38" s="81" t="s">
        <v>111</v>
      </c>
      <c r="T38" s="81" t="s">
        <v>111</v>
      </c>
      <c r="U38" s="81" t="s">
        <v>111</v>
      </c>
      <c r="V38" s="81" t="s">
        <v>111</v>
      </c>
      <c r="W38" s="81" t="s">
        <v>111</v>
      </c>
      <c r="X38" s="81" t="s">
        <v>111</v>
      </c>
      <c r="Y38" s="81" t="s">
        <v>111</v>
      </c>
      <c r="Z38" s="81" t="s">
        <v>111</v>
      </c>
      <c r="AA38" s="81" t="s">
        <v>111</v>
      </c>
      <c r="AB38" s="81" t="s">
        <v>111</v>
      </c>
      <c r="AC38" s="81" t="s">
        <v>111</v>
      </c>
      <c r="AD38" s="81" t="s">
        <v>111</v>
      </c>
      <c r="AE38" s="81" t="s">
        <v>111</v>
      </c>
      <c r="AF38" s="81" t="s">
        <v>111</v>
      </c>
      <c r="AG38" s="81" t="s">
        <v>111</v>
      </c>
      <c r="AH38" s="49">
        <f t="shared" ref="AH38:AH39" si="7">SUM(H38:AG38)</f>
        <v>0</v>
      </c>
    </row>
    <row r="39" spans="1:34" ht="15" hidden="1">
      <c r="A39" s="1233" t="s">
        <v>76</v>
      </c>
      <c r="B39" s="67">
        <f t="shared" si="6"/>
        <v>0</v>
      </c>
      <c r="C39" s="81" t="s">
        <v>111</v>
      </c>
      <c r="D39" s="81" t="s">
        <v>111</v>
      </c>
      <c r="E39" s="81" t="s">
        <v>111</v>
      </c>
      <c r="F39" s="81" t="s">
        <v>111</v>
      </c>
      <c r="G39" s="81" t="s">
        <v>111</v>
      </c>
      <c r="H39" s="81" t="s">
        <v>111</v>
      </c>
      <c r="I39" s="81" t="s">
        <v>111</v>
      </c>
      <c r="J39" s="81" t="s">
        <v>111</v>
      </c>
      <c r="K39" s="81" t="s">
        <v>111</v>
      </c>
      <c r="L39" s="81" t="s">
        <v>111</v>
      </c>
      <c r="M39" s="81" t="s">
        <v>111</v>
      </c>
      <c r="N39" s="81" t="s">
        <v>111</v>
      </c>
      <c r="O39" s="81" t="s">
        <v>111</v>
      </c>
      <c r="P39" s="81" t="s">
        <v>111</v>
      </c>
      <c r="Q39" s="81" t="s">
        <v>111</v>
      </c>
      <c r="R39" s="81" t="s">
        <v>111</v>
      </c>
      <c r="S39" s="81" t="s">
        <v>111</v>
      </c>
      <c r="T39" s="81" t="s">
        <v>111</v>
      </c>
      <c r="U39" s="81" t="s">
        <v>111</v>
      </c>
      <c r="V39" s="81" t="s">
        <v>111</v>
      </c>
      <c r="W39" s="81" t="s">
        <v>111</v>
      </c>
      <c r="X39" s="81" t="s">
        <v>111</v>
      </c>
      <c r="Y39" s="81" t="s">
        <v>111</v>
      </c>
      <c r="Z39" s="81" t="s">
        <v>111</v>
      </c>
      <c r="AA39" s="81" t="s">
        <v>111</v>
      </c>
      <c r="AB39" s="81" t="s">
        <v>111</v>
      </c>
      <c r="AC39" s="81" t="s">
        <v>111</v>
      </c>
      <c r="AD39" s="81" t="s">
        <v>111</v>
      </c>
      <c r="AE39" s="81" t="s">
        <v>111</v>
      </c>
      <c r="AF39" s="81" t="s">
        <v>111</v>
      </c>
      <c r="AG39" s="81" t="s">
        <v>111</v>
      </c>
      <c r="AH39" s="49">
        <f t="shared" si="7"/>
        <v>0</v>
      </c>
    </row>
    <row r="40" spans="1:34" ht="15" hidden="1">
      <c r="A40" s="1233" t="s">
        <v>77</v>
      </c>
      <c r="B40" s="67">
        <f t="shared" si="6"/>
        <v>0</v>
      </c>
      <c r="C40" s="81" t="s">
        <v>111</v>
      </c>
      <c r="D40" s="81" t="s">
        <v>111</v>
      </c>
      <c r="E40" s="81" t="s">
        <v>111</v>
      </c>
      <c r="F40" s="81" t="s">
        <v>111</v>
      </c>
      <c r="G40" s="81" t="s">
        <v>111</v>
      </c>
      <c r="H40" s="118"/>
      <c r="I40" s="118"/>
      <c r="J40" s="53"/>
      <c r="K40" s="53"/>
      <c r="L40" s="53"/>
      <c r="M40" s="53"/>
      <c r="N40" s="53"/>
      <c r="O40" s="53"/>
      <c r="P40" s="53"/>
      <c r="Q40" s="53"/>
      <c r="R40" s="53"/>
      <c r="S40" s="53"/>
      <c r="T40" s="53"/>
      <c r="U40" s="53"/>
      <c r="V40" s="53"/>
      <c r="W40" s="53"/>
      <c r="X40" s="53"/>
      <c r="Y40" s="53"/>
      <c r="Z40" s="53"/>
      <c r="AA40" s="53"/>
      <c r="AB40" s="53"/>
      <c r="AC40" s="81"/>
      <c r="AD40" s="81"/>
      <c r="AE40" s="81" t="s">
        <v>111</v>
      </c>
      <c r="AF40" s="81" t="s">
        <v>111</v>
      </c>
      <c r="AG40" s="81" t="s">
        <v>111</v>
      </c>
      <c r="AH40" s="49">
        <f>SUM(H40:AG40)</f>
        <v>0</v>
      </c>
    </row>
    <row r="41" spans="1:34" ht="15" hidden="1">
      <c r="A41" s="1233" t="s">
        <v>78</v>
      </c>
      <c r="B41" s="67">
        <f t="shared" si="6"/>
        <v>0</v>
      </c>
      <c r="C41" s="81" t="s">
        <v>111</v>
      </c>
      <c r="D41" s="81" t="s">
        <v>111</v>
      </c>
      <c r="E41" s="81" t="s">
        <v>111</v>
      </c>
      <c r="F41" s="81" t="s">
        <v>111</v>
      </c>
      <c r="G41" s="81" t="s">
        <v>111</v>
      </c>
      <c r="H41" s="81" t="s">
        <v>111</v>
      </c>
      <c r="I41" s="81" t="s">
        <v>111</v>
      </c>
      <c r="J41" s="81" t="s">
        <v>111</v>
      </c>
      <c r="K41" s="81" t="s">
        <v>111</v>
      </c>
      <c r="L41" s="53"/>
      <c r="M41" s="53"/>
      <c r="N41" s="53"/>
      <c r="O41" s="53"/>
      <c r="P41" s="53"/>
      <c r="Q41" s="53"/>
      <c r="R41" s="53"/>
      <c r="S41" s="53"/>
      <c r="T41" s="53"/>
      <c r="U41" s="53"/>
      <c r="V41" s="53"/>
      <c r="W41" s="53"/>
      <c r="X41" s="53"/>
      <c r="Y41" s="53"/>
      <c r="Z41" s="53"/>
      <c r="AA41" s="53"/>
      <c r="AB41" s="53"/>
      <c r="AC41" s="53"/>
      <c r="AD41" s="53"/>
      <c r="AE41" s="53"/>
      <c r="AF41" s="53"/>
      <c r="AG41" s="53"/>
      <c r="AH41" s="173">
        <f t="shared" ref="AH41:AH49" si="8">SUM(C41:AG41)</f>
        <v>0</v>
      </c>
    </row>
    <row r="42" spans="1:34" ht="15" hidden="1">
      <c r="A42" s="1745" t="s">
        <v>79</v>
      </c>
      <c r="B42" s="67">
        <f t="shared" si="6"/>
        <v>0</v>
      </c>
      <c r="C42" s="49"/>
      <c r="D42" s="18"/>
      <c r="E42" s="18"/>
      <c r="F42" s="18"/>
      <c r="G42" s="18"/>
      <c r="H42" s="18"/>
      <c r="I42" s="18"/>
      <c r="J42" s="53"/>
      <c r="K42" s="53"/>
      <c r="L42" s="53"/>
      <c r="M42" s="53"/>
      <c r="N42" s="53"/>
      <c r="O42" s="53"/>
      <c r="P42" s="53"/>
      <c r="Q42" s="53"/>
      <c r="R42" s="53"/>
      <c r="S42" s="53"/>
      <c r="T42" s="53"/>
      <c r="U42" s="53"/>
      <c r="V42" s="53"/>
      <c r="W42" s="53"/>
      <c r="X42" s="53"/>
      <c r="Y42" s="53"/>
      <c r="Z42" s="53"/>
      <c r="AA42" s="53"/>
      <c r="AB42" s="53"/>
      <c r="AC42" s="53"/>
      <c r="AD42" s="53"/>
      <c r="AE42" s="53"/>
      <c r="AF42" s="53"/>
      <c r="AG42" s="53"/>
      <c r="AH42" s="49">
        <f t="shared" si="8"/>
        <v>0</v>
      </c>
    </row>
    <row r="43" spans="1:34" ht="15" hidden="1">
      <c r="A43" s="1745" t="s">
        <v>80</v>
      </c>
      <c r="B43" s="67">
        <f t="shared" si="6"/>
        <v>0</v>
      </c>
      <c r="C43" s="49"/>
      <c r="D43" s="18"/>
      <c r="E43" s="18"/>
      <c r="F43" s="18"/>
      <c r="G43" s="18"/>
      <c r="H43" s="81" t="s">
        <v>92</v>
      </c>
      <c r="I43" s="81" t="s">
        <v>92</v>
      </c>
      <c r="J43" s="81" t="s">
        <v>92</v>
      </c>
      <c r="K43" s="81" t="s">
        <v>92</v>
      </c>
      <c r="L43" s="81" t="s">
        <v>92</v>
      </c>
      <c r="M43" s="81" t="s">
        <v>92</v>
      </c>
      <c r="N43" s="81" t="s">
        <v>92</v>
      </c>
      <c r="O43" s="81" t="s">
        <v>92</v>
      </c>
      <c r="P43" s="81" t="s">
        <v>92</v>
      </c>
      <c r="Q43" s="81" t="s">
        <v>92</v>
      </c>
      <c r="R43" s="81" t="s">
        <v>92</v>
      </c>
      <c r="S43" s="81" t="s">
        <v>92</v>
      </c>
      <c r="T43" s="81" t="s">
        <v>92</v>
      </c>
      <c r="U43" s="81" t="s">
        <v>92</v>
      </c>
      <c r="V43" s="81" t="s">
        <v>92</v>
      </c>
      <c r="W43" s="81" t="s">
        <v>92</v>
      </c>
      <c r="X43" s="81" t="s">
        <v>92</v>
      </c>
      <c r="Y43" s="18"/>
      <c r="Z43" s="18"/>
      <c r="AA43" s="18"/>
      <c r="AB43" s="18"/>
      <c r="AC43" s="18"/>
      <c r="AD43" s="18"/>
      <c r="AE43" s="18"/>
      <c r="AF43" s="18"/>
      <c r="AG43" s="18"/>
      <c r="AH43" s="49">
        <f t="shared" si="8"/>
        <v>0</v>
      </c>
    </row>
    <row r="44" spans="1:34" ht="15" hidden="1">
      <c r="A44" s="1745" t="s">
        <v>81</v>
      </c>
      <c r="B44" s="67">
        <f t="shared" si="6"/>
        <v>0</v>
      </c>
      <c r="C44" s="49"/>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49">
        <f t="shared" si="8"/>
        <v>0</v>
      </c>
    </row>
    <row r="45" spans="1:34" ht="15" hidden="1">
      <c r="A45" s="1745" t="s">
        <v>82</v>
      </c>
      <c r="B45" s="67">
        <f t="shared" si="6"/>
        <v>0</v>
      </c>
      <c r="C45" s="49"/>
      <c r="D45" s="18"/>
      <c r="E45" s="18"/>
      <c r="F45" s="18"/>
      <c r="G45" s="18"/>
      <c r="H45" s="18"/>
      <c r="I45" s="18"/>
      <c r="J45" s="844" t="s">
        <v>112</v>
      </c>
      <c r="K45" s="844" t="s">
        <v>112</v>
      </c>
      <c r="L45" s="844" t="s">
        <v>112</v>
      </c>
      <c r="M45" s="81" t="s">
        <v>112</v>
      </c>
      <c r="N45" s="81" t="s">
        <v>112</v>
      </c>
      <c r="O45" s="81" t="s">
        <v>112</v>
      </c>
      <c r="P45" s="81" t="s">
        <v>112</v>
      </c>
      <c r="Q45" s="81" t="s">
        <v>112</v>
      </c>
      <c r="R45" s="81" t="s">
        <v>112</v>
      </c>
      <c r="S45" s="81" t="s">
        <v>112</v>
      </c>
      <c r="T45" s="81" t="s">
        <v>112</v>
      </c>
      <c r="U45" s="81" t="s">
        <v>112</v>
      </c>
      <c r="V45" s="81" t="s">
        <v>112</v>
      </c>
      <c r="W45" s="81" t="s">
        <v>112</v>
      </c>
      <c r="X45" s="81" t="s">
        <v>112</v>
      </c>
      <c r="Y45" s="81" t="s">
        <v>112</v>
      </c>
      <c r="Z45" s="81" t="s">
        <v>112</v>
      </c>
      <c r="AA45" s="81" t="s">
        <v>112</v>
      </c>
      <c r="AB45" s="81" t="s">
        <v>112</v>
      </c>
      <c r="AC45" s="81" t="s">
        <v>112</v>
      </c>
      <c r="AD45" s="81" t="s">
        <v>112</v>
      </c>
      <c r="AE45" s="81" t="s">
        <v>112</v>
      </c>
      <c r="AF45" s="81" t="s">
        <v>112</v>
      </c>
      <c r="AG45" s="81" t="s">
        <v>112</v>
      </c>
      <c r="AH45" s="49">
        <f t="shared" si="8"/>
        <v>0</v>
      </c>
    </row>
    <row r="46" spans="1:34" ht="15" hidden="1">
      <c r="A46" s="1744" t="s">
        <v>83</v>
      </c>
      <c r="B46" s="67">
        <f t="shared" si="6"/>
        <v>0</v>
      </c>
      <c r="C46" s="81" t="s">
        <v>112</v>
      </c>
      <c r="D46" s="81" t="s">
        <v>112</v>
      </c>
      <c r="E46" s="81" t="s">
        <v>112</v>
      </c>
      <c r="F46" s="81" t="s">
        <v>112</v>
      </c>
      <c r="G46" s="81" t="s">
        <v>112</v>
      </c>
      <c r="H46" s="81" t="s">
        <v>112</v>
      </c>
      <c r="I46" s="81" t="s">
        <v>112</v>
      </c>
      <c r="J46" s="844" t="s">
        <v>112</v>
      </c>
      <c r="K46" s="844" t="s">
        <v>112</v>
      </c>
      <c r="L46" s="844" t="s">
        <v>112</v>
      </c>
      <c r="M46" s="81" t="s">
        <v>112</v>
      </c>
      <c r="N46" s="81" t="s">
        <v>112</v>
      </c>
      <c r="O46" s="81" t="s">
        <v>112</v>
      </c>
      <c r="P46" s="81" t="s">
        <v>112</v>
      </c>
      <c r="Q46" s="81" t="s">
        <v>112</v>
      </c>
      <c r="R46" s="81" t="s">
        <v>112</v>
      </c>
      <c r="S46" s="81" t="s">
        <v>112</v>
      </c>
      <c r="T46" s="81" t="s">
        <v>112</v>
      </c>
      <c r="U46" s="81" t="s">
        <v>112</v>
      </c>
      <c r="V46" s="81" t="s">
        <v>112</v>
      </c>
      <c r="W46" s="81" t="s">
        <v>112</v>
      </c>
      <c r="X46" s="81" t="s">
        <v>112</v>
      </c>
      <c r="Y46" s="81" t="s">
        <v>112</v>
      </c>
      <c r="Z46" s="81" t="s">
        <v>112</v>
      </c>
      <c r="AA46" s="81" t="s">
        <v>112</v>
      </c>
      <c r="AB46" s="81" t="s">
        <v>112</v>
      </c>
      <c r="AC46" s="81" t="s">
        <v>112</v>
      </c>
      <c r="AD46" s="81" t="s">
        <v>112</v>
      </c>
      <c r="AE46" s="81" t="s">
        <v>112</v>
      </c>
      <c r="AF46" s="81" t="s">
        <v>112</v>
      </c>
      <c r="AG46" s="81" t="s">
        <v>112</v>
      </c>
      <c r="AH46" s="49">
        <f t="shared" si="8"/>
        <v>0</v>
      </c>
    </row>
    <row r="47" spans="1:34" ht="15" hidden="1">
      <c r="A47" s="1744" t="s">
        <v>84</v>
      </c>
      <c r="B47" s="67">
        <f t="shared" si="6"/>
        <v>0</v>
      </c>
      <c r="C47" s="81" t="s">
        <v>112</v>
      </c>
      <c r="D47" s="81" t="s">
        <v>112</v>
      </c>
      <c r="E47" s="81" t="s">
        <v>112</v>
      </c>
      <c r="F47" s="81" t="s">
        <v>112</v>
      </c>
      <c r="G47" s="81" t="s">
        <v>112</v>
      </c>
      <c r="H47" s="81" t="s">
        <v>112</v>
      </c>
      <c r="I47" s="81" t="s">
        <v>112</v>
      </c>
      <c r="J47" s="844" t="s">
        <v>112</v>
      </c>
      <c r="K47" s="844" t="s">
        <v>112</v>
      </c>
      <c r="L47" s="844" t="s">
        <v>112</v>
      </c>
      <c r="M47" s="81" t="s">
        <v>112</v>
      </c>
      <c r="N47" s="81" t="s">
        <v>112</v>
      </c>
      <c r="O47" s="81" t="s">
        <v>112</v>
      </c>
      <c r="P47" s="81" t="s">
        <v>112</v>
      </c>
      <c r="Q47" s="81" t="s">
        <v>112</v>
      </c>
      <c r="R47" s="81" t="s">
        <v>112</v>
      </c>
      <c r="S47" s="81" t="s">
        <v>112</v>
      </c>
      <c r="T47" s="81" t="s">
        <v>112</v>
      </c>
      <c r="U47" s="81" t="s">
        <v>112</v>
      </c>
      <c r="V47" s="81" t="s">
        <v>112</v>
      </c>
      <c r="W47" s="81" t="s">
        <v>112</v>
      </c>
      <c r="X47" s="18"/>
      <c r="Y47" s="18"/>
      <c r="Z47" s="18"/>
      <c r="AA47" s="18"/>
      <c r="AB47" s="18"/>
      <c r="AC47" s="18"/>
      <c r="AD47" s="18"/>
      <c r="AE47" s="53"/>
      <c r="AF47" s="18"/>
      <c r="AG47" s="53"/>
      <c r="AH47" s="49">
        <f t="shared" si="8"/>
        <v>0</v>
      </c>
    </row>
    <row r="48" spans="1:34" ht="15" hidden="1">
      <c r="A48" s="1744" t="s">
        <v>85</v>
      </c>
      <c r="B48" s="67">
        <f t="shared" si="6"/>
        <v>0</v>
      </c>
      <c r="C48" s="49"/>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49">
        <f t="shared" si="8"/>
        <v>0</v>
      </c>
    </row>
    <row r="49" spans="1:34" ht="15" hidden="1">
      <c r="A49" s="1744" t="s">
        <v>86</v>
      </c>
      <c r="B49" s="67">
        <f t="shared" si="6"/>
        <v>0</v>
      </c>
      <c r="C49" s="49"/>
      <c r="D49" s="18"/>
      <c r="E49" s="18"/>
      <c r="F49" s="18"/>
      <c r="G49" s="18"/>
      <c r="H49" s="18"/>
      <c r="I49" s="18"/>
      <c r="J49" s="18"/>
      <c r="K49" s="18"/>
      <c r="L49" s="18"/>
      <c r="M49" s="18"/>
      <c r="N49" s="18"/>
      <c r="O49" s="18"/>
      <c r="P49" s="1280" t="s">
        <v>111</v>
      </c>
      <c r="Q49" s="1280" t="s">
        <v>111</v>
      </c>
      <c r="R49" s="1280" t="s">
        <v>111</v>
      </c>
      <c r="S49" s="1280" t="s">
        <v>111</v>
      </c>
      <c r="T49" s="1280" t="s">
        <v>111</v>
      </c>
      <c r="U49" s="1280" t="s">
        <v>111</v>
      </c>
      <c r="V49" s="1280" t="s">
        <v>111</v>
      </c>
      <c r="W49" s="1280" t="s">
        <v>111</v>
      </c>
      <c r="X49" s="1280" t="s">
        <v>111</v>
      </c>
      <c r="Y49" s="1280" t="s">
        <v>111</v>
      </c>
      <c r="Z49" s="1280" t="s">
        <v>111</v>
      </c>
      <c r="AA49" s="1280" t="s">
        <v>111</v>
      </c>
      <c r="AB49" s="1280" t="s">
        <v>111</v>
      </c>
      <c r="AC49" s="1280" t="s">
        <v>111</v>
      </c>
      <c r="AD49" s="1280" t="s">
        <v>111</v>
      </c>
      <c r="AE49" s="1280" t="s">
        <v>111</v>
      </c>
      <c r="AF49" s="1280" t="s">
        <v>111</v>
      </c>
      <c r="AG49" s="1280" t="s">
        <v>111</v>
      </c>
      <c r="AH49" s="49">
        <f t="shared" si="8"/>
        <v>0</v>
      </c>
    </row>
    <row r="50" spans="1:34" ht="15" hidden="1">
      <c r="A50" s="88" t="s">
        <v>52</v>
      </c>
      <c r="B50" s="89">
        <f t="shared" ref="B50:AG50" si="9">SUM(B38:B49)</f>
        <v>0</v>
      </c>
      <c r="C50" s="49">
        <f t="shared" si="9"/>
        <v>0</v>
      </c>
      <c r="D50" s="49">
        <f t="shared" si="9"/>
        <v>0</v>
      </c>
      <c r="E50" s="49">
        <f t="shared" si="9"/>
        <v>0</v>
      </c>
      <c r="F50" s="49">
        <f t="shared" si="9"/>
        <v>0</v>
      </c>
      <c r="G50" s="49">
        <f t="shared" si="9"/>
        <v>0</v>
      </c>
      <c r="H50" s="49">
        <f t="shared" si="9"/>
        <v>0</v>
      </c>
      <c r="I50" s="49">
        <f t="shared" si="9"/>
        <v>0</v>
      </c>
      <c r="J50" s="49">
        <f t="shared" si="9"/>
        <v>0</v>
      </c>
      <c r="K50" s="49">
        <f t="shared" si="9"/>
        <v>0</v>
      </c>
      <c r="L50" s="49">
        <f t="shared" si="9"/>
        <v>0</v>
      </c>
      <c r="M50" s="49">
        <f t="shared" si="9"/>
        <v>0</v>
      </c>
      <c r="N50" s="49">
        <f t="shared" si="9"/>
        <v>0</v>
      </c>
      <c r="O50" s="49">
        <f t="shared" si="9"/>
        <v>0</v>
      </c>
      <c r="P50" s="49">
        <f t="shared" si="9"/>
        <v>0</v>
      </c>
      <c r="Q50" s="49">
        <f t="shared" si="9"/>
        <v>0</v>
      </c>
      <c r="R50" s="49">
        <f t="shared" si="9"/>
        <v>0</v>
      </c>
      <c r="S50" s="49">
        <f t="shared" si="9"/>
        <v>0</v>
      </c>
      <c r="T50" s="49">
        <f t="shared" si="9"/>
        <v>0</v>
      </c>
      <c r="U50" s="49">
        <f t="shared" si="9"/>
        <v>0</v>
      </c>
      <c r="V50" s="49">
        <f t="shared" si="9"/>
        <v>0</v>
      </c>
      <c r="W50" s="49">
        <f t="shared" si="9"/>
        <v>0</v>
      </c>
      <c r="X50" s="49">
        <f t="shared" si="9"/>
        <v>0</v>
      </c>
      <c r="Y50" s="49">
        <f t="shared" si="9"/>
        <v>0</v>
      </c>
      <c r="Z50" s="49">
        <f t="shared" si="9"/>
        <v>0</v>
      </c>
      <c r="AA50" s="49">
        <f t="shared" si="9"/>
        <v>0</v>
      </c>
      <c r="AB50" s="49">
        <f t="shared" si="9"/>
        <v>0</v>
      </c>
      <c r="AC50" s="49">
        <f t="shared" si="9"/>
        <v>0</v>
      </c>
      <c r="AD50" s="49">
        <f t="shared" si="9"/>
        <v>0</v>
      </c>
      <c r="AE50" s="49">
        <f t="shared" si="9"/>
        <v>0</v>
      </c>
      <c r="AF50" s="49">
        <f t="shared" si="9"/>
        <v>0</v>
      </c>
      <c r="AG50" s="49">
        <f t="shared" si="9"/>
        <v>0</v>
      </c>
      <c r="AH50" s="49">
        <f>SUM(AH38:AH49)</f>
        <v>0</v>
      </c>
    </row>
    <row r="52" spans="1:34" ht="15" hidden="1">
      <c r="A52" s="3569" t="s">
        <v>53</v>
      </c>
      <c r="B52" s="3570"/>
      <c r="C52" s="357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
    </row>
    <row r="53" spans="1:34" ht="15" hidden="1">
      <c r="A53" s="5" t="s">
        <v>72</v>
      </c>
      <c r="B53" s="30" t="s">
        <v>73</v>
      </c>
      <c r="C53" s="5">
        <v>1</v>
      </c>
      <c r="D53" s="30">
        <v>2</v>
      </c>
      <c r="E53" s="30">
        <v>3</v>
      </c>
      <c r="F53" s="30">
        <v>4</v>
      </c>
      <c r="G53" s="30">
        <v>5</v>
      </c>
      <c r="H53" s="30">
        <v>6</v>
      </c>
      <c r="I53" s="30">
        <v>7</v>
      </c>
      <c r="J53" s="30">
        <v>8</v>
      </c>
      <c r="K53" s="30">
        <v>9</v>
      </c>
      <c r="L53" s="30">
        <v>10</v>
      </c>
      <c r="M53" s="30">
        <v>11</v>
      </c>
      <c r="N53" s="30">
        <v>12</v>
      </c>
      <c r="O53" s="30">
        <v>13</v>
      </c>
      <c r="P53" s="30">
        <v>14</v>
      </c>
      <c r="Q53" s="30">
        <v>15</v>
      </c>
      <c r="R53" s="30">
        <v>16</v>
      </c>
      <c r="S53" s="30">
        <v>17</v>
      </c>
      <c r="T53" s="30">
        <v>18</v>
      </c>
      <c r="U53" s="30">
        <v>19</v>
      </c>
      <c r="V53" s="30">
        <v>20</v>
      </c>
      <c r="W53" s="30">
        <v>21</v>
      </c>
      <c r="X53" s="30">
        <v>22</v>
      </c>
      <c r="Y53" s="30">
        <v>23</v>
      </c>
      <c r="Z53" s="30">
        <v>24</v>
      </c>
      <c r="AA53" s="30">
        <v>25</v>
      </c>
      <c r="AB53" s="30">
        <v>26</v>
      </c>
      <c r="AC53" s="30">
        <v>27</v>
      </c>
      <c r="AD53" s="30">
        <v>28</v>
      </c>
      <c r="AE53" s="30">
        <v>29</v>
      </c>
      <c r="AF53" s="30">
        <v>30</v>
      </c>
      <c r="AG53" s="30">
        <v>31</v>
      </c>
      <c r="AH53" s="5" t="s">
        <v>74</v>
      </c>
    </row>
    <row r="54" spans="1:34" ht="15" hidden="1">
      <c r="A54" s="1233" t="s">
        <v>75</v>
      </c>
      <c r="B54" s="18">
        <f t="shared" ref="B54:B65" si="10">+AH54</f>
        <v>0</v>
      </c>
      <c r="C54" s="81" t="s">
        <v>111</v>
      </c>
      <c r="D54" s="81" t="s">
        <v>111</v>
      </c>
      <c r="E54" s="81" t="s">
        <v>111</v>
      </c>
      <c r="F54" s="81" t="s">
        <v>111</v>
      </c>
      <c r="G54" s="81" t="s">
        <v>111</v>
      </c>
      <c r="H54" s="81" t="s">
        <v>111</v>
      </c>
      <c r="I54" s="81" t="s">
        <v>111</v>
      </c>
      <c r="J54" s="81" t="s">
        <v>111</v>
      </c>
      <c r="K54" s="81" t="s">
        <v>111</v>
      </c>
      <c r="L54" s="81" t="s">
        <v>111</v>
      </c>
      <c r="M54" s="81" t="s">
        <v>111</v>
      </c>
      <c r="N54" s="81" t="s">
        <v>111</v>
      </c>
      <c r="O54" s="81" t="s">
        <v>111</v>
      </c>
      <c r="P54" s="81" t="s">
        <v>111</v>
      </c>
      <c r="Q54" s="81" t="s">
        <v>111</v>
      </c>
      <c r="R54" s="81" t="s">
        <v>111</v>
      </c>
      <c r="S54" s="81" t="s">
        <v>111</v>
      </c>
      <c r="T54" s="81" t="s">
        <v>111</v>
      </c>
      <c r="U54" s="81" t="s">
        <v>111</v>
      </c>
      <c r="V54" s="81" t="s">
        <v>111</v>
      </c>
      <c r="W54" s="81" t="s">
        <v>111</v>
      </c>
      <c r="X54" s="81" t="s">
        <v>111</v>
      </c>
      <c r="Y54" s="81" t="s">
        <v>111</v>
      </c>
      <c r="Z54" s="81" t="s">
        <v>111</v>
      </c>
      <c r="AA54" s="81" t="s">
        <v>111</v>
      </c>
      <c r="AB54" s="81" t="s">
        <v>111</v>
      </c>
      <c r="AC54" s="81" t="s">
        <v>111</v>
      </c>
      <c r="AD54" s="81" t="s">
        <v>111</v>
      </c>
      <c r="AE54" s="81" t="s">
        <v>111</v>
      </c>
      <c r="AF54" s="81" t="s">
        <v>111</v>
      </c>
      <c r="AG54" s="81" t="s">
        <v>111</v>
      </c>
      <c r="AH54" s="49">
        <f>SUM(C54:AG54)</f>
        <v>0</v>
      </c>
    </row>
    <row r="55" spans="1:34" ht="15" hidden="1">
      <c r="A55" s="1233" t="s">
        <v>76</v>
      </c>
      <c r="B55" s="18">
        <f t="shared" si="10"/>
        <v>0</v>
      </c>
      <c r="C55" s="81" t="s">
        <v>111</v>
      </c>
      <c r="D55" s="81" t="s">
        <v>111</v>
      </c>
      <c r="E55" s="81" t="s">
        <v>111</v>
      </c>
      <c r="F55" s="81" t="s">
        <v>111</v>
      </c>
      <c r="G55" s="81" t="s">
        <v>111</v>
      </c>
      <c r="H55" s="81" t="s">
        <v>111</v>
      </c>
      <c r="I55" s="81" t="s">
        <v>111</v>
      </c>
      <c r="J55" s="81" t="s">
        <v>111</v>
      </c>
      <c r="K55" s="81" t="s">
        <v>111</v>
      </c>
      <c r="L55" s="81" t="s">
        <v>111</v>
      </c>
      <c r="M55" s="81" t="s">
        <v>111</v>
      </c>
      <c r="N55" s="81" t="s">
        <v>111</v>
      </c>
      <c r="O55" s="81" t="s">
        <v>111</v>
      </c>
      <c r="P55" s="81" t="s">
        <v>111</v>
      </c>
      <c r="Q55" s="81" t="s">
        <v>111</v>
      </c>
      <c r="R55" s="81" t="s">
        <v>111</v>
      </c>
      <c r="S55" s="81" t="s">
        <v>111</v>
      </c>
      <c r="T55" s="81" t="s">
        <v>111</v>
      </c>
      <c r="U55" s="81" t="s">
        <v>111</v>
      </c>
      <c r="V55" s="81" t="s">
        <v>111</v>
      </c>
      <c r="W55" s="81" t="s">
        <v>111</v>
      </c>
      <c r="X55" s="81" t="s">
        <v>111</v>
      </c>
      <c r="Y55" s="81" t="s">
        <v>111</v>
      </c>
      <c r="Z55" s="81" t="s">
        <v>111</v>
      </c>
      <c r="AA55" s="81" t="s">
        <v>111</v>
      </c>
      <c r="AB55" s="81" t="s">
        <v>111</v>
      </c>
      <c r="AC55" s="81" t="s">
        <v>111</v>
      </c>
      <c r="AD55" s="81" t="s">
        <v>111</v>
      </c>
      <c r="AE55" s="81" t="s">
        <v>111</v>
      </c>
      <c r="AF55" s="81" t="s">
        <v>111</v>
      </c>
      <c r="AG55" s="81" t="s">
        <v>111</v>
      </c>
      <c r="AH55" s="49">
        <f t="shared" ref="AH55:AH65" si="11">SUM(C55:AG55)</f>
        <v>0</v>
      </c>
    </row>
    <row r="56" spans="1:34" ht="15" hidden="1">
      <c r="A56" s="1233" t="s">
        <v>77</v>
      </c>
      <c r="B56" s="18">
        <f t="shared" si="10"/>
        <v>0</v>
      </c>
      <c r="C56" s="81" t="s">
        <v>111</v>
      </c>
      <c r="D56" s="81" t="s">
        <v>111</v>
      </c>
      <c r="E56" s="81" t="s">
        <v>111</v>
      </c>
      <c r="F56" s="81" t="s">
        <v>111</v>
      </c>
      <c r="G56" s="81" t="s">
        <v>111</v>
      </c>
      <c r="H56" s="49"/>
      <c r="I56" s="18"/>
      <c r="J56" s="18"/>
      <c r="K56" s="18"/>
      <c r="L56" s="18"/>
      <c r="M56" s="18"/>
      <c r="N56" s="18"/>
      <c r="O56" s="18"/>
      <c r="P56" s="18"/>
      <c r="Q56" s="18"/>
      <c r="R56" s="18"/>
      <c r="S56" s="18"/>
      <c r="T56" s="18"/>
      <c r="U56" s="18"/>
      <c r="V56" s="18"/>
      <c r="W56" s="18"/>
      <c r="X56" s="18"/>
      <c r="Y56" s="18"/>
      <c r="Z56" s="18"/>
      <c r="AA56" s="18"/>
      <c r="AB56" s="18"/>
      <c r="AC56" s="81" t="s">
        <v>111</v>
      </c>
      <c r="AD56" s="81" t="s">
        <v>111</v>
      </c>
      <c r="AE56" s="81" t="s">
        <v>111</v>
      </c>
      <c r="AF56" s="81" t="s">
        <v>111</v>
      </c>
      <c r="AG56" s="81" t="s">
        <v>111</v>
      </c>
      <c r="AH56" s="49">
        <f t="shared" si="11"/>
        <v>0</v>
      </c>
    </row>
    <row r="57" spans="1:34" ht="15" hidden="1">
      <c r="A57" s="1233" t="s">
        <v>78</v>
      </c>
      <c r="B57" s="18">
        <f t="shared" si="10"/>
        <v>0</v>
      </c>
      <c r="C57" s="81" t="s">
        <v>111</v>
      </c>
      <c r="D57" s="81" t="s">
        <v>111</v>
      </c>
      <c r="E57" s="81" t="s">
        <v>111</v>
      </c>
      <c r="F57" s="81" t="s">
        <v>111</v>
      </c>
      <c r="G57" s="81" t="s">
        <v>111</v>
      </c>
      <c r="H57" s="81" t="s">
        <v>111</v>
      </c>
      <c r="I57" s="81" t="s">
        <v>111</v>
      </c>
      <c r="J57" s="81" t="s">
        <v>111</v>
      </c>
      <c r="K57" s="81" t="s">
        <v>111</v>
      </c>
      <c r="L57" s="18"/>
      <c r="M57" s="18"/>
      <c r="N57" s="18"/>
      <c r="O57" s="18"/>
      <c r="P57" s="18"/>
      <c r="Q57" s="18"/>
      <c r="R57" s="18"/>
      <c r="S57" s="18"/>
      <c r="T57" s="18"/>
      <c r="U57" s="18"/>
      <c r="V57" s="18"/>
      <c r="W57" s="18"/>
      <c r="X57" s="18"/>
      <c r="Y57" s="18"/>
      <c r="Z57" s="18"/>
      <c r="AA57" s="18"/>
      <c r="AB57" s="18"/>
      <c r="AC57" s="18"/>
      <c r="AD57" s="18"/>
      <c r="AE57" s="18"/>
      <c r="AF57" s="18"/>
      <c r="AG57" s="18"/>
      <c r="AH57" s="49">
        <f t="shared" si="11"/>
        <v>0</v>
      </c>
    </row>
    <row r="58" spans="1:34" ht="15" hidden="1">
      <c r="A58" s="1233" t="s">
        <v>79</v>
      </c>
      <c r="B58" s="18">
        <f t="shared" si="10"/>
        <v>0</v>
      </c>
      <c r="C58" s="49"/>
      <c r="D58" s="18"/>
      <c r="E58" s="18"/>
      <c r="F58" s="18"/>
      <c r="G58" s="18"/>
      <c r="H58" s="49"/>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49">
        <f t="shared" si="11"/>
        <v>0</v>
      </c>
    </row>
    <row r="59" spans="1:34" ht="15" hidden="1">
      <c r="A59" s="1233" t="s">
        <v>80</v>
      </c>
      <c r="B59" s="18">
        <f t="shared" si="10"/>
        <v>0</v>
      </c>
      <c r="C59" s="49"/>
      <c r="D59" s="18"/>
      <c r="E59" s="18"/>
      <c r="F59" s="18"/>
      <c r="G59" s="18"/>
      <c r="H59" s="81" t="s">
        <v>92</v>
      </c>
      <c r="I59" s="81" t="s">
        <v>92</v>
      </c>
      <c r="J59" s="81" t="s">
        <v>92</v>
      </c>
      <c r="K59" s="81" t="s">
        <v>92</v>
      </c>
      <c r="L59" s="81" t="s">
        <v>92</v>
      </c>
      <c r="M59" s="81" t="s">
        <v>92</v>
      </c>
      <c r="N59" s="81" t="s">
        <v>92</v>
      </c>
      <c r="O59" s="81" t="s">
        <v>92</v>
      </c>
      <c r="P59" s="81" t="s">
        <v>92</v>
      </c>
      <c r="Q59" s="81" t="s">
        <v>92</v>
      </c>
      <c r="R59" s="81" t="s">
        <v>92</v>
      </c>
      <c r="S59" s="81" t="s">
        <v>92</v>
      </c>
      <c r="T59" s="81" t="s">
        <v>92</v>
      </c>
      <c r="U59" s="81" t="s">
        <v>92</v>
      </c>
      <c r="V59" s="81" t="s">
        <v>92</v>
      </c>
      <c r="W59" s="81" t="s">
        <v>92</v>
      </c>
      <c r="X59" s="81" t="s">
        <v>92</v>
      </c>
      <c r="Y59" s="18"/>
      <c r="Z59" s="18"/>
      <c r="AA59" s="18"/>
      <c r="AB59" s="18"/>
      <c r="AC59" s="18"/>
      <c r="AD59" s="18"/>
      <c r="AE59" s="18"/>
      <c r="AF59" s="18"/>
      <c r="AG59" s="18"/>
      <c r="AH59" s="49">
        <f t="shared" si="11"/>
        <v>0</v>
      </c>
    </row>
    <row r="60" spans="1:34" ht="15" hidden="1">
      <c r="A60" s="1233" t="s">
        <v>81</v>
      </c>
      <c r="B60" s="18">
        <f t="shared" si="10"/>
        <v>0</v>
      </c>
      <c r="C60" s="49"/>
      <c r="D60" s="18"/>
      <c r="E60" s="18"/>
      <c r="F60" s="18"/>
      <c r="G60" s="18"/>
      <c r="H60" s="49"/>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49">
        <f t="shared" si="11"/>
        <v>0</v>
      </c>
    </row>
    <row r="61" spans="1:34" ht="15" hidden="1">
      <c r="A61" s="1233" t="s">
        <v>82</v>
      </c>
      <c r="B61" s="18">
        <f t="shared" si="10"/>
        <v>0</v>
      </c>
      <c r="C61" s="49"/>
      <c r="D61" s="18"/>
      <c r="E61" s="18"/>
      <c r="F61" s="18"/>
      <c r="G61" s="18"/>
      <c r="H61" s="18"/>
      <c r="I61" s="18"/>
      <c r="J61" s="844" t="s">
        <v>112</v>
      </c>
      <c r="K61" s="844" t="s">
        <v>112</v>
      </c>
      <c r="L61" s="844" t="s">
        <v>112</v>
      </c>
      <c r="M61" s="81" t="s">
        <v>112</v>
      </c>
      <c r="N61" s="81" t="s">
        <v>112</v>
      </c>
      <c r="O61" s="81" t="s">
        <v>112</v>
      </c>
      <c r="P61" s="81" t="s">
        <v>112</v>
      </c>
      <c r="Q61" s="81" t="s">
        <v>112</v>
      </c>
      <c r="R61" s="81" t="s">
        <v>112</v>
      </c>
      <c r="S61" s="81" t="s">
        <v>112</v>
      </c>
      <c r="T61" s="81" t="s">
        <v>112</v>
      </c>
      <c r="U61" s="81" t="s">
        <v>112</v>
      </c>
      <c r="V61" s="81" t="s">
        <v>112</v>
      </c>
      <c r="W61" s="81" t="s">
        <v>112</v>
      </c>
      <c r="X61" s="81" t="s">
        <v>112</v>
      </c>
      <c r="Y61" s="81" t="s">
        <v>112</v>
      </c>
      <c r="Z61" s="81" t="s">
        <v>112</v>
      </c>
      <c r="AA61" s="81" t="s">
        <v>112</v>
      </c>
      <c r="AB61" s="81" t="s">
        <v>112</v>
      </c>
      <c r="AC61" s="81" t="s">
        <v>112</v>
      </c>
      <c r="AD61" s="81" t="s">
        <v>112</v>
      </c>
      <c r="AE61" s="81" t="s">
        <v>112</v>
      </c>
      <c r="AF61" s="81" t="s">
        <v>112</v>
      </c>
      <c r="AG61" s="81" t="s">
        <v>112</v>
      </c>
      <c r="AH61" s="49">
        <f t="shared" si="11"/>
        <v>0</v>
      </c>
    </row>
    <row r="62" spans="1:34" ht="15" hidden="1">
      <c r="A62" s="1744" t="s">
        <v>83</v>
      </c>
      <c r="B62" s="18">
        <f t="shared" si="10"/>
        <v>0</v>
      </c>
      <c r="C62" s="81" t="s">
        <v>112</v>
      </c>
      <c r="D62" s="81" t="s">
        <v>112</v>
      </c>
      <c r="E62" s="81" t="s">
        <v>112</v>
      </c>
      <c r="F62" s="81" t="s">
        <v>112</v>
      </c>
      <c r="G62" s="81" t="s">
        <v>112</v>
      </c>
      <c r="H62" s="81" t="s">
        <v>112</v>
      </c>
      <c r="I62" s="81" t="s">
        <v>112</v>
      </c>
      <c r="J62" s="844" t="s">
        <v>112</v>
      </c>
      <c r="K62" s="844" t="s">
        <v>112</v>
      </c>
      <c r="L62" s="844" t="s">
        <v>112</v>
      </c>
      <c r="M62" s="81" t="s">
        <v>112</v>
      </c>
      <c r="N62" s="81" t="s">
        <v>112</v>
      </c>
      <c r="O62" s="81" t="s">
        <v>112</v>
      </c>
      <c r="P62" s="81" t="s">
        <v>112</v>
      </c>
      <c r="Q62" s="81" t="s">
        <v>112</v>
      </c>
      <c r="R62" s="81" t="s">
        <v>112</v>
      </c>
      <c r="S62" s="81" t="s">
        <v>112</v>
      </c>
      <c r="T62" s="81" t="s">
        <v>112</v>
      </c>
      <c r="U62" s="81" t="s">
        <v>112</v>
      </c>
      <c r="V62" s="81" t="s">
        <v>112</v>
      </c>
      <c r="W62" s="81" t="s">
        <v>112</v>
      </c>
      <c r="X62" s="81" t="s">
        <v>112</v>
      </c>
      <c r="Y62" s="81" t="s">
        <v>112</v>
      </c>
      <c r="Z62" s="81" t="s">
        <v>112</v>
      </c>
      <c r="AA62" s="81" t="s">
        <v>112</v>
      </c>
      <c r="AB62" s="81" t="s">
        <v>112</v>
      </c>
      <c r="AC62" s="81" t="s">
        <v>112</v>
      </c>
      <c r="AD62" s="81" t="s">
        <v>112</v>
      </c>
      <c r="AE62" s="81" t="s">
        <v>112</v>
      </c>
      <c r="AF62" s="81" t="s">
        <v>112</v>
      </c>
      <c r="AG62" s="81" t="s">
        <v>112</v>
      </c>
      <c r="AH62" s="49">
        <f t="shared" si="11"/>
        <v>0</v>
      </c>
    </row>
    <row r="63" spans="1:34" ht="15" hidden="1">
      <c r="A63" s="1744" t="s">
        <v>84</v>
      </c>
      <c r="B63" s="18">
        <f t="shared" si="10"/>
        <v>0</v>
      </c>
      <c r="C63" s="81" t="s">
        <v>112</v>
      </c>
      <c r="D63" s="81" t="s">
        <v>112</v>
      </c>
      <c r="E63" s="81" t="s">
        <v>112</v>
      </c>
      <c r="F63" s="81" t="s">
        <v>112</v>
      </c>
      <c r="G63" s="81" t="s">
        <v>112</v>
      </c>
      <c r="H63" s="81" t="s">
        <v>112</v>
      </c>
      <c r="I63" s="81" t="s">
        <v>112</v>
      </c>
      <c r="J63" s="844" t="s">
        <v>112</v>
      </c>
      <c r="K63" s="844" t="s">
        <v>112</v>
      </c>
      <c r="L63" s="844" t="s">
        <v>112</v>
      </c>
      <c r="M63" s="81" t="s">
        <v>112</v>
      </c>
      <c r="N63" s="81" t="s">
        <v>112</v>
      </c>
      <c r="O63" s="81" t="s">
        <v>112</v>
      </c>
      <c r="P63" s="81" t="s">
        <v>112</v>
      </c>
      <c r="Q63" s="81" t="s">
        <v>112</v>
      </c>
      <c r="R63" s="81" t="s">
        <v>112</v>
      </c>
      <c r="S63" s="81" t="s">
        <v>112</v>
      </c>
      <c r="T63" s="81" t="s">
        <v>112</v>
      </c>
      <c r="U63" s="81" t="s">
        <v>112</v>
      </c>
      <c r="V63" s="81" t="s">
        <v>112</v>
      </c>
      <c r="W63" s="81" t="s">
        <v>112</v>
      </c>
      <c r="X63" s="18"/>
      <c r="Y63" s="18"/>
      <c r="Z63" s="18"/>
      <c r="AA63" s="18"/>
      <c r="AB63" s="18"/>
      <c r="AC63" s="18"/>
      <c r="AD63" s="18"/>
      <c r="AE63" s="53"/>
      <c r="AF63" s="18"/>
      <c r="AG63" s="53"/>
      <c r="AH63" s="49">
        <f t="shared" si="11"/>
        <v>0</v>
      </c>
    </row>
    <row r="64" spans="1:34" ht="15" hidden="1">
      <c r="A64" s="1744" t="s">
        <v>85</v>
      </c>
      <c r="B64" s="18">
        <f t="shared" si="10"/>
        <v>0</v>
      </c>
      <c r="C64" s="49"/>
      <c r="D64" s="18"/>
      <c r="E64" s="18"/>
      <c r="F64" s="18"/>
      <c r="G64" s="18"/>
      <c r="H64" s="49"/>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49">
        <f t="shared" si="11"/>
        <v>0</v>
      </c>
    </row>
    <row r="65" spans="1:71" ht="15" hidden="1">
      <c r="A65" s="1744" t="s">
        <v>86</v>
      </c>
      <c r="B65" s="18">
        <f t="shared" si="10"/>
        <v>0</v>
      </c>
      <c r="C65" s="49"/>
      <c r="D65" s="18"/>
      <c r="E65" s="18"/>
      <c r="F65" s="18"/>
      <c r="G65" s="18"/>
      <c r="H65" s="18"/>
      <c r="I65" s="18"/>
      <c r="J65" s="18"/>
      <c r="K65" s="18"/>
      <c r="L65" s="18"/>
      <c r="M65" s="18"/>
      <c r="N65" s="18"/>
      <c r="O65" s="18"/>
      <c r="P65" s="1280" t="s">
        <v>111</v>
      </c>
      <c r="Q65" s="1280" t="s">
        <v>111</v>
      </c>
      <c r="R65" s="1280" t="s">
        <v>111</v>
      </c>
      <c r="S65" s="1280" t="s">
        <v>111</v>
      </c>
      <c r="T65" s="1280" t="s">
        <v>111</v>
      </c>
      <c r="U65" s="1280" t="s">
        <v>111</v>
      </c>
      <c r="V65" s="1280" t="s">
        <v>111</v>
      </c>
      <c r="W65" s="1280" t="s">
        <v>111</v>
      </c>
      <c r="X65" s="1280" t="s">
        <v>111</v>
      </c>
      <c r="Y65" s="1280" t="s">
        <v>111</v>
      </c>
      <c r="Z65" s="1280" t="s">
        <v>111</v>
      </c>
      <c r="AA65" s="1280" t="s">
        <v>111</v>
      </c>
      <c r="AB65" s="1280" t="s">
        <v>111</v>
      </c>
      <c r="AC65" s="1280" t="s">
        <v>111</v>
      </c>
      <c r="AD65" s="1280" t="s">
        <v>111</v>
      </c>
      <c r="AE65" s="1280" t="s">
        <v>111</v>
      </c>
      <c r="AF65" s="1280" t="s">
        <v>111</v>
      </c>
      <c r="AG65" s="1280" t="s">
        <v>111</v>
      </c>
      <c r="AH65" s="49">
        <f t="shared" si="11"/>
        <v>0</v>
      </c>
    </row>
    <row r="66" spans="1:71" ht="15" hidden="1">
      <c r="A66" s="88" t="s">
        <v>52</v>
      </c>
      <c r="B66" s="89">
        <f t="shared" ref="B66:AH66" si="12">SUM(B54:B65)</f>
        <v>0</v>
      </c>
      <c r="C66" s="49">
        <f t="shared" si="12"/>
        <v>0</v>
      </c>
      <c r="D66" s="49">
        <f t="shared" si="12"/>
        <v>0</v>
      </c>
      <c r="E66" s="49">
        <f t="shared" si="12"/>
        <v>0</v>
      </c>
      <c r="F66" s="49">
        <f t="shared" si="12"/>
        <v>0</v>
      </c>
      <c r="G66" s="49">
        <f t="shared" si="12"/>
        <v>0</v>
      </c>
      <c r="H66" s="49">
        <f t="shared" si="12"/>
        <v>0</v>
      </c>
      <c r="I66" s="49">
        <f t="shared" si="12"/>
        <v>0</v>
      </c>
      <c r="J66" s="49">
        <f t="shared" si="12"/>
        <v>0</v>
      </c>
      <c r="K66" s="49">
        <f t="shared" si="12"/>
        <v>0</v>
      </c>
      <c r="L66" s="49">
        <f t="shared" si="12"/>
        <v>0</v>
      </c>
      <c r="M66" s="49">
        <f t="shared" si="12"/>
        <v>0</v>
      </c>
      <c r="N66" s="49">
        <f t="shared" si="12"/>
        <v>0</v>
      </c>
      <c r="O66" s="49">
        <f t="shared" si="12"/>
        <v>0</v>
      </c>
      <c r="P66" s="49">
        <f t="shared" si="12"/>
        <v>0</v>
      </c>
      <c r="Q66" s="49">
        <f t="shared" si="12"/>
        <v>0</v>
      </c>
      <c r="R66" s="49">
        <f t="shared" si="12"/>
        <v>0</v>
      </c>
      <c r="S66" s="49">
        <f t="shared" si="12"/>
        <v>0</v>
      </c>
      <c r="T66" s="49">
        <f t="shared" si="12"/>
        <v>0</v>
      </c>
      <c r="U66" s="49">
        <f t="shared" si="12"/>
        <v>0</v>
      </c>
      <c r="V66" s="49">
        <f t="shared" si="12"/>
        <v>0</v>
      </c>
      <c r="W66" s="49">
        <f t="shared" si="12"/>
        <v>0</v>
      </c>
      <c r="X66" s="49">
        <f t="shared" si="12"/>
        <v>0</v>
      </c>
      <c r="Y66" s="49">
        <f t="shared" si="12"/>
        <v>0</v>
      </c>
      <c r="Z66" s="49">
        <f t="shared" si="12"/>
        <v>0</v>
      </c>
      <c r="AA66" s="49">
        <f t="shared" si="12"/>
        <v>0</v>
      </c>
      <c r="AB66" s="49">
        <f t="shared" si="12"/>
        <v>0</v>
      </c>
      <c r="AC66" s="49">
        <f t="shared" si="12"/>
        <v>0</v>
      </c>
      <c r="AD66" s="49">
        <f t="shared" si="12"/>
        <v>0</v>
      </c>
      <c r="AE66" s="49">
        <f t="shared" si="12"/>
        <v>0</v>
      </c>
      <c r="AF66" s="49">
        <f t="shared" si="12"/>
        <v>0</v>
      </c>
      <c r="AG66" s="49">
        <f t="shared" si="12"/>
        <v>0</v>
      </c>
      <c r="AH66" s="49">
        <f t="shared" si="12"/>
        <v>0</v>
      </c>
    </row>
    <row r="67" spans="1:71" ht="15">
      <c r="A67" s="1"/>
      <c r="B67" s="1"/>
      <c r="C67" s="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
    </row>
    <row r="68" spans="1:71" ht="15">
      <c r="A68" s="3569" t="s">
        <v>89</v>
      </c>
      <c r="B68" s="3570"/>
      <c r="C68" s="357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
      <c r="AJ68" s="3335" t="s">
        <v>1196</v>
      </c>
      <c r="AL68" s="3569" t="s">
        <v>89</v>
      </c>
      <c r="AM68" s="3570"/>
      <c r="AN68" s="3571"/>
      <c r="AO68" s="3626" t="s">
        <v>1195</v>
      </c>
      <c r="AP68" s="3627"/>
      <c r="AQ68" s="3627"/>
      <c r="AR68" s="3627"/>
      <c r="AS68" s="3627"/>
      <c r="AT68" s="3627"/>
      <c r="AU68" s="3627"/>
      <c r="AV68" s="11"/>
      <c r="AW68" s="11"/>
      <c r="AX68" s="11"/>
      <c r="AY68" s="11"/>
      <c r="AZ68" s="11"/>
      <c r="BA68" s="11"/>
      <c r="BB68" s="11"/>
      <c r="BC68" s="11"/>
      <c r="BD68" s="11"/>
      <c r="BE68" s="11"/>
      <c r="BF68" s="11"/>
      <c r="BG68" s="11"/>
      <c r="BH68" s="11"/>
      <c r="BI68" s="11"/>
      <c r="BJ68" s="11"/>
      <c r="BK68" s="11"/>
      <c r="BL68" s="11"/>
      <c r="BM68" s="11"/>
      <c r="BN68" s="11"/>
      <c r="BO68" s="11"/>
      <c r="BP68" s="11"/>
      <c r="BQ68" s="11"/>
      <c r="BR68" s="11"/>
      <c r="BS68" s="1"/>
    </row>
    <row r="69" spans="1:71" ht="15">
      <c r="A69" s="5" t="s">
        <v>72</v>
      </c>
      <c r="B69" s="30" t="s">
        <v>73</v>
      </c>
      <c r="C69" s="129">
        <v>1</v>
      </c>
      <c r="D69" s="30">
        <v>2</v>
      </c>
      <c r="E69" s="30">
        <v>3</v>
      </c>
      <c r="F69" s="30">
        <v>4</v>
      </c>
      <c r="G69" s="30">
        <v>5</v>
      </c>
      <c r="H69" s="30">
        <v>6</v>
      </c>
      <c r="I69" s="30">
        <v>7</v>
      </c>
      <c r="J69" s="30">
        <v>8</v>
      </c>
      <c r="K69" s="30">
        <v>9</v>
      </c>
      <c r="L69" s="30">
        <v>10</v>
      </c>
      <c r="M69" s="30">
        <v>11</v>
      </c>
      <c r="N69" s="30">
        <v>12</v>
      </c>
      <c r="O69" s="30">
        <v>13</v>
      </c>
      <c r="P69" s="30">
        <v>14</v>
      </c>
      <c r="Q69" s="30">
        <v>15</v>
      </c>
      <c r="R69" s="30">
        <v>16</v>
      </c>
      <c r="S69" s="30">
        <v>17</v>
      </c>
      <c r="T69" s="30">
        <v>18</v>
      </c>
      <c r="U69" s="30">
        <v>19</v>
      </c>
      <c r="V69" s="30">
        <v>20</v>
      </c>
      <c r="W69" s="30">
        <v>21</v>
      </c>
      <c r="X69" s="30">
        <v>22</v>
      </c>
      <c r="Y69" s="30">
        <v>23</v>
      </c>
      <c r="Z69" s="30">
        <v>24</v>
      </c>
      <c r="AA69" s="30">
        <v>25</v>
      </c>
      <c r="AB69" s="30">
        <v>26</v>
      </c>
      <c r="AC69" s="30">
        <v>27</v>
      </c>
      <c r="AD69" s="30">
        <v>28</v>
      </c>
      <c r="AE69" s="30">
        <v>29</v>
      </c>
      <c r="AF69" s="30">
        <v>30</v>
      </c>
      <c r="AG69" s="30">
        <v>31</v>
      </c>
      <c r="AH69" s="5" t="s">
        <v>74</v>
      </c>
      <c r="AJ69" s="2928"/>
      <c r="AL69" s="5" t="s">
        <v>72</v>
      </c>
      <c r="AM69" s="30" t="s">
        <v>73</v>
      </c>
      <c r="AN69" s="129">
        <v>1</v>
      </c>
      <c r="AO69" s="30">
        <v>2</v>
      </c>
      <c r="AP69" s="30">
        <v>3</v>
      </c>
      <c r="AQ69" s="30">
        <v>4</v>
      </c>
      <c r="AR69" s="30">
        <v>5</v>
      </c>
      <c r="AS69" s="30">
        <v>6</v>
      </c>
      <c r="AT69" s="30">
        <v>7</v>
      </c>
      <c r="AU69" s="30">
        <v>8</v>
      </c>
      <c r="AV69" s="30">
        <v>9</v>
      </c>
      <c r="AW69" s="30">
        <v>10</v>
      </c>
      <c r="AX69" s="30">
        <v>11</v>
      </c>
      <c r="AY69" s="30">
        <v>12</v>
      </c>
      <c r="AZ69" s="30">
        <v>13</v>
      </c>
      <c r="BA69" s="30">
        <v>14</v>
      </c>
      <c r="BB69" s="30">
        <v>15</v>
      </c>
      <c r="BC69" s="30">
        <v>16</v>
      </c>
      <c r="BD69" s="30">
        <v>17</v>
      </c>
      <c r="BE69" s="30">
        <v>18</v>
      </c>
      <c r="BF69" s="30">
        <v>19</v>
      </c>
      <c r="BG69" s="30">
        <v>20</v>
      </c>
      <c r="BH69" s="30">
        <v>21</v>
      </c>
      <c r="BI69" s="30">
        <v>22</v>
      </c>
      <c r="BJ69" s="30">
        <v>23</v>
      </c>
      <c r="BK69" s="30">
        <v>24</v>
      </c>
      <c r="BL69" s="30">
        <v>25</v>
      </c>
      <c r="BM69" s="30">
        <v>26</v>
      </c>
      <c r="BN69" s="30">
        <v>27</v>
      </c>
      <c r="BO69" s="30">
        <v>28</v>
      </c>
      <c r="BP69" s="30">
        <v>29</v>
      </c>
      <c r="BQ69" s="30">
        <v>30</v>
      </c>
      <c r="BR69" s="30">
        <v>31</v>
      </c>
      <c r="BS69" s="5" t="s">
        <v>74</v>
      </c>
    </row>
    <row r="70" spans="1:71" ht="15">
      <c r="A70" s="1233" t="s">
        <v>75</v>
      </c>
      <c r="B70" s="67">
        <f t="shared" ref="B70:B81" si="13">+AH70</f>
        <v>0</v>
      </c>
      <c r="C70" s="81" t="s">
        <v>111</v>
      </c>
      <c r="D70" s="81" t="s">
        <v>111</v>
      </c>
      <c r="E70" s="81" t="s">
        <v>111</v>
      </c>
      <c r="F70" s="81" t="s">
        <v>111</v>
      </c>
      <c r="G70" s="81" t="s">
        <v>111</v>
      </c>
      <c r="H70" s="81" t="s">
        <v>111</v>
      </c>
      <c r="I70" s="81" t="s">
        <v>111</v>
      </c>
      <c r="J70" s="81" t="s">
        <v>111</v>
      </c>
      <c r="K70" s="81" t="s">
        <v>111</v>
      </c>
      <c r="L70" s="81" t="s">
        <v>111</v>
      </c>
      <c r="M70" s="81" t="s">
        <v>111</v>
      </c>
      <c r="N70" s="81" t="s">
        <v>111</v>
      </c>
      <c r="O70" s="81" t="s">
        <v>111</v>
      </c>
      <c r="P70" s="81" t="s">
        <v>111</v>
      </c>
      <c r="Q70" s="81" t="s">
        <v>111</v>
      </c>
      <c r="R70" s="81" t="s">
        <v>111</v>
      </c>
      <c r="S70" s="81" t="s">
        <v>111</v>
      </c>
      <c r="T70" s="81" t="s">
        <v>111</v>
      </c>
      <c r="U70" s="81" t="s">
        <v>111</v>
      </c>
      <c r="V70" s="81" t="s">
        <v>111</v>
      </c>
      <c r="W70" s="81" t="s">
        <v>111</v>
      </c>
      <c r="X70" s="81" t="s">
        <v>111</v>
      </c>
      <c r="Y70" s="81" t="s">
        <v>111</v>
      </c>
      <c r="Z70" s="81" t="s">
        <v>111</v>
      </c>
      <c r="AA70" s="81" t="s">
        <v>111</v>
      </c>
      <c r="AB70" s="81" t="s">
        <v>111</v>
      </c>
      <c r="AC70" s="81" t="s">
        <v>111</v>
      </c>
      <c r="AD70" s="81" t="s">
        <v>111</v>
      </c>
      <c r="AE70" s="81" t="s">
        <v>111</v>
      </c>
      <c r="AF70" s="81" t="s">
        <v>111</v>
      </c>
      <c r="AG70" s="81" t="s">
        <v>111</v>
      </c>
      <c r="AH70" s="49">
        <f t="shared" ref="AH70:AH71" si="14">SUM(H70:AG70)</f>
        <v>0</v>
      </c>
      <c r="AJ70" s="3336">
        <f>+AH70+BS70</f>
        <v>0</v>
      </c>
      <c r="AL70" s="1233" t="s">
        <v>75</v>
      </c>
      <c r="AM70" s="67">
        <f t="shared" ref="AM70:AM81" si="15">+BS70</f>
        <v>0</v>
      </c>
      <c r="AN70" s="81" t="s">
        <v>111</v>
      </c>
      <c r="AO70" s="81" t="s">
        <v>111</v>
      </c>
      <c r="AP70" s="81" t="s">
        <v>111</v>
      </c>
      <c r="AQ70" s="81" t="s">
        <v>111</v>
      </c>
      <c r="AR70" s="81" t="s">
        <v>111</v>
      </c>
      <c r="AS70" s="81" t="s">
        <v>111</v>
      </c>
      <c r="AT70" s="81" t="s">
        <v>111</v>
      </c>
      <c r="AU70" s="81" t="s">
        <v>111</v>
      </c>
      <c r="AV70" s="81" t="s">
        <v>111</v>
      </c>
      <c r="AW70" s="81" t="s">
        <v>111</v>
      </c>
      <c r="AX70" s="81" t="s">
        <v>111</v>
      </c>
      <c r="AY70" s="81" t="s">
        <v>111</v>
      </c>
      <c r="AZ70" s="81" t="s">
        <v>111</v>
      </c>
      <c r="BA70" s="81" t="s">
        <v>111</v>
      </c>
      <c r="BB70" s="81" t="s">
        <v>111</v>
      </c>
      <c r="BC70" s="81" t="s">
        <v>111</v>
      </c>
      <c r="BD70" s="81" t="s">
        <v>111</v>
      </c>
      <c r="BE70" s="81" t="s">
        <v>111</v>
      </c>
      <c r="BF70" s="81" t="s">
        <v>111</v>
      </c>
      <c r="BG70" s="81" t="s">
        <v>111</v>
      </c>
      <c r="BH70" s="81" t="s">
        <v>111</v>
      </c>
      <c r="BI70" s="81" t="s">
        <v>111</v>
      </c>
      <c r="BJ70" s="81" t="s">
        <v>111</v>
      </c>
      <c r="BK70" s="81" t="s">
        <v>111</v>
      </c>
      <c r="BL70" s="81" t="s">
        <v>111</v>
      </c>
      <c r="BM70" s="81" t="s">
        <v>111</v>
      </c>
      <c r="BN70" s="81" t="s">
        <v>111</v>
      </c>
      <c r="BO70" s="81" t="s">
        <v>111</v>
      </c>
      <c r="BP70" s="81" t="s">
        <v>111</v>
      </c>
      <c r="BQ70" s="81" t="s">
        <v>111</v>
      </c>
      <c r="BR70" s="81" t="s">
        <v>111</v>
      </c>
      <c r="BS70" s="49">
        <f t="shared" ref="BS70:BS71" si="16">SUM(AS70:BR70)</f>
        <v>0</v>
      </c>
    </row>
    <row r="71" spans="1:71" ht="15">
      <c r="A71" s="1233" t="s">
        <v>76</v>
      </c>
      <c r="B71" s="67">
        <f t="shared" si="13"/>
        <v>0</v>
      </c>
      <c r="C71" s="81" t="s">
        <v>111</v>
      </c>
      <c r="D71" s="81" t="s">
        <v>111</v>
      </c>
      <c r="E71" s="81" t="s">
        <v>111</v>
      </c>
      <c r="F71" s="81" t="s">
        <v>111</v>
      </c>
      <c r="G71" s="81" t="s">
        <v>111</v>
      </c>
      <c r="H71" s="81" t="s">
        <v>111</v>
      </c>
      <c r="I71" s="81" t="s">
        <v>111</v>
      </c>
      <c r="J71" s="81" t="s">
        <v>111</v>
      </c>
      <c r="K71" s="81" t="s">
        <v>111</v>
      </c>
      <c r="L71" s="81" t="s">
        <v>111</v>
      </c>
      <c r="M71" s="81" t="s">
        <v>111</v>
      </c>
      <c r="N71" s="81" t="s">
        <v>111</v>
      </c>
      <c r="O71" s="81" t="s">
        <v>111</v>
      </c>
      <c r="P71" s="81" t="s">
        <v>111</v>
      </c>
      <c r="Q71" s="81" t="s">
        <v>111</v>
      </c>
      <c r="R71" s="81" t="s">
        <v>111</v>
      </c>
      <c r="S71" s="81" t="s">
        <v>111</v>
      </c>
      <c r="T71" s="81" t="s">
        <v>111</v>
      </c>
      <c r="U71" s="81" t="s">
        <v>111</v>
      </c>
      <c r="V71" s="81" t="s">
        <v>111</v>
      </c>
      <c r="W71" s="81" t="s">
        <v>111</v>
      </c>
      <c r="X71" s="81" t="s">
        <v>111</v>
      </c>
      <c r="Y71" s="81" t="s">
        <v>111</v>
      </c>
      <c r="Z71" s="81" t="s">
        <v>111</v>
      </c>
      <c r="AA71" s="81" t="s">
        <v>111</v>
      </c>
      <c r="AB71" s="81" t="s">
        <v>111</v>
      </c>
      <c r="AC71" s="81" t="s">
        <v>111</v>
      </c>
      <c r="AD71" s="81" t="s">
        <v>111</v>
      </c>
      <c r="AE71" s="81" t="s">
        <v>111</v>
      </c>
      <c r="AF71" s="81" t="s">
        <v>111</v>
      </c>
      <c r="AG71" s="81" t="s">
        <v>111</v>
      </c>
      <c r="AH71" s="49">
        <f t="shared" si="14"/>
        <v>0</v>
      </c>
      <c r="AJ71" s="3336">
        <f t="shared" ref="AJ71:AJ81" si="17">+AH71+BS71</f>
        <v>0</v>
      </c>
      <c r="AL71" s="1233" t="s">
        <v>76</v>
      </c>
      <c r="AM71" s="67">
        <f t="shared" si="15"/>
        <v>0</v>
      </c>
      <c r="AN71" s="81" t="s">
        <v>111</v>
      </c>
      <c r="AO71" s="81" t="s">
        <v>111</v>
      </c>
      <c r="AP71" s="81" t="s">
        <v>111</v>
      </c>
      <c r="AQ71" s="81" t="s">
        <v>111</v>
      </c>
      <c r="AR71" s="81" t="s">
        <v>111</v>
      </c>
      <c r="AS71" s="81" t="s">
        <v>111</v>
      </c>
      <c r="AT71" s="81" t="s">
        <v>111</v>
      </c>
      <c r="AU71" s="81" t="s">
        <v>111</v>
      </c>
      <c r="AV71" s="81" t="s">
        <v>111</v>
      </c>
      <c r="AW71" s="81" t="s">
        <v>111</v>
      </c>
      <c r="AX71" s="81" t="s">
        <v>111</v>
      </c>
      <c r="AY71" s="81" t="s">
        <v>111</v>
      </c>
      <c r="AZ71" s="81" t="s">
        <v>111</v>
      </c>
      <c r="BA71" s="81" t="s">
        <v>111</v>
      </c>
      <c r="BB71" s="81" t="s">
        <v>111</v>
      </c>
      <c r="BC71" s="81" t="s">
        <v>111</v>
      </c>
      <c r="BD71" s="81" t="s">
        <v>111</v>
      </c>
      <c r="BE71" s="81" t="s">
        <v>111</v>
      </c>
      <c r="BF71" s="81" t="s">
        <v>111</v>
      </c>
      <c r="BG71" s="81" t="s">
        <v>111</v>
      </c>
      <c r="BH71" s="81" t="s">
        <v>111</v>
      </c>
      <c r="BI71" s="81" t="s">
        <v>111</v>
      </c>
      <c r="BJ71" s="81" t="s">
        <v>111</v>
      </c>
      <c r="BK71" s="81" t="s">
        <v>111</v>
      </c>
      <c r="BL71" s="81" t="s">
        <v>111</v>
      </c>
      <c r="BM71" s="81" t="s">
        <v>111</v>
      </c>
      <c r="BN71" s="81" t="s">
        <v>111</v>
      </c>
      <c r="BO71" s="81" t="s">
        <v>111</v>
      </c>
      <c r="BP71" s="81" t="s">
        <v>111</v>
      </c>
      <c r="BQ71" s="81" t="s">
        <v>111</v>
      </c>
      <c r="BR71" s="81" t="s">
        <v>111</v>
      </c>
      <c r="BS71" s="49">
        <f t="shared" si="16"/>
        <v>0</v>
      </c>
    </row>
    <row r="72" spans="1:71" ht="15">
      <c r="A72" s="1233" t="s">
        <v>77</v>
      </c>
      <c r="B72" s="67">
        <f t="shared" si="13"/>
        <v>2505.8629999999994</v>
      </c>
      <c r="C72" s="81" t="s">
        <v>111</v>
      </c>
      <c r="D72" s="81" t="s">
        <v>111</v>
      </c>
      <c r="E72" s="81" t="s">
        <v>111</v>
      </c>
      <c r="F72" s="81" t="s">
        <v>111</v>
      </c>
      <c r="G72" s="81" t="s">
        <v>111</v>
      </c>
      <c r="H72" s="1488">
        <v>71.72</v>
      </c>
      <c r="I72" s="1488"/>
      <c r="J72" s="1488"/>
      <c r="K72" s="1488"/>
      <c r="L72" s="1488">
        <v>140.375</v>
      </c>
      <c r="M72" s="1488">
        <v>134.196</v>
      </c>
      <c r="N72" s="1488">
        <v>176.54900000000001</v>
      </c>
      <c r="O72" s="1488">
        <v>63.02</v>
      </c>
      <c r="P72" s="1488">
        <v>130.88200000000001</v>
      </c>
      <c r="Q72" s="1488">
        <v>101.517</v>
      </c>
      <c r="R72" s="1488">
        <v>208.88499999999999</v>
      </c>
      <c r="S72" s="1488">
        <v>204.679</v>
      </c>
      <c r="T72" s="1488">
        <v>59.005000000000003</v>
      </c>
      <c r="U72" s="1488">
        <v>57.15</v>
      </c>
      <c r="V72" s="1488">
        <v>110.89400000000001</v>
      </c>
      <c r="W72" s="1488">
        <v>110.58199999999999</v>
      </c>
      <c r="X72" s="1488">
        <v>204.86</v>
      </c>
      <c r="Y72" s="1488"/>
      <c r="Z72" s="1488">
        <v>197.56200000000001</v>
      </c>
      <c r="AA72" s="1488">
        <v>187.52799999999999</v>
      </c>
      <c r="AB72" s="1488">
        <v>184.845</v>
      </c>
      <c r="AC72" s="1287">
        <v>92.682000000000002</v>
      </c>
      <c r="AD72" s="1287"/>
      <c r="AE72" s="1287"/>
      <c r="AF72" s="1287"/>
      <c r="AG72" s="1287">
        <v>68.932000000000002</v>
      </c>
      <c r="AH72" s="49">
        <f>SUM(H72:AG72)</f>
        <v>2505.8629999999994</v>
      </c>
      <c r="AJ72" s="3336">
        <f t="shared" si="17"/>
        <v>2505.8629999999994</v>
      </c>
      <c r="AL72" s="1233" t="s">
        <v>77</v>
      </c>
      <c r="AM72" s="67">
        <f t="shared" si="15"/>
        <v>0</v>
      </c>
      <c r="AN72" s="81" t="s">
        <v>111</v>
      </c>
      <c r="AO72" s="81" t="s">
        <v>111</v>
      </c>
      <c r="AP72" s="81" t="s">
        <v>111</v>
      </c>
      <c r="AQ72" s="81" t="s">
        <v>111</v>
      </c>
      <c r="AR72" s="81" t="s">
        <v>111</v>
      </c>
      <c r="AS72" s="1488"/>
      <c r="AT72" s="1488"/>
      <c r="AU72" s="1488"/>
      <c r="AV72" s="1488"/>
      <c r="AW72" s="1488"/>
      <c r="AX72" s="1488"/>
      <c r="AY72" s="1488"/>
      <c r="AZ72" s="1488"/>
      <c r="BA72" s="1488"/>
      <c r="BB72" s="1488"/>
      <c r="BC72" s="1488"/>
      <c r="BD72" s="1488"/>
      <c r="BE72" s="1488"/>
      <c r="BF72" s="1488"/>
      <c r="BG72" s="1488"/>
      <c r="BH72" s="1488"/>
      <c r="BI72" s="1488"/>
      <c r="BJ72" s="1488"/>
      <c r="BK72" s="1488"/>
      <c r="BL72" s="1488"/>
      <c r="BM72" s="1488"/>
      <c r="BN72" s="1287"/>
      <c r="BO72" s="1287"/>
      <c r="BP72" s="1287"/>
      <c r="BQ72" s="1287"/>
      <c r="BR72" s="1287"/>
      <c r="BS72" s="49">
        <f>SUM(AS72:BR72)</f>
        <v>0</v>
      </c>
    </row>
    <row r="73" spans="1:71" ht="15">
      <c r="A73" s="1233" t="s">
        <v>78</v>
      </c>
      <c r="B73" s="67">
        <f t="shared" si="13"/>
        <v>1962.338</v>
      </c>
      <c r="C73" s="1287">
        <v>234.33500000000001</v>
      </c>
      <c r="D73" s="1287">
        <v>130.24799999999999</v>
      </c>
      <c r="E73" s="1287">
        <v>188.29</v>
      </c>
      <c r="F73" s="1287">
        <v>196.06700000000001</v>
      </c>
      <c r="G73" s="1287"/>
      <c r="H73" s="1287"/>
      <c r="I73" s="1287">
        <v>75.27</v>
      </c>
      <c r="J73" s="1287">
        <v>127.11</v>
      </c>
      <c r="K73" s="1287"/>
      <c r="L73" s="1488"/>
      <c r="M73" s="1488"/>
      <c r="N73" s="1488">
        <v>76.73</v>
      </c>
      <c r="O73" s="1488">
        <v>202.45099999999999</v>
      </c>
      <c r="P73" s="1488">
        <v>215.72</v>
      </c>
      <c r="Q73" s="1488">
        <v>186.58500000000001</v>
      </c>
      <c r="R73" s="1488">
        <v>39.9</v>
      </c>
      <c r="S73" s="1488"/>
      <c r="T73" s="1488"/>
      <c r="U73" s="1488">
        <v>209.05699999999999</v>
      </c>
      <c r="V73" s="1488"/>
      <c r="W73" s="1488"/>
      <c r="X73" s="1488"/>
      <c r="Y73" s="1488">
        <v>66.734999999999999</v>
      </c>
      <c r="Z73" s="1488"/>
      <c r="AA73" s="1488"/>
      <c r="AB73" s="1488"/>
      <c r="AC73" s="1488"/>
      <c r="AD73" s="1488"/>
      <c r="AE73" s="1488"/>
      <c r="AF73" s="1488">
        <v>13.84</v>
      </c>
      <c r="AG73" s="1488"/>
      <c r="AH73" s="173">
        <f t="shared" ref="AH73:AH81" si="18">SUM(C73:AG73)</f>
        <v>1962.338</v>
      </c>
      <c r="AJ73" s="3336">
        <f t="shared" si="17"/>
        <v>1962.338</v>
      </c>
      <c r="AL73" s="1233" t="s">
        <v>78</v>
      </c>
      <c r="AM73" s="67">
        <f t="shared" si="15"/>
        <v>0</v>
      </c>
      <c r="AN73" s="1287"/>
      <c r="AO73" s="1287"/>
      <c r="AP73" s="1287"/>
      <c r="AQ73" s="1287"/>
      <c r="AR73" s="1287"/>
      <c r="AS73" s="1287"/>
      <c r="AT73" s="1287"/>
      <c r="AU73" s="1287"/>
      <c r="AV73" s="1287"/>
      <c r="AW73" s="1488"/>
      <c r="AX73" s="1488"/>
      <c r="AY73" s="1488"/>
      <c r="AZ73" s="1488"/>
      <c r="BA73" s="1488"/>
      <c r="BB73" s="1488"/>
      <c r="BC73" s="1488"/>
      <c r="BD73" s="1488"/>
      <c r="BE73" s="1488"/>
      <c r="BF73" s="1488"/>
      <c r="BG73" s="1488"/>
      <c r="BH73" s="1488"/>
      <c r="BI73" s="1488"/>
      <c r="BJ73" s="1488"/>
      <c r="BK73" s="1488"/>
      <c r="BL73" s="1488"/>
      <c r="BM73" s="1488"/>
      <c r="BN73" s="1488"/>
      <c r="BO73" s="1488"/>
      <c r="BP73" s="1488"/>
      <c r="BQ73" s="1488"/>
      <c r="BR73" s="1488"/>
      <c r="BS73" s="173">
        <f t="shared" ref="BS73:BS81" si="19">SUM(AN73:BR73)</f>
        <v>0</v>
      </c>
    </row>
    <row r="74" spans="1:71" ht="15">
      <c r="A74" s="1745" t="s">
        <v>79</v>
      </c>
      <c r="B74" s="67">
        <f t="shared" si="13"/>
        <v>451.35999999999996</v>
      </c>
      <c r="C74" s="1287"/>
      <c r="D74" s="1287"/>
      <c r="E74" s="1287"/>
      <c r="F74" s="1287"/>
      <c r="G74" s="1287">
        <v>192.79</v>
      </c>
      <c r="H74" s="1287">
        <v>53.57</v>
      </c>
      <c r="I74" s="1287">
        <v>79.66</v>
      </c>
      <c r="J74" s="1488"/>
      <c r="K74" s="1488"/>
      <c r="L74" s="1488"/>
      <c r="M74" s="1488"/>
      <c r="N74" s="1488"/>
      <c r="O74" s="1488">
        <v>7.7</v>
      </c>
      <c r="P74" s="1488"/>
      <c r="Q74" s="1488"/>
      <c r="R74" s="1488"/>
      <c r="S74" s="1488">
        <v>33.94</v>
      </c>
      <c r="T74" s="1488">
        <v>83.7</v>
      </c>
      <c r="U74" s="1488"/>
      <c r="V74" s="1488"/>
      <c r="W74" s="1488"/>
      <c r="X74" s="1488"/>
      <c r="Y74" s="1488"/>
      <c r="Z74" s="1488"/>
      <c r="AA74" s="1488"/>
      <c r="AB74" s="1488"/>
      <c r="AC74" s="1488"/>
      <c r="AD74" s="1488"/>
      <c r="AE74" s="1488"/>
      <c r="AF74" s="1488"/>
      <c r="AG74" s="1488"/>
      <c r="AH74" s="49">
        <f t="shared" si="18"/>
        <v>451.35999999999996</v>
      </c>
      <c r="AJ74" s="3336">
        <f t="shared" si="17"/>
        <v>451.35999999999996</v>
      </c>
      <c r="AL74" s="1745" t="s">
        <v>79</v>
      </c>
      <c r="AM74" s="67">
        <f t="shared" si="15"/>
        <v>0</v>
      </c>
      <c r="AN74" s="1287"/>
      <c r="AO74" s="1287"/>
      <c r="AP74" s="1287"/>
      <c r="AQ74" s="1287"/>
      <c r="AR74" s="1287"/>
      <c r="AS74" s="1287"/>
      <c r="AT74" s="1287"/>
      <c r="AU74" s="1488"/>
      <c r="AV74" s="1488"/>
      <c r="AW74" s="1488"/>
      <c r="AX74" s="1488"/>
      <c r="AY74" s="1488"/>
      <c r="AZ74" s="1488"/>
      <c r="BA74" s="1488"/>
      <c r="BB74" s="1488"/>
      <c r="BC74" s="1488"/>
      <c r="BD74" s="1488"/>
      <c r="BE74" s="1488"/>
      <c r="BF74" s="1488"/>
      <c r="BG74" s="1488"/>
      <c r="BH74" s="1488"/>
      <c r="BI74" s="1488"/>
      <c r="BJ74" s="1488"/>
      <c r="BK74" s="1488"/>
      <c r="BL74" s="1488"/>
      <c r="BM74" s="1488"/>
      <c r="BN74" s="1488"/>
      <c r="BO74" s="1488"/>
      <c r="BP74" s="1488"/>
      <c r="BQ74" s="1488"/>
      <c r="BR74" s="1488"/>
      <c r="BS74" s="49">
        <f t="shared" si="19"/>
        <v>0</v>
      </c>
    </row>
    <row r="75" spans="1:71" ht="15">
      <c r="A75" s="1745" t="s">
        <v>80</v>
      </c>
      <c r="B75" s="67">
        <f t="shared" si="13"/>
        <v>172.89000000000001</v>
      </c>
      <c r="C75" s="1287"/>
      <c r="D75" s="1287"/>
      <c r="E75" s="1287"/>
      <c r="F75" s="1287"/>
      <c r="G75" s="1287"/>
      <c r="H75" s="1287">
        <v>41.61</v>
      </c>
      <c r="I75" s="1287"/>
      <c r="J75" s="1287"/>
      <c r="K75" s="1287"/>
      <c r="L75" s="1287"/>
      <c r="M75" s="1287"/>
      <c r="N75" s="1287">
        <v>29.1</v>
      </c>
      <c r="O75" s="1287"/>
      <c r="P75" s="1287"/>
      <c r="Q75" s="1287"/>
      <c r="R75" s="1287"/>
      <c r="S75" s="1287"/>
      <c r="T75" s="1287"/>
      <c r="U75" s="1287"/>
      <c r="V75" s="1287"/>
      <c r="W75" s="1287">
        <v>49.05</v>
      </c>
      <c r="X75" s="1287"/>
      <c r="Y75" s="1287"/>
      <c r="Z75" s="1287">
        <v>21.04</v>
      </c>
      <c r="AA75" s="1287">
        <v>32.090000000000003</v>
      </c>
      <c r="AB75" s="1287"/>
      <c r="AC75" s="1287"/>
      <c r="AD75" s="1287"/>
      <c r="AE75" s="1287"/>
      <c r="AF75" s="1287"/>
      <c r="AG75" s="1287"/>
      <c r="AH75" s="49">
        <f t="shared" si="18"/>
        <v>172.89000000000001</v>
      </c>
      <c r="AJ75" s="3336">
        <f t="shared" si="17"/>
        <v>172.89000000000001</v>
      </c>
      <c r="AL75" s="1745" t="s">
        <v>80</v>
      </c>
      <c r="AM75" s="67">
        <f t="shared" si="15"/>
        <v>0</v>
      </c>
      <c r="AN75" s="1287"/>
      <c r="AO75" s="1287"/>
      <c r="AP75" s="1287"/>
      <c r="AQ75" s="1287"/>
      <c r="AR75" s="1287"/>
      <c r="AS75" s="1287"/>
      <c r="AT75" s="1287"/>
      <c r="AU75" s="1287"/>
      <c r="AV75" s="1287"/>
      <c r="AW75" s="1287"/>
      <c r="AX75" s="1287"/>
      <c r="AY75" s="1287"/>
      <c r="AZ75" s="1287"/>
      <c r="BA75" s="1287"/>
      <c r="BB75" s="1287"/>
      <c r="BC75" s="1287"/>
      <c r="BD75" s="1287"/>
      <c r="BE75" s="1287"/>
      <c r="BF75" s="1287"/>
      <c r="BG75" s="1287"/>
      <c r="BH75" s="1287"/>
      <c r="BI75" s="1287"/>
      <c r="BJ75" s="1287"/>
      <c r="BK75" s="1287"/>
      <c r="BL75" s="1287"/>
      <c r="BM75" s="1287"/>
      <c r="BN75" s="1287"/>
      <c r="BO75" s="1287"/>
      <c r="BP75" s="1287"/>
      <c r="BQ75" s="1287"/>
      <c r="BR75" s="1287"/>
      <c r="BS75" s="49">
        <f t="shared" si="19"/>
        <v>0</v>
      </c>
    </row>
    <row r="76" spans="1:71" ht="15">
      <c r="A76" s="1745" t="s">
        <v>81</v>
      </c>
      <c r="B76" s="67">
        <f t="shared" si="13"/>
        <v>0</v>
      </c>
      <c r="C76" s="1287"/>
      <c r="D76" s="1488"/>
      <c r="E76" s="1488"/>
      <c r="F76" s="1488"/>
      <c r="G76" s="1287"/>
      <c r="H76" s="1287"/>
      <c r="I76" s="1287"/>
      <c r="J76" s="2466"/>
      <c r="K76" s="2466"/>
      <c r="L76" s="1488"/>
      <c r="M76" s="1488"/>
      <c r="N76" s="1488"/>
      <c r="O76" s="1488"/>
      <c r="P76" s="1488"/>
      <c r="Q76" s="1488"/>
      <c r="R76" s="1488"/>
      <c r="S76" s="1488"/>
      <c r="T76" s="1488"/>
      <c r="U76" s="1488"/>
      <c r="V76" s="1488"/>
      <c r="W76" s="688"/>
      <c r="X76" s="688"/>
      <c r="Y76" s="688"/>
      <c r="Z76" s="688"/>
      <c r="AA76" s="688"/>
      <c r="AB76" s="688"/>
      <c r="AC76" s="688"/>
      <c r="AD76" s="688"/>
      <c r="AE76" s="688"/>
      <c r="AF76" s="688" t="s">
        <v>111</v>
      </c>
      <c r="AG76" s="688" t="s">
        <v>111</v>
      </c>
      <c r="AH76" s="49">
        <f t="shared" si="18"/>
        <v>0</v>
      </c>
      <c r="AJ76" s="3336">
        <f t="shared" si="17"/>
        <v>0</v>
      </c>
      <c r="AL76" s="1745" t="s">
        <v>81</v>
      </c>
      <c r="AM76" s="67">
        <f t="shared" si="15"/>
        <v>0</v>
      </c>
      <c r="AN76" s="1287"/>
      <c r="AO76" s="1488"/>
      <c r="AP76" s="1488"/>
      <c r="AQ76" s="1488"/>
      <c r="AR76" s="1287"/>
      <c r="AS76" s="1287"/>
      <c r="AT76" s="1287"/>
      <c r="AU76" s="2466"/>
      <c r="AV76" s="2466"/>
      <c r="AW76" s="1488"/>
      <c r="AX76" s="1488"/>
      <c r="AY76" s="1488"/>
      <c r="AZ76" s="1488"/>
      <c r="BA76" s="1488"/>
      <c r="BB76" s="1488"/>
      <c r="BC76" s="1488"/>
      <c r="BD76" s="1488"/>
      <c r="BE76" s="1488"/>
      <c r="BF76" s="1488"/>
      <c r="BG76" s="1488"/>
      <c r="BH76" s="688"/>
      <c r="BI76" s="688"/>
      <c r="BJ76" s="688"/>
      <c r="BK76" s="688"/>
      <c r="BL76" s="688"/>
      <c r="BM76" s="688"/>
      <c r="BN76" s="688"/>
      <c r="BO76" s="688"/>
      <c r="BP76" s="688"/>
      <c r="BQ76" s="688"/>
      <c r="BR76" s="688"/>
      <c r="BS76" s="49">
        <f t="shared" si="19"/>
        <v>0</v>
      </c>
    </row>
    <row r="77" spans="1:71" ht="15">
      <c r="A77" s="1745" t="s">
        <v>82</v>
      </c>
      <c r="B77" s="67">
        <f t="shared" si="13"/>
        <v>0</v>
      </c>
      <c r="C77" s="688" t="s">
        <v>111</v>
      </c>
      <c r="D77" s="688" t="s">
        <v>111</v>
      </c>
      <c r="E77" s="688" t="s">
        <v>111</v>
      </c>
      <c r="F77" s="688" t="s">
        <v>111</v>
      </c>
      <c r="G77" s="688" t="s">
        <v>111</v>
      </c>
      <c r="H77" s="688" t="s">
        <v>111</v>
      </c>
      <c r="I77" s="688" t="s">
        <v>111</v>
      </c>
      <c r="J77" s="688" t="s">
        <v>111</v>
      </c>
      <c r="K77" s="688" t="s">
        <v>111</v>
      </c>
      <c r="L77" s="688" t="s">
        <v>111</v>
      </c>
      <c r="M77" s="688" t="s">
        <v>111</v>
      </c>
      <c r="N77" s="688" t="s">
        <v>111</v>
      </c>
      <c r="O77" s="688" t="s">
        <v>111</v>
      </c>
      <c r="P77" s="688" t="s">
        <v>111</v>
      </c>
      <c r="Q77" s="688" t="s">
        <v>111</v>
      </c>
      <c r="R77" s="688" t="s">
        <v>111</v>
      </c>
      <c r="S77" s="688" t="s">
        <v>111</v>
      </c>
      <c r="T77" s="688" t="s">
        <v>111</v>
      </c>
      <c r="U77" s="688" t="s">
        <v>111</v>
      </c>
      <c r="V77" s="688" t="s">
        <v>111</v>
      </c>
      <c r="W77" s="688" t="s">
        <v>111</v>
      </c>
      <c r="X77" s="688" t="s">
        <v>111</v>
      </c>
      <c r="Y77" s="688" t="s">
        <v>111</v>
      </c>
      <c r="Z77" s="688" t="s">
        <v>111</v>
      </c>
      <c r="AA77" s="688" t="s">
        <v>111</v>
      </c>
      <c r="AB77" s="688" t="s">
        <v>111</v>
      </c>
      <c r="AC77" s="688" t="s">
        <v>111</v>
      </c>
      <c r="AD77" s="688" t="s">
        <v>111</v>
      </c>
      <c r="AE77" s="688" t="s">
        <v>111</v>
      </c>
      <c r="AF77" s="688" t="s">
        <v>111</v>
      </c>
      <c r="AG77" s="688" t="s">
        <v>111</v>
      </c>
      <c r="AH77" s="49">
        <f t="shared" si="18"/>
        <v>0</v>
      </c>
      <c r="AJ77" s="3336">
        <f t="shared" si="17"/>
        <v>0</v>
      </c>
      <c r="AL77" s="1745" t="s">
        <v>82</v>
      </c>
      <c r="AM77" s="67">
        <f t="shared" si="15"/>
        <v>0</v>
      </c>
      <c r="AN77" s="688" t="s">
        <v>111</v>
      </c>
      <c r="AO77" s="688" t="s">
        <v>111</v>
      </c>
      <c r="AP77" s="688" t="s">
        <v>111</v>
      </c>
      <c r="AQ77" s="688" t="s">
        <v>111</v>
      </c>
      <c r="AR77" s="688" t="s">
        <v>111</v>
      </c>
      <c r="AS77" s="688" t="s">
        <v>111</v>
      </c>
      <c r="AT77" s="688" t="s">
        <v>111</v>
      </c>
      <c r="AU77" s="688" t="s">
        <v>111</v>
      </c>
      <c r="AV77" s="688" t="s">
        <v>111</v>
      </c>
      <c r="AW77" s="688" t="s">
        <v>111</v>
      </c>
      <c r="AX77" s="688" t="s">
        <v>111</v>
      </c>
      <c r="AY77" s="688" t="s">
        <v>111</v>
      </c>
      <c r="AZ77" s="688" t="s">
        <v>111</v>
      </c>
      <c r="BA77" s="688" t="s">
        <v>111</v>
      </c>
      <c r="BB77" s="688" t="s">
        <v>111</v>
      </c>
      <c r="BC77" s="688" t="s">
        <v>111</v>
      </c>
      <c r="BD77" s="688" t="s">
        <v>111</v>
      </c>
      <c r="BE77" s="688" t="s">
        <v>111</v>
      </c>
      <c r="BF77" s="688" t="s">
        <v>111</v>
      </c>
      <c r="BG77" s="688" t="s">
        <v>111</v>
      </c>
      <c r="BH77" s="688" t="s">
        <v>111</v>
      </c>
      <c r="BI77" s="688" t="s">
        <v>111</v>
      </c>
      <c r="BJ77" s="688" t="s">
        <v>111</v>
      </c>
      <c r="BK77" s="688" t="s">
        <v>111</v>
      </c>
      <c r="BL77" s="688" t="s">
        <v>111</v>
      </c>
      <c r="BM77" s="688" t="s">
        <v>111</v>
      </c>
      <c r="BN77" s="688" t="s">
        <v>111</v>
      </c>
      <c r="BO77" s="688" t="s">
        <v>111</v>
      </c>
      <c r="BP77" s="688" t="s">
        <v>111</v>
      </c>
      <c r="BQ77" s="688" t="s">
        <v>111</v>
      </c>
      <c r="BR77" s="688" t="s">
        <v>111</v>
      </c>
      <c r="BS77" s="49">
        <f t="shared" si="19"/>
        <v>0</v>
      </c>
    </row>
    <row r="78" spans="1:71" ht="15">
      <c r="A78" s="1744" t="s">
        <v>83</v>
      </c>
      <c r="B78" s="67">
        <f t="shared" si="13"/>
        <v>0</v>
      </c>
      <c r="C78" s="688" t="s">
        <v>111</v>
      </c>
      <c r="D78" s="688" t="s">
        <v>111</v>
      </c>
      <c r="E78" s="688" t="s">
        <v>111</v>
      </c>
      <c r="F78" s="688" t="s">
        <v>111</v>
      </c>
      <c r="G78" s="688" t="s">
        <v>111</v>
      </c>
      <c r="H78" s="688" t="s">
        <v>111</v>
      </c>
      <c r="I78" s="688" t="s">
        <v>111</v>
      </c>
      <c r="J78" s="688" t="s">
        <v>111</v>
      </c>
      <c r="K78" s="688" t="s">
        <v>111</v>
      </c>
      <c r="L78" s="688" t="s">
        <v>111</v>
      </c>
      <c r="M78" s="688" t="s">
        <v>111</v>
      </c>
      <c r="N78" s="688" t="s">
        <v>111</v>
      </c>
      <c r="O78" s="688" t="s">
        <v>111</v>
      </c>
      <c r="P78" s="688" t="s">
        <v>111</v>
      </c>
      <c r="Q78" s="688" t="s">
        <v>111</v>
      </c>
      <c r="R78" s="688" t="s">
        <v>111</v>
      </c>
      <c r="S78" s="688" t="s">
        <v>111</v>
      </c>
      <c r="T78" s="688" t="s">
        <v>111</v>
      </c>
      <c r="U78" s="688" t="s">
        <v>111</v>
      </c>
      <c r="V78" s="688" t="s">
        <v>111</v>
      </c>
      <c r="W78" s="688" t="s">
        <v>111</v>
      </c>
      <c r="X78" s="688" t="s">
        <v>111</v>
      </c>
      <c r="Y78" s="688" t="s">
        <v>111</v>
      </c>
      <c r="Z78" s="688" t="s">
        <v>111</v>
      </c>
      <c r="AA78" s="688" t="s">
        <v>111</v>
      </c>
      <c r="AB78" s="688" t="s">
        <v>111</v>
      </c>
      <c r="AC78" s="688" t="s">
        <v>111</v>
      </c>
      <c r="AD78" s="688" t="s">
        <v>111</v>
      </c>
      <c r="AE78" s="688" t="s">
        <v>111</v>
      </c>
      <c r="AF78" s="688" t="s">
        <v>111</v>
      </c>
      <c r="AG78" s="688" t="s">
        <v>111</v>
      </c>
      <c r="AH78" s="49">
        <f t="shared" si="18"/>
        <v>0</v>
      </c>
      <c r="AJ78" s="3336">
        <f t="shared" si="17"/>
        <v>0</v>
      </c>
      <c r="AL78" s="1744" t="s">
        <v>83</v>
      </c>
      <c r="AM78" s="67">
        <f t="shared" si="15"/>
        <v>0</v>
      </c>
      <c r="AN78" s="688" t="s">
        <v>111</v>
      </c>
      <c r="AO78" s="688" t="s">
        <v>111</v>
      </c>
      <c r="AP78" s="688" t="s">
        <v>111</v>
      </c>
      <c r="AQ78" s="688" t="s">
        <v>111</v>
      </c>
      <c r="AR78" s="688" t="s">
        <v>111</v>
      </c>
      <c r="AS78" s="688" t="s">
        <v>111</v>
      </c>
      <c r="AT78" s="688" t="s">
        <v>111</v>
      </c>
      <c r="AU78" s="688" t="s">
        <v>111</v>
      </c>
      <c r="AV78" s="688" t="s">
        <v>111</v>
      </c>
      <c r="AW78" s="688" t="s">
        <v>111</v>
      </c>
      <c r="AX78" s="688" t="s">
        <v>111</v>
      </c>
      <c r="AY78" s="688" t="s">
        <v>111</v>
      </c>
      <c r="AZ78" s="688" t="s">
        <v>111</v>
      </c>
      <c r="BA78" s="688" t="s">
        <v>111</v>
      </c>
      <c r="BB78" s="688" t="s">
        <v>111</v>
      </c>
      <c r="BC78" s="688" t="s">
        <v>111</v>
      </c>
      <c r="BD78" s="688" t="s">
        <v>111</v>
      </c>
      <c r="BE78" s="688" t="s">
        <v>111</v>
      </c>
      <c r="BF78" s="688" t="s">
        <v>111</v>
      </c>
      <c r="BG78" s="688" t="s">
        <v>111</v>
      </c>
      <c r="BH78" s="688" t="s">
        <v>111</v>
      </c>
      <c r="BI78" s="688" t="s">
        <v>111</v>
      </c>
      <c r="BJ78" s="688" t="s">
        <v>111</v>
      </c>
      <c r="BK78" s="688" t="s">
        <v>111</v>
      </c>
      <c r="BL78" s="688" t="s">
        <v>111</v>
      </c>
      <c r="BM78" s="688" t="s">
        <v>111</v>
      </c>
      <c r="BN78" s="688" t="s">
        <v>111</v>
      </c>
      <c r="BO78" s="688" t="s">
        <v>111</v>
      </c>
      <c r="BP78" s="688" t="s">
        <v>111</v>
      </c>
      <c r="BQ78" s="688" t="s">
        <v>111</v>
      </c>
      <c r="BR78" s="688" t="s">
        <v>111</v>
      </c>
      <c r="BS78" s="49">
        <f t="shared" si="19"/>
        <v>0</v>
      </c>
    </row>
    <row r="79" spans="1:71" ht="15">
      <c r="A79" s="1744" t="s">
        <v>84</v>
      </c>
      <c r="B79" s="67">
        <f t="shared" si="13"/>
        <v>277.62900000000002</v>
      </c>
      <c r="C79" s="688" t="s">
        <v>111</v>
      </c>
      <c r="D79" s="688" t="s">
        <v>111</v>
      </c>
      <c r="E79" s="688" t="s">
        <v>111</v>
      </c>
      <c r="F79" s="688" t="s">
        <v>111</v>
      </c>
      <c r="G79" s="688" t="s">
        <v>111</v>
      </c>
      <c r="H79" s="688" t="s">
        <v>111</v>
      </c>
      <c r="I79" s="688" t="s">
        <v>111</v>
      </c>
      <c r="J79" s="688" t="s">
        <v>111</v>
      </c>
      <c r="K79" s="688" t="s">
        <v>111</v>
      </c>
      <c r="L79" s="688" t="s">
        <v>111</v>
      </c>
      <c r="M79" s="688" t="s">
        <v>111</v>
      </c>
      <c r="N79" s="688" t="s">
        <v>111</v>
      </c>
      <c r="O79" s="688" t="s">
        <v>111</v>
      </c>
      <c r="P79" s="688" t="s">
        <v>111</v>
      </c>
      <c r="Q79" s="688" t="s">
        <v>111</v>
      </c>
      <c r="R79" s="688" t="s">
        <v>111</v>
      </c>
      <c r="S79" s="688" t="s">
        <v>111</v>
      </c>
      <c r="T79" s="688" t="s">
        <v>111</v>
      </c>
      <c r="U79" s="688" t="s">
        <v>111</v>
      </c>
      <c r="V79" s="688" t="s">
        <v>111</v>
      </c>
      <c r="W79" s="688" t="s">
        <v>111</v>
      </c>
      <c r="X79" s="1287">
        <v>90.725999999999999</v>
      </c>
      <c r="Y79" s="1287">
        <v>131.483</v>
      </c>
      <c r="Z79" s="1287">
        <v>55.42</v>
      </c>
      <c r="AA79" s="1287"/>
      <c r="AB79" s="1287"/>
      <c r="AC79" s="1287"/>
      <c r="AD79" s="1287"/>
      <c r="AE79" s="1488"/>
      <c r="AF79" s="1287"/>
      <c r="AG79" s="1488"/>
      <c r="AH79" s="49">
        <f t="shared" si="18"/>
        <v>277.62900000000002</v>
      </c>
      <c r="AJ79" s="3336">
        <f t="shared" si="17"/>
        <v>277.62900000000002</v>
      </c>
      <c r="AL79" s="1744" t="s">
        <v>84</v>
      </c>
      <c r="AM79" s="67">
        <f t="shared" si="15"/>
        <v>0</v>
      </c>
      <c r="AN79" s="688" t="s">
        <v>111</v>
      </c>
      <c r="AO79" s="688" t="s">
        <v>111</v>
      </c>
      <c r="AP79" s="688" t="s">
        <v>111</v>
      </c>
      <c r="AQ79" s="688" t="s">
        <v>111</v>
      </c>
      <c r="AR79" s="688" t="s">
        <v>111</v>
      </c>
      <c r="AS79" s="688" t="s">
        <v>111</v>
      </c>
      <c r="AT79" s="688" t="s">
        <v>111</v>
      </c>
      <c r="AU79" s="688" t="s">
        <v>111</v>
      </c>
      <c r="AV79" s="688" t="s">
        <v>111</v>
      </c>
      <c r="AW79" s="688" t="s">
        <v>111</v>
      </c>
      <c r="AX79" s="688" t="s">
        <v>111</v>
      </c>
      <c r="AY79" s="688" t="s">
        <v>111</v>
      </c>
      <c r="AZ79" s="688" t="s">
        <v>111</v>
      </c>
      <c r="BA79" s="688" t="s">
        <v>111</v>
      </c>
      <c r="BB79" s="688" t="s">
        <v>111</v>
      </c>
      <c r="BC79" s="688" t="s">
        <v>111</v>
      </c>
      <c r="BD79" s="688" t="s">
        <v>111</v>
      </c>
      <c r="BE79" s="688" t="s">
        <v>111</v>
      </c>
      <c r="BF79" s="688" t="s">
        <v>111</v>
      </c>
      <c r="BG79" s="688" t="s">
        <v>111</v>
      </c>
      <c r="BH79" s="688" t="s">
        <v>111</v>
      </c>
      <c r="BI79" s="1287"/>
      <c r="BJ79" s="1287"/>
      <c r="BK79" s="1287"/>
      <c r="BL79" s="1287"/>
      <c r="BM79" s="1287"/>
      <c r="BN79" s="1287"/>
      <c r="BO79" s="1287"/>
      <c r="BP79" s="1488"/>
      <c r="BQ79" s="1287"/>
      <c r="BR79" s="1488"/>
      <c r="BS79" s="49">
        <f t="shared" si="19"/>
        <v>0</v>
      </c>
    </row>
    <row r="80" spans="1:71" ht="15">
      <c r="A80" s="1744" t="s">
        <v>85</v>
      </c>
      <c r="B80" s="67">
        <f t="shared" si="13"/>
        <v>0</v>
      </c>
      <c r="C80" s="49"/>
      <c r="D80" s="18"/>
      <c r="E80" s="18"/>
      <c r="F80" s="18"/>
      <c r="G80" s="11"/>
      <c r="H80" s="18"/>
      <c r="I80" s="18"/>
      <c r="J80" s="18"/>
      <c r="K80" s="18"/>
      <c r="L80" s="18"/>
      <c r="M80" s="18"/>
      <c r="N80" s="18"/>
      <c r="O80" s="18"/>
      <c r="P80" s="18"/>
      <c r="Q80" s="18"/>
      <c r="R80" s="18"/>
      <c r="S80" s="18"/>
      <c r="T80" s="18"/>
      <c r="U80" s="18"/>
      <c r="V80" s="18"/>
      <c r="W80" s="18"/>
      <c r="X80" s="18"/>
      <c r="Y80" s="11"/>
      <c r="Z80" s="18"/>
      <c r="AA80" s="18"/>
      <c r="AB80" s="18"/>
      <c r="AC80" s="18"/>
      <c r="AD80" s="18"/>
      <c r="AE80" s="53"/>
      <c r="AF80" s="18"/>
      <c r="AG80" s="53"/>
      <c r="AH80" s="49">
        <f t="shared" si="18"/>
        <v>0</v>
      </c>
      <c r="AJ80" s="3336">
        <f t="shared" si="17"/>
        <v>1390.8989999999999</v>
      </c>
      <c r="AL80" s="1744" t="s">
        <v>85</v>
      </c>
      <c r="AM80" s="67">
        <f t="shared" si="15"/>
        <v>1390.8989999999999</v>
      </c>
      <c r="AN80" s="49"/>
      <c r="AO80" s="18"/>
      <c r="AP80" s="18"/>
      <c r="AQ80" s="18"/>
      <c r="AR80" s="11"/>
      <c r="AS80" s="18"/>
      <c r="AT80" s="18"/>
      <c r="AU80" s="18"/>
      <c r="AV80" s="18"/>
      <c r="AW80" s="18"/>
      <c r="AX80" s="18"/>
      <c r="AY80" s="18"/>
      <c r="AZ80" s="18"/>
      <c r="BA80" s="18"/>
      <c r="BB80" s="18"/>
      <c r="BC80" s="18"/>
      <c r="BD80" s="18"/>
      <c r="BE80" s="18"/>
      <c r="BF80" s="18">
        <v>114.33499999999999</v>
      </c>
      <c r="BG80" s="18">
        <v>26.47</v>
      </c>
      <c r="BH80" s="18">
        <v>170.43</v>
      </c>
      <c r="BI80" s="18">
        <v>231.02</v>
      </c>
      <c r="BJ80" s="11">
        <v>73.47</v>
      </c>
      <c r="BK80" s="18"/>
      <c r="BL80" s="18"/>
      <c r="BM80" s="18">
        <v>237.54599999999999</v>
      </c>
      <c r="BN80" s="18">
        <v>71.64</v>
      </c>
      <c r="BO80" s="18">
        <v>174.05099999999999</v>
      </c>
      <c r="BP80" s="53">
        <v>187.20699999999999</v>
      </c>
      <c r="BQ80" s="18">
        <v>104.73</v>
      </c>
      <c r="BR80" s="53"/>
      <c r="BS80" s="49">
        <f t="shared" si="19"/>
        <v>1390.8989999999999</v>
      </c>
    </row>
    <row r="81" spans="1:71" ht="15">
      <c r="A81" s="1744" t="s">
        <v>86</v>
      </c>
      <c r="B81" s="67">
        <f t="shared" si="13"/>
        <v>0</v>
      </c>
      <c r="C81" s="49"/>
      <c r="D81" s="18"/>
      <c r="E81" s="18"/>
      <c r="F81" s="18"/>
      <c r="G81" s="18"/>
      <c r="H81" s="18"/>
      <c r="I81" s="18"/>
      <c r="J81" s="18"/>
      <c r="K81" s="18"/>
      <c r="L81" s="1280"/>
      <c r="M81" s="1280"/>
      <c r="N81" s="1280"/>
      <c r="O81" s="1280"/>
      <c r="P81" s="1280"/>
      <c r="Q81" s="1280"/>
      <c r="R81" s="1280"/>
      <c r="S81" s="1280"/>
      <c r="T81" s="1280"/>
      <c r="U81" s="1280"/>
      <c r="V81" s="1280"/>
      <c r="W81" s="1280"/>
      <c r="X81" s="1280"/>
      <c r="Y81" s="1280"/>
      <c r="Z81" s="1280"/>
      <c r="AA81" s="1280"/>
      <c r="AB81" s="1280"/>
      <c r="AC81" s="1280"/>
      <c r="AD81" s="1280"/>
      <c r="AE81" s="1280"/>
      <c r="AF81" s="1280"/>
      <c r="AG81" s="1280"/>
      <c r="AH81" s="49">
        <f t="shared" si="18"/>
        <v>0</v>
      </c>
      <c r="AJ81" s="3336">
        <f t="shared" si="17"/>
        <v>1378.5970000000002</v>
      </c>
      <c r="AL81" s="1744" t="s">
        <v>86</v>
      </c>
      <c r="AM81" s="67">
        <f t="shared" si="15"/>
        <v>1378.5970000000002</v>
      </c>
      <c r="AN81" s="49">
        <v>250.82</v>
      </c>
      <c r="AO81" s="18">
        <v>98.436999999999998</v>
      </c>
      <c r="AP81" s="18"/>
      <c r="AQ81" s="18">
        <v>242.48500000000001</v>
      </c>
      <c r="AR81" s="18">
        <v>116.63</v>
      </c>
      <c r="AS81" s="18">
        <v>169.18</v>
      </c>
      <c r="AT81" s="18">
        <v>159.70699999999999</v>
      </c>
      <c r="AU81" s="18">
        <v>132.98500000000001</v>
      </c>
      <c r="AV81" s="18">
        <v>157.96199999999999</v>
      </c>
      <c r="AW81" s="1280"/>
      <c r="AX81" s="1280"/>
      <c r="AY81" s="1280"/>
      <c r="AZ81" s="1280"/>
      <c r="BA81" s="1280">
        <v>50.390999999999998</v>
      </c>
      <c r="BB81" s="1280"/>
      <c r="BC81" s="1280"/>
      <c r="BD81" s="1280"/>
      <c r="BE81" s="1280"/>
      <c r="BF81" s="1280"/>
      <c r="BG81" s="1280"/>
      <c r="BH81" s="1280"/>
      <c r="BI81" s="1280"/>
      <c r="BJ81" s="1280"/>
      <c r="BK81" s="1280"/>
      <c r="BL81" s="1280"/>
      <c r="BM81" s="1280"/>
      <c r="BN81" s="1280"/>
      <c r="BO81" s="1280"/>
      <c r="BP81" s="1280"/>
      <c r="BQ81" s="1280"/>
      <c r="BR81" s="1280"/>
      <c r="BS81" s="49">
        <f t="shared" si="19"/>
        <v>1378.5970000000002</v>
      </c>
    </row>
    <row r="82" spans="1:71" ht="15">
      <c r="A82" s="88" t="s">
        <v>52</v>
      </c>
      <c r="B82" s="89">
        <f t="shared" ref="B82:AG82" si="20">SUM(B70:B81)</f>
        <v>5370.079999999999</v>
      </c>
      <c r="C82" s="49">
        <f t="shared" si="20"/>
        <v>234.33500000000001</v>
      </c>
      <c r="D82" s="49">
        <f t="shared" si="20"/>
        <v>130.24799999999999</v>
      </c>
      <c r="E82" s="49">
        <f t="shared" si="20"/>
        <v>188.29</v>
      </c>
      <c r="F82" s="49">
        <f t="shared" si="20"/>
        <v>196.06700000000001</v>
      </c>
      <c r="G82" s="49">
        <f t="shared" si="20"/>
        <v>192.79</v>
      </c>
      <c r="H82" s="49">
        <f t="shared" si="20"/>
        <v>166.89999999999998</v>
      </c>
      <c r="I82" s="49">
        <f t="shared" si="20"/>
        <v>154.93</v>
      </c>
      <c r="J82" s="49">
        <f t="shared" si="20"/>
        <v>127.11</v>
      </c>
      <c r="K82" s="49">
        <f t="shared" si="20"/>
        <v>0</v>
      </c>
      <c r="L82" s="49">
        <f t="shared" si="20"/>
        <v>140.375</v>
      </c>
      <c r="M82" s="49">
        <f t="shared" si="20"/>
        <v>134.196</v>
      </c>
      <c r="N82" s="49">
        <f t="shared" si="20"/>
        <v>282.37900000000002</v>
      </c>
      <c r="O82" s="49">
        <f t="shared" si="20"/>
        <v>273.17099999999999</v>
      </c>
      <c r="P82" s="49">
        <f t="shared" si="20"/>
        <v>346.60199999999998</v>
      </c>
      <c r="Q82" s="49">
        <f t="shared" si="20"/>
        <v>288.10199999999998</v>
      </c>
      <c r="R82" s="49">
        <f t="shared" si="20"/>
        <v>248.785</v>
      </c>
      <c r="S82" s="49">
        <f t="shared" si="20"/>
        <v>238.619</v>
      </c>
      <c r="T82" s="49">
        <f t="shared" si="20"/>
        <v>142.70500000000001</v>
      </c>
      <c r="U82" s="49">
        <f t="shared" si="20"/>
        <v>266.20699999999999</v>
      </c>
      <c r="V82" s="49">
        <f t="shared" si="20"/>
        <v>110.89400000000001</v>
      </c>
      <c r="W82" s="49">
        <f t="shared" si="20"/>
        <v>159.63200000000001</v>
      </c>
      <c r="X82" s="49">
        <f t="shared" si="20"/>
        <v>295.58600000000001</v>
      </c>
      <c r="Y82" s="49">
        <f t="shared" si="20"/>
        <v>198.21800000000002</v>
      </c>
      <c r="Z82" s="49">
        <f t="shared" si="20"/>
        <v>274.02199999999999</v>
      </c>
      <c r="AA82" s="49">
        <f t="shared" si="20"/>
        <v>219.61799999999999</v>
      </c>
      <c r="AB82" s="49">
        <f t="shared" si="20"/>
        <v>184.845</v>
      </c>
      <c r="AC82" s="49">
        <f t="shared" si="20"/>
        <v>92.682000000000002</v>
      </c>
      <c r="AD82" s="49">
        <f t="shared" si="20"/>
        <v>0</v>
      </c>
      <c r="AE82" s="49">
        <f t="shared" si="20"/>
        <v>0</v>
      </c>
      <c r="AF82" s="49">
        <f t="shared" si="20"/>
        <v>13.84</v>
      </c>
      <c r="AG82" s="49">
        <f t="shared" si="20"/>
        <v>68.932000000000002</v>
      </c>
      <c r="AH82" s="49">
        <f>SUM(AH70:AH81)</f>
        <v>5370.079999999999</v>
      </c>
      <c r="AJ82" s="3357">
        <f>SUM(AJ70:AJ81)</f>
        <v>8139.5759999999991</v>
      </c>
      <c r="AL82" s="88" t="s">
        <v>52</v>
      </c>
      <c r="AM82" s="89">
        <f t="shared" ref="AM82:BR82" si="21">SUM(AM70:AM81)</f>
        <v>2769.4960000000001</v>
      </c>
      <c r="AN82" s="49">
        <f t="shared" si="21"/>
        <v>250.82</v>
      </c>
      <c r="AO82" s="49">
        <f t="shared" si="21"/>
        <v>98.436999999999998</v>
      </c>
      <c r="AP82" s="49">
        <f t="shared" si="21"/>
        <v>0</v>
      </c>
      <c r="AQ82" s="49">
        <f t="shared" si="21"/>
        <v>242.48500000000001</v>
      </c>
      <c r="AR82" s="49">
        <f t="shared" si="21"/>
        <v>116.63</v>
      </c>
      <c r="AS82" s="49">
        <f t="shared" si="21"/>
        <v>169.18</v>
      </c>
      <c r="AT82" s="49">
        <f t="shared" si="21"/>
        <v>159.70699999999999</v>
      </c>
      <c r="AU82" s="49">
        <f t="shared" si="21"/>
        <v>132.98500000000001</v>
      </c>
      <c r="AV82" s="49">
        <f t="shared" si="21"/>
        <v>157.96199999999999</v>
      </c>
      <c r="AW82" s="49">
        <f t="shared" si="21"/>
        <v>0</v>
      </c>
      <c r="AX82" s="49">
        <f t="shared" si="21"/>
        <v>0</v>
      </c>
      <c r="AY82" s="49">
        <f t="shared" si="21"/>
        <v>0</v>
      </c>
      <c r="AZ82" s="49">
        <f t="shared" si="21"/>
        <v>0</v>
      </c>
      <c r="BA82" s="49">
        <f t="shared" si="21"/>
        <v>50.390999999999998</v>
      </c>
      <c r="BB82" s="49">
        <f t="shared" si="21"/>
        <v>0</v>
      </c>
      <c r="BC82" s="49">
        <f t="shared" si="21"/>
        <v>0</v>
      </c>
      <c r="BD82" s="49">
        <f t="shared" si="21"/>
        <v>0</v>
      </c>
      <c r="BE82" s="49">
        <f t="shared" si="21"/>
        <v>0</v>
      </c>
      <c r="BF82" s="49">
        <f t="shared" si="21"/>
        <v>114.33499999999999</v>
      </c>
      <c r="BG82" s="49">
        <f t="shared" si="21"/>
        <v>26.47</v>
      </c>
      <c r="BH82" s="49">
        <f t="shared" si="21"/>
        <v>170.43</v>
      </c>
      <c r="BI82" s="49">
        <f t="shared" si="21"/>
        <v>231.02</v>
      </c>
      <c r="BJ82" s="49">
        <f t="shared" si="21"/>
        <v>73.47</v>
      </c>
      <c r="BK82" s="49">
        <f t="shared" si="21"/>
        <v>0</v>
      </c>
      <c r="BL82" s="49">
        <f t="shared" si="21"/>
        <v>0</v>
      </c>
      <c r="BM82" s="49">
        <f t="shared" si="21"/>
        <v>237.54599999999999</v>
      </c>
      <c r="BN82" s="49">
        <f t="shared" si="21"/>
        <v>71.64</v>
      </c>
      <c r="BO82" s="49">
        <f t="shared" si="21"/>
        <v>174.05099999999999</v>
      </c>
      <c r="BP82" s="49">
        <f t="shared" si="21"/>
        <v>187.20699999999999</v>
      </c>
      <c r="BQ82" s="49">
        <f t="shared" si="21"/>
        <v>104.73</v>
      </c>
      <c r="BR82" s="49">
        <f t="shared" si="21"/>
        <v>0</v>
      </c>
      <c r="BS82" s="49">
        <f>SUM(BS70:BS81)</f>
        <v>2769.4960000000001</v>
      </c>
    </row>
    <row r="84" spans="1:71" ht="15" hidden="1">
      <c r="A84" s="3569" t="s">
        <v>55</v>
      </c>
      <c r="B84" s="3570"/>
      <c r="C84" s="357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
    </row>
    <row r="85" spans="1:71" ht="15" hidden="1">
      <c r="A85" s="5" t="s">
        <v>72</v>
      </c>
      <c r="B85" s="30" t="s">
        <v>73</v>
      </c>
      <c r="C85" s="5">
        <v>1</v>
      </c>
      <c r="D85" s="30">
        <v>2</v>
      </c>
      <c r="E85" s="30">
        <v>3</v>
      </c>
      <c r="F85" s="30">
        <v>4</v>
      </c>
      <c r="G85" s="30">
        <v>5</v>
      </c>
      <c r="H85" s="30">
        <v>6</v>
      </c>
      <c r="I85" s="30">
        <v>7</v>
      </c>
      <c r="J85" s="30">
        <v>8</v>
      </c>
      <c r="K85" s="30">
        <v>9</v>
      </c>
      <c r="L85" s="30">
        <v>10</v>
      </c>
      <c r="M85" s="30">
        <v>11</v>
      </c>
      <c r="N85" s="30">
        <v>12</v>
      </c>
      <c r="O85" s="30">
        <v>13</v>
      </c>
      <c r="P85" s="30">
        <v>14</v>
      </c>
      <c r="Q85" s="30">
        <v>15</v>
      </c>
      <c r="R85" s="30">
        <v>16</v>
      </c>
      <c r="S85" s="30">
        <v>17</v>
      </c>
      <c r="T85" s="30">
        <v>18</v>
      </c>
      <c r="U85" s="30">
        <v>19</v>
      </c>
      <c r="V85" s="30">
        <v>20</v>
      </c>
      <c r="W85" s="30">
        <v>21</v>
      </c>
      <c r="X85" s="30">
        <v>22</v>
      </c>
      <c r="Y85" s="30">
        <v>23</v>
      </c>
      <c r="Z85" s="30">
        <v>24</v>
      </c>
      <c r="AA85" s="30">
        <v>25</v>
      </c>
      <c r="AB85" s="30">
        <v>26</v>
      </c>
      <c r="AC85" s="30">
        <v>27</v>
      </c>
      <c r="AD85" s="30">
        <v>28</v>
      </c>
      <c r="AE85" s="30">
        <v>29</v>
      </c>
      <c r="AF85" s="30">
        <v>30</v>
      </c>
      <c r="AG85" s="30">
        <v>31</v>
      </c>
      <c r="AH85" s="5" t="s">
        <v>74</v>
      </c>
    </row>
    <row r="86" spans="1:71" ht="15" hidden="1">
      <c r="A86" s="1233" t="s">
        <v>75</v>
      </c>
      <c r="B86" s="18">
        <f t="shared" ref="B86:B97" si="22">+AH86</f>
        <v>0</v>
      </c>
      <c r="C86" s="81" t="s">
        <v>111</v>
      </c>
      <c r="D86" s="81" t="s">
        <v>111</v>
      </c>
      <c r="E86" s="81" t="s">
        <v>111</v>
      </c>
      <c r="F86" s="81" t="s">
        <v>111</v>
      </c>
      <c r="G86" s="81" t="s">
        <v>111</v>
      </c>
      <c r="H86" s="81" t="s">
        <v>111</v>
      </c>
      <c r="I86" s="81" t="s">
        <v>111</v>
      </c>
      <c r="J86" s="81" t="s">
        <v>111</v>
      </c>
      <c r="K86" s="81" t="s">
        <v>111</v>
      </c>
      <c r="L86" s="81" t="s">
        <v>111</v>
      </c>
      <c r="M86" s="81" t="s">
        <v>111</v>
      </c>
      <c r="N86" s="81" t="s">
        <v>111</v>
      </c>
      <c r="O86" s="81" t="s">
        <v>111</v>
      </c>
      <c r="P86" s="81" t="s">
        <v>111</v>
      </c>
      <c r="Q86" s="81" t="s">
        <v>111</v>
      </c>
      <c r="R86" s="81" t="s">
        <v>111</v>
      </c>
      <c r="S86" s="81" t="s">
        <v>111</v>
      </c>
      <c r="T86" s="81" t="s">
        <v>111</v>
      </c>
      <c r="U86" s="81" t="s">
        <v>111</v>
      </c>
      <c r="V86" s="81" t="s">
        <v>111</v>
      </c>
      <c r="W86" s="81" t="s">
        <v>111</v>
      </c>
      <c r="X86" s="81" t="s">
        <v>111</v>
      </c>
      <c r="Y86" s="81" t="s">
        <v>111</v>
      </c>
      <c r="Z86" s="81" t="s">
        <v>111</v>
      </c>
      <c r="AA86" s="81" t="s">
        <v>111</v>
      </c>
      <c r="AB86" s="81" t="s">
        <v>111</v>
      </c>
      <c r="AC86" s="81" t="s">
        <v>111</v>
      </c>
      <c r="AD86" s="81" t="s">
        <v>111</v>
      </c>
      <c r="AE86" s="81" t="s">
        <v>111</v>
      </c>
      <c r="AF86" s="81" t="s">
        <v>111</v>
      </c>
      <c r="AG86" s="81" t="s">
        <v>111</v>
      </c>
      <c r="AH86" s="49">
        <f>SUM(C86:AG86)</f>
        <v>0</v>
      </c>
    </row>
    <row r="87" spans="1:71" ht="15" hidden="1">
      <c r="A87" s="1233" t="s">
        <v>76</v>
      </c>
      <c r="B87" s="18">
        <f t="shared" si="22"/>
        <v>0</v>
      </c>
      <c r="C87" s="81" t="s">
        <v>111</v>
      </c>
      <c r="D87" s="81" t="s">
        <v>111</v>
      </c>
      <c r="E87" s="81" t="s">
        <v>111</v>
      </c>
      <c r="F87" s="81" t="s">
        <v>111</v>
      </c>
      <c r="G87" s="81" t="s">
        <v>111</v>
      </c>
      <c r="H87" s="81" t="s">
        <v>111</v>
      </c>
      <c r="I87" s="81" t="s">
        <v>111</v>
      </c>
      <c r="J87" s="81" t="s">
        <v>111</v>
      </c>
      <c r="K87" s="81" t="s">
        <v>111</v>
      </c>
      <c r="L87" s="81" t="s">
        <v>111</v>
      </c>
      <c r="M87" s="81" t="s">
        <v>111</v>
      </c>
      <c r="N87" s="81" t="s">
        <v>111</v>
      </c>
      <c r="O87" s="81" t="s">
        <v>111</v>
      </c>
      <c r="P87" s="81" t="s">
        <v>111</v>
      </c>
      <c r="Q87" s="81" t="s">
        <v>111</v>
      </c>
      <c r="R87" s="81" t="s">
        <v>111</v>
      </c>
      <c r="S87" s="81" t="s">
        <v>111</v>
      </c>
      <c r="T87" s="81" t="s">
        <v>111</v>
      </c>
      <c r="U87" s="81" t="s">
        <v>111</v>
      </c>
      <c r="V87" s="81" t="s">
        <v>111</v>
      </c>
      <c r="W87" s="81" t="s">
        <v>111</v>
      </c>
      <c r="X87" s="81" t="s">
        <v>111</v>
      </c>
      <c r="Y87" s="81" t="s">
        <v>111</v>
      </c>
      <c r="Z87" s="81" t="s">
        <v>111</v>
      </c>
      <c r="AA87" s="81" t="s">
        <v>111</v>
      </c>
      <c r="AB87" s="81" t="s">
        <v>111</v>
      </c>
      <c r="AC87" s="81" t="s">
        <v>111</v>
      </c>
      <c r="AD87" s="81" t="s">
        <v>111</v>
      </c>
      <c r="AE87" s="81" t="s">
        <v>111</v>
      </c>
      <c r="AF87" s="81" t="s">
        <v>111</v>
      </c>
      <c r="AG87" s="81" t="s">
        <v>111</v>
      </c>
      <c r="AH87" s="49">
        <f t="shared" ref="AH87:AH97" si="23">SUM(C87:AG87)</f>
        <v>0</v>
      </c>
    </row>
    <row r="88" spans="1:71" ht="15" hidden="1">
      <c r="A88" s="1233" t="s">
        <v>77</v>
      </c>
      <c r="B88" s="18">
        <f t="shared" si="22"/>
        <v>0</v>
      </c>
      <c r="C88" s="81" t="s">
        <v>111</v>
      </c>
      <c r="D88" s="81" t="s">
        <v>111</v>
      </c>
      <c r="E88" s="81" t="s">
        <v>111</v>
      </c>
      <c r="F88" s="81" t="s">
        <v>111</v>
      </c>
      <c r="G88" s="81" t="s">
        <v>111</v>
      </c>
      <c r="H88" s="49"/>
      <c r="I88" s="18"/>
      <c r="J88" s="18"/>
      <c r="K88" s="18"/>
      <c r="L88" s="18"/>
      <c r="M88" s="18"/>
      <c r="N88" s="18"/>
      <c r="O88" s="18"/>
      <c r="P88" s="18"/>
      <c r="Q88" s="18"/>
      <c r="R88" s="18"/>
      <c r="S88" s="18"/>
      <c r="T88" s="18"/>
      <c r="U88" s="18"/>
      <c r="V88" s="18"/>
      <c r="W88" s="18"/>
      <c r="X88" s="18"/>
      <c r="Y88" s="18"/>
      <c r="Z88" s="18"/>
      <c r="AA88" s="18"/>
      <c r="AB88" s="18"/>
      <c r="AC88" s="81" t="s">
        <v>111</v>
      </c>
      <c r="AD88" s="81" t="s">
        <v>111</v>
      </c>
      <c r="AE88" s="81" t="s">
        <v>111</v>
      </c>
      <c r="AF88" s="81" t="s">
        <v>111</v>
      </c>
      <c r="AG88" s="81" t="s">
        <v>111</v>
      </c>
      <c r="AH88" s="49">
        <f t="shared" si="23"/>
        <v>0</v>
      </c>
    </row>
    <row r="89" spans="1:71" ht="15" hidden="1">
      <c r="A89" s="1233" t="s">
        <v>78</v>
      </c>
      <c r="B89" s="18">
        <f t="shared" si="22"/>
        <v>0</v>
      </c>
      <c r="C89" s="81" t="s">
        <v>111</v>
      </c>
      <c r="D89" s="81" t="s">
        <v>111</v>
      </c>
      <c r="E89" s="81" t="s">
        <v>111</v>
      </c>
      <c r="F89" s="81" t="s">
        <v>111</v>
      </c>
      <c r="G89" s="81" t="s">
        <v>111</v>
      </c>
      <c r="H89" s="81" t="s">
        <v>111</v>
      </c>
      <c r="I89" s="81" t="s">
        <v>111</v>
      </c>
      <c r="J89" s="81" t="s">
        <v>111</v>
      </c>
      <c r="K89" s="81" t="s">
        <v>111</v>
      </c>
      <c r="L89" s="18"/>
      <c r="M89" s="18"/>
      <c r="N89" s="18"/>
      <c r="O89" s="18"/>
      <c r="P89" s="18"/>
      <c r="Q89" s="18"/>
      <c r="R89" s="18"/>
      <c r="S89" s="18"/>
      <c r="T89" s="18"/>
      <c r="U89" s="18"/>
      <c r="V89" s="18"/>
      <c r="W89" s="18"/>
      <c r="X89" s="18"/>
      <c r="Y89" s="18"/>
      <c r="Z89" s="18"/>
      <c r="AA89" s="18"/>
      <c r="AB89" s="18"/>
      <c r="AC89" s="18"/>
      <c r="AD89" s="18"/>
      <c r="AE89" s="18"/>
      <c r="AF89" s="18"/>
      <c r="AG89" s="18"/>
      <c r="AH89" s="49">
        <f t="shared" si="23"/>
        <v>0</v>
      </c>
    </row>
    <row r="90" spans="1:71" ht="15" hidden="1">
      <c r="A90" s="1745" t="s">
        <v>79</v>
      </c>
      <c r="B90" s="18">
        <f t="shared" si="22"/>
        <v>0</v>
      </c>
      <c r="C90" s="49"/>
      <c r="D90" s="18"/>
      <c r="E90" s="18"/>
      <c r="F90" s="18"/>
      <c r="G90" s="18"/>
      <c r="H90" s="49"/>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49">
        <f t="shared" si="23"/>
        <v>0</v>
      </c>
    </row>
    <row r="91" spans="1:71" ht="15" hidden="1">
      <c r="A91" s="1745" t="s">
        <v>80</v>
      </c>
      <c r="B91" s="18">
        <f t="shared" si="22"/>
        <v>0</v>
      </c>
      <c r="C91" s="49"/>
      <c r="D91" s="18"/>
      <c r="E91" s="18"/>
      <c r="F91" s="18"/>
      <c r="G91" s="18"/>
      <c r="H91" s="81" t="s">
        <v>92</v>
      </c>
      <c r="I91" s="81" t="s">
        <v>92</v>
      </c>
      <c r="J91" s="81" t="s">
        <v>92</v>
      </c>
      <c r="K91" s="81" t="s">
        <v>92</v>
      </c>
      <c r="L91" s="81" t="s">
        <v>92</v>
      </c>
      <c r="M91" s="81" t="s">
        <v>92</v>
      </c>
      <c r="N91" s="81" t="s">
        <v>92</v>
      </c>
      <c r="O91" s="81" t="s">
        <v>92</v>
      </c>
      <c r="P91" s="81" t="s">
        <v>92</v>
      </c>
      <c r="Q91" s="81" t="s">
        <v>92</v>
      </c>
      <c r="R91" s="81" t="s">
        <v>92</v>
      </c>
      <c r="S91" s="81" t="s">
        <v>92</v>
      </c>
      <c r="T91" s="81" t="s">
        <v>92</v>
      </c>
      <c r="U91" s="81" t="s">
        <v>92</v>
      </c>
      <c r="V91" s="81" t="s">
        <v>92</v>
      </c>
      <c r="W91" s="81" t="s">
        <v>92</v>
      </c>
      <c r="X91" s="81" t="s">
        <v>92</v>
      </c>
      <c r="Y91" s="18"/>
      <c r="Z91" s="18"/>
      <c r="AA91" s="18"/>
      <c r="AB91" s="18"/>
      <c r="AC91" s="18"/>
      <c r="AD91" s="18"/>
      <c r="AE91" s="18"/>
      <c r="AF91" s="18"/>
      <c r="AG91" s="18"/>
      <c r="AH91" s="49">
        <f t="shared" si="23"/>
        <v>0</v>
      </c>
    </row>
    <row r="92" spans="1:71" ht="15" hidden="1">
      <c r="A92" s="1745" t="s">
        <v>81</v>
      </c>
      <c r="B92" s="18">
        <f t="shared" si="22"/>
        <v>0</v>
      </c>
      <c r="C92" s="49"/>
      <c r="D92" s="18"/>
      <c r="E92" s="18"/>
      <c r="F92" s="18"/>
      <c r="G92" s="18"/>
      <c r="H92" s="49"/>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49">
        <f t="shared" si="23"/>
        <v>0</v>
      </c>
    </row>
    <row r="93" spans="1:71" ht="15" hidden="1">
      <c r="A93" s="1745" t="s">
        <v>82</v>
      </c>
      <c r="B93" s="18">
        <f t="shared" si="22"/>
        <v>0</v>
      </c>
      <c r="C93" s="49"/>
      <c r="D93" s="18"/>
      <c r="E93" s="18"/>
      <c r="F93" s="18"/>
      <c r="G93" s="18"/>
      <c r="H93" s="18"/>
      <c r="I93" s="18"/>
      <c r="J93" s="844" t="s">
        <v>112</v>
      </c>
      <c r="K93" s="844" t="s">
        <v>112</v>
      </c>
      <c r="L93" s="844" t="s">
        <v>112</v>
      </c>
      <c r="M93" s="81" t="s">
        <v>112</v>
      </c>
      <c r="N93" s="81" t="s">
        <v>112</v>
      </c>
      <c r="O93" s="81" t="s">
        <v>112</v>
      </c>
      <c r="P93" s="81" t="s">
        <v>112</v>
      </c>
      <c r="Q93" s="81" t="s">
        <v>112</v>
      </c>
      <c r="R93" s="81" t="s">
        <v>112</v>
      </c>
      <c r="S93" s="81" t="s">
        <v>112</v>
      </c>
      <c r="T93" s="81" t="s">
        <v>112</v>
      </c>
      <c r="U93" s="81" t="s">
        <v>112</v>
      </c>
      <c r="V93" s="81" t="s">
        <v>112</v>
      </c>
      <c r="W93" s="81" t="s">
        <v>112</v>
      </c>
      <c r="X93" s="81" t="s">
        <v>112</v>
      </c>
      <c r="Y93" s="81" t="s">
        <v>112</v>
      </c>
      <c r="Z93" s="81" t="s">
        <v>112</v>
      </c>
      <c r="AA93" s="81" t="s">
        <v>112</v>
      </c>
      <c r="AB93" s="81" t="s">
        <v>112</v>
      </c>
      <c r="AC93" s="81" t="s">
        <v>112</v>
      </c>
      <c r="AD93" s="81" t="s">
        <v>112</v>
      </c>
      <c r="AE93" s="81" t="s">
        <v>112</v>
      </c>
      <c r="AF93" s="81" t="s">
        <v>112</v>
      </c>
      <c r="AG93" s="81" t="s">
        <v>112</v>
      </c>
      <c r="AH93" s="49">
        <f t="shared" si="23"/>
        <v>0</v>
      </c>
    </row>
    <row r="94" spans="1:71" ht="15" hidden="1">
      <c r="A94" s="1744" t="s">
        <v>83</v>
      </c>
      <c r="B94" s="18">
        <f t="shared" si="22"/>
        <v>0</v>
      </c>
      <c r="C94" s="81" t="s">
        <v>112</v>
      </c>
      <c r="D94" s="81" t="s">
        <v>112</v>
      </c>
      <c r="E94" s="81" t="s">
        <v>112</v>
      </c>
      <c r="F94" s="81" t="s">
        <v>112</v>
      </c>
      <c r="G94" s="81" t="s">
        <v>112</v>
      </c>
      <c r="H94" s="81" t="s">
        <v>112</v>
      </c>
      <c r="I94" s="81" t="s">
        <v>112</v>
      </c>
      <c r="J94" s="844" t="s">
        <v>112</v>
      </c>
      <c r="K94" s="844" t="s">
        <v>112</v>
      </c>
      <c r="L94" s="844" t="s">
        <v>112</v>
      </c>
      <c r="M94" s="81" t="s">
        <v>112</v>
      </c>
      <c r="N94" s="81" t="s">
        <v>112</v>
      </c>
      <c r="O94" s="81" t="s">
        <v>112</v>
      </c>
      <c r="P94" s="81" t="s">
        <v>112</v>
      </c>
      <c r="Q94" s="81" t="s">
        <v>112</v>
      </c>
      <c r="R94" s="81" t="s">
        <v>112</v>
      </c>
      <c r="S94" s="81" t="s">
        <v>112</v>
      </c>
      <c r="T94" s="81" t="s">
        <v>112</v>
      </c>
      <c r="U94" s="81" t="s">
        <v>112</v>
      </c>
      <c r="V94" s="81" t="s">
        <v>112</v>
      </c>
      <c r="W94" s="81" t="s">
        <v>112</v>
      </c>
      <c r="X94" s="81" t="s">
        <v>112</v>
      </c>
      <c r="Y94" s="81" t="s">
        <v>112</v>
      </c>
      <c r="Z94" s="81" t="s">
        <v>112</v>
      </c>
      <c r="AA94" s="81" t="s">
        <v>112</v>
      </c>
      <c r="AB94" s="81" t="s">
        <v>112</v>
      </c>
      <c r="AC94" s="81" t="s">
        <v>112</v>
      </c>
      <c r="AD94" s="81" t="s">
        <v>112</v>
      </c>
      <c r="AE94" s="81" t="s">
        <v>112</v>
      </c>
      <c r="AF94" s="81" t="s">
        <v>112</v>
      </c>
      <c r="AG94" s="81" t="s">
        <v>112</v>
      </c>
      <c r="AH94" s="49">
        <f t="shared" si="23"/>
        <v>0</v>
      </c>
    </row>
    <row r="95" spans="1:71" ht="15" hidden="1">
      <c r="A95" s="1744" t="s">
        <v>84</v>
      </c>
      <c r="B95" s="18">
        <f t="shared" si="22"/>
        <v>0</v>
      </c>
      <c r="C95" s="81" t="s">
        <v>112</v>
      </c>
      <c r="D95" s="81" t="s">
        <v>112</v>
      </c>
      <c r="E95" s="81" t="s">
        <v>112</v>
      </c>
      <c r="F95" s="81" t="s">
        <v>112</v>
      </c>
      <c r="G95" s="81" t="s">
        <v>112</v>
      </c>
      <c r="H95" s="81" t="s">
        <v>112</v>
      </c>
      <c r="I95" s="81" t="s">
        <v>112</v>
      </c>
      <c r="J95" s="844" t="s">
        <v>112</v>
      </c>
      <c r="K95" s="844" t="s">
        <v>112</v>
      </c>
      <c r="L95" s="844" t="s">
        <v>112</v>
      </c>
      <c r="M95" s="81" t="s">
        <v>112</v>
      </c>
      <c r="N95" s="81" t="s">
        <v>112</v>
      </c>
      <c r="O95" s="81" t="s">
        <v>112</v>
      </c>
      <c r="P95" s="81" t="s">
        <v>112</v>
      </c>
      <c r="Q95" s="81" t="s">
        <v>112</v>
      </c>
      <c r="R95" s="81" t="s">
        <v>112</v>
      </c>
      <c r="S95" s="81" t="s">
        <v>112</v>
      </c>
      <c r="T95" s="81" t="s">
        <v>112</v>
      </c>
      <c r="U95" s="81" t="s">
        <v>112</v>
      </c>
      <c r="V95" s="81" t="s">
        <v>112</v>
      </c>
      <c r="W95" s="81" t="s">
        <v>112</v>
      </c>
      <c r="X95" s="18"/>
      <c r="Y95" s="18"/>
      <c r="Z95" s="18"/>
      <c r="AA95" s="18"/>
      <c r="AB95" s="18"/>
      <c r="AC95" s="18"/>
      <c r="AD95" s="18"/>
      <c r="AE95" s="53"/>
      <c r="AF95" s="18"/>
      <c r="AG95" s="53"/>
      <c r="AH95" s="49">
        <f t="shared" si="23"/>
        <v>0</v>
      </c>
    </row>
    <row r="96" spans="1:71" ht="15" hidden="1">
      <c r="A96" s="1744" t="s">
        <v>85</v>
      </c>
      <c r="B96" s="18">
        <f t="shared" si="22"/>
        <v>0</v>
      </c>
      <c r="C96" s="49"/>
      <c r="D96" s="18"/>
      <c r="E96" s="18"/>
      <c r="F96" s="18"/>
      <c r="G96" s="18"/>
      <c r="H96" s="49"/>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49">
        <f t="shared" si="23"/>
        <v>0</v>
      </c>
    </row>
    <row r="97" spans="1:34" ht="15" hidden="1">
      <c r="A97" s="1744" t="s">
        <v>86</v>
      </c>
      <c r="B97" s="18">
        <f t="shared" si="22"/>
        <v>0</v>
      </c>
      <c r="C97" s="49"/>
      <c r="D97" s="18"/>
      <c r="E97" s="18"/>
      <c r="F97" s="18"/>
      <c r="G97" s="18"/>
      <c r="H97" s="18"/>
      <c r="I97" s="18"/>
      <c r="J97" s="18"/>
      <c r="K97" s="18"/>
      <c r="L97" s="18"/>
      <c r="M97" s="18"/>
      <c r="N97" s="18"/>
      <c r="O97" s="18"/>
      <c r="P97" s="1280" t="s">
        <v>111</v>
      </c>
      <c r="Q97" s="1280" t="s">
        <v>111</v>
      </c>
      <c r="R97" s="1280" t="s">
        <v>111</v>
      </c>
      <c r="S97" s="1280" t="s">
        <v>111</v>
      </c>
      <c r="T97" s="1280" t="s">
        <v>111</v>
      </c>
      <c r="U97" s="1280" t="s">
        <v>111</v>
      </c>
      <c r="V97" s="1280" t="s">
        <v>111</v>
      </c>
      <c r="W97" s="1280" t="s">
        <v>111</v>
      </c>
      <c r="X97" s="1280" t="s">
        <v>111</v>
      </c>
      <c r="Y97" s="1280" t="s">
        <v>111</v>
      </c>
      <c r="Z97" s="1280" t="s">
        <v>111</v>
      </c>
      <c r="AA97" s="1280" t="s">
        <v>111</v>
      </c>
      <c r="AB97" s="1280" t="s">
        <v>111</v>
      </c>
      <c r="AC97" s="1280" t="s">
        <v>111</v>
      </c>
      <c r="AD97" s="1280" t="s">
        <v>111</v>
      </c>
      <c r="AE97" s="1280" t="s">
        <v>111</v>
      </c>
      <c r="AF97" s="1280" t="s">
        <v>111</v>
      </c>
      <c r="AG97" s="1280" t="s">
        <v>111</v>
      </c>
      <c r="AH97" s="49">
        <f t="shared" si="23"/>
        <v>0</v>
      </c>
    </row>
    <row r="98" spans="1:34" ht="15" hidden="1">
      <c r="A98" s="88" t="s">
        <v>52</v>
      </c>
      <c r="B98" s="89">
        <f t="shared" ref="B98:AH98" si="24">SUM(B86:B97)</f>
        <v>0</v>
      </c>
      <c r="C98" s="49">
        <f t="shared" si="24"/>
        <v>0</v>
      </c>
      <c r="D98" s="49">
        <f t="shared" si="24"/>
        <v>0</v>
      </c>
      <c r="E98" s="49">
        <f t="shared" si="24"/>
        <v>0</v>
      </c>
      <c r="F98" s="49">
        <f t="shared" si="24"/>
        <v>0</v>
      </c>
      <c r="G98" s="49">
        <f t="shared" si="24"/>
        <v>0</v>
      </c>
      <c r="H98" s="49">
        <f t="shared" si="24"/>
        <v>0</v>
      </c>
      <c r="I98" s="49">
        <f t="shared" si="24"/>
        <v>0</v>
      </c>
      <c r="J98" s="49">
        <f t="shared" si="24"/>
        <v>0</v>
      </c>
      <c r="K98" s="49">
        <f t="shared" si="24"/>
        <v>0</v>
      </c>
      <c r="L98" s="49">
        <f t="shared" si="24"/>
        <v>0</v>
      </c>
      <c r="M98" s="49">
        <f t="shared" si="24"/>
        <v>0</v>
      </c>
      <c r="N98" s="49">
        <f t="shared" si="24"/>
        <v>0</v>
      </c>
      <c r="O98" s="49">
        <f t="shared" si="24"/>
        <v>0</v>
      </c>
      <c r="P98" s="49">
        <f t="shared" si="24"/>
        <v>0</v>
      </c>
      <c r="Q98" s="49">
        <f t="shared" si="24"/>
        <v>0</v>
      </c>
      <c r="R98" s="49">
        <f t="shared" si="24"/>
        <v>0</v>
      </c>
      <c r="S98" s="49">
        <f t="shared" si="24"/>
        <v>0</v>
      </c>
      <c r="T98" s="49">
        <f t="shared" si="24"/>
        <v>0</v>
      </c>
      <c r="U98" s="49">
        <f t="shared" si="24"/>
        <v>0</v>
      </c>
      <c r="V98" s="49">
        <f t="shared" si="24"/>
        <v>0</v>
      </c>
      <c r="W98" s="49">
        <f t="shared" si="24"/>
        <v>0</v>
      </c>
      <c r="X98" s="49">
        <f t="shared" si="24"/>
        <v>0</v>
      </c>
      <c r="Y98" s="49">
        <f t="shared" si="24"/>
        <v>0</v>
      </c>
      <c r="Z98" s="49">
        <f t="shared" si="24"/>
        <v>0</v>
      </c>
      <c r="AA98" s="49">
        <f t="shared" si="24"/>
        <v>0</v>
      </c>
      <c r="AB98" s="49">
        <f t="shared" si="24"/>
        <v>0</v>
      </c>
      <c r="AC98" s="49">
        <f t="shared" si="24"/>
        <v>0</v>
      </c>
      <c r="AD98" s="49">
        <f t="shared" si="24"/>
        <v>0</v>
      </c>
      <c r="AE98" s="49">
        <f t="shared" si="24"/>
        <v>0</v>
      </c>
      <c r="AF98" s="49">
        <f t="shared" si="24"/>
        <v>0</v>
      </c>
      <c r="AG98" s="49">
        <f t="shared" si="24"/>
        <v>0</v>
      </c>
      <c r="AH98" s="49">
        <f t="shared" si="24"/>
        <v>0</v>
      </c>
    </row>
    <row r="99" spans="1:34" ht="15">
      <c r="A99" s="1"/>
      <c r="B99" s="1"/>
      <c r="C99" s="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
    </row>
    <row r="100" spans="1:34" ht="15" hidden="1">
      <c r="A100" s="3569" t="s">
        <v>61</v>
      </c>
      <c r="B100" s="3570"/>
      <c r="C100" s="357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
    </row>
    <row r="101" spans="1:34" ht="15" hidden="1">
      <c r="A101" s="5" t="s">
        <v>72</v>
      </c>
      <c r="B101" s="30" t="s">
        <v>73</v>
      </c>
      <c r="C101" s="129">
        <v>1</v>
      </c>
      <c r="D101" s="30">
        <v>2</v>
      </c>
      <c r="E101" s="30">
        <v>3</v>
      </c>
      <c r="F101" s="30">
        <v>4</v>
      </c>
      <c r="G101" s="30">
        <v>5</v>
      </c>
      <c r="H101" s="30">
        <v>6</v>
      </c>
      <c r="I101" s="30">
        <v>7</v>
      </c>
      <c r="J101" s="30">
        <v>8</v>
      </c>
      <c r="K101" s="30">
        <v>9</v>
      </c>
      <c r="L101" s="30">
        <v>10</v>
      </c>
      <c r="M101" s="30">
        <v>11</v>
      </c>
      <c r="N101" s="30">
        <v>12</v>
      </c>
      <c r="O101" s="30">
        <v>13</v>
      </c>
      <c r="P101" s="30">
        <v>14</v>
      </c>
      <c r="Q101" s="30">
        <v>15</v>
      </c>
      <c r="R101" s="30">
        <v>16</v>
      </c>
      <c r="S101" s="30">
        <v>17</v>
      </c>
      <c r="T101" s="30">
        <v>18</v>
      </c>
      <c r="U101" s="30">
        <v>19</v>
      </c>
      <c r="V101" s="30">
        <v>20</v>
      </c>
      <c r="W101" s="30">
        <v>21</v>
      </c>
      <c r="X101" s="30">
        <v>22</v>
      </c>
      <c r="Y101" s="30">
        <v>23</v>
      </c>
      <c r="Z101" s="30">
        <v>24</v>
      </c>
      <c r="AA101" s="30">
        <v>25</v>
      </c>
      <c r="AB101" s="30">
        <v>26</v>
      </c>
      <c r="AC101" s="30">
        <v>27</v>
      </c>
      <c r="AD101" s="30">
        <v>28</v>
      </c>
      <c r="AE101" s="30">
        <v>29</v>
      </c>
      <c r="AF101" s="30">
        <v>30</v>
      </c>
      <c r="AG101" s="30">
        <v>31</v>
      </c>
      <c r="AH101" s="5" t="s">
        <v>74</v>
      </c>
    </row>
    <row r="102" spans="1:34" ht="15" hidden="1">
      <c r="A102" s="1233" t="s">
        <v>75</v>
      </c>
      <c r="B102" s="67">
        <f t="shared" ref="B102:B113" si="25">+AH102</f>
        <v>0</v>
      </c>
      <c r="C102" s="81" t="s">
        <v>111</v>
      </c>
      <c r="D102" s="81" t="s">
        <v>111</v>
      </c>
      <c r="E102" s="81" t="s">
        <v>111</v>
      </c>
      <c r="F102" s="81" t="s">
        <v>111</v>
      </c>
      <c r="G102" s="81" t="s">
        <v>111</v>
      </c>
      <c r="H102" s="81" t="s">
        <v>111</v>
      </c>
      <c r="I102" s="81" t="s">
        <v>111</v>
      </c>
      <c r="J102" s="81" t="s">
        <v>111</v>
      </c>
      <c r="K102" s="81" t="s">
        <v>111</v>
      </c>
      <c r="L102" s="81" t="s">
        <v>111</v>
      </c>
      <c r="M102" s="81" t="s">
        <v>111</v>
      </c>
      <c r="N102" s="81" t="s">
        <v>111</v>
      </c>
      <c r="O102" s="81" t="s">
        <v>111</v>
      </c>
      <c r="P102" s="81" t="s">
        <v>111</v>
      </c>
      <c r="Q102" s="81" t="s">
        <v>111</v>
      </c>
      <c r="R102" s="81" t="s">
        <v>111</v>
      </c>
      <c r="S102" s="81" t="s">
        <v>111</v>
      </c>
      <c r="T102" s="81" t="s">
        <v>111</v>
      </c>
      <c r="U102" s="81" t="s">
        <v>111</v>
      </c>
      <c r="V102" s="81" t="s">
        <v>111</v>
      </c>
      <c r="W102" s="81" t="s">
        <v>111</v>
      </c>
      <c r="X102" s="81" t="s">
        <v>111</v>
      </c>
      <c r="Y102" s="81" t="s">
        <v>111</v>
      </c>
      <c r="Z102" s="81" t="s">
        <v>111</v>
      </c>
      <c r="AA102" s="81" t="s">
        <v>111</v>
      </c>
      <c r="AB102" s="81" t="s">
        <v>111</v>
      </c>
      <c r="AC102" s="81" t="s">
        <v>111</v>
      </c>
      <c r="AD102" s="81" t="s">
        <v>111</v>
      </c>
      <c r="AE102" s="81" t="s">
        <v>111</v>
      </c>
      <c r="AF102" s="81" t="s">
        <v>111</v>
      </c>
      <c r="AG102" s="81" t="s">
        <v>111</v>
      </c>
      <c r="AH102" s="49">
        <f t="shared" ref="AH102:AH103" si="26">SUM(H102:AG102)</f>
        <v>0</v>
      </c>
    </row>
    <row r="103" spans="1:34" ht="15" hidden="1">
      <c r="A103" s="1233" t="s">
        <v>76</v>
      </c>
      <c r="B103" s="67">
        <f t="shared" si="25"/>
        <v>0</v>
      </c>
      <c r="C103" s="81" t="s">
        <v>111</v>
      </c>
      <c r="D103" s="81" t="s">
        <v>111</v>
      </c>
      <c r="E103" s="81" t="s">
        <v>111</v>
      </c>
      <c r="F103" s="81" t="s">
        <v>111</v>
      </c>
      <c r="G103" s="81" t="s">
        <v>111</v>
      </c>
      <c r="H103" s="81" t="s">
        <v>111</v>
      </c>
      <c r="I103" s="81" t="s">
        <v>111</v>
      </c>
      <c r="J103" s="81" t="s">
        <v>111</v>
      </c>
      <c r="K103" s="81" t="s">
        <v>111</v>
      </c>
      <c r="L103" s="81" t="s">
        <v>111</v>
      </c>
      <c r="M103" s="81" t="s">
        <v>111</v>
      </c>
      <c r="N103" s="81" t="s">
        <v>111</v>
      </c>
      <c r="O103" s="81" t="s">
        <v>111</v>
      </c>
      <c r="P103" s="81" t="s">
        <v>111</v>
      </c>
      <c r="Q103" s="81" t="s">
        <v>111</v>
      </c>
      <c r="R103" s="81" t="s">
        <v>111</v>
      </c>
      <c r="S103" s="81" t="s">
        <v>111</v>
      </c>
      <c r="T103" s="81" t="s">
        <v>111</v>
      </c>
      <c r="U103" s="81" t="s">
        <v>111</v>
      </c>
      <c r="V103" s="81" t="s">
        <v>111</v>
      </c>
      <c r="W103" s="81" t="s">
        <v>111</v>
      </c>
      <c r="X103" s="81" t="s">
        <v>111</v>
      </c>
      <c r="Y103" s="81" t="s">
        <v>111</v>
      </c>
      <c r="Z103" s="81" t="s">
        <v>111</v>
      </c>
      <c r="AA103" s="81" t="s">
        <v>111</v>
      </c>
      <c r="AB103" s="81" t="s">
        <v>111</v>
      </c>
      <c r="AC103" s="81" t="s">
        <v>111</v>
      </c>
      <c r="AD103" s="81" t="s">
        <v>111</v>
      </c>
      <c r="AE103" s="81" t="s">
        <v>111</v>
      </c>
      <c r="AF103" s="81" t="s">
        <v>111</v>
      </c>
      <c r="AG103" s="81" t="s">
        <v>111</v>
      </c>
      <c r="AH103" s="49">
        <f t="shared" si="26"/>
        <v>0</v>
      </c>
    </row>
    <row r="104" spans="1:34" ht="15" hidden="1">
      <c r="A104" s="1233" t="s">
        <v>77</v>
      </c>
      <c r="B104" s="67">
        <f t="shared" si="25"/>
        <v>0</v>
      </c>
      <c r="C104" s="81" t="s">
        <v>111</v>
      </c>
      <c r="D104" s="81" t="s">
        <v>111</v>
      </c>
      <c r="E104" s="81" t="s">
        <v>111</v>
      </c>
      <c r="F104" s="81" t="s">
        <v>111</v>
      </c>
      <c r="G104" s="81" t="s">
        <v>111</v>
      </c>
      <c r="H104" s="118"/>
      <c r="I104" s="118"/>
      <c r="J104" s="53"/>
      <c r="K104" s="53"/>
      <c r="L104" s="53"/>
      <c r="M104" s="53"/>
      <c r="N104" s="53"/>
      <c r="O104" s="53"/>
      <c r="P104" s="53"/>
      <c r="Q104" s="53"/>
      <c r="R104" s="53"/>
      <c r="S104" s="53"/>
      <c r="T104" s="53"/>
      <c r="U104" s="53"/>
      <c r="V104" s="53"/>
      <c r="W104" s="53"/>
      <c r="X104" s="53"/>
      <c r="Y104" s="53"/>
      <c r="Z104" s="53"/>
      <c r="AA104" s="53"/>
      <c r="AB104" s="53"/>
      <c r="AC104" s="81"/>
      <c r="AD104" s="81"/>
      <c r="AE104" s="81" t="s">
        <v>111</v>
      </c>
      <c r="AF104" s="81" t="s">
        <v>111</v>
      </c>
      <c r="AG104" s="81" t="s">
        <v>111</v>
      </c>
      <c r="AH104" s="49">
        <f>SUM(H104:AG104)</f>
        <v>0</v>
      </c>
    </row>
    <row r="105" spans="1:34" ht="15" hidden="1">
      <c r="A105" s="1233" t="s">
        <v>78</v>
      </c>
      <c r="B105" s="67">
        <f t="shared" si="25"/>
        <v>0</v>
      </c>
      <c r="C105" s="81" t="s">
        <v>111</v>
      </c>
      <c r="D105" s="81" t="s">
        <v>111</v>
      </c>
      <c r="E105" s="81" t="s">
        <v>111</v>
      </c>
      <c r="F105" s="81" t="s">
        <v>111</v>
      </c>
      <c r="G105" s="81" t="s">
        <v>111</v>
      </c>
      <c r="H105" s="81" t="s">
        <v>111</v>
      </c>
      <c r="I105" s="81" t="s">
        <v>111</v>
      </c>
      <c r="J105" s="81" t="s">
        <v>111</v>
      </c>
      <c r="K105" s="81" t="s">
        <v>111</v>
      </c>
      <c r="L105" s="53"/>
      <c r="M105" s="53"/>
      <c r="N105" s="53"/>
      <c r="O105" s="53"/>
      <c r="P105" s="53"/>
      <c r="Q105" s="53"/>
      <c r="R105" s="53"/>
      <c r="S105" s="53"/>
      <c r="T105" s="53"/>
      <c r="U105" s="53"/>
      <c r="V105" s="53"/>
      <c r="W105" s="53"/>
      <c r="X105" s="53"/>
      <c r="Y105" s="53"/>
      <c r="Z105" s="53"/>
      <c r="AA105" s="53"/>
      <c r="AB105" s="53"/>
      <c r="AC105" s="53"/>
      <c r="AD105" s="53"/>
      <c r="AE105" s="53"/>
      <c r="AF105" s="53"/>
      <c r="AG105" s="53"/>
      <c r="AH105" s="173">
        <f t="shared" ref="AH105:AH113" si="27">SUM(C105:AG105)</f>
        <v>0</v>
      </c>
    </row>
    <row r="106" spans="1:34" ht="15" hidden="1">
      <c r="A106" s="1233" t="s">
        <v>79</v>
      </c>
      <c r="B106" s="67">
        <f t="shared" si="25"/>
        <v>0</v>
      </c>
      <c r="C106" s="49"/>
      <c r="D106" s="18"/>
      <c r="E106" s="18"/>
      <c r="F106" s="18"/>
      <c r="G106" s="18"/>
      <c r="H106" s="18"/>
      <c r="I106" s="18"/>
      <c r="J106" s="53"/>
      <c r="K106" s="53"/>
      <c r="L106" s="53"/>
      <c r="M106" s="53"/>
      <c r="N106" s="53"/>
      <c r="O106" s="53"/>
      <c r="P106" s="53"/>
      <c r="Q106" s="53"/>
      <c r="R106" s="53"/>
      <c r="S106" s="53"/>
      <c r="T106" s="53"/>
      <c r="U106" s="53"/>
      <c r="V106" s="53"/>
      <c r="W106" s="53"/>
      <c r="X106" s="53"/>
      <c r="Y106" s="53"/>
      <c r="Z106" s="53"/>
      <c r="AA106" s="53"/>
      <c r="AB106" s="53"/>
      <c r="AC106" s="53"/>
      <c r="AD106" s="53"/>
      <c r="AE106" s="53"/>
      <c r="AF106" s="53"/>
      <c r="AG106" s="53"/>
      <c r="AH106" s="49">
        <f t="shared" si="27"/>
        <v>0</v>
      </c>
    </row>
    <row r="107" spans="1:34" ht="15" hidden="1">
      <c r="A107" s="1233" t="s">
        <v>80</v>
      </c>
      <c r="B107" s="67">
        <f t="shared" si="25"/>
        <v>0</v>
      </c>
      <c r="C107" s="49"/>
      <c r="D107" s="18"/>
      <c r="E107" s="18"/>
      <c r="F107" s="18"/>
      <c r="G107" s="18"/>
      <c r="H107" s="81" t="s">
        <v>92</v>
      </c>
      <c r="I107" s="81" t="s">
        <v>92</v>
      </c>
      <c r="J107" s="81" t="s">
        <v>92</v>
      </c>
      <c r="K107" s="81" t="s">
        <v>92</v>
      </c>
      <c r="L107" s="81" t="s">
        <v>92</v>
      </c>
      <c r="M107" s="81" t="s">
        <v>92</v>
      </c>
      <c r="N107" s="81" t="s">
        <v>92</v>
      </c>
      <c r="O107" s="81" t="s">
        <v>92</v>
      </c>
      <c r="P107" s="81" t="s">
        <v>92</v>
      </c>
      <c r="Q107" s="81" t="s">
        <v>92</v>
      </c>
      <c r="R107" s="81" t="s">
        <v>92</v>
      </c>
      <c r="S107" s="81" t="s">
        <v>92</v>
      </c>
      <c r="T107" s="81" t="s">
        <v>92</v>
      </c>
      <c r="U107" s="81" t="s">
        <v>92</v>
      </c>
      <c r="V107" s="81" t="s">
        <v>92</v>
      </c>
      <c r="W107" s="81" t="s">
        <v>92</v>
      </c>
      <c r="X107" s="81" t="s">
        <v>92</v>
      </c>
      <c r="Y107" s="18"/>
      <c r="Z107" s="18"/>
      <c r="AA107" s="18"/>
      <c r="AB107" s="18"/>
      <c r="AC107" s="18"/>
      <c r="AD107" s="18"/>
      <c r="AE107" s="18"/>
      <c r="AF107" s="18"/>
      <c r="AG107" s="18"/>
      <c r="AH107" s="49">
        <f t="shared" si="27"/>
        <v>0</v>
      </c>
    </row>
    <row r="108" spans="1:34" ht="15" hidden="1">
      <c r="A108" s="1744" t="s">
        <v>81</v>
      </c>
      <c r="B108" s="67">
        <f t="shared" si="25"/>
        <v>0</v>
      </c>
      <c r="C108" s="49"/>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49">
        <f t="shared" si="27"/>
        <v>0</v>
      </c>
    </row>
    <row r="109" spans="1:34" ht="15" hidden="1">
      <c r="A109" s="1744" t="s">
        <v>82</v>
      </c>
      <c r="B109" s="67">
        <f t="shared" si="25"/>
        <v>0</v>
      </c>
      <c r="C109" s="49"/>
      <c r="D109" s="18"/>
      <c r="E109" s="18"/>
      <c r="F109" s="18"/>
      <c r="G109" s="18"/>
      <c r="H109" s="18"/>
      <c r="I109" s="18"/>
      <c r="J109" s="844" t="s">
        <v>112</v>
      </c>
      <c r="K109" s="844" t="s">
        <v>112</v>
      </c>
      <c r="L109" s="844" t="s">
        <v>112</v>
      </c>
      <c r="M109" s="81" t="s">
        <v>112</v>
      </c>
      <c r="N109" s="81" t="s">
        <v>112</v>
      </c>
      <c r="O109" s="81" t="s">
        <v>112</v>
      </c>
      <c r="P109" s="81" t="s">
        <v>112</v>
      </c>
      <c r="Q109" s="81" t="s">
        <v>112</v>
      </c>
      <c r="R109" s="81" t="s">
        <v>112</v>
      </c>
      <c r="S109" s="81" t="s">
        <v>112</v>
      </c>
      <c r="T109" s="81" t="s">
        <v>112</v>
      </c>
      <c r="U109" s="81" t="s">
        <v>112</v>
      </c>
      <c r="V109" s="81" t="s">
        <v>112</v>
      </c>
      <c r="W109" s="81" t="s">
        <v>112</v>
      </c>
      <c r="X109" s="81" t="s">
        <v>112</v>
      </c>
      <c r="Y109" s="81" t="s">
        <v>112</v>
      </c>
      <c r="Z109" s="81" t="s">
        <v>112</v>
      </c>
      <c r="AA109" s="81" t="s">
        <v>112</v>
      </c>
      <c r="AB109" s="81" t="s">
        <v>112</v>
      </c>
      <c r="AC109" s="81" t="s">
        <v>112</v>
      </c>
      <c r="AD109" s="81" t="s">
        <v>112</v>
      </c>
      <c r="AE109" s="81" t="s">
        <v>112</v>
      </c>
      <c r="AF109" s="81" t="s">
        <v>112</v>
      </c>
      <c r="AG109" s="81" t="s">
        <v>112</v>
      </c>
      <c r="AH109" s="49">
        <f t="shared" si="27"/>
        <v>0</v>
      </c>
    </row>
    <row r="110" spans="1:34" ht="15" hidden="1">
      <c r="A110" s="1744" t="s">
        <v>83</v>
      </c>
      <c r="B110" s="67">
        <f t="shared" si="25"/>
        <v>0</v>
      </c>
      <c r="C110" s="81" t="s">
        <v>112</v>
      </c>
      <c r="D110" s="81" t="s">
        <v>112</v>
      </c>
      <c r="E110" s="81" t="s">
        <v>112</v>
      </c>
      <c r="F110" s="81" t="s">
        <v>112</v>
      </c>
      <c r="G110" s="81" t="s">
        <v>112</v>
      </c>
      <c r="H110" s="81" t="s">
        <v>112</v>
      </c>
      <c r="I110" s="81" t="s">
        <v>112</v>
      </c>
      <c r="J110" s="844" t="s">
        <v>112</v>
      </c>
      <c r="K110" s="844" t="s">
        <v>112</v>
      </c>
      <c r="L110" s="844" t="s">
        <v>112</v>
      </c>
      <c r="M110" s="81" t="s">
        <v>112</v>
      </c>
      <c r="N110" s="81" t="s">
        <v>112</v>
      </c>
      <c r="O110" s="81" t="s">
        <v>112</v>
      </c>
      <c r="P110" s="81" t="s">
        <v>112</v>
      </c>
      <c r="Q110" s="81" t="s">
        <v>112</v>
      </c>
      <c r="R110" s="81" t="s">
        <v>112</v>
      </c>
      <c r="S110" s="81" t="s">
        <v>112</v>
      </c>
      <c r="T110" s="81" t="s">
        <v>112</v>
      </c>
      <c r="U110" s="81" t="s">
        <v>112</v>
      </c>
      <c r="V110" s="81" t="s">
        <v>112</v>
      </c>
      <c r="W110" s="81" t="s">
        <v>112</v>
      </c>
      <c r="X110" s="81" t="s">
        <v>112</v>
      </c>
      <c r="Y110" s="81" t="s">
        <v>112</v>
      </c>
      <c r="Z110" s="81" t="s">
        <v>112</v>
      </c>
      <c r="AA110" s="81" t="s">
        <v>112</v>
      </c>
      <c r="AB110" s="81" t="s">
        <v>112</v>
      </c>
      <c r="AC110" s="81" t="s">
        <v>112</v>
      </c>
      <c r="AD110" s="81" t="s">
        <v>112</v>
      </c>
      <c r="AE110" s="81" t="s">
        <v>112</v>
      </c>
      <c r="AF110" s="81" t="s">
        <v>112</v>
      </c>
      <c r="AG110" s="81" t="s">
        <v>112</v>
      </c>
      <c r="AH110" s="49">
        <f t="shared" si="27"/>
        <v>0</v>
      </c>
    </row>
    <row r="111" spans="1:34" ht="15" hidden="1">
      <c r="A111" s="1744" t="s">
        <v>84</v>
      </c>
      <c r="B111" s="67">
        <f t="shared" si="25"/>
        <v>0</v>
      </c>
      <c r="C111" s="81" t="s">
        <v>112</v>
      </c>
      <c r="D111" s="81" t="s">
        <v>112</v>
      </c>
      <c r="E111" s="81" t="s">
        <v>112</v>
      </c>
      <c r="F111" s="81" t="s">
        <v>112</v>
      </c>
      <c r="G111" s="81" t="s">
        <v>112</v>
      </c>
      <c r="H111" s="81" t="s">
        <v>112</v>
      </c>
      <c r="I111" s="81" t="s">
        <v>112</v>
      </c>
      <c r="J111" s="844" t="s">
        <v>112</v>
      </c>
      <c r="K111" s="844" t="s">
        <v>112</v>
      </c>
      <c r="L111" s="844" t="s">
        <v>112</v>
      </c>
      <c r="M111" s="81" t="s">
        <v>112</v>
      </c>
      <c r="N111" s="81" t="s">
        <v>112</v>
      </c>
      <c r="O111" s="81" t="s">
        <v>112</v>
      </c>
      <c r="P111" s="81" t="s">
        <v>112</v>
      </c>
      <c r="Q111" s="81" t="s">
        <v>112</v>
      </c>
      <c r="R111" s="81" t="s">
        <v>112</v>
      </c>
      <c r="S111" s="81" t="s">
        <v>112</v>
      </c>
      <c r="T111" s="81" t="s">
        <v>112</v>
      </c>
      <c r="U111" s="81" t="s">
        <v>112</v>
      </c>
      <c r="V111" s="81" t="s">
        <v>112</v>
      </c>
      <c r="W111" s="81" t="s">
        <v>112</v>
      </c>
      <c r="X111" s="18"/>
      <c r="Y111" s="18"/>
      <c r="Z111" s="18"/>
      <c r="AA111" s="18"/>
      <c r="AB111" s="18"/>
      <c r="AC111" s="18"/>
      <c r="AD111" s="18"/>
      <c r="AE111" s="53"/>
      <c r="AF111" s="18"/>
      <c r="AG111" s="53"/>
      <c r="AH111" s="49">
        <f t="shared" si="27"/>
        <v>0</v>
      </c>
    </row>
    <row r="112" spans="1:34" ht="15" hidden="1">
      <c r="A112" s="1744" t="s">
        <v>85</v>
      </c>
      <c r="B112" s="67">
        <f t="shared" si="25"/>
        <v>0</v>
      </c>
      <c r="C112" s="49"/>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49">
        <f t="shared" si="27"/>
        <v>0</v>
      </c>
    </row>
    <row r="113" spans="1:34" ht="15" hidden="1">
      <c r="A113" s="1744" t="s">
        <v>86</v>
      </c>
      <c r="B113" s="67">
        <f t="shared" si="25"/>
        <v>0</v>
      </c>
      <c r="C113" s="49"/>
      <c r="D113" s="18"/>
      <c r="E113" s="18"/>
      <c r="F113" s="18"/>
      <c r="G113" s="18"/>
      <c r="H113" s="18"/>
      <c r="I113" s="18"/>
      <c r="J113" s="18"/>
      <c r="K113" s="18"/>
      <c r="L113" s="18"/>
      <c r="M113" s="18"/>
      <c r="N113" s="18"/>
      <c r="O113" s="18"/>
      <c r="P113" s="1280" t="s">
        <v>111</v>
      </c>
      <c r="Q113" s="1280" t="s">
        <v>111</v>
      </c>
      <c r="R113" s="1280" t="s">
        <v>111</v>
      </c>
      <c r="S113" s="1280" t="s">
        <v>111</v>
      </c>
      <c r="T113" s="1280" t="s">
        <v>111</v>
      </c>
      <c r="U113" s="1280" t="s">
        <v>111</v>
      </c>
      <c r="V113" s="1280" t="s">
        <v>111</v>
      </c>
      <c r="W113" s="1280" t="s">
        <v>111</v>
      </c>
      <c r="X113" s="1280" t="s">
        <v>111</v>
      </c>
      <c r="Y113" s="1280" t="s">
        <v>111</v>
      </c>
      <c r="Z113" s="1280" t="s">
        <v>111</v>
      </c>
      <c r="AA113" s="1280" t="s">
        <v>111</v>
      </c>
      <c r="AB113" s="1280" t="s">
        <v>111</v>
      </c>
      <c r="AC113" s="1280" t="s">
        <v>111</v>
      </c>
      <c r="AD113" s="1280" t="s">
        <v>111</v>
      </c>
      <c r="AE113" s="1280" t="s">
        <v>111</v>
      </c>
      <c r="AF113" s="1280" t="s">
        <v>111</v>
      </c>
      <c r="AG113" s="1280" t="s">
        <v>111</v>
      </c>
      <c r="AH113" s="49">
        <f t="shared" si="27"/>
        <v>0</v>
      </c>
    </row>
    <row r="114" spans="1:34" ht="15" hidden="1">
      <c r="A114" s="88" t="s">
        <v>52</v>
      </c>
      <c r="B114" s="89">
        <f t="shared" ref="B114:AG114" si="28">SUM(B102:B113)</f>
        <v>0</v>
      </c>
      <c r="C114" s="49">
        <f t="shared" si="28"/>
        <v>0</v>
      </c>
      <c r="D114" s="49">
        <f t="shared" si="28"/>
        <v>0</v>
      </c>
      <c r="E114" s="49">
        <f t="shared" si="28"/>
        <v>0</v>
      </c>
      <c r="F114" s="49">
        <f t="shared" si="28"/>
        <v>0</v>
      </c>
      <c r="G114" s="49">
        <f t="shared" si="28"/>
        <v>0</v>
      </c>
      <c r="H114" s="49">
        <f t="shared" si="28"/>
        <v>0</v>
      </c>
      <c r="I114" s="49">
        <f t="shared" si="28"/>
        <v>0</v>
      </c>
      <c r="J114" s="49">
        <f t="shared" si="28"/>
        <v>0</v>
      </c>
      <c r="K114" s="49">
        <f t="shared" si="28"/>
        <v>0</v>
      </c>
      <c r="L114" s="49">
        <f t="shared" si="28"/>
        <v>0</v>
      </c>
      <c r="M114" s="49">
        <f t="shared" si="28"/>
        <v>0</v>
      </c>
      <c r="N114" s="49">
        <f t="shared" si="28"/>
        <v>0</v>
      </c>
      <c r="O114" s="49">
        <f t="shared" si="28"/>
        <v>0</v>
      </c>
      <c r="P114" s="49">
        <f t="shared" si="28"/>
        <v>0</v>
      </c>
      <c r="Q114" s="49">
        <f t="shared" si="28"/>
        <v>0</v>
      </c>
      <c r="R114" s="49">
        <f t="shared" si="28"/>
        <v>0</v>
      </c>
      <c r="S114" s="49">
        <f t="shared" si="28"/>
        <v>0</v>
      </c>
      <c r="T114" s="49">
        <f t="shared" si="28"/>
        <v>0</v>
      </c>
      <c r="U114" s="49">
        <f t="shared" si="28"/>
        <v>0</v>
      </c>
      <c r="V114" s="49">
        <f t="shared" si="28"/>
        <v>0</v>
      </c>
      <c r="W114" s="49">
        <f t="shared" si="28"/>
        <v>0</v>
      </c>
      <c r="X114" s="49">
        <f t="shared" si="28"/>
        <v>0</v>
      </c>
      <c r="Y114" s="49">
        <f t="shared" si="28"/>
        <v>0</v>
      </c>
      <c r="Z114" s="49">
        <f t="shared" si="28"/>
        <v>0</v>
      </c>
      <c r="AA114" s="49">
        <f t="shared" si="28"/>
        <v>0</v>
      </c>
      <c r="AB114" s="49">
        <f t="shared" si="28"/>
        <v>0</v>
      </c>
      <c r="AC114" s="49">
        <f t="shared" si="28"/>
        <v>0</v>
      </c>
      <c r="AD114" s="49">
        <f t="shared" si="28"/>
        <v>0</v>
      </c>
      <c r="AE114" s="49">
        <f t="shared" si="28"/>
        <v>0</v>
      </c>
      <c r="AF114" s="49">
        <f t="shared" si="28"/>
        <v>0</v>
      </c>
      <c r="AG114" s="49">
        <f t="shared" si="28"/>
        <v>0</v>
      </c>
      <c r="AH114" s="49">
        <f>SUM(AH102:AH113)</f>
        <v>0</v>
      </c>
    </row>
    <row r="116" spans="1:34" ht="15">
      <c r="A116" s="1"/>
      <c r="B116" s="1"/>
      <c r="C116" s="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
    </row>
  </sheetData>
  <mergeCells count="10">
    <mergeCell ref="AL68:AN68"/>
    <mergeCell ref="AO68:AU68"/>
    <mergeCell ref="A84:C84"/>
    <mergeCell ref="A100:C100"/>
    <mergeCell ref="A4:C4"/>
    <mergeCell ref="A2:T2"/>
    <mergeCell ref="A20:C20"/>
    <mergeCell ref="A36:C36"/>
    <mergeCell ref="A52:C52"/>
    <mergeCell ref="A68:C68"/>
  </mergeCells>
  <phoneticPr fontId="0" type="noConversion"/>
  <pageMargins left="0.75" right="0.75" top="1" bottom="1" header="0" footer="0"/>
  <pageSetup paperSize="9" orientation="portrait" r:id="rId1"/>
  <headerFooter alignWithMargins="0"/>
</worksheet>
</file>

<file path=xl/worksheets/sheet10.xml><?xml version="1.0" encoding="utf-8"?>
<worksheet xmlns="http://schemas.openxmlformats.org/spreadsheetml/2006/main" xmlns:r="http://schemas.openxmlformats.org/officeDocument/2006/relationships">
  <sheetPr>
    <tabColor theme="6" tint="-0.249977111117893"/>
  </sheetPr>
  <dimension ref="A1:P103"/>
  <sheetViews>
    <sheetView topLeftCell="A85" zoomScale="70" zoomScaleNormal="70" workbookViewId="0">
      <selection activeCell="I62" sqref="I62"/>
    </sheetView>
  </sheetViews>
  <sheetFormatPr baseColWidth="10" defaultRowHeight="12.75"/>
  <cols>
    <col min="1" max="1" width="60.85546875" customWidth="1"/>
    <col min="2" max="2" width="13.140625" customWidth="1"/>
    <col min="3" max="3" width="23.42578125" bestFit="1" customWidth="1"/>
    <col min="4" max="4" width="15.7109375" bestFit="1" customWidth="1"/>
    <col min="5" max="5" width="20.5703125" customWidth="1"/>
    <col min="6" max="6" width="20.140625" customWidth="1"/>
    <col min="7" max="7" width="13.42578125" customWidth="1"/>
    <col min="8" max="8" width="10.85546875" style="69" customWidth="1"/>
    <col min="9" max="9" width="22.85546875" customWidth="1"/>
    <col min="10" max="10" width="15.5703125" customWidth="1"/>
    <col min="11" max="11" width="10.140625" customWidth="1"/>
    <col min="12" max="12" width="15" customWidth="1"/>
    <col min="13" max="13" width="16.5703125" customWidth="1"/>
  </cols>
  <sheetData>
    <row r="1" spans="1:12" s="1774" customFormat="1">
      <c r="H1" s="1496"/>
    </row>
    <row r="2" spans="1:12" s="1774" customFormat="1" ht="15">
      <c r="A2" s="3628" t="s">
        <v>567</v>
      </c>
      <c r="B2" s="3629"/>
      <c r="C2" s="3629"/>
      <c r="D2" s="3629"/>
      <c r="E2" s="3629"/>
      <c r="F2" s="3629"/>
      <c r="G2" s="3629"/>
      <c r="H2" s="3629"/>
      <c r="I2" s="3630"/>
    </row>
    <row r="3" spans="1:12" s="1774" customFormat="1" ht="15">
      <c r="A3" s="1736"/>
      <c r="B3" s="1736"/>
      <c r="C3" s="1736"/>
      <c r="D3" s="1736"/>
      <c r="E3" s="1736"/>
      <c r="F3" s="1736"/>
      <c r="G3" s="1736"/>
      <c r="H3" s="1736"/>
      <c r="I3" s="1736"/>
    </row>
    <row r="4" spans="1:12" s="1774" customFormat="1" ht="15">
      <c r="A4" s="3631" t="s">
        <v>113</v>
      </c>
      <c r="B4" s="3632"/>
      <c r="C4" s="1780"/>
      <c r="D4" s="1780"/>
      <c r="E4" s="1780"/>
      <c r="F4" s="1781"/>
      <c r="G4" s="1781"/>
      <c r="H4" s="1433"/>
      <c r="I4" s="1433"/>
    </row>
    <row r="5" spans="1:12" s="1774" customFormat="1" ht="15">
      <c r="A5" s="1736"/>
      <c r="B5" s="1793"/>
      <c r="C5" s="1794"/>
      <c r="D5" s="1794"/>
      <c r="E5" s="1794"/>
      <c r="F5" s="1795"/>
      <c r="G5" s="1796"/>
      <c r="H5" s="1433"/>
      <c r="I5" s="1433"/>
      <c r="J5" s="1393"/>
      <c r="K5" s="1493"/>
      <c r="L5" s="1393"/>
    </row>
    <row r="6" spans="1:12" s="1774" customFormat="1" ht="15">
      <c r="A6" s="1470" t="s">
        <v>47</v>
      </c>
      <c r="B6" s="1470" t="s">
        <v>48</v>
      </c>
      <c r="C6" s="1782" t="s">
        <v>49</v>
      </c>
      <c r="D6" s="1782" t="s">
        <v>184</v>
      </c>
      <c r="E6" s="1782" t="s">
        <v>50</v>
      </c>
      <c r="F6" s="1470" t="s">
        <v>20</v>
      </c>
      <c r="G6" s="1470" t="s">
        <v>21</v>
      </c>
      <c r="H6" s="1470" t="s">
        <v>51</v>
      </c>
      <c r="I6" s="1783" t="s">
        <v>23</v>
      </c>
    </row>
    <row r="7" spans="1:12" s="1774" customFormat="1" ht="15">
      <c r="A7" s="1476" t="s">
        <v>114</v>
      </c>
      <c r="B7" s="1461" t="s">
        <v>608</v>
      </c>
      <c r="C7" s="2001">
        <v>526</v>
      </c>
      <c r="D7" s="1785"/>
      <c r="E7" s="1797">
        <f>+C7+D7</f>
        <v>526</v>
      </c>
      <c r="F7" s="1287">
        <f>+SUM('RAE Jurel'!B9:B18)</f>
        <v>89.041000000000025</v>
      </c>
      <c r="G7" s="1441">
        <f>+E7-F7</f>
        <v>436.95899999999995</v>
      </c>
      <c r="H7" s="2571">
        <f t="shared" ref="H7:H9" si="0">+G7/E7</f>
        <v>0.83072053231939158</v>
      </c>
      <c r="I7" s="1467"/>
      <c r="J7" s="1491"/>
      <c r="K7" s="1492"/>
      <c r="L7" s="1393"/>
    </row>
    <row r="8" spans="1:12" s="1774" customFormat="1" ht="14.25" customHeight="1">
      <c r="A8" s="1476" t="s">
        <v>116</v>
      </c>
      <c r="B8" s="1461" t="s">
        <v>608</v>
      </c>
      <c r="C8" s="2001">
        <v>4053</v>
      </c>
      <c r="D8" s="1784"/>
      <c r="E8" s="1797">
        <f t="shared" ref="E8:E9" si="1">+C8+D8</f>
        <v>4053</v>
      </c>
      <c r="F8" s="1787">
        <f>+SUM('RAE Jurel'!B25:B34)</f>
        <v>1988.7310000000004</v>
      </c>
      <c r="G8" s="1441">
        <f>+E8-F8</f>
        <v>2064.2689999999993</v>
      </c>
      <c r="H8" s="2571">
        <f t="shared" si="0"/>
        <v>0.50931877621514909</v>
      </c>
      <c r="I8" s="1788"/>
      <c r="J8" s="1393"/>
      <c r="K8" s="1393"/>
      <c r="L8" s="1393"/>
    </row>
    <row r="9" spans="1:12" s="1774" customFormat="1" ht="15">
      <c r="A9" s="1476" t="s">
        <v>115</v>
      </c>
      <c r="B9" s="1461" t="s">
        <v>608</v>
      </c>
      <c r="C9" s="2001">
        <v>598</v>
      </c>
      <c r="D9" s="1784"/>
      <c r="E9" s="1797">
        <f t="shared" si="1"/>
        <v>598</v>
      </c>
      <c r="F9" s="1787">
        <f>+SUM('RAE Jurel'!B41:B50)</f>
        <v>597.17800000000011</v>
      </c>
      <c r="G9" s="1789">
        <f>+E9-F9</f>
        <v>0.82199999999988904</v>
      </c>
      <c r="H9" s="2571">
        <f t="shared" si="0"/>
        <v>1.3745819397991456E-3</v>
      </c>
      <c r="I9" s="1790"/>
      <c r="J9" s="3230" t="s">
        <v>1127</v>
      </c>
      <c r="K9" s="1493"/>
      <c r="L9" s="1393"/>
    </row>
    <row r="10" spans="1:12" s="1774" customFormat="1" ht="15">
      <c r="A10" s="1470" t="s">
        <v>52</v>
      </c>
      <c r="B10" s="1791" t="s">
        <v>583</v>
      </c>
      <c r="C10" s="1782">
        <f>SUM(C7:C9)</f>
        <v>5177</v>
      </c>
      <c r="D10" s="1782"/>
      <c r="E10" s="1782">
        <f>SUM(E7:E9)</f>
        <v>5177</v>
      </c>
      <c r="F10" s="1792">
        <f>SUM(F7:F9)</f>
        <v>2674.9500000000007</v>
      </c>
      <c r="G10" s="1789">
        <f>+E10-F10</f>
        <v>2502.0499999999993</v>
      </c>
      <c r="H10" s="2571"/>
      <c r="I10" s="1433"/>
      <c r="J10" s="1393"/>
      <c r="K10" s="1493"/>
      <c r="L10" s="1393"/>
    </row>
    <row r="11" spans="1:12" s="1774" customFormat="1" ht="15">
      <c r="A11" s="1433"/>
      <c r="B11" s="1781"/>
      <c r="C11" s="1780"/>
      <c r="D11" s="1780"/>
      <c r="E11" s="1780"/>
      <c r="F11" s="1781"/>
      <c r="G11" s="1781"/>
      <c r="H11" s="2571"/>
      <c r="I11" s="1433"/>
      <c r="J11" s="1393"/>
      <c r="K11" s="1393"/>
      <c r="L11" s="1393"/>
    </row>
    <row r="12" spans="1:12" s="1774" customFormat="1" ht="15">
      <c r="A12" s="1470" t="s">
        <v>47</v>
      </c>
      <c r="B12" s="1470" t="s">
        <v>48</v>
      </c>
      <c r="C12" s="1782" t="s">
        <v>49</v>
      </c>
      <c r="D12" s="1782" t="s">
        <v>184</v>
      </c>
      <c r="E12" s="1782" t="s">
        <v>50</v>
      </c>
      <c r="F12" s="1470" t="s">
        <v>20</v>
      </c>
      <c r="G12" s="1470" t="s">
        <v>21</v>
      </c>
      <c r="H12" s="2571" t="s">
        <v>51</v>
      </c>
      <c r="I12" s="1783" t="s">
        <v>23</v>
      </c>
      <c r="J12" s="1393"/>
      <c r="K12" s="1393"/>
      <c r="L12" s="1393"/>
    </row>
    <row r="13" spans="1:12" s="1774" customFormat="1" ht="15">
      <c r="A13" s="1476" t="s">
        <v>114</v>
      </c>
      <c r="B13" s="1461" t="s">
        <v>42</v>
      </c>
      <c r="C13" s="2001">
        <v>28</v>
      </c>
      <c r="D13" s="1798"/>
      <c r="E13" s="1797">
        <f>+C13+G7+D13</f>
        <v>464.95899999999995</v>
      </c>
      <c r="F13" s="1287">
        <f>+SUM('RAE Jurel'!B19:B20)</f>
        <v>77.209999999999994</v>
      </c>
      <c r="G13" s="1441">
        <f>+E13-F13</f>
        <v>387.74899999999997</v>
      </c>
      <c r="H13" s="2571">
        <f t="shared" ref="H13:H15" si="2">+G13/E13</f>
        <v>0.83394234760484265</v>
      </c>
      <c r="I13" s="1799"/>
      <c r="J13" s="1393"/>
      <c r="K13" s="1393"/>
      <c r="L13" s="1393"/>
    </row>
    <row r="14" spans="1:12" s="1774" customFormat="1" ht="16.5" customHeight="1">
      <c r="A14" s="1476" t="s">
        <v>116</v>
      </c>
      <c r="B14" s="1461" t="s">
        <v>42</v>
      </c>
      <c r="C14" s="2001">
        <v>213</v>
      </c>
      <c r="D14" s="1784"/>
      <c r="E14" s="1797">
        <f t="shared" ref="E14:E15" si="3">+C14+G8+D14</f>
        <v>2277.2689999999993</v>
      </c>
      <c r="F14" s="1787">
        <f>+SUM('RAE Jurel'!B35:B36)</f>
        <v>1094.866</v>
      </c>
      <c r="G14" s="1441">
        <f>+E14-F14</f>
        <v>1182.4029999999993</v>
      </c>
      <c r="H14" s="2571">
        <f t="shared" si="2"/>
        <v>0.51921973205624794</v>
      </c>
      <c r="I14" s="1788"/>
      <c r="J14" s="1393"/>
      <c r="K14" s="1393"/>
      <c r="L14" s="1393"/>
    </row>
    <row r="15" spans="1:12" s="1774" customFormat="1" ht="15">
      <c r="A15" s="1476" t="s">
        <v>115</v>
      </c>
      <c r="B15" s="1461" t="s">
        <v>42</v>
      </c>
      <c r="C15" s="2001">
        <v>25</v>
      </c>
      <c r="D15" s="1784"/>
      <c r="E15" s="1797">
        <f t="shared" si="3"/>
        <v>25.821999999999889</v>
      </c>
      <c r="F15" s="1787">
        <f>+SUM('RAE Jurel'!B51:B52)</f>
        <v>21.067</v>
      </c>
      <c r="G15" s="1441">
        <f>+E15-F15</f>
        <v>4.7549999999998889</v>
      </c>
      <c r="H15" s="2571">
        <f t="shared" si="2"/>
        <v>0.1841453024552672</v>
      </c>
      <c r="I15" s="1788" t="s">
        <v>1116</v>
      </c>
      <c r="J15" s="1493"/>
      <c r="K15" s="1493"/>
      <c r="L15" s="1393"/>
    </row>
    <row r="16" spans="1:12" s="1774" customFormat="1" ht="15">
      <c r="A16" s="1470" t="s">
        <v>52</v>
      </c>
      <c r="B16" s="1791" t="s">
        <v>42</v>
      </c>
      <c r="C16" s="1782">
        <f>SUM(C13:C15)</f>
        <v>266</v>
      </c>
      <c r="D16" s="1782">
        <f>SUM(D13:D15)</f>
        <v>0</v>
      </c>
      <c r="E16" s="1800">
        <f>SUM(E13:E15)</f>
        <v>2768.0499999999993</v>
      </c>
      <c r="F16" s="1792">
        <f>SUM(F13:F15)</f>
        <v>1193.143</v>
      </c>
      <c r="G16" s="1789">
        <f>+E16-F16</f>
        <v>1574.9069999999992</v>
      </c>
      <c r="H16" s="2571"/>
      <c r="I16" s="1433"/>
      <c r="J16" s="1393"/>
      <c r="K16" s="1393"/>
      <c r="L16" s="1393"/>
    </row>
    <row r="17" spans="1:12" s="1774" customFormat="1" ht="15">
      <c r="A17" s="1736"/>
      <c r="B17" s="1736"/>
      <c r="C17" s="1736"/>
      <c r="D17" s="1736"/>
      <c r="E17" s="1736"/>
      <c r="F17" s="1736"/>
      <c r="G17" s="1736"/>
      <c r="H17" s="2571"/>
      <c r="I17" s="1736"/>
      <c r="J17" s="1393"/>
      <c r="K17" s="1393"/>
      <c r="L17" s="1393"/>
    </row>
    <row r="18" spans="1:12" s="1774" customFormat="1" ht="15">
      <c r="A18" s="3631" t="s">
        <v>66</v>
      </c>
      <c r="B18" s="3632"/>
      <c r="C18" s="1780"/>
      <c r="D18" s="1780"/>
      <c r="E18" s="1780"/>
      <c r="F18" s="1781"/>
      <c r="G18" s="1781"/>
      <c r="H18" s="2571"/>
      <c r="I18" s="1433"/>
      <c r="J18" s="1393"/>
      <c r="K18" s="1393"/>
      <c r="L18" s="1393"/>
    </row>
    <row r="19" spans="1:12" s="1774" customFormat="1" ht="5.0999999999999996" customHeight="1">
      <c r="A19" s="1433"/>
      <c r="B19" s="1781"/>
      <c r="C19" s="1780"/>
      <c r="D19" s="1780"/>
      <c r="E19" s="1780"/>
      <c r="F19" s="1781"/>
      <c r="G19" s="1781"/>
      <c r="H19" s="2571"/>
      <c r="I19" s="1433"/>
      <c r="J19" s="1393"/>
      <c r="K19" s="1393"/>
      <c r="L19" s="1393"/>
    </row>
    <row r="20" spans="1:12" s="1774" customFormat="1" ht="15">
      <c r="A20" s="1736"/>
      <c r="B20" s="1804"/>
      <c r="C20" s="1794"/>
      <c r="D20" s="1794"/>
      <c r="E20" s="1794"/>
      <c r="F20" s="1795"/>
      <c r="G20" s="1796"/>
      <c r="H20" s="2571"/>
      <c r="I20" s="1433"/>
      <c r="J20" s="1393"/>
      <c r="K20" s="1393"/>
      <c r="L20" s="1393"/>
    </row>
    <row r="21" spans="1:12" s="1774" customFormat="1" ht="27" customHeight="1">
      <c r="A21" s="1470" t="s">
        <v>47</v>
      </c>
      <c r="B21" s="1470" t="s">
        <v>48</v>
      </c>
      <c r="C21" s="1782" t="s">
        <v>49</v>
      </c>
      <c r="D21" s="1782" t="s">
        <v>184</v>
      </c>
      <c r="E21" s="1782" t="s">
        <v>50</v>
      </c>
      <c r="F21" s="1470" t="s">
        <v>20</v>
      </c>
      <c r="G21" s="1470" t="s">
        <v>21</v>
      </c>
      <c r="H21" s="2571" t="s">
        <v>51</v>
      </c>
      <c r="I21" s="1783" t="s">
        <v>23</v>
      </c>
      <c r="J21" s="1393"/>
      <c r="K21" s="1393"/>
      <c r="L21" s="1393"/>
    </row>
    <row r="22" spans="1:12" s="1774" customFormat="1" ht="15">
      <c r="A22" s="1779" t="s">
        <v>96</v>
      </c>
      <c r="B22" s="2396" t="s">
        <v>612</v>
      </c>
      <c r="C22" s="2390">
        <v>1088</v>
      </c>
      <c r="D22" s="1785"/>
      <c r="E22" s="1784">
        <f>+C22+D22</f>
        <v>1088</v>
      </c>
      <c r="F22" s="1287">
        <f>+SUM('RAE Jurel'!B59:B67)</f>
        <v>0</v>
      </c>
      <c r="G22" s="1801">
        <f>+E22-F22</f>
        <v>1088</v>
      </c>
      <c r="H22" s="2571">
        <f t="shared" ref="H22:H23" si="4">+G22/E22</f>
        <v>1</v>
      </c>
      <c r="I22" s="1799"/>
      <c r="J22" s="1393"/>
      <c r="K22" s="1393"/>
      <c r="L22" s="1393"/>
    </row>
    <row r="23" spans="1:12" s="1774" customFormat="1" ht="15">
      <c r="A23" s="1476" t="s">
        <v>97</v>
      </c>
      <c r="B23" s="1461" t="s">
        <v>612</v>
      </c>
      <c r="C23" s="1784">
        <v>144</v>
      </c>
      <c r="D23" s="1784"/>
      <c r="E23" s="1784">
        <f>+C23+D23</f>
        <v>144</v>
      </c>
      <c r="F23" s="1787">
        <f>+SUM('RAE Jurel'!B75:B83)</f>
        <v>59.983000000000011</v>
      </c>
      <c r="G23" s="1802">
        <f>+E23-F23</f>
        <v>84.016999999999996</v>
      </c>
      <c r="H23" s="2571">
        <f t="shared" si="4"/>
        <v>0.58345138888888881</v>
      </c>
      <c r="I23" s="1803"/>
      <c r="J23" s="1393"/>
      <c r="K23" s="1393"/>
      <c r="L23" s="1393"/>
    </row>
    <row r="24" spans="1:12" s="1774" customFormat="1" ht="15">
      <c r="A24" s="1470" t="s">
        <v>52</v>
      </c>
      <c r="B24" s="1791" t="s">
        <v>612</v>
      </c>
      <c r="C24" s="1782">
        <f>SUM(C22:C23)</f>
        <v>1232</v>
      </c>
      <c r="D24" s="1782"/>
      <c r="E24" s="1782">
        <f>SUM(E22:E23)</f>
        <v>1232</v>
      </c>
      <c r="F24" s="2104">
        <f>SUM(F22:F23)</f>
        <v>59.983000000000011</v>
      </c>
      <c r="G24" s="1789">
        <f>+E24-F24</f>
        <v>1172.0170000000001</v>
      </c>
      <c r="H24" s="2571"/>
      <c r="I24" s="1433"/>
      <c r="J24" s="1393"/>
      <c r="K24" s="1393"/>
      <c r="L24" s="1393"/>
    </row>
    <row r="25" spans="1:12" s="1774" customFormat="1" ht="15">
      <c r="A25" s="1805"/>
      <c r="B25" s="1781"/>
      <c r="C25" s="1806"/>
      <c r="D25" s="1806"/>
      <c r="E25" s="1806"/>
      <c r="F25" s="1807"/>
      <c r="G25" s="1807"/>
      <c r="H25" s="2571"/>
      <c r="I25" s="1433"/>
      <c r="J25" s="1393"/>
      <c r="K25" s="1393"/>
      <c r="L25" s="1393"/>
    </row>
    <row r="26" spans="1:12" s="1774" customFormat="1" ht="15">
      <c r="A26" s="1470" t="s">
        <v>47</v>
      </c>
      <c r="B26" s="1470" t="s">
        <v>48</v>
      </c>
      <c r="C26" s="1782" t="s">
        <v>49</v>
      </c>
      <c r="D26" s="1782" t="s">
        <v>184</v>
      </c>
      <c r="E26" s="1782" t="s">
        <v>50</v>
      </c>
      <c r="F26" s="1470" t="s">
        <v>20</v>
      </c>
      <c r="G26" s="1470" t="s">
        <v>21</v>
      </c>
      <c r="H26" s="2571" t="s">
        <v>51</v>
      </c>
      <c r="I26" s="1783" t="s">
        <v>23</v>
      </c>
      <c r="J26" s="1393"/>
      <c r="K26" s="1393"/>
      <c r="L26" s="1393"/>
    </row>
    <row r="27" spans="1:12" s="1774" customFormat="1" ht="15">
      <c r="A27" s="1779" t="s">
        <v>96</v>
      </c>
      <c r="B27" s="2396" t="s">
        <v>41</v>
      </c>
      <c r="C27" s="2390">
        <v>118</v>
      </c>
      <c r="D27" s="1784"/>
      <c r="E27" s="1784">
        <f>+C27+G22+D27</f>
        <v>1206</v>
      </c>
      <c r="F27" s="1287">
        <f>+SUM('RAE Jurel'!B68:B70)</f>
        <v>0</v>
      </c>
      <c r="G27" s="1808">
        <f>+E27-F27</f>
        <v>1206</v>
      </c>
      <c r="H27" s="2571">
        <f t="shared" ref="H27:H28" si="5">+G27/E27</f>
        <v>1</v>
      </c>
      <c r="I27" s="1799"/>
      <c r="J27" s="1393"/>
      <c r="K27" s="1393"/>
      <c r="L27" s="1393"/>
    </row>
    <row r="28" spans="1:12" s="1774" customFormat="1" ht="15">
      <c r="A28" s="1476" t="s">
        <v>97</v>
      </c>
      <c r="B28" s="1461" t="s">
        <v>41</v>
      </c>
      <c r="C28" s="1784">
        <v>8</v>
      </c>
      <c r="D28" s="1784"/>
      <c r="E28" s="1784">
        <f>+C28+G23+D28</f>
        <v>92.016999999999996</v>
      </c>
      <c r="F28" s="1787">
        <f>+SUM('RAE Jurel'!B84:B86)</f>
        <v>12.706</v>
      </c>
      <c r="G28" s="1802">
        <f>+E28-F28</f>
        <v>79.310999999999993</v>
      </c>
      <c r="H28" s="2571">
        <f t="shared" si="5"/>
        <v>0.86191681971809553</v>
      </c>
      <c r="I28" s="1809"/>
    </row>
    <row r="29" spans="1:12" s="1774" customFormat="1" ht="21.75" customHeight="1">
      <c r="A29" s="1470" t="s">
        <v>52</v>
      </c>
      <c r="B29" s="1471" t="s">
        <v>41</v>
      </c>
      <c r="C29" s="1782">
        <f>SUM(C27:C28)</f>
        <v>126</v>
      </c>
      <c r="D29" s="1782">
        <f>SUM(D27:D28)</f>
        <v>0</v>
      </c>
      <c r="E29" s="1782">
        <f>SUM(E27:E28)</f>
        <v>1298.0170000000001</v>
      </c>
      <c r="F29" s="1810">
        <f>SUM(F27:F28)</f>
        <v>12.706</v>
      </c>
      <c r="G29" s="1811">
        <f>SUM(G27:G28)</f>
        <v>1285.3109999999999</v>
      </c>
      <c r="H29" s="2571"/>
      <c r="I29" s="1433"/>
    </row>
    <row r="30" spans="1:12" s="1774" customFormat="1" ht="15">
      <c r="A30" s="1766"/>
      <c r="B30" s="1812"/>
      <c r="C30" s="1806"/>
      <c r="D30" s="1806"/>
      <c r="E30" s="1806"/>
      <c r="F30" s="1806"/>
      <c r="G30" s="1807"/>
      <c r="H30" s="2571"/>
      <c r="I30" s="1433"/>
    </row>
    <row r="31" spans="1:12" s="1774" customFormat="1" ht="15" customHeight="1">
      <c r="A31" s="1766"/>
      <c r="B31" s="1812"/>
      <c r="C31" s="1806"/>
      <c r="D31" s="1806"/>
      <c r="E31" s="1806"/>
      <c r="F31" s="1806"/>
      <c r="G31" s="1807"/>
      <c r="H31" s="2571"/>
      <c r="I31" s="1433"/>
    </row>
    <row r="32" spans="1:12" s="1774" customFormat="1" ht="15" customHeight="1">
      <c r="A32" s="3631" t="s">
        <v>55</v>
      </c>
      <c r="B32" s="3632"/>
      <c r="C32" s="1780"/>
      <c r="D32" s="1780"/>
      <c r="E32" s="1780"/>
      <c r="F32" s="1781"/>
      <c r="G32" s="1781"/>
      <c r="H32" s="2571"/>
      <c r="I32" s="1433"/>
    </row>
    <row r="33" spans="1:15" s="1774" customFormat="1" ht="15" customHeight="1">
      <c r="A33" s="1470" t="s">
        <v>47</v>
      </c>
      <c r="B33" s="1470" t="s">
        <v>48</v>
      </c>
      <c r="C33" s="1782" t="s">
        <v>49</v>
      </c>
      <c r="D33" s="1782" t="s">
        <v>316</v>
      </c>
      <c r="E33" s="1782" t="s">
        <v>50</v>
      </c>
      <c r="F33" s="1470" t="s">
        <v>20</v>
      </c>
      <c r="G33" s="1470" t="s">
        <v>21</v>
      </c>
      <c r="H33" s="2571" t="s">
        <v>51</v>
      </c>
      <c r="I33" s="1783" t="s">
        <v>23</v>
      </c>
    </row>
    <row r="34" spans="1:15" s="2009" customFormat="1" ht="15" customHeight="1">
      <c r="A34" s="2933" t="s">
        <v>56</v>
      </c>
      <c r="B34" s="2934" t="s">
        <v>609</v>
      </c>
      <c r="C34" s="3338">
        <v>7.7990000000000004</v>
      </c>
      <c r="D34" s="2017"/>
      <c r="E34" s="1813">
        <f>+C34+D34</f>
        <v>7.7990000000000004</v>
      </c>
      <c r="F34" s="1797">
        <f>+SUM('RAE Jurel'!B93:B101)</f>
        <v>15.382</v>
      </c>
      <c r="G34" s="1797">
        <f>+E34-F34</f>
        <v>-7.5829999999999993</v>
      </c>
      <c r="H34" s="2571">
        <f t="shared" ref="H34:H50" si="6">+G34/E34</f>
        <v>-0.97230414155660971</v>
      </c>
      <c r="I34" s="1799"/>
      <c r="M34" s="3338">
        <v>7.7990000000000004</v>
      </c>
      <c r="O34" s="3340">
        <v>12.762</v>
      </c>
    </row>
    <row r="35" spans="1:15" s="2009" customFormat="1" ht="15" customHeight="1">
      <c r="A35" s="2933" t="s">
        <v>57</v>
      </c>
      <c r="B35" s="2934" t="s">
        <v>609</v>
      </c>
      <c r="C35" s="2059">
        <v>9.9250000000000007</v>
      </c>
      <c r="D35" s="2016"/>
      <c r="E35" s="1813">
        <f t="shared" ref="E35:E50" si="7">+C35+D35</f>
        <v>9.9250000000000007</v>
      </c>
      <c r="F35" s="2016">
        <f>+SUM('RAE Jurel'!B109:B117)</f>
        <v>0</v>
      </c>
      <c r="G35" s="2016">
        <f t="shared" ref="G35:G43" si="8">+E35-F35</f>
        <v>9.9250000000000007</v>
      </c>
      <c r="H35" s="2571">
        <f t="shared" si="6"/>
        <v>1</v>
      </c>
      <c r="I35" s="1799"/>
      <c r="M35" s="2059">
        <v>9.9250000000000007</v>
      </c>
      <c r="O35" s="3339">
        <v>0.53600000000000003</v>
      </c>
    </row>
    <row r="36" spans="1:15" s="2009" customFormat="1" ht="15" customHeight="1">
      <c r="A36" s="2933" t="s">
        <v>58</v>
      </c>
      <c r="B36" s="2934" t="s">
        <v>609</v>
      </c>
      <c r="C36" s="2059">
        <v>9.5000000000000001E-2</v>
      </c>
      <c r="D36" s="2016"/>
      <c r="E36" s="1813">
        <f t="shared" si="7"/>
        <v>9.5000000000000001E-2</v>
      </c>
      <c r="F36" s="2016">
        <f>+SUM('RAE Jurel'!B125:B133)</f>
        <v>0</v>
      </c>
      <c r="G36" s="2016">
        <f t="shared" si="8"/>
        <v>9.5000000000000001E-2</v>
      </c>
      <c r="H36" s="2571">
        <f t="shared" si="6"/>
        <v>1</v>
      </c>
      <c r="I36" s="1799"/>
      <c r="M36" s="2059">
        <v>9.5000000000000001E-2</v>
      </c>
      <c r="O36" s="3339">
        <v>5.0000000000000001E-3</v>
      </c>
    </row>
    <row r="37" spans="1:15" s="2009" customFormat="1" ht="15" customHeight="1">
      <c r="A37" s="2933" t="s">
        <v>102</v>
      </c>
      <c r="B37" s="2934" t="s">
        <v>609</v>
      </c>
      <c r="C37" s="2059">
        <v>8.7999999999999995E-2</v>
      </c>
      <c r="D37" s="2016"/>
      <c r="E37" s="1813">
        <f t="shared" si="7"/>
        <v>8.7999999999999995E-2</v>
      </c>
      <c r="F37" s="2016">
        <f>+SUM('RAE Jurel'!B141:B149)</f>
        <v>0</v>
      </c>
      <c r="G37" s="2016">
        <f t="shared" si="8"/>
        <v>8.7999999999999995E-2</v>
      </c>
      <c r="H37" s="2571">
        <f t="shared" si="6"/>
        <v>1</v>
      </c>
      <c r="I37" s="1799"/>
      <c r="M37" s="2059">
        <v>8.7999999999999995E-2</v>
      </c>
      <c r="O37" s="3339">
        <v>5.0000000000000001E-3</v>
      </c>
    </row>
    <row r="38" spans="1:15" s="2009" customFormat="1" ht="15" customHeight="1">
      <c r="A38" s="2933" t="s">
        <v>1024</v>
      </c>
      <c r="B38" s="2934" t="s">
        <v>609</v>
      </c>
      <c r="C38" s="2059">
        <v>204.96199999999999</v>
      </c>
      <c r="D38" s="2018"/>
      <c r="E38" s="1813">
        <f t="shared" si="7"/>
        <v>204.96199999999999</v>
      </c>
      <c r="F38" s="2016">
        <f>+SUM('RAE Jurel'!B157:B165)</f>
        <v>0</v>
      </c>
      <c r="G38" s="2016">
        <f t="shared" si="8"/>
        <v>204.96199999999999</v>
      </c>
      <c r="H38" s="2571">
        <f t="shared" si="6"/>
        <v>1</v>
      </c>
      <c r="I38" s="1799"/>
      <c r="M38" s="2059">
        <v>204.96199999999999</v>
      </c>
      <c r="O38" s="3339">
        <v>11.06</v>
      </c>
    </row>
    <row r="39" spans="1:15" s="2009" customFormat="1" ht="15" customHeight="1">
      <c r="A39" s="2933" t="s">
        <v>103</v>
      </c>
      <c r="B39" s="2934" t="s">
        <v>609</v>
      </c>
      <c r="C39" s="2059">
        <v>7.6999999999999999E-2</v>
      </c>
      <c r="D39" s="2016"/>
      <c r="E39" s="1813">
        <f t="shared" si="7"/>
        <v>7.6999999999999999E-2</v>
      </c>
      <c r="F39" s="2016">
        <f>+SUM('RAE Jurel'!B172:B181)</f>
        <v>0</v>
      </c>
      <c r="G39" s="2016">
        <f t="shared" si="8"/>
        <v>7.6999999999999999E-2</v>
      </c>
      <c r="H39" s="2571">
        <f t="shared" si="6"/>
        <v>1</v>
      </c>
      <c r="I39" s="1799"/>
      <c r="M39" s="2059">
        <v>7.6999999999999999E-2</v>
      </c>
      <c r="O39" s="3339">
        <v>4.0000000000000001E-3</v>
      </c>
    </row>
    <row r="40" spans="1:15" s="2009" customFormat="1" ht="15" customHeight="1">
      <c r="A40" s="2933" t="s">
        <v>104</v>
      </c>
      <c r="B40" s="2934" t="s">
        <v>609</v>
      </c>
      <c r="C40" s="2059">
        <v>0.151</v>
      </c>
      <c r="D40" s="2016"/>
      <c r="E40" s="1813">
        <f t="shared" si="7"/>
        <v>0.151</v>
      </c>
      <c r="F40" s="2016">
        <f>+SUM('RAE Jurel'!B189:B197)</f>
        <v>0</v>
      </c>
      <c r="G40" s="2016">
        <f t="shared" si="8"/>
        <v>0.151</v>
      </c>
      <c r="H40" s="2571">
        <f t="shared" si="6"/>
        <v>1</v>
      </c>
      <c r="I40" s="1799"/>
      <c r="M40" s="2059">
        <v>0.151</v>
      </c>
      <c r="O40" s="3339">
        <v>8.0000000000000002E-3</v>
      </c>
    </row>
    <row r="41" spans="1:15" s="2009" customFormat="1" ht="15" customHeight="1">
      <c r="A41" s="2933" t="s">
        <v>105</v>
      </c>
      <c r="B41" s="2934" t="s">
        <v>609</v>
      </c>
      <c r="C41" s="2059">
        <v>0.155</v>
      </c>
      <c r="D41" s="2016"/>
      <c r="E41" s="1813">
        <f t="shared" si="7"/>
        <v>0.155</v>
      </c>
      <c r="F41" s="2016">
        <f>+SUM('RAE Jurel'!B205:B213)</f>
        <v>0</v>
      </c>
      <c r="G41" s="2016">
        <f t="shared" si="8"/>
        <v>0.155</v>
      </c>
      <c r="H41" s="2571">
        <f t="shared" si="6"/>
        <v>1</v>
      </c>
      <c r="I41" s="1799"/>
      <c r="M41" s="2059">
        <v>0.155</v>
      </c>
      <c r="O41" s="3339">
        <v>8.0000000000000002E-3</v>
      </c>
    </row>
    <row r="42" spans="1:15" s="2009" customFormat="1" ht="15" customHeight="1">
      <c r="A42" s="2933" t="s">
        <v>106</v>
      </c>
      <c r="B42" s="2934" t="s">
        <v>609</v>
      </c>
      <c r="C42" s="2059">
        <v>3.7999999999999999E-2</v>
      </c>
      <c r="D42" s="2016"/>
      <c r="E42" s="1813">
        <f t="shared" si="7"/>
        <v>3.7999999999999999E-2</v>
      </c>
      <c r="F42" s="2016">
        <f>+SUM('RAE Jurel'!B221:B229)</f>
        <v>0</v>
      </c>
      <c r="G42" s="2016">
        <f t="shared" si="8"/>
        <v>3.7999999999999999E-2</v>
      </c>
      <c r="H42" s="2571">
        <f t="shared" si="6"/>
        <v>1</v>
      </c>
      <c r="I42" s="1799"/>
      <c r="M42" s="2059">
        <v>3.7999999999999999E-2</v>
      </c>
      <c r="O42" s="3339">
        <v>2E-3</v>
      </c>
    </row>
    <row r="43" spans="1:15" s="2009" customFormat="1" ht="15" customHeight="1">
      <c r="A43" s="2933" t="s">
        <v>107</v>
      </c>
      <c r="B43" s="2934" t="s">
        <v>609</v>
      </c>
      <c r="C43" s="2059">
        <v>0.315</v>
      </c>
      <c r="D43" s="2016"/>
      <c r="E43" s="1813">
        <f t="shared" si="7"/>
        <v>0.315</v>
      </c>
      <c r="F43" s="2016">
        <f>+SUM('RAE Jurel'!B237:B245)</f>
        <v>0</v>
      </c>
      <c r="G43" s="2016">
        <f t="shared" si="8"/>
        <v>0.315</v>
      </c>
      <c r="H43" s="2571">
        <f t="shared" si="6"/>
        <v>1</v>
      </c>
      <c r="I43" s="1799"/>
      <c r="M43" s="2059">
        <v>0.315</v>
      </c>
      <c r="O43" s="3339">
        <v>1.7000000000000001E-2</v>
      </c>
    </row>
    <row r="44" spans="1:15" s="2009" customFormat="1" ht="15" customHeight="1">
      <c r="A44" s="2933" t="s">
        <v>108</v>
      </c>
      <c r="B44" s="2934" t="s">
        <v>609</v>
      </c>
      <c r="C44" s="2059">
        <v>2E-3</v>
      </c>
      <c r="D44" s="2016"/>
      <c r="E44" s="1813">
        <f t="shared" si="7"/>
        <v>2E-3</v>
      </c>
      <c r="F44" s="2016">
        <f>+SUM('RAE Jurel'!B253:B261)</f>
        <v>0</v>
      </c>
      <c r="G44" s="2016">
        <f>+E44-F44</f>
        <v>2E-3</v>
      </c>
      <c r="H44" s="2571">
        <f t="shared" si="6"/>
        <v>1</v>
      </c>
      <c r="I44" s="1799"/>
      <c r="M44" s="2059">
        <v>2E-3</v>
      </c>
      <c r="O44" s="3339">
        <v>0</v>
      </c>
    </row>
    <row r="45" spans="1:15" s="2009" customFormat="1" ht="15" customHeight="1">
      <c r="A45" s="2933" t="s">
        <v>109</v>
      </c>
      <c r="B45" s="2934" t="s">
        <v>609</v>
      </c>
      <c r="C45" s="2059">
        <v>0.79300000000000004</v>
      </c>
      <c r="D45" s="2016"/>
      <c r="E45" s="1813">
        <f t="shared" si="7"/>
        <v>0.79300000000000004</v>
      </c>
      <c r="F45" s="2016">
        <f>+SUM('RAE Jurel'!B269:B277)</f>
        <v>0</v>
      </c>
      <c r="G45" s="2016">
        <f>+E45-F45</f>
        <v>0.79300000000000004</v>
      </c>
      <c r="H45" s="2571">
        <f t="shared" si="6"/>
        <v>1</v>
      </c>
      <c r="I45" s="1799"/>
      <c r="M45" s="2059">
        <v>0.79300000000000004</v>
      </c>
      <c r="O45" s="3339">
        <v>4.2999999999999997E-2</v>
      </c>
    </row>
    <row r="46" spans="1:15" s="2009" customFormat="1" ht="15" customHeight="1">
      <c r="A46" s="1779" t="s">
        <v>125</v>
      </c>
      <c r="B46" s="2934" t="s">
        <v>609</v>
      </c>
      <c r="C46" s="3339">
        <v>2.5910000000000002</v>
      </c>
      <c r="D46" s="1813"/>
      <c r="E46" s="1813">
        <f t="shared" si="7"/>
        <v>2.5910000000000002</v>
      </c>
      <c r="F46" s="1813">
        <f>+SUM('RAE Jurel'!B285:B293)</f>
        <v>0</v>
      </c>
      <c r="G46" s="1813">
        <f>+E46-F46</f>
        <v>2.5910000000000002</v>
      </c>
      <c r="H46" s="2571">
        <f t="shared" si="6"/>
        <v>1</v>
      </c>
      <c r="I46" s="1799"/>
      <c r="M46" s="3339">
        <v>2.5910000000000002</v>
      </c>
      <c r="O46" s="3339">
        <v>0.47099999999999997</v>
      </c>
    </row>
    <row r="47" spans="1:15" s="2009" customFormat="1" ht="15" customHeight="1">
      <c r="A47" s="2933" t="s">
        <v>126</v>
      </c>
      <c r="B47" s="2934" t="s">
        <v>609</v>
      </c>
      <c r="C47" s="3337">
        <v>0</v>
      </c>
      <c r="D47" s="1797"/>
      <c r="E47" s="1813">
        <f t="shared" si="7"/>
        <v>0</v>
      </c>
      <c r="F47" s="1797">
        <f>+SUM('RAE Jurel'!B301:B309)</f>
        <v>0</v>
      </c>
      <c r="G47" s="1797">
        <f t="shared" ref="G47:G50" si="9">+E47-F47</f>
        <v>0</v>
      </c>
      <c r="H47" s="2571" t="e">
        <f t="shared" si="6"/>
        <v>#DIV/0!</v>
      </c>
      <c r="I47" s="1799"/>
      <c r="M47" s="3337">
        <v>0</v>
      </c>
      <c r="O47" s="3340">
        <v>0</v>
      </c>
    </row>
    <row r="48" spans="1:15" s="2009" customFormat="1" ht="15">
      <c r="A48" s="2933" t="s">
        <v>127</v>
      </c>
      <c r="B48" s="2934" t="s">
        <v>609</v>
      </c>
      <c r="C48" s="2059">
        <v>1.7999999999999999E-2</v>
      </c>
      <c r="D48" s="2016"/>
      <c r="E48" s="1813">
        <f t="shared" si="7"/>
        <v>1.7999999999999999E-2</v>
      </c>
      <c r="F48" s="2016">
        <f>+SUM('RAE Jurel'!B317:B325)</f>
        <v>0</v>
      </c>
      <c r="G48" s="2016">
        <f t="shared" si="9"/>
        <v>1.7999999999999999E-2</v>
      </c>
      <c r="H48" s="2571">
        <f t="shared" si="6"/>
        <v>1</v>
      </c>
      <c r="I48" s="1799"/>
      <c r="M48" s="2059">
        <v>1.7999999999999999E-2</v>
      </c>
      <c r="O48" s="3339">
        <v>1E-3</v>
      </c>
    </row>
    <row r="49" spans="1:15" s="2009" customFormat="1" ht="15" customHeight="1">
      <c r="A49" s="2933" t="s">
        <v>129</v>
      </c>
      <c r="B49" s="2934" t="s">
        <v>609</v>
      </c>
      <c r="C49" s="2059">
        <v>2E-3</v>
      </c>
      <c r="D49" s="2016"/>
      <c r="E49" s="1813">
        <f t="shared" si="7"/>
        <v>2E-3</v>
      </c>
      <c r="F49" s="2016">
        <f>+SUM('RAE Jurel'!B333:B341)</f>
        <v>0</v>
      </c>
      <c r="G49" s="2016">
        <f t="shared" si="9"/>
        <v>2E-3</v>
      </c>
      <c r="H49" s="2571">
        <f t="shared" si="6"/>
        <v>1</v>
      </c>
      <c r="I49" s="1799"/>
      <c r="M49" s="2059">
        <v>2E-3</v>
      </c>
      <c r="O49" s="3339">
        <v>0</v>
      </c>
    </row>
    <row r="50" spans="1:15" s="2009" customFormat="1" ht="15" customHeight="1">
      <c r="A50" s="2933" t="s">
        <v>60</v>
      </c>
      <c r="B50" s="2934" t="s">
        <v>609</v>
      </c>
      <c r="C50" s="2059">
        <v>0.20899999999999999</v>
      </c>
      <c r="D50" s="2016"/>
      <c r="E50" s="1813">
        <f t="shared" si="7"/>
        <v>0.20899999999999999</v>
      </c>
      <c r="F50" s="2016">
        <f>+SUM('RAE Jurel'!B349:B357)</f>
        <v>0</v>
      </c>
      <c r="G50" s="2016">
        <f t="shared" si="9"/>
        <v>0.20899999999999999</v>
      </c>
      <c r="H50" s="2571">
        <f t="shared" si="6"/>
        <v>1</v>
      </c>
      <c r="I50" s="2019"/>
      <c r="M50" s="2059">
        <v>0.20899999999999999</v>
      </c>
      <c r="O50" s="3339">
        <v>1.0999999999999999E-2</v>
      </c>
    </row>
    <row r="51" spans="1:15" s="2009" customFormat="1" ht="15" customHeight="1">
      <c r="A51" s="1470" t="s">
        <v>52</v>
      </c>
      <c r="B51" s="1791" t="s">
        <v>609</v>
      </c>
      <c r="C51" s="1810">
        <f>SUM(C34:C50)</f>
        <v>227.22000000000006</v>
      </c>
      <c r="D51" s="1810">
        <f>SUM(D34:D50)</f>
        <v>0</v>
      </c>
      <c r="E51" s="1782">
        <f>SUM(E34:E50)</f>
        <v>227.22000000000006</v>
      </c>
      <c r="F51" s="1782">
        <f>SUM(F34:F50)</f>
        <v>15.382</v>
      </c>
      <c r="G51" s="1782">
        <f>+E51-F51</f>
        <v>211.83800000000005</v>
      </c>
      <c r="H51" s="2571"/>
      <c r="I51" s="1433"/>
      <c r="M51" s="3267">
        <f>SUM(M34:M50)</f>
        <v>227.22000000000006</v>
      </c>
      <c r="N51" s="3267"/>
      <c r="O51" s="3267">
        <f>SUM(O34:O50)</f>
        <v>24.933</v>
      </c>
    </row>
    <row r="52" spans="1:15" s="2009" customFormat="1" ht="15" customHeight="1">
      <c r="A52" s="1805"/>
      <c r="B52" s="1781"/>
      <c r="C52" s="1806"/>
      <c r="D52" s="1806"/>
      <c r="E52" s="1806"/>
      <c r="F52" s="1807"/>
      <c r="G52" s="1807"/>
      <c r="H52" s="2571"/>
      <c r="I52" s="1433"/>
    </row>
    <row r="53" spans="1:15" s="2009" customFormat="1" ht="15" customHeight="1">
      <c r="A53" s="1470" t="s">
        <v>47</v>
      </c>
      <c r="B53" s="1470" t="s">
        <v>48</v>
      </c>
      <c r="C53" s="1782" t="s">
        <v>49</v>
      </c>
      <c r="D53" s="1782" t="s">
        <v>184</v>
      </c>
      <c r="E53" s="1782" t="s">
        <v>50</v>
      </c>
      <c r="F53" s="1470" t="s">
        <v>20</v>
      </c>
      <c r="G53" s="1470" t="s">
        <v>21</v>
      </c>
      <c r="H53" s="2571" t="s">
        <v>51</v>
      </c>
      <c r="I53" s="1783" t="s">
        <v>23</v>
      </c>
      <c r="M53" s="3267">
        <f>+M51+O51</f>
        <v>252.15300000000005</v>
      </c>
    </row>
    <row r="54" spans="1:15" s="2009" customFormat="1" ht="16.5" customHeight="1">
      <c r="A54" s="2933" t="s">
        <v>56</v>
      </c>
      <c r="B54" s="2934" t="s">
        <v>41</v>
      </c>
      <c r="C54" s="3340">
        <v>12.762</v>
      </c>
      <c r="D54" s="1814"/>
      <c r="E54" s="1813">
        <f t="shared" ref="E54:E70" si="10">+C54+G34+D54</f>
        <v>5.1790000000000012</v>
      </c>
      <c r="F54" s="1287">
        <f>+SUM('RAE Jurel'!B102:B104)</f>
        <v>0</v>
      </c>
      <c r="G54" s="3327">
        <f t="shared" ref="G54:G70" si="11">+E54-F54</f>
        <v>5.1790000000000012</v>
      </c>
      <c r="H54" s="2571">
        <f t="shared" ref="H54:H70" si="12">+G54/E54</f>
        <v>1</v>
      </c>
      <c r="I54" s="1799"/>
      <c r="J54" s="3267">
        <f>+F34+F54</f>
        <v>15.382</v>
      </c>
    </row>
    <row r="55" spans="1:15" s="2009" customFormat="1" ht="16.5" customHeight="1">
      <c r="A55" s="2933" t="s">
        <v>57</v>
      </c>
      <c r="B55" s="2934" t="s">
        <v>41</v>
      </c>
      <c r="C55" s="3339">
        <v>0.53600000000000003</v>
      </c>
      <c r="D55" s="1813"/>
      <c r="E55" s="1813">
        <f t="shared" si="10"/>
        <v>10.461</v>
      </c>
      <c r="F55" s="1815">
        <f>+SUM('RAE Jurel'!B118:B120)</f>
        <v>0</v>
      </c>
      <c r="G55" s="1815">
        <f t="shared" si="11"/>
        <v>10.461</v>
      </c>
      <c r="H55" s="2571">
        <f t="shared" si="12"/>
        <v>1</v>
      </c>
      <c r="I55" s="1799"/>
      <c r="J55" s="3267">
        <f t="shared" ref="J55:J70" si="13">+F35+F55</f>
        <v>0</v>
      </c>
    </row>
    <row r="56" spans="1:15" s="2009" customFormat="1" ht="16.5" customHeight="1">
      <c r="A56" s="2933" t="s">
        <v>58</v>
      </c>
      <c r="B56" s="2934" t="s">
        <v>41</v>
      </c>
      <c r="C56" s="3339">
        <v>5.0000000000000001E-3</v>
      </c>
      <c r="D56" s="1813"/>
      <c r="E56" s="1813">
        <f t="shared" si="10"/>
        <v>0.1</v>
      </c>
      <c r="F56" s="1815">
        <f>+SUM('RAE Jurel'!B134:B136)</f>
        <v>0</v>
      </c>
      <c r="G56" s="1815">
        <f t="shared" si="11"/>
        <v>0.1</v>
      </c>
      <c r="H56" s="2571">
        <f t="shared" si="12"/>
        <v>1</v>
      </c>
      <c r="I56" s="1799"/>
      <c r="J56" s="3267">
        <f t="shared" si="13"/>
        <v>0</v>
      </c>
    </row>
    <row r="57" spans="1:15" s="2009" customFormat="1" ht="16.5" customHeight="1">
      <c r="A57" s="2933" t="s">
        <v>102</v>
      </c>
      <c r="B57" s="2934" t="s">
        <v>41</v>
      </c>
      <c r="C57" s="3339">
        <v>5.0000000000000001E-3</v>
      </c>
      <c r="D57" s="1813"/>
      <c r="E57" s="1813">
        <f t="shared" si="10"/>
        <v>9.2999999999999999E-2</v>
      </c>
      <c r="F57" s="1815">
        <f>+SUM('RAE Jurel'!B150:B152)</f>
        <v>0</v>
      </c>
      <c r="G57" s="1815">
        <f t="shared" si="11"/>
        <v>9.2999999999999999E-2</v>
      </c>
      <c r="H57" s="2571">
        <f t="shared" si="12"/>
        <v>1</v>
      </c>
      <c r="I57" s="1799"/>
      <c r="J57" s="3267">
        <f t="shared" si="13"/>
        <v>0</v>
      </c>
    </row>
    <row r="58" spans="1:15" s="2009" customFormat="1" ht="16.5" customHeight="1">
      <c r="A58" s="2933" t="s">
        <v>1024</v>
      </c>
      <c r="B58" s="2934" t="s">
        <v>41</v>
      </c>
      <c r="C58" s="3339">
        <v>11.06</v>
      </c>
      <c r="D58" s="1814"/>
      <c r="E58" s="1813">
        <f t="shared" si="10"/>
        <v>216.02199999999999</v>
      </c>
      <c r="F58" s="1815">
        <f>+SUM('RAE Jurel'!B166:B168)</f>
        <v>2.9000000000000001E-2</v>
      </c>
      <c r="G58" s="1815">
        <f t="shared" si="11"/>
        <v>215.99299999999999</v>
      </c>
      <c r="H58" s="2571">
        <f t="shared" si="12"/>
        <v>0.99986575441390235</v>
      </c>
      <c r="I58" s="1799"/>
      <c r="J58" s="3267">
        <f t="shared" si="13"/>
        <v>2.9000000000000001E-2</v>
      </c>
    </row>
    <row r="59" spans="1:15" s="2009" customFormat="1" ht="16.5" customHeight="1">
      <c r="A59" s="2933" t="s">
        <v>103</v>
      </c>
      <c r="B59" s="2934" t="s">
        <v>41</v>
      </c>
      <c r="C59" s="3339">
        <v>4.0000000000000001E-3</v>
      </c>
      <c r="D59" s="1813"/>
      <c r="E59" s="1813">
        <f t="shared" si="10"/>
        <v>8.1000000000000003E-2</v>
      </c>
      <c r="F59" s="1815">
        <f>+SUM('RAE Jurel'!B182:B184)</f>
        <v>0</v>
      </c>
      <c r="G59" s="1815">
        <f t="shared" si="11"/>
        <v>8.1000000000000003E-2</v>
      </c>
      <c r="H59" s="2571">
        <f t="shared" si="12"/>
        <v>1</v>
      </c>
      <c r="I59" s="1799"/>
      <c r="J59" s="3267">
        <f t="shared" si="13"/>
        <v>0</v>
      </c>
    </row>
    <row r="60" spans="1:15" s="2009" customFormat="1" ht="16.5" customHeight="1">
      <c r="A60" s="2933" t="s">
        <v>104</v>
      </c>
      <c r="B60" s="2934" t="s">
        <v>41</v>
      </c>
      <c r="C60" s="3339">
        <v>8.0000000000000002E-3</v>
      </c>
      <c r="D60" s="1813"/>
      <c r="E60" s="1813">
        <f t="shared" si="10"/>
        <v>0.159</v>
      </c>
      <c r="F60" s="1815">
        <f>+SUM('RAE Jurel'!B198:B200)</f>
        <v>0</v>
      </c>
      <c r="G60" s="1815">
        <f t="shared" si="11"/>
        <v>0.159</v>
      </c>
      <c r="H60" s="2571">
        <f t="shared" si="12"/>
        <v>1</v>
      </c>
      <c r="I60" s="1799"/>
      <c r="J60" s="3267">
        <f t="shared" si="13"/>
        <v>0</v>
      </c>
    </row>
    <row r="61" spans="1:15" s="2009" customFormat="1" ht="16.5" customHeight="1">
      <c r="A61" s="2933" t="s">
        <v>105</v>
      </c>
      <c r="B61" s="2934" t="s">
        <v>41</v>
      </c>
      <c r="C61" s="3339">
        <v>8.0000000000000002E-3</v>
      </c>
      <c r="D61" s="1813"/>
      <c r="E61" s="1813">
        <f t="shared" si="10"/>
        <v>0.16300000000000001</v>
      </c>
      <c r="F61" s="1815">
        <f>+SUM('RAE Jurel'!B214:B216)</f>
        <v>0</v>
      </c>
      <c r="G61" s="1815">
        <f t="shared" si="11"/>
        <v>0.16300000000000001</v>
      </c>
      <c r="H61" s="2571">
        <f t="shared" si="12"/>
        <v>1</v>
      </c>
      <c r="I61" s="1799"/>
      <c r="J61" s="3267">
        <f t="shared" si="13"/>
        <v>0</v>
      </c>
    </row>
    <row r="62" spans="1:15" s="2009" customFormat="1" ht="16.5" customHeight="1">
      <c r="A62" s="2933" t="s">
        <v>106</v>
      </c>
      <c r="B62" s="2934" t="s">
        <v>41</v>
      </c>
      <c r="C62" s="3339">
        <v>2E-3</v>
      </c>
      <c r="D62" s="1813"/>
      <c r="E62" s="1813">
        <f t="shared" si="10"/>
        <v>0.04</v>
      </c>
      <c r="F62" s="1815">
        <f>+SUM('RAE Jurel'!B230:B232)</f>
        <v>0</v>
      </c>
      <c r="G62" s="1815">
        <f t="shared" si="11"/>
        <v>0.04</v>
      </c>
      <c r="H62" s="2571">
        <f t="shared" si="12"/>
        <v>1</v>
      </c>
      <c r="I62" s="1799"/>
      <c r="J62" s="3267">
        <f t="shared" si="13"/>
        <v>0</v>
      </c>
    </row>
    <row r="63" spans="1:15" s="2009" customFormat="1" ht="16.5" customHeight="1">
      <c r="A63" s="2933" t="s">
        <v>107</v>
      </c>
      <c r="B63" s="2934" t="s">
        <v>41</v>
      </c>
      <c r="C63" s="3339">
        <v>1.7000000000000001E-2</v>
      </c>
      <c r="D63" s="1813"/>
      <c r="E63" s="1813">
        <f t="shared" si="10"/>
        <v>0.33200000000000002</v>
      </c>
      <c r="F63" s="1815">
        <f>+SUM('RAE Jurel'!B246:B248)</f>
        <v>0</v>
      </c>
      <c r="G63" s="1815">
        <f t="shared" si="11"/>
        <v>0.33200000000000002</v>
      </c>
      <c r="H63" s="2571">
        <f t="shared" si="12"/>
        <v>1</v>
      </c>
      <c r="I63" s="1799"/>
      <c r="J63" s="3267">
        <f t="shared" si="13"/>
        <v>0</v>
      </c>
    </row>
    <row r="64" spans="1:15" s="2009" customFormat="1" ht="16.5" customHeight="1">
      <c r="A64" s="2933" t="s">
        <v>108</v>
      </c>
      <c r="B64" s="2934" t="s">
        <v>41</v>
      </c>
      <c r="C64" s="3339">
        <v>0</v>
      </c>
      <c r="D64" s="1813"/>
      <c r="E64" s="1813">
        <f t="shared" si="10"/>
        <v>2E-3</v>
      </c>
      <c r="F64" s="1815">
        <f>+SUM('RAE Jurel'!B262:B264)</f>
        <v>0</v>
      </c>
      <c r="G64" s="1815">
        <f t="shared" si="11"/>
        <v>2E-3</v>
      </c>
      <c r="H64" s="2571">
        <f t="shared" si="12"/>
        <v>1</v>
      </c>
      <c r="I64" s="1799"/>
      <c r="J64" s="3267">
        <f t="shared" si="13"/>
        <v>0</v>
      </c>
    </row>
    <row r="65" spans="1:16" s="2009" customFormat="1" ht="16.5" customHeight="1">
      <c r="A65" s="2933" t="s">
        <v>109</v>
      </c>
      <c r="B65" s="2934" t="s">
        <v>41</v>
      </c>
      <c r="C65" s="3339">
        <v>4.2999999999999997E-2</v>
      </c>
      <c r="D65" s="1813"/>
      <c r="E65" s="1813">
        <f t="shared" si="10"/>
        <v>0.83600000000000008</v>
      </c>
      <c r="F65" s="1815">
        <f>+SUM('RAE Jurel'!B278:B280)</f>
        <v>0</v>
      </c>
      <c r="G65" s="1815">
        <f t="shared" si="11"/>
        <v>0.83600000000000008</v>
      </c>
      <c r="H65" s="2571">
        <f t="shared" si="12"/>
        <v>1</v>
      </c>
      <c r="I65" s="1799"/>
      <c r="J65" s="3267">
        <f t="shared" si="13"/>
        <v>0</v>
      </c>
    </row>
    <row r="66" spans="1:16" s="2009" customFormat="1" ht="16.5" customHeight="1">
      <c r="A66" s="1779" t="s">
        <v>125</v>
      </c>
      <c r="B66" s="2934" t="s">
        <v>41</v>
      </c>
      <c r="C66" s="3339">
        <v>0.47099999999999997</v>
      </c>
      <c r="D66" s="1813"/>
      <c r="E66" s="1813">
        <f t="shared" si="10"/>
        <v>3.0620000000000003</v>
      </c>
      <c r="F66" s="1815">
        <f>+SUM('RAE Jurel'!B294:B296)</f>
        <v>0</v>
      </c>
      <c r="G66" s="1815">
        <f t="shared" si="11"/>
        <v>3.0620000000000003</v>
      </c>
      <c r="H66" s="2571">
        <f t="shared" si="12"/>
        <v>1</v>
      </c>
      <c r="I66" s="1799"/>
      <c r="J66" s="3267">
        <f t="shared" si="13"/>
        <v>0</v>
      </c>
    </row>
    <row r="67" spans="1:16" s="2009" customFormat="1" ht="16.5" customHeight="1">
      <c r="A67" s="2933" t="s">
        <v>126</v>
      </c>
      <c r="B67" s="2934" t="s">
        <v>41</v>
      </c>
      <c r="C67" s="3340">
        <v>0</v>
      </c>
      <c r="D67" s="1787"/>
      <c r="E67" s="1813">
        <f t="shared" si="10"/>
        <v>0</v>
      </c>
      <c r="F67" s="1287">
        <f>+SUM('RAE Jurel'!B310:B312)</f>
        <v>0</v>
      </c>
      <c r="G67" s="1287">
        <f t="shared" si="11"/>
        <v>0</v>
      </c>
      <c r="H67" s="2571" t="e">
        <f t="shared" si="12"/>
        <v>#DIV/0!</v>
      </c>
      <c r="I67" s="1799"/>
      <c r="J67" s="3267">
        <f t="shared" si="13"/>
        <v>0</v>
      </c>
    </row>
    <row r="68" spans="1:16" s="2009" customFormat="1" ht="16.5" customHeight="1">
      <c r="A68" s="2933" t="s">
        <v>127</v>
      </c>
      <c r="B68" s="2934" t="s">
        <v>41</v>
      </c>
      <c r="C68" s="3339">
        <v>1E-3</v>
      </c>
      <c r="D68" s="1813"/>
      <c r="E68" s="1813">
        <f t="shared" si="10"/>
        <v>1.9E-2</v>
      </c>
      <c r="F68" s="1815">
        <f>+SUM('RAE Jurel'!B326:B328)</f>
        <v>0</v>
      </c>
      <c r="G68" s="1815">
        <f t="shared" si="11"/>
        <v>1.9E-2</v>
      </c>
      <c r="H68" s="2571">
        <f t="shared" si="12"/>
        <v>1</v>
      </c>
      <c r="I68" s="1799"/>
      <c r="J68" s="3267">
        <f t="shared" si="13"/>
        <v>0</v>
      </c>
    </row>
    <row r="69" spans="1:16" s="2009" customFormat="1" ht="16.5" customHeight="1">
      <c r="A69" s="2933" t="s">
        <v>129</v>
      </c>
      <c r="B69" s="2934" t="s">
        <v>41</v>
      </c>
      <c r="C69" s="3339">
        <v>0</v>
      </c>
      <c r="D69" s="1813"/>
      <c r="E69" s="1813">
        <f t="shared" si="10"/>
        <v>2E-3</v>
      </c>
      <c r="F69" s="1815">
        <f>+SUM('RAE Jurel'!B342:B344)</f>
        <v>0</v>
      </c>
      <c r="G69" s="1815">
        <f t="shared" si="11"/>
        <v>2E-3</v>
      </c>
      <c r="H69" s="2571">
        <f t="shared" si="12"/>
        <v>1</v>
      </c>
      <c r="I69" s="1799"/>
      <c r="J69" s="3267">
        <f t="shared" si="13"/>
        <v>0</v>
      </c>
    </row>
    <row r="70" spans="1:16" s="2009" customFormat="1" ht="16.5" customHeight="1">
      <c r="A70" s="2933" t="s">
        <v>60</v>
      </c>
      <c r="B70" s="2934" t="s">
        <v>41</v>
      </c>
      <c r="C70" s="3339">
        <v>1.0999999999999999E-2</v>
      </c>
      <c r="D70" s="1813"/>
      <c r="E70" s="1813">
        <f t="shared" si="10"/>
        <v>0.22</v>
      </c>
      <c r="F70" s="1815">
        <f>+SUM('RAE Jurel'!B358:B360)</f>
        <v>0</v>
      </c>
      <c r="G70" s="1815">
        <f t="shared" si="11"/>
        <v>0.22</v>
      </c>
      <c r="H70" s="2571">
        <f t="shared" si="12"/>
        <v>1</v>
      </c>
      <c r="I70" s="2019"/>
      <c r="J70" s="3267">
        <f t="shared" si="13"/>
        <v>0</v>
      </c>
    </row>
    <row r="71" spans="1:16" s="2009" customFormat="1" ht="16.5" customHeight="1">
      <c r="A71" s="1470" t="s">
        <v>52</v>
      </c>
      <c r="B71" s="1471" t="s">
        <v>41</v>
      </c>
      <c r="C71" s="1810">
        <f>SUM(C54:C70)</f>
        <v>24.933</v>
      </c>
      <c r="D71" s="1810">
        <f>SUM(D54:D70)</f>
        <v>0</v>
      </c>
      <c r="E71" s="1782">
        <f>SUM(E54:E70)</f>
        <v>236.77100000000002</v>
      </c>
      <c r="F71" s="1782">
        <f>SUM(F54:F70)</f>
        <v>2.9000000000000001E-2</v>
      </c>
      <c r="G71" s="1782">
        <f>+E71-F71</f>
        <v>236.74200000000002</v>
      </c>
      <c r="H71" s="2571"/>
      <c r="I71" s="1433"/>
      <c r="J71" s="3267">
        <f>SUM(J54:J70)</f>
        <v>15.411</v>
      </c>
    </row>
    <row r="72" spans="1:16" s="1774" customFormat="1" ht="15">
      <c r="A72" s="1766"/>
      <c r="B72" s="1812"/>
      <c r="C72" s="1806"/>
      <c r="D72" s="1806"/>
      <c r="E72" s="1806"/>
      <c r="F72" s="1806"/>
      <c r="G72" s="1807"/>
      <c r="H72" s="2571"/>
      <c r="I72" s="1433"/>
    </row>
    <row r="73" spans="1:16" s="1774" customFormat="1" ht="15">
      <c r="A73" s="3631" t="s">
        <v>61</v>
      </c>
      <c r="B73" s="3632"/>
      <c r="C73" s="1806"/>
      <c r="D73" s="1806"/>
      <c r="E73" s="1806"/>
      <c r="F73" s="1806"/>
      <c r="G73" s="1807"/>
      <c r="H73" s="2571"/>
      <c r="I73" s="1433"/>
    </row>
    <row r="74" spans="1:16" s="1774" customFormat="1" ht="15">
      <c r="A74" s="1805"/>
      <c r="B74" s="1781"/>
      <c r="C74" s="1806"/>
      <c r="D74" s="1806"/>
      <c r="E74" s="1806"/>
      <c r="F74" s="1807"/>
      <c r="G74" s="1807"/>
      <c r="H74" s="2571"/>
      <c r="I74" s="1433"/>
      <c r="K74" s="1817"/>
    </row>
    <row r="75" spans="1:16" s="1823" customFormat="1" ht="15">
      <c r="A75" s="1470" t="s">
        <v>47</v>
      </c>
      <c r="B75" s="1470" t="s">
        <v>48</v>
      </c>
      <c r="C75" s="1782" t="s">
        <v>49</v>
      </c>
      <c r="D75" s="1782" t="s">
        <v>184</v>
      </c>
      <c r="E75" s="1782" t="s">
        <v>50</v>
      </c>
      <c r="F75" s="1470" t="s">
        <v>20</v>
      </c>
      <c r="G75" s="1470" t="s">
        <v>21</v>
      </c>
      <c r="H75" s="2571" t="s">
        <v>51</v>
      </c>
      <c r="I75" s="1782" t="s">
        <v>23</v>
      </c>
      <c r="J75" s="1393" t="s">
        <v>994</v>
      </c>
    </row>
    <row r="76" spans="1:16" s="1823" customFormat="1" ht="15">
      <c r="A76" s="1476" t="s">
        <v>62</v>
      </c>
      <c r="B76" s="1461" t="s">
        <v>584</v>
      </c>
      <c r="C76" s="1813">
        <v>15.281000000000001</v>
      </c>
      <c r="D76" s="1813"/>
      <c r="E76" s="1813">
        <f>+C76+D76</f>
        <v>15.281000000000001</v>
      </c>
      <c r="F76" s="2105">
        <f>+SUM('RAE Jurel'!B367:B375)</f>
        <v>0</v>
      </c>
      <c r="G76" s="1818">
        <f t="shared" ref="G76:G83" si="14">+E76-F76</f>
        <v>15.281000000000001</v>
      </c>
      <c r="H76" s="2571">
        <f t="shared" ref="H76:H86" si="15">+G76/E76</f>
        <v>1</v>
      </c>
      <c r="I76" s="1820"/>
      <c r="J76" s="1823">
        <v>16.978000000000002</v>
      </c>
      <c r="N76" s="1823">
        <v>15.281000000000001</v>
      </c>
      <c r="O76" s="1823">
        <v>0.80400000000000005</v>
      </c>
      <c r="P76" s="1415">
        <f>SUM(N76:O76)</f>
        <v>16.085000000000001</v>
      </c>
    </row>
    <row r="77" spans="1:16" s="1920" customFormat="1" ht="15">
      <c r="A77" s="1779" t="s">
        <v>594</v>
      </c>
      <c r="B77" s="1461" t="s">
        <v>584</v>
      </c>
      <c r="C77" s="1813">
        <v>71.741</v>
      </c>
      <c r="D77" s="1813"/>
      <c r="E77" s="1813">
        <f t="shared" ref="E77:E86" si="16">+C77+D77</f>
        <v>71.741</v>
      </c>
      <c r="F77" s="2105">
        <f>+SUM('RAE Jurel'!B383:B391)</f>
        <v>59.88</v>
      </c>
      <c r="G77" s="1818">
        <f t="shared" si="14"/>
        <v>11.860999999999997</v>
      </c>
      <c r="H77" s="2571">
        <f t="shared" si="15"/>
        <v>0.16533084289318517</v>
      </c>
      <c r="I77" s="1820"/>
      <c r="J77" s="1920">
        <v>580.947</v>
      </c>
      <c r="K77" s="3230" t="s">
        <v>1127</v>
      </c>
      <c r="N77" s="1920">
        <v>71.741</v>
      </c>
      <c r="O77" s="1920">
        <v>0.65800000000000003</v>
      </c>
      <c r="P77" s="1415">
        <f t="shared" ref="P77:P86" si="17">SUM(N77:O77)</f>
        <v>72.399000000000001</v>
      </c>
    </row>
    <row r="78" spans="1:16" s="1823" customFormat="1" ht="15">
      <c r="A78" s="1779" t="s">
        <v>526</v>
      </c>
      <c r="B78" s="1461" t="s">
        <v>584</v>
      </c>
      <c r="C78" s="2929">
        <v>75.63</v>
      </c>
      <c r="D78" s="1813"/>
      <c r="E78" s="1813">
        <f t="shared" si="16"/>
        <v>75.63</v>
      </c>
      <c r="F78" s="2105">
        <f>+SUM('RAE Jurel'!B399:B407)</f>
        <v>0</v>
      </c>
      <c r="G78" s="1818">
        <f t="shared" si="14"/>
        <v>75.63</v>
      </c>
      <c r="H78" s="2571">
        <f t="shared" si="15"/>
        <v>1</v>
      </c>
      <c r="I78" s="1249"/>
      <c r="J78" s="1823">
        <v>2083.9290000000001</v>
      </c>
      <c r="N78" s="1823">
        <v>75.63</v>
      </c>
      <c r="O78" s="1823">
        <v>98.716999999999999</v>
      </c>
      <c r="P78" s="1415">
        <f t="shared" si="17"/>
        <v>174.34699999999998</v>
      </c>
    </row>
    <row r="79" spans="1:16" s="1920" customFormat="1" ht="15">
      <c r="A79" s="1779" t="s">
        <v>595</v>
      </c>
      <c r="B79" s="1461" t="s">
        <v>584</v>
      </c>
      <c r="C79" s="1813">
        <v>169.70699999999999</v>
      </c>
      <c r="D79" s="3360">
        <v>-156.749</v>
      </c>
      <c r="E79" s="1813">
        <f t="shared" si="16"/>
        <v>12.957999999999998</v>
      </c>
      <c r="F79" s="2105">
        <f>+SUM('RAE Jurel'!B415:B423)</f>
        <v>12.958</v>
      </c>
      <c r="G79" s="1818">
        <f t="shared" si="14"/>
        <v>0</v>
      </c>
      <c r="H79" s="2571">
        <f t="shared" si="15"/>
        <v>0</v>
      </c>
      <c r="I79" s="1249"/>
      <c r="J79" s="1920">
        <v>1410.7149999999999</v>
      </c>
      <c r="N79" s="1920">
        <v>169.70699999999999</v>
      </c>
      <c r="O79" s="1920">
        <v>66.826999999999998</v>
      </c>
      <c r="P79" s="1415">
        <f t="shared" si="17"/>
        <v>236.53399999999999</v>
      </c>
    </row>
    <row r="80" spans="1:16" s="1823" customFormat="1" ht="15">
      <c r="A80" s="1476" t="s">
        <v>63</v>
      </c>
      <c r="B80" s="1461" t="s">
        <v>584</v>
      </c>
      <c r="C80" s="1813">
        <v>7.3999999999999996E-2</v>
      </c>
      <c r="D80" s="1813"/>
      <c r="E80" s="1813">
        <f t="shared" si="16"/>
        <v>7.3999999999999996E-2</v>
      </c>
      <c r="F80" s="2105">
        <f>+SUM('RAE Jurel'!B431:B439)</f>
        <v>0</v>
      </c>
      <c r="G80" s="1818">
        <f t="shared" si="14"/>
        <v>7.3999999999999996E-2</v>
      </c>
      <c r="H80" s="2571">
        <f t="shared" si="15"/>
        <v>1</v>
      </c>
      <c r="I80" s="1821"/>
      <c r="J80" s="1823">
        <v>8.3000000000000004E-2</v>
      </c>
      <c r="N80" s="1823">
        <v>7.3999999999999996E-2</v>
      </c>
      <c r="O80" s="1823">
        <v>4.0000000000000001E-3</v>
      </c>
      <c r="P80" s="1415">
        <f t="shared" si="17"/>
        <v>7.8E-2</v>
      </c>
    </row>
    <row r="81" spans="1:16" s="1823" customFormat="1" ht="15">
      <c r="A81" s="1476" t="s">
        <v>98</v>
      </c>
      <c r="B81" s="1461" t="s">
        <v>584</v>
      </c>
      <c r="C81" s="1813">
        <v>0</v>
      </c>
      <c r="D81" s="1813"/>
      <c r="E81" s="1813">
        <f t="shared" si="16"/>
        <v>0</v>
      </c>
      <c r="F81" s="2105">
        <f>+SUM('RAE Jurel'!B463:B471)</f>
        <v>0</v>
      </c>
      <c r="G81" s="1818">
        <f t="shared" si="14"/>
        <v>0</v>
      </c>
      <c r="H81" s="2571" t="e">
        <f t="shared" si="15"/>
        <v>#DIV/0!</v>
      </c>
      <c r="I81" s="1820"/>
      <c r="J81" s="1823">
        <v>0</v>
      </c>
      <c r="N81" s="1823">
        <v>0</v>
      </c>
      <c r="O81" s="1823">
        <v>0</v>
      </c>
      <c r="P81" s="1415">
        <f t="shared" si="17"/>
        <v>0</v>
      </c>
    </row>
    <row r="82" spans="1:16" s="1823" customFormat="1" ht="15">
      <c r="A82" s="1819" t="s">
        <v>99</v>
      </c>
      <c r="B82" s="1461" t="s">
        <v>584</v>
      </c>
      <c r="C82" s="1813">
        <v>0.19500000000000001</v>
      </c>
      <c r="D82" s="1813"/>
      <c r="E82" s="1813">
        <f t="shared" si="16"/>
        <v>0.19500000000000001</v>
      </c>
      <c r="F82" s="2105">
        <f>+SUM('RAE Jurel'!B495:B503)</f>
        <v>0</v>
      </c>
      <c r="G82" s="1818">
        <f t="shared" si="14"/>
        <v>0.19500000000000001</v>
      </c>
      <c r="H82" s="2571">
        <f t="shared" si="15"/>
        <v>1</v>
      </c>
      <c r="I82" s="1820"/>
      <c r="J82" s="1823">
        <v>0.217</v>
      </c>
      <c r="N82" s="1823">
        <v>0.19500000000000001</v>
      </c>
      <c r="O82" s="1823">
        <v>0.01</v>
      </c>
      <c r="P82" s="1415">
        <f t="shared" si="17"/>
        <v>0.20500000000000002</v>
      </c>
    </row>
    <row r="83" spans="1:16" s="1823" customFormat="1" ht="15">
      <c r="A83" s="1476" t="s">
        <v>64</v>
      </c>
      <c r="B83" s="1461" t="s">
        <v>584</v>
      </c>
      <c r="C83" s="1813">
        <v>36.515000000000001</v>
      </c>
      <c r="D83" s="1813"/>
      <c r="E83" s="1813">
        <f t="shared" si="16"/>
        <v>36.515000000000001</v>
      </c>
      <c r="F83" s="2105">
        <f>+SUM('RAE Jurel'!B447:B455)</f>
        <v>0</v>
      </c>
      <c r="G83" s="1818">
        <f t="shared" si="14"/>
        <v>36.515000000000001</v>
      </c>
      <c r="H83" s="2571">
        <f t="shared" si="15"/>
        <v>1</v>
      </c>
      <c r="I83" s="1821"/>
      <c r="J83" s="1823">
        <v>40.570999999999998</v>
      </c>
      <c r="N83" s="1823">
        <v>36.515000000000001</v>
      </c>
      <c r="O83" s="1823">
        <v>1.9219999999999999</v>
      </c>
      <c r="P83" s="1415">
        <f t="shared" si="17"/>
        <v>38.436999999999998</v>
      </c>
    </row>
    <row r="84" spans="1:16" s="1823" customFormat="1" ht="15">
      <c r="A84" s="1476" t="s">
        <v>100</v>
      </c>
      <c r="B84" s="1461" t="s">
        <v>584</v>
      </c>
      <c r="C84" s="1813">
        <v>0.40799999999999997</v>
      </c>
      <c r="D84" s="1813"/>
      <c r="E84" s="1813">
        <f t="shared" si="16"/>
        <v>0.40799999999999997</v>
      </c>
      <c r="F84" s="2105">
        <f>+SUM('RAE Jurel'!B511:B519)</f>
        <v>0</v>
      </c>
      <c r="G84" s="1818">
        <f t="shared" ref="G84:G86" si="18">+E84-F84</f>
        <v>0.40799999999999997</v>
      </c>
      <c r="H84" s="2571">
        <f t="shared" si="15"/>
        <v>1</v>
      </c>
      <c r="I84" s="1820"/>
      <c r="J84" s="1823">
        <v>0.45300000000000001</v>
      </c>
      <c r="N84" s="1823">
        <v>0.40799999999999997</v>
      </c>
      <c r="O84" s="1823">
        <v>2.1000000000000001E-2</v>
      </c>
      <c r="P84" s="1415">
        <f t="shared" si="17"/>
        <v>0.42899999999999999</v>
      </c>
    </row>
    <row r="85" spans="1:16" s="1823" customFormat="1" ht="15">
      <c r="A85" s="1476" t="s">
        <v>123</v>
      </c>
      <c r="B85" s="1461" t="s">
        <v>584</v>
      </c>
      <c r="C85" s="1813">
        <v>198.69300000000001</v>
      </c>
      <c r="D85" s="1813"/>
      <c r="E85" s="1813">
        <f t="shared" si="16"/>
        <v>198.69300000000001</v>
      </c>
      <c r="F85" s="2105">
        <f>+SUM('RAE Jurel'!B527:B535)</f>
        <v>14</v>
      </c>
      <c r="G85" s="1818">
        <f t="shared" si="18"/>
        <v>184.69300000000001</v>
      </c>
      <c r="H85" s="2571">
        <f t="shared" si="15"/>
        <v>0.92953954089978008</v>
      </c>
      <c r="I85" s="1820"/>
      <c r="J85" s="1823">
        <v>220.75899999999999</v>
      </c>
      <c r="N85" s="1823">
        <v>198.69300000000001</v>
      </c>
      <c r="O85" s="1823">
        <v>10.458</v>
      </c>
      <c r="P85" s="1415">
        <f t="shared" si="17"/>
        <v>209.15100000000001</v>
      </c>
    </row>
    <row r="86" spans="1:16" s="1823" customFormat="1" ht="15">
      <c r="A86" s="1476" t="s">
        <v>60</v>
      </c>
      <c r="B86" s="1461" t="s">
        <v>584</v>
      </c>
      <c r="C86" s="1813">
        <v>51.616999999999997</v>
      </c>
      <c r="D86" s="1813"/>
      <c r="E86" s="1813">
        <f t="shared" si="16"/>
        <v>51.616999999999997</v>
      </c>
      <c r="F86" s="1815">
        <f>+SUM('RAE Jurel'!B479:B487)</f>
        <v>29.46</v>
      </c>
      <c r="G86" s="1818">
        <f t="shared" si="18"/>
        <v>22.156999999999996</v>
      </c>
      <c r="H86" s="2571">
        <f t="shared" si="15"/>
        <v>0.42925780266191366</v>
      </c>
      <c r="I86" s="1820"/>
      <c r="J86" s="1823">
        <v>57.348999999999997</v>
      </c>
      <c r="K86" s="3230" t="s">
        <v>1127</v>
      </c>
      <c r="N86" s="1823">
        <v>51.616999999999997</v>
      </c>
      <c r="O86" s="1823">
        <v>2.7170000000000001</v>
      </c>
      <c r="P86" s="1415">
        <f t="shared" si="17"/>
        <v>54.333999999999996</v>
      </c>
    </row>
    <row r="87" spans="1:16" s="1823" customFormat="1" ht="15">
      <c r="A87" s="1470" t="s">
        <v>52</v>
      </c>
      <c r="B87" s="1791" t="s">
        <v>584</v>
      </c>
      <c r="C87" s="1810">
        <f>SUM(C76:C86)</f>
        <v>619.86099999999999</v>
      </c>
      <c r="D87" s="3361">
        <f>SUM(D76:D86)</f>
        <v>-156.749</v>
      </c>
      <c r="E87" s="1782">
        <f>+C87+G73</f>
        <v>619.86099999999999</v>
      </c>
      <c r="F87" s="1810">
        <f>SUM(F76:F86)</f>
        <v>116.298</v>
      </c>
      <c r="G87" s="1822">
        <f>+E87-F87</f>
        <v>503.56299999999999</v>
      </c>
      <c r="H87" s="2612"/>
      <c r="I87" s="1433"/>
      <c r="J87" s="1823">
        <v>4412.0010000000011</v>
      </c>
      <c r="N87" s="1415">
        <f>SUM(N76:N86)</f>
        <v>619.86099999999999</v>
      </c>
      <c r="O87" s="1415">
        <f>SUM(O76:O86)</f>
        <v>182.13799999999998</v>
      </c>
      <c r="P87" s="1415">
        <f>SUM(P76:P86)</f>
        <v>801.99899999999991</v>
      </c>
    </row>
    <row r="88" spans="1:16" s="1823" customFormat="1" ht="15">
      <c r="A88" s="1805"/>
      <c r="B88" s="1781"/>
      <c r="C88" s="1806"/>
      <c r="D88" s="1806"/>
      <c r="E88" s="1806"/>
      <c r="F88" s="1807"/>
      <c r="G88" s="1807"/>
      <c r="H88" s="2612"/>
      <c r="I88" s="1433"/>
    </row>
    <row r="89" spans="1:16" s="1823" customFormat="1" ht="15">
      <c r="A89" s="1470" t="s">
        <v>47</v>
      </c>
      <c r="B89" s="1470" t="s">
        <v>48</v>
      </c>
      <c r="C89" s="1782" t="s">
        <v>49</v>
      </c>
      <c r="D89" s="1782" t="s">
        <v>184</v>
      </c>
      <c r="E89" s="1782" t="s">
        <v>50</v>
      </c>
      <c r="F89" s="1470" t="s">
        <v>20</v>
      </c>
      <c r="G89" s="1470" t="s">
        <v>21</v>
      </c>
      <c r="H89" s="2571" t="s">
        <v>51</v>
      </c>
      <c r="I89" s="1782" t="s">
        <v>23</v>
      </c>
    </row>
    <row r="90" spans="1:16" s="1823" customFormat="1" ht="15">
      <c r="A90" s="1476" t="s">
        <v>62</v>
      </c>
      <c r="B90" s="1461" t="s">
        <v>41</v>
      </c>
      <c r="C90" s="1813">
        <v>0.80400000000000005</v>
      </c>
      <c r="D90" s="1813"/>
      <c r="E90" s="1813">
        <f>+C90+G76+D90</f>
        <v>16.085000000000001</v>
      </c>
      <c r="F90" s="2105">
        <f>+SUM('RAE Jurel'!B376:B378)</f>
        <v>0</v>
      </c>
      <c r="G90" s="1818">
        <f>+E90-F90</f>
        <v>16.085000000000001</v>
      </c>
      <c r="H90" s="2571">
        <f>+G90/E90</f>
        <v>1</v>
      </c>
      <c r="I90" s="1820"/>
      <c r="J90" s="1823">
        <v>0.89300000000000002</v>
      </c>
      <c r="L90" s="1817">
        <f>+F76+F90</f>
        <v>0</v>
      </c>
    </row>
    <row r="91" spans="1:16" s="1920" customFormat="1" ht="15">
      <c r="A91" s="1779" t="s">
        <v>594</v>
      </c>
      <c r="B91" s="1461" t="s">
        <v>41</v>
      </c>
      <c r="C91" s="1813">
        <v>0.65800000000000003</v>
      </c>
      <c r="D91" s="1813"/>
      <c r="E91" s="1813">
        <f t="shared" ref="E91:E100" si="19">+C91+G77+D91</f>
        <v>12.518999999999997</v>
      </c>
      <c r="F91" s="1815">
        <f>+SUM('RAE Jurel'!B392:B394)</f>
        <v>2.59</v>
      </c>
      <c r="G91" s="1818">
        <f t="shared" ref="G91:G93" si="20">+E91-F91</f>
        <v>9.9289999999999967</v>
      </c>
      <c r="H91" s="2571">
        <f t="shared" ref="H91:H101" si="21">+G91/E91</f>
        <v>0.79311446601166224</v>
      </c>
      <c r="I91" s="1820"/>
      <c r="J91" s="1920">
        <v>30.547999999999998</v>
      </c>
      <c r="L91" s="3436">
        <f t="shared" ref="L91:L100" si="22">+F77+F91</f>
        <v>62.47</v>
      </c>
    </row>
    <row r="92" spans="1:16" s="1823" customFormat="1" ht="15">
      <c r="A92" s="16" t="s">
        <v>526</v>
      </c>
      <c r="B92" s="1461" t="s">
        <v>41</v>
      </c>
      <c r="C92" s="1813">
        <v>98.716999999999999</v>
      </c>
      <c r="D92" s="1813"/>
      <c r="E92" s="1813">
        <f t="shared" si="19"/>
        <v>174.34699999999998</v>
      </c>
      <c r="F92" s="1815">
        <f>+SUM('RAE Jurel'!B408:B410)</f>
        <v>5</v>
      </c>
      <c r="G92" s="1818">
        <f t="shared" si="20"/>
        <v>169.34699999999998</v>
      </c>
      <c r="H92" s="2571">
        <f t="shared" si="21"/>
        <v>0.97132155987771518</v>
      </c>
      <c r="I92" s="1249"/>
      <c r="J92" s="1823">
        <v>109.581</v>
      </c>
      <c r="L92" s="3436">
        <f t="shared" si="22"/>
        <v>5</v>
      </c>
    </row>
    <row r="93" spans="1:16" s="1920" customFormat="1" ht="15">
      <c r="A93" s="1779" t="s">
        <v>595</v>
      </c>
      <c r="B93" s="1461" t="s">
        <v>41</v>
      </c>
      <c r="C93" s="1813">
        <v>66.826999999999998</v>
      </c>
      <c r="D93" s="3360">
        <v>-43.250999999999998</v>
      </c>
      <c r="E93" s="1813">
        <f t="shared" si="19"/>
        <v>23.576000000000001</v>
      </c>
      <c r="F93" s="1815">
        <f>+SUM('RAE Jurel'!B424:B426)</f>
        <v>2</v>
      </c>
      <c r="G93" s="1818">
        <f t="shared" si="20"/>
        <v>21.576000000000001</v>
      </c>
      <c r="H93" s="2571">
        <f t="shared" si="21"/>
        <v>0.91516796742449946</v>
      </c>
      <c r="I93" s="1249"/>
      <c r="J93" s="1920">
        <v>74.180999999999997</v>
      </c>
      <c r="L93" s="3436">
        <f t="shared" si="22"/>
        <v>14.958</v>
      </c>
    </row>
    <row r="94" spans="1:16" s="1823" customFormat="1" ht="15">
      <c r="A94" s="1476" t="s">
        <v>63</v>
      </c>
      <c r="B94" s="1461" t="s">
        <v>41</v>
      </c>
      <c r="C94" s="1813">
        <v>4.0000000000000001E-3</v>
      </c>
      <c r="D94" s="1813"/>
      <c r="E94" s="1813">
        <f t="shared" si="19"/>
        <v>7.8E-2</v>
      </c>
      <c r="F94" s="1815">
        <f>+SUM('RAE Jurel'!B440:B442)</f>
        <v>0</v>
      </c>
      <c r="G94" s="1818">
        <f t="shared" ref="G94:G100" si="23">+E94-F94</f>
        <v>7.8E-2</v>
      </c>
      <c r="H94" s="2571">
        <f t="shared" si="21"/>
        <v>1</v>
      </c>
      <c r="I94" s="1821"/>
      <c r="J94" s="1823">
        <v>4.0000000000000001E-3</v>
      </c>
      <c r="L94" s="1817">
        <f t="shared" si="22"/>
        <v>0</v>
      </c>
    </row>
    <row r="95" spans="1:16" s="1823" customFormat="1" ht="15">
      <c r="A95" s="1476" t="s">
        <v>98</v>
      </c>
      <c r="B95" s="1461" t="s">
        <v>41</v>
      </c>
      <c r="C95" s="1813">
        <v>0</v>
      </c>
      <c r="D95" s="1813"/>
      <c r="E95" s="1813">
        <f t="shared" si="19"/>
        <v>0</v>
      </c>
      <c r="F95" s="1815">
        <f>+SUM('RAE Jurel'!B472:B474)</f>
        <v>0</v>
      </c>
      <c r="G95" s="1818">
        <f t="shared" si="23"/>
        <v>0</v>
      </c>
      <c r="H95" s="2571" t="e">
        <f t="shared" si="21"/>
        <v>#DIV/0!</v>
      </c>
      <c r="I95" s="1820"/>
      <c r="J95" s="1823">
        <v>0</v>
      </c>
      <c r="L95" s="1817">
        <f t="shared" si="22"/>
        <v>0</v>
      </c>
    </row>
    <row r="96" spans="1:16" s="1823" customFormat="1" ht="15">
      <c r="A96" s="1819" t="s">
        <v>99</v>
      </c>
      <c r="B96" s="1461" t="s">
        <v>41</v>
      </c>
      <c r="C96" s="1813">
        <v>0.01</v>
      </c>
      <c r="D96" s="1813"/>
      <c r="E96" s="1813">
        <f t="shared" si="19"/>
        <v>0.20500000000000002</v>
      </c>
      <c r="F96" s="1815">
        <f>+SUM('RAE Jurel'!B504:B506)</f>
        <v>0</v>
      </c>
      <c r="G96" s="1818">
        <f t="shared" si="23"/>
        <v>0.20500000000000002</v>
      </c>
      <c r="H96" s="2571">
        <f t="shared" si="21"/>
        <v>1</v>
      </c>
      <c r="I96" s="1820"/>
      <c r="J96" s="1823">
        <v>1.0999999999999999E-2</v>
      </c>
      <c r="L96" s="1817">
        <f t="shared" si="22"/>
        <v>0</v>
      </c>
    </row>
    <row r="97" spans="1:12" s="1823" customFormat="1" ht="15">
      <c r="A97" s="1476" t="s">
        <v>64</v>
      </c>
      <c r="B97" s="1461" t="s">
        <v>41</v>
      </c>
      <c r="C97" s="1813">
        <v>1.9219999999999999</v>
      </c>
      <c r="D97" s="1813"/>
      <c r="E97" s="1813">
        <f t="shared" si="19"/>
        <v>38.436999999999998</v>
      </c>
      <c r="F97" s="1815">
        <f>+SUM('RAE Jurel'!B456:B458)</f>
        <v>7.3570000000000002</v>
      </c>
      <c r="G97" s="1818">
        <f t="shared" si="23"/>
        <v>31.08</v>
      </c>
      <c r="H97" s="2571">
        <f t="shared" si="21"/>
        <v>0.80859588417410311</v>
      </c>
      <c r="I97" s="1821"/>
      <c r="J97" s="1823">
        <v>2.133</v>
      </c>
      <c r="L97" s="1817">
        <f t="shared" si="22"/>
        <v>7.3570000000000002</v>
      </c>
    </row>
    <row r="98" spans="1:12" s="1823" customFormat="1" ht="15">
      <c r="A98" s="1476" t="s">
        <v>100</v>
      </c>
      <c r="B98" s="1461" t="s">
        <v>41</v>
      </c>
      <c r="C98" s="1813">
        <v>2.1000000000000001E-2</v>
      </c>
      <c r="D98" s="1813"/>
      <c r="E98" s="1813">
        <f t="shared" si="19"/>
        <v>0.42899999999999999</v>
      </c>
      <c r="F98" s="1815">
        <f>+SUM('RAE Jurel'!B520:B522)</f>
        <v>0</v>
      </c>
      <c r="G98" s="1818">
        <f t="shared" si="23"/>
        <v>0.42899999999999999</v>
      </c>
      <c r="H98" s="2571">
        <f t="shared" si="21"/>
        <v>1</v>
      </c>
      <c r="I98" s="1820"/>
      <c r="J98" s="1823">
        <v>2.4E-2</v>
      </c>
      <c r="L98" s="1817">
        <f t="shared" si="22"/>
        <v>0</v>
      </c>
    </row>
    <row r="99" spans="1:12" s="1823" customFormat="1" ht="15">
      <c r="A99" s="1476" t="s">
        <v>123</v>
      </c>
      <c r="B99" s="1461" t="s">
        <v>41</v>
      </c>
      <c r="C99" s="1813">
        <v>10.458</v>
      </c>
      <c r="D99" s="1813"/>
      <c r="E99" s="1813">
        <f t="shared" si="19"/>
        <v>195.15100000000001</v>
      </c>
      <c r="F99" s="1815">
        <f>+SUM('RAE Jurel'!B536:B538)</f>
        <v>210.3</v>
      </c>
      <c r="G99" s="1818">
        <f t="shared" si="23"/>
        <v>-15.149000000000001</v>
      </c>
      <c r="H99" s="2571">
        <f t="shared" si="21"/>
        <v>-7.7627068270211277E-2</v>
      </c>
      <c r="I99" s="1820"/>
      <c r="J99" s="1823">
        <v>11.608000000000001</v>
      </c>
      <c r="L99" s="1817">
        <f t="shared" si="22"/>
        <v>224.3</v>
      </c>
    </row>
    <row r="100" spans="1:12" s="1823" customFormat="1" ht="15">
      <c r="A100" s="1476" t="s">
        <v>60</v>
      </c>
      <c r="B100" s="1461" t="s">
        <v>41</v>
      </c>
      <c r="C100" s="1813">
        <v>2.7170000000000001</v>
      </c>
      <c r="D100" s="1813"/>
      <c r="E100" s="1813">
        <f t="shared" si="19"/>
        <v>24.873999999999995</v>
      </c>
      <c r="F100" s="1815">
        <f>+SUM('RAE Jurel'!B488:B490)</f>
        <v>6.3</v>
      </c>
      <c r="G100" s="1818">
        <f t="shared" si="23"/>
        <v>18.573999999999995</v>
      </c>
      <c r="H100" s="2571">
        <f t="shared" si="21"/>
        <v>0.74672348637131136</v>
      </c>
      <c r="I100" s="1820"/>
      <c r="J100" s="1823">
        <v>3.016</v>
      </c>
      <c r="L100" s="1817">
        <f t="shared" si="22"/>
        <v>35.76</v>
      </c>
    </row>
    <row r="101" spans="1:12" s="1823" customFormat="1" ht="15">
      <c r="A101" s="1470" t="s">
        <v>52</v>
      </c>
      <c r="B101" s="1471" t="s">
        <v>41</v>
      </c>
      <c r="C101" s="1810">
        <f>SUM(C90:C100)</f>
        <v>182.13799999999998</v>
      </c>
      <c r="D101" s="3361">
        <f>SUM(D90:D100)</f>
        <v>-43.250999999999998</v>
      </c>
      <c r="E101" s="1782">
        <f>SUM(E90:E100)</f>
        <v>485.70099999999991</v>
      </c>
      <c r="F101" s="1810">
        <f>SUM(F90:F100)</f>
        <v>233.54700000000003</v>
      </c>
      <c r="G101" s="1822">
        <f>+E101-F101</f>
        <v>252.15399999999988</v>
      </c>
      <c r="H101" s="1816">
        <f t="shared" si="21"/>
        <v>0.51915478864568931</v>
      </c>
      <c r="I101" s="1433"/>
      <c r="J101" s="1823">
        <v>231.99899999999997</v>
      </c>
      <c r="L101" s="1817">
        <f>SUM(L90:L100)</f>
        <v>349.84500000000003</v>
      </c>
    </row>
    <row r="102" spans="1:12" ht="15">
      <c r="A102" s="22"/>
      <c r="B102" s="8"/>
      <c r="C102" s="40"/>
      <c r="D102" s="40"/>
      <c r="E102" s="40"/>
      <c r="F102" s="41"/>
      <c r="G102" s="41">
        <f>SUM(G90:G100)</f>
        <v>252.154</v>
      </c>
      <c r="H102" s="42"/>
      <c r="I102" s="1"/>
    </row>
    <row r="103" spans="1:12">
      <c r="C103" s="227"/>
      <c r="D103" s="227"/>
    </row>
  </sheetData>
  <mergeCells count="5">
    <mergeCell ref="A2:I2"/>
    <mergeCell ref="A18:B18"/>
    <mergeCell ref="A32:B32"/>
    <mergeCell ref="A73:B73"/>
    <mergeCell ref="A4:B4"/>
  </mergeCells>
  <phoneticPr fontId="0" type="noConversion"/>
  <conditionalFormatting sqref="H7:H100">
    <cfRule type="cellIs" dxfId="27" priority="25" stopIfTrue="1" operator="lessThan">
      <formula>0</formula>
    </cfRule>
    <cfRule type="cellIs" dxfId="26" priority="26" stopIfTrue="1" operator="lessThan">
      <formula>0</formula>
    </cfRule>
  </conditionalFormatting>
  <conditionalFormatting sqref="H7:H100">
    <cfRule type="cellIs" dxfId="25" priority="24" stopIfTrue="1" operator="lessThan">
      <formula>0.05</formula>
    </cfRule>
  </conditionalFormatting>
  <conditionalFormatting sqref="H7:H100">
    <cfRule type="cellIs" dxfId="24" priority="23" operator="lessThan">
      <formula>0.5</formula>
    </cfRule>
  </conditionalFormatting>
  <conditionalFormatting sqref="H7:H100">
    <cfRule type="cellIs" dxfId="23" priority="21" operator="lessThan">
      <formula>0.2</formula>
    </cfRule>
    <cfRule type="cellIs" dxfId="22" priority="22" operator="lessThan">
      <formula>0.5</formula>
    </cfRule>
  </conditionalFormatting>
  <conditionalFormatting sqref="H7:H100">
    <cfRule type="cellIs" dxfId="21" priority="18" operator="lessThan">
      <formula>0.1</formula>
    </cfRule>
    <cfRule type="cellIs" dxfId="20" priority="19" operator="lessThan">
      <formula>0.2</formula>
    </cfRule>
    <cfRule type="cellIs" dxfId="19" priority="20" operator="lessThan">
      <formula>0.5</formula>
    </cfRule>
  </conditionalFormatting>
  <conditionalFormatting sqref="H7:H100">
    <cfRule type="cellIs" dxfId="18" priority="14" operator="lessThan">
      <formula>0.05</formula>
    </cfRule>
    <cfRule type="cellIs" dxfId="17" priority="15" operator="lessThan">
      <formula>0.1</formula>
    </cfRule>
    <cfRule type="cellIs" dxfId="16" priority="16" operator="lessThan">
      <formula>0.2</formula>
    </cfRule>
    <cfRule type="cellIs" dxfId="15" priority="17" operator="lessThan">
      <formula>0.5</formula>
    </cfRule>
  </conditionalFormatting>
  <pageMargins left="0.75" right="0.75" top="1" bottom="1" header="0" footer="0"/>
  <pageSetup paperSize="5" orientation="portrait" r:id="rId1"/>
  <headerFooter alignWithMargins="0"/>
  <legacyDrawing r:id="rId2"/>
</worksheet>
</file>

<file path=xl/worksheets/sheet11.xml><?xml version="1.0" encoding="utf-8"?>
<worksheet xmlns="http://schemas.openxmlformats.org/spreadsheetml/2006/main" xmlns:r="http://schemas.openxmlformats.org/officeDocument/2006/relationships">
  <sheetPr>
    <tabColor theme="6" tint="-0.249977111117893"/>
  </sheetPr>
  <dimension ref="A2:AK539"/>
  <sheetViews>
    <sheetView workbookViewId="0"/>
  </sheetViews>
  <sheetFormatPr baseColWidth="10" defaultRowHeight="15" customHeight="1"/>
  <cols>
    <col min="1" max="1" width="11.42578125" style="82"/>
    <col min="2" max="2" width="13.28515625" style="85" customWidth="1"/>
    <col min="3" max="33" width="8" style="82" customWidth="1"/>
    <col min="34" max="34" width="8.140625" style="82" bestFit="1" customWidth="1"/>
    <col min="35" max="16384" width="11.42578125" style="82"/>
  </cols>
  <sheetData>
    <row r="2" spans="1:34" ht="15" customHeight="1">
      <c r="A2" s="3569" t="s">
        <v>568</v>
      </c>
      <c r="B2" s="3570"/>
      <c r="C2" s="3570"/>
      <c r="D2" s="3570"/>
      <c r="E2" s="3570"/>
      <c r="F2" s="3570"/>
      <c r="G2" s="3570"/>
      <c r="H2" s="3570"/>
      <c r="I2" s="3570"/>
      <c r="J2" s="3570"/>
      <c r="K2" s="3570"/>
      <c r="L2" s="3570"/>
      <c r="M2" s="3570"/>
      <c r="N2" s="3570"/>
      <c r="O2" s="3570"/>
      <c r="P2" s="3570"/>
      <c r="Q2" s="3570"/>
      <c r="R2" s="3570"/>
      <c r="S2" s="3570"/>
      <c r="T2" s="3571"/>
      <c r="U2" s="11"/>
      <c r="V2" s="11"/>
      <c r="W2" s="11"/>
      <c r="X2" s="11"/>
      <c r="Y2" s="11"/>
      <c r="Z2" s="11"/>
      <c r="AA2" s="11"/>
      <c r="AB2" s="11"/>
      <c r="AC2" s="11"/>
      <c r="AD2" s="11"/>
      <c r="AE2" s="11"/>
      <c r="AF2" s="11"/>
      <c r="AG2" s="11"/>
      <c r="AH2" s="1"/>
    </row>
    <row r="3" spans="1:34" ht="15" customHeight="1">
      <c r="A3" s="135"/>
      <c r="B3" s="135"/>
      <c r="C3" s="135"/>
      <c r="D3" s="135"/>
      <c r="E3" s="135"/>
      <c r="F3" s="135"/>
      <c r="G3" s="135"/>
      <c r="H3" s="135"/>
      <c r="I3" s="135"/>
      <c r="K3" s="135"/>
      <c r="L3" s="135"/>
      <c r="M3" s="135"/>
      <c r="N3" s="135"/>
      <c r="O3" s="135"/>
      <c r="P3" s="135"/>
      <c r="Q3" s="135"/>
      <c r="R3" s="135"/>
      <c r="S3" s="135"/>
      <c r="T3" s="135"/>
      <c r="U3" s="11"/>
      <c r="V3" s="11"/>
      <c r="W3" s="11"/>
      <c r="X3" s="11"/>
      <c r="Y3" s="11"/>
      <c r="Z3" s="11"/>
      <c r="AA3" s="11"/>
      <c r="AB3" s="11"/>
      <c r="AC3" s="11"/>
      <c r="AD3" s="11"/>
      <c r="AE3" s="11"/>
      <c r="AF3" s="11"/>
      <c r="AG3" s="11"/>
      <c r="AH3" s="1"/>
    </row>
    <row r="4" spans="1:34" ht="15" customHeight="1">
      <c r="A4" s="135"/>
      <c r="B4" s="135"/>
      <c r="C4" s="135"/>
      <c r="D4" s="135"/>
      <c r="E4" s="135"/>
      <c r="F4" s="135"/>
      <c r="G4" s="135"/>
      <c r="H4" s="135"/>
      <c r="I4" s="135"/>
      <c r="J4" s="135"/>
      <c r="K4" s="135"/>
      <c r="L4" s="135"/>
      <c r="M4" s="135"/>
      <c r="N4" s="135"/>
      <c r="O4" s="135"/>
      <c r="P4" s="135"/>
      <c r="Q4" s="135"/>
      <c r="R4" s="135"/>
      <c r="S4" s="135"/>
      <c r="T4" s="135"/>
      <c r="U4" s="3633"/>
      <c r="V4" s="3633"/>
      <c r="W4" s="3633"/>
      <c r="X4" s="3633"/>
      <c r="Y4" s="3633"/>
      <c r="Z4" s="3633"/>
      <c r="AA4" s="3633"/>
      <c r="AB4" s="3633"/>
      <c r="AC4" s="11"/>
      <c r="AD4" s="11"/>
      <c r="AE4" s="11"/>
      <c r="AF4" s="11"/>
      <c r="AG4" s="11"/>
      <c r="AH4" s="1"/>
    </row>
    <row r="5" spans="1:34" ht="15" customHeight="1">
      <c r="A5" s="3591" t="s">
        <v>121</v>
      </c>
      <c r="B5" s="3592"/>
      <c r="C5" s="3592"/>
      <c r="D5" s="3592"/>
      <c r="E5" s="3592"/>
      <c r="F5" s="3592"/>
      <c r="G5" s="3592"/>
      <c r="H5" s="3592"/>
      <c r="I5" s="3592"/>
      <c r="J5" s="3592"/>
      <c r="K5" s="3592"/>
      <c r="L5" s="3592"/>
      <c r="M5" s="3592"/>
      <c r="N5" s="3592"/>
      <c r="O5" s="3592"/>
      <c r="P5" s="3592"/>
      <c r="Q5" s="3592"/>
      <c r="R5" s="3593"/>
      <c r="S5" s="135"/>
      <c r="T5" s="135"/>
      <c r="U5" s="11"/>
      <c r="V5" s="11"/>
      <c r="W5" s="11"/>
      <c r="X5" s="11"/>
      <c r="Y5" s="11"/>
      <c r="Z5" s="11"/>
      <c r="AA5" s="11"/>
      <c r="AB5" s="11"/>
      <c r="AC5" s="11"/>
      <c r="AD5" s="11"/>
      <c r="AE5" s="11"/>
      <c r="AF5" s="11"/>
      <c r="AG5" s="11"/>
      <c r="AH5" s="1"/>
    </row>
    <row r="6" spans="1:34" ht="5.25" customHeight="1">
      <c r="A6" s="136"/>
      <c r="B6" s="137"/>
      <c r="C6" s="137"/>
      <c r="D6" s="137"/>
      <c r="E6" s="137"/>
      <c r="F6" s="137"/>
      <c r="G6" s="137"/>
      <c r="H6" s="137"/>
      <c r="I6" s="135"/>
      <c r="J6" s="135"/>
      <c r="K6" s="135"/>
      <c r="L6" s="135"/>
      <c r="M6" s="135"/>
      <c r="N6" s="135"/>
      <c r="O6" s="135"/>
      <c r="P6" s="135"/>
      <c r="Q6" s="135"/>
      <c r="R6" s="135"/>
      <c r="S6" s="135"/>
      <c r="T6" s="135"/>
      <c r="U6" s="11"/>
      <c r="V6" s="11"/>
      <c r="W6" s="11"/>
      <c r="X6" s="11"/>
      <c r="Y6" s="11"/>
      <c r="Z6" s="11"/>
      <c r="AA6" s="11"/>
      <c r="AB6" s="11"/>
      <c r="AC6" s="11"/>
      <c r="AD6" s="11"/>
      <c r="AE6" s="11"/>
      <c r="AF6" s="11"/>
      <c r="AG6" s="11"/>
      <c r="AH6" s="1"/>
    </row>
    <row r="7" spans="1:34" ht="15" customHeight="1">
      <c r="A7" s="3637" t="s">
        <v>120</v>
      </c>
      <c r="B7" s="3638"/>
      <c r="C7" s="3638"/>
      <c r="D7" s="3638"/>
      <c r="E7" s="3638"/>
      <c r="F7" s="3638"/>
      <c r="G7" s="3638"/>
      <c r="H7" s="3639"/>
      <c r="I7" s="11"/>
      <c r="K7" s="11"/>
      <c r="L7" s="11"/>
      <c r="M7" s="11"/>
      <c r="N7" s="11"/>
      <c r="O7" s="11"/>
      <c r="P7" s="11"/>
      <c r="Q7" s="11"/>
      <c r="R7" s="11"/>
      <c r="S7" s="11"/>
      <c r="T7" s="11"/>
      <c r="U7" s="11"/>
      <c r="V7" s="11"/>
      <c r="W7" s="11"/>
      <c r="X7" s="11"/>
      <c r="Y7" s="11"/>
      <c r="Z7" s="11"/>
      <c r="AA7" s="11"/>
      <c r="AB7" s="11"/>
      <c r="AC7" s="11"/>
      <c r="AD7" s="11"/>
      <c r="AE7" s="11"/>
      <c r="AF7" s="11"/>
      <c r="AG7" s="11"/>
      <c r="AH7" s="11"/>
    </row>
    <row r="8" spans="1:34" ht="15" customHeight="1">
      <c r="A8" s="5" t="s">
        <v>72</v>
      </c>
      <c r="B8" s="5" t="s">
        <v>73</v>
      </c>
      <c r="C8" s="1249">
        <v>1</v>
      </c>
      <c r="D8" s="30">
        <v>2</v>
      </c>
      <c r="E8" s="30">
        <v>3</v>
      </c>
      <c r="F8" s="30">
        <v>4</v>
      </c>
      <c r="G8" s="30">
        <v>5</v>
      </c>
      <c r="H8" s="30">
        <v>6</v>
      </c>
      <c r="I8" s="30">
        <v>7</v>
      </c>
      <c r="J8" s="30">
        <v>8</v>
      </c>
      <c r="K8" s="30">
        <v>9</v>
      </c>
      <c r="L8" s="30">
        <v>10</v>
      </c>
      <c r="M8" s="30">
        <v>11</v>
      </c>
      <c r="N8" s="30">
        <v>12</v>
      </c>
      <c r="O8" s="30">
        <v>13</v>
      </c>
      <c r="P8" s="30">
        <v>14</v>
      </c>
      <c r="Q8" s="30">
        <v>15</v>
      </c>
      <c r="R8" s="30">
        <v>16</v>
      </c>
      <c r="S8" s="30">
        <v>17</v>
      </c>
      <c r="T8" s="30">
        <v>18</v>
      </c>
      <c r="U8" s="30">
        <v>19</v>
      </c>
      <c r="V8" s="30">
        <v>20</v>
      </c>
      <c r="W8" s="30">
        <v>21</v>
      </c>
      <c r="X8" s="30">
        <v>22</v>
      </c>
      <c r="Y8" s="30">
        <v>23</v>
      </c>
      <c r="Z8" s="30">
        <v>24</v>
      </c>
      <c r="AA8" s="30">
        <v>25</v>
      </c>
      <c r="AB8" s="30">
        <v>26</v>
      </c>
      <c r="AC8" s="30">
        <v>27</v>
      </c>
      <c r="AD8" s="30">
        <v>28</v>
      </c>
      <c r="AE8" s="30">
        <v>29</v>
      </c>
      <c r="AF8" s="30">
        <v>30</v>
      </c>
      <c r="AG8" s="30">
        <v>31</v>
      </c>
      <c r="AH8" s="39" t="s">
        <v>74</v>
      </c>
    </row>
    <row r="9" spans="1:34" s="84" customFormat="1" ht="15" customHeight="1">
      <c r="A9" s="1831" t="s">
        <v>75</v>
      </c>
      <c r="B9" s="18">
        <f>+AH9</f>
        <v>3.8840000000000003</v>
      </c>
      <c r="C9" s="263">
        <v>0</v>
      </c>
      <c r="D9" s="154">
        <v>0</v>
      </c>
      <c r="E9" s="154">
        <v>0.55000000000000004</v>
      </c>
      <c r="F9" s="154">
        <v>0.1</v>
      </c>
      <c r="G9" s="154">
        <v>0.04</v>
      </c>
      <c r="H9" s="154">
        <v>0</v>
      </c>
      <c r="I9" s="202">
        <v>0</v>
      </c>
      <c r="J9" s="202">
        <v>0.28500000000000003</v>
      </c>
      <c r="K9" s="202">
        <v>0.14000000000000001</v>
      </c>
      <c r="L9" s="202">
        <v>0.35</v>
      </c>
      <c r="M9" s="154">
        <v>0.03</v>
      </c>
      <c r="N9" s="154">
        <v>0.16999999999999998</v>
      </c>
      <c r="O9" s="154">
        <v>2.5000000000000001E-2</v>
      </c>
      <c r="P9" s="154">
        <v>0.15</v>
      </c>
      <c r="Q9" s="154">
        <v>0.16</v>
      </c>
      <c r="R9" s="154">
        <v>0.22</v>
      </c>
      <c r="S9" s="154">
        <v>0.15</v>
      </c>
      <c r="T9" s="154">
        <v>0.08</v>
      </c>
      <c r="U9" s="154">
        <v>0.06</v>
      </c>
      <c r="V9" s="154">
        <v>0.03</v>
      </c>
      <c r="W9" s="264">
        <v>0.1</v>
      </c>
      <c r="X9" s="154">
        <v>0.45300000000000001</v>
      </c>
      <c r="Y9" s="154">
        <v>0.49299999999999999</v>
      </c>
      <c r="Z9" s="154">
        <v>4.8000000000000001E-2</v>
      </c>
      <c r="AA9" s="154">
        <v>9.5000000000000001E-2</v>
      </c>
      <c r="AB9" s="154">
        <v>0.08</v>
      </c>
      <c r="AC9" s="154">
        <v>0</v>
      </c>
      <c r="AD9" s="154">
        <v>0</v>
      </c>
      <c r="AE9" s="154">
        <v>0</v>
      </c>
      <c r="AF9" s="154">
        <v>0</v>
      </c>
      <c r="AG9" s="154">
        <v>7.4999999999999997E-2</v>
      </c>
      <c r="AH9" s="18">
        <f>SUM(C9:AG9)</f>
        <v>3.8840000000000003</v>
      </c>
    </row>
    <row r="10" spans="1:34" ht="15" customHeight="1">
      <c r="A10" s="1831" t="s">
        <v>76</v>
      </c>
      <c r="B10" s="18">
        <f>+AH10</f>
        <v>15.34</v>
      </c>
      <c r="C10" s="112">
        <v>0</v>
      </c>
      <c r="D10" s="112">
        <v>0.09</v>
      </c>
      <c r="E10" s="112">
        <v>0</v>
      </c>
      <c r="F10" s="112">
        <v>0</v>
      </c>
      <c r="G10" s="112">
        <v>0.35</v>
      </c>
      <c r="H10" s="112">
        <v>0.2</v>
      </c>
      <c r="I10" s="112">
        <v>0</v>
      </c>
      <c r="J10" s="112">
        <v>4.4999999999999998E-2</v>
      </c>
      <c r="K10" s="112">
        <v>4.74</v>
      </c>
      <c r="L10" s="112">
        <v>0</v>
      </c>
      <c r="M10" s="112">
        <v>0</v>
      </c>
      <c r="N10" s="112">
        <v>0.3</v>
      </c>
      <c r="O10" s="112">
        <v>0</v>
      </c>
      <c r="P10" s="112">
        <v>0.25</v>
      </c>
      <c r="Q10" s="112">
        <v>0.33999999999999997</v>
      </c>
      <c r="R10" s="112">
        <v>0.33</v>
      </c>
      <c r="S10" s="112">
        <v>0</v>
      </c>
      <c r="T10" s="112">
        <v>0.4</v>
      </c>
      <c r="U10" s="112">
        <v>0.03</v>
      </c>
      <c r="V10" s="112">
        <v>0.11</v>
      </c>
      <c r="W10" s="112">
        <v>4.6199999999999992</v>
      </c>
      <c r="X10" s="112">
        <v>0.05</v>
      </c>
      <c r="Y10" s="112">
        <v>5.5E-2</v>
      </c>
      <c r="Z10" s="112">
        <v>0</v>
      </c>
      <c r="AA10" s="112">
        <v>0</v>
      </c>
      <c r="AB10" s="112">
        <v>3.4</v>
      </c>
      <c r="AC10" s="112">
        <v>0</v>
      </c>
      <c r="AD10" s="112">
        <v>0.03</v>
      </c>
      <c r="AE10" s="112"/>
      <c r="AF10" s="112"/>
      <c r="AG10" s="112"/>
      <c r="AH10" s="18">
        <f t="shared" ref="AH10:AH21" si="0">SUM(C10:AG10)</f>
        <v>15.34</v>
      </c>
    </row>
    <row r="11" spans="1:34" s="84" customFormat="1" ht="15" customHeight="1">
      <c r="A11" s="1831" t="s">
        <v>77</v>
      </c>
      <c r="B11" s="18">
        <f t="shared" ref="B11:B20" si="1">+AH11</f>
        <v>39.799999999999997</v>
      </c>
      <c r="C11" s="202">
        <v>1.8</v>
      </c>
      <c r="D11" s="154">
        <v>0</v>
      </c>
      <c r="E11" s="216">
        <v>0</v>
      </c>
      <c r="F11" s="216">
        <v>0</v>
      </c>
      <c r="G11" s="216">
        <v>1.84</v>
      </c>
      <c r="H11" s="216">
        <v>5.26</v>
      </c>
      <c r="I11" s="216">
        <v>2.4</v>
      </c>
      <c r="J11" s="216">
        <v>0.47</v>
      </c>
      <c r="K11" s="216">
        <v>0</v>
      </c>
      <c r="L11" s="216">
        <v>0</v>
      </c>
      <c r="M11" s="216">
        <v>0</v>
      </c>
      <c r="N11" s="216">
        <v>0</v>
      </c>
      <c r="O11" s="216">
        <v>0</v>
      </c>
      <c r="P11" s="216">
        <v>25.505000000000003</v>
      </c>
      <c r="Q11" s="216">
        <v>0</v>
      </c>
      <c r="R11" s="216">
        <v>1.8</v>
      </c>
      <c r="S11" s="216">
        <v>0</v>
      </c>
      <c r="T11" s="216">
        <v>0.01</v>
      </c>
      <c r="U11" s="216">
        <v>0.03</v>
      </c>
      <c r="V11" s="216">
        <v>0.01</v>
      </c>
      <c r="W11" s="216">
        <v>1.4999999999999999E-2</v>
      </c>
      <c r="X11" s="216">
        <v>0</v>
      </c>
      <c r="Y11" s="216">
        <v>0.26</v>
      </c>
      <c r="Z11" s="216">
        <v>0.12</v>
      </c>
      <c r="AA11" s="216">
        <v>0</v>
      </c>
      <c r="AB11" s="216">
        <v>0.27</v>
      </c>
      <c r="AC11" s="216">
        <v>0</v>
      </c>
      <c r="AD11" s="216">
        <v>0.01</v>
      </c>
      <c r="AE11" s="216">
        <v>0</v>
      </c>
      <c r="AF11" s="216">
        <v>0</v>
      </c>
      <c r="AG11" s="216">
        <v>0</v>
      </c>
      <c r="AH11" s="18">
        <f t="shared" si="0"/>
        <v>39.799999999999997</v>
      </c>
    </row>
    <row r="12" spans="1:34" s="84" customFormat="1" ht="15" customHeight="1">
      <c r="A12" s="1831" t="s">
        <v>78</v>
      </c>
      <c r="B12" s="18">
        <f t="shared" si="1"/>
        <v>6.6499999999999995</v>
      </c>
      <c r="C12" s="261">
        <v>0</v>
      </c>
      <c r="D12" s="111">
        <v>0</v>
      </c>
      <c r="E12" s="262">
        <v>0</v>
      </c>
      <c r="F12" s="262">
        <v>1.9</v>
      </c>
      <c r="G12" s="262">
        <v>0</v>
      </c>
      <c r="H12" s="262">
        <v>2.1</v>
      </c>
      <c r="I12" s="262">
        <v>1.9</v>
      </c>
      <c r="J12" s="262">
        <v>0.1</v>
      </c>
      <c r="K12" s="262">
        <v>0</v>
      </c>
      <c r="L12" s="262">
        <v>0</v>
      </c>
      <c r="M12" s="262">
        <v>0</v>
      </c>
      <c r="N12" s="262">
        <v>0</v>
      </c>
      <c r="O12" s="262">
        <v>0</v>
      </c>
      <c r="P12" s="262">
        <v>0</v>
      </c>
      <c r="Q12" s="262">
        <v>0</v>
      </c>
      <c r="R12" s="262">
        <v>0.3</v>
      </c>
      <c r="S12" s="262">
        <v>0</v>
      </c>
      <c r="T12" s="262">
        <v>0.25</v>
      </c>
      <c r="U12" s="262">
        <v>0</v>
      </c>
      <c r="V12" s="262">
        <v>0</v>
      </c>
      <c r="W12" s="262">
        <v>0</v>
      </c>
      <c r="X12" s="262">
        <v>0</v>
      </c>
      <c r="Y12" s="262">
        <v>0</v>
      </c>
      <c r="Z12" s="262">
        <v>0.1</v>
      </c>
      <c r="AA12" s="262">
        <v>0</v>
      </c>
      <c r="AB12" s="262">
        <v>0</v>
      </c>
      <c r="AC12" s="262">
        <v>0</v>
      </c>
      <c r="AD12" s="262">
        <v>0</v>
      </c>
      <c r="AE12" s="262">
        <v>0</v>
      </c>
      <c r="AF12" s="262">
        <v>0</v>
      </c>
      <c r="AG12" s="262"/>
      <c r="AH12" s="18">
        <f t="shared" si="0"/>
        <v>6.6499999999999995</v>
      </c>
    </row>
    <row r="13" spans="1:34" ht="15" customHeight="1">
      <c r="A13" s="1831" t="s">
        <v>79</v>
      </c>
      <c r="B13" s="18">
        <f t="shared" si="1"/>
        <v>1.9000000000000001</v>
      </c>
      <c r="C13" s="124">
        <v>0</v>
      </c>
      <c r="D13" s="124">
        <v>0</v>
      </c>
      <c r="E13" s="124">
        <v>0</v>
      </c>
      <c r="F13" s="124">
        <v>0</v>
      </c>
      <c r="G13" s="124">
        <v>0</v>
      </c>
      <c r="H13" s="124">
        <v>0.1</v>
      </c>
      <c r="I13" s="124">
        <v>0</v>
      </c>
      <c r="J13" s="124">
        <v>0.15</v>
      </c>
      <c r="K13" s="124">
        <v>0</v>
      </c>
      <c r="L13" s="124">
        <v>0.12</v>
      </c>
      <c r="M13" s="124">
        <v>0.24000000000000002</v>
      </c>
      <c r="N13" s="124">
        <v>0</v>
      </c>
      <c r="O13" s="124">
        <v>0.03</v>
      </c>
      <c r="P13" s="124">
        <v>4.4999999999999998E-2</v>
      </c>
      <c r="Q13" s="124">
        <v>0.04</v>
      </c>
      <c r="R13" s="124">
        <v>0.105</v>
      </c>
      <c r="S13" s="124">
        <v>0</v>
      </c>
      <c r="T13" s="124">
        <v>0.09</v>
      </c>
      <c r="U13" s="124">
        <v>0.04</v>
      </c>
      <c r="V13" s="124">
        <v>0</v>
      </c>
      <c r="W13" s="124">
        <v>0.03</v>
      </c>
      <c r="X13" s="124">
        <v>0</v>
      </c>
      <c r="Y13" s="124">
        <v>0</v>
      </c>
      <c r="Z13" s="124">
        <v>0</v>
      </c>
      <c r="AA13" s="124">
        <v>0.1</v>
      </c>
      <c r="AB13" s="124">
        <v>0.1</v>
      </c>
      <c r="AC13" s="124">
        <v>0</v>
      </c>
      <c r="AD13" s="124">
        <v>0</v>
      </c>
      <c r="AE13" s="124">
        <v>0.12</v>
      </c>
      <c r="AF13" s="124">
        <v>0.49</v>
      </c>
      <c r="AG13" s="124">
        <v>0.1</v>
      </c>
      <c r="AH13" s="18">
        <f t="shared" si="0"/>
        <v>1.9000000000000001</v>
      </c>
    </row>
    <row r="14" spans="1:34" ht="15" customHeight="1">
      <c r="A14" s="1831" t="s">
        <v>80</v>
      </c>
      <c r="B14" s="18">
        <f t="shared" si="1"/>
        <v>4.0100000000000007</v>
      </c>
      <c r="C14" s="124">
        <v>0</v>
      </c>
      <c r="D14" s="124">
        <v>0.35</v>
      </c>
      <c r="E14" s="124">
        <v>0</v>
      </c>
      <c r="F14" s="124">
        <v>0.3</v>
      </c>
      <c r="G14" s="124">
        <v>0</v>
      </c>
      <c r="H14" s="124">
        <v>0.4</v>
      </c>
      <c r="I14" s="124">
        <v>0.35</v>
      </c>
      <c r="J14" s="124">
        <v>0.1</v>
      </c>
      <c r="K14" s="124">
        <v>0.12</v>
      </c>
      <c r="L14" s="124">
        <v>0</v>
      </c>
      <c r="M14" s="124">
        <v>0</v>
      </c>
      <c r="N14" s="124">
        <v>0</v>
      </c>
      <c r="O14" s="124">
        <v>0.05</v>
      </c>
      <c r="P14" s="124">
        <v>0.36</v>
      </c>
      <c r="Q14" s="124">
        <v>0.53500000000000003</v>
      </c>
      <c r="R14" s="124">
        <v>0.1</v>
      </c>
      <c r="S14" s="124">
        <v>0</v>
      </c>
      <c r="T14" s="124">
        <v>0.25</v>
      </c>
      <c r="U14" s="124">
        <v>0.3</v>
      </c>
      <c r="V14" s="124">
        <v>0</v>
      </c>
      <c r="W14" s="124">
        <v>0</v>
      </c>
      <c r="X14" s="124">
        <v>0</v>
      </c>
      <c r="Y14" s="124">
        <v>0.2</v>
      </c>
      <c r="Z14" s="124">
        <v>0</v>
      </c>
      <c r="AA14" s="124">
        <v>0</v>
      </c>
      <c r="AB14" s="124">
        <v>0.12</v>
      </c>
      <c r="AC14" s="124">
        <v>0.35</v>
      </c>
      <c r="AD14" s="124">
        <v>0.125</v>
      </c>
      <c r="AE14" s="124">
        <v>0</v>
      </c>
      <c r="AF14" s="124">
        <v>0</v>
      </c>
      <c r="AG14" s="124"/>
      <c r="AH14" s="18">
        <f t="shared" si="0"/>
        <v>4.0100000000000007</v>
      </c>
    </row>
    <row r="15" spans="1:34" ht="15" customHeight="1">
      <c r="A15" s="1831" t="s">
        <v>81</v>
      </c>
      <c r="B15" s="18">
        <f t="shared" si="1"/>
        <v>13.007</v>
      </c>
      <c r="C15" s="124">
        <v>0</v>
      </c>
      <c r="D15" s="124">
        <v>0.2</v>
      </c>
      <c r="E15" s="124">
        <v>0</v>
      </c>
      <c r="F15" s="124">
        <v>0.2</v>
      </c>
      <c r="G15" s="124">
        <v>0</v>
      </c>
      <c r="H15" s="124">
        <v>0.2</v>
      </c>
      <c r="I15" s="124">
        <v>0</v>
      </c>
      <c r="J15" s="124">
        <v>0.3</v>
      </c>
      <c r="K15" s="124">
        <v>0</v>
      </c>
      <c r="L15" s="124">
        <v>0.2</v>
      </c>
      <c r="M15" s="124">
        <v>0</v>
      </c>
      <c r="N15" s="124">
        <v>0.3</v>
      </c>
      <c r="O15" s="124">
        <v>0</v>
      </c>
      <c r="P15" s="124">
        <v>0.3</v>
      </c>
      <c r="Q15" s="124">
        <v>0</v>
      </c>
      <c r="R15" s="124">
        <v>0.3</v>
      </c>
      <c r="S15" s="124">
        <v>0</v>
      </c>
      <c r="T15" s="124">
        <v>0.2</v>
      </c>
      <c r="U15" s="124">
        <v>0</v>
      </c>
      <c r="V15" s="124">
        <v>0.45</v>
      </c>
      <c r="W15" s="124">
        <v>0</v>
      </c>
      <c r="X15" s="124">
        <v>0.3</v>
      </c>
      <c r="Y15" s="124">
        <v>7.0000000000000001E-3</v>
      </c>
      <c r="Z15" s="124">
        <v>0.2</v>
      </c>
      <c r="AA15" s="124">
        <v>0</v>
      </c>
      <c r="AB15" s="124">
        <v>8.9</v>
      </c>
      <c r="AC15" s="124">
        <v>0</v>
      </c>
      <c r="AD15" s="124">
        <v>0.3</v>
      </c>
      <c r="AE15" s="124">
        <v>0</v>
      </c>
      <c r="AF15" s="124">
        <v>0.45</v>
      </c>
      <c r="AG15" s="124">
        <v>0.2</v>
      </c>
      <c r="AH15" s="18">
        <f t="shared" si="0"/>
        <v>13.007</v>
      </c>
    </row>
    <row r="16" spans="1:34" ht="15" customHeight="1">
      <c r="A16" s="1831" t="s">
        <v>82</v>
      </c>
      <c r="B16" s="18">
        <f t="shared" si="1"/>
        <v>2.3199999999999998</v>
      </c>
      <c r="C16" s="124">
        <v>0</v>
      </c>
      <c r="D16" s="124">
        <v>0</v>
      </c>
      <c r="E16" s="124">
        <v>0</v>
      </c>
      <c r="F16" s="124">
        <v>0.02</v>
      </c>
      <c r="G16" s="124">
        <v>0</v>
      </c>
      <c r="H16" s="124">
        <v>0</v>
      </c>
      <c r="I16" s="124">
        <v>0.3</v>
      </c>
      <c r="J16" s="124">
        <v>0</v>
      </c>
      <c r="K16" s="124">
        <v>0.3</v>
      </c>
      <c r="L16" s="124">
        <v>0</v>
      </c>
      <c r="M16" s="124">
        <v>0</v>
      </c>
      <c r="N16" s="124">
        <v>0</v>
      </c>
      <c r="O16" s="124">
        <v>0</v>
      </c>
      <c r="P16" s="124">
        <v>0</v>
      </c>
      <c r="Q16" s="124">
        <v>0</v>
      </c>
      <c r="R16" s="124">
        <v>0</v>
      </c>
      <c r="S16" s="124">
        <v>0</v>
      </c>
      <c r="T16" s="124">
        <v>0</v>
      </c>
      <c r="U16" s="124">
        <v>0</v>
      </c>
      <c r="V16" s="124">
        <v>0.06</v>
      </c>
      <c r="W16" s="124">
        <v>0.15000000000000002</v>
      </c>
      <c r="X16" s="124">
        <v>0.05</v>
      </c>
      <c r="Y16" s="124">
        <v>0.33999999999999997</v>
      </c>
      <c r="Z16" s="124">
        <v>0.4</v>
      </c>
      <c r="AA16" s="124">
        <v>0.4</v>
      </c>
      <c r="AB16" s="124">
        <v>0.3</v>
      </c>
      <c r="AC16" s="124">
        <v>0</v>
      </c>
      <c r="AD16" s="124">
        <v>0</v>
      </c>
      <c r="AE16" s="124">
        <v>0</v>
      </c>
      <c r="AF16" s="124">
        <v>0</v>
      </c>
      <c r="AG16" s="124">
        <v>0</v>
      </c>
      <c r="AH16" s="53">
        <f t="shared" si="0"/>
        <v>2.3199999999999998</v>
      </c>
    </row>
    <row r="17" spans="1:34" ht="15" customHeight="1">
      <c r="A17" s="1831" t="s">
        <v>83</v>
      </c>
      <c r="B17" s="18">
        <f t="shared" si="1"/>
        <v>1.51</v>
      </c>
      <c r="C17" s="124">
        <v>0</v>
      </c>
      <c r="D17" s="124">
        <v>0</v>
      </c>
      <c r="E17" s="124">
        <v>0.45</v>
      </c>
      <c r="F17" s="124">
        <v>0.5</v>
      </c>
      <c r="G17" s="124">
        <v>0.2</v>
      </c>
      <c r="H17" s="124">
        <v>0</v>
      </c>
      <c r="I17" s="124">
        <v>0.3</v>
      </c>
      <c r="J17" s="124">
        <v>0</v>
      </c>
      <c r="K17" s="124">
        <v>0</v>
      </c>
      <c r="L17" s="124">
        <v>0</v>
      </c>
      <c r="M17" s="124">
        <v>0</v>
      </c>
      <c r="N17" s="124">
        <v>0</v>
      </c>
      <c r="O17" s="124">
        <v>0</v>
      </c>
      <c r="P17" s="124">
        <v>0</v>
      </c>
      <c r="Q17" s="124">
        <v>0</v>
      </c>
      <c r="R17" s="124">
        <v>0</v>
      </c>
      <c r="S17" s="124">
        <v>0</v>
      </c>
      <c r="T17" s="124">
        <v>0</v>
      </c>
      <c r="U17" s="124">
        <v>0</v>
      </c>
      <c r="V17" s="124">
        <v>0</v>
      </c>
      <c r="W17" s="124">
        <v>0</v>
      </c>
      <c r="X17" s="124">
        <v>0</v>
      </c>
      <c r="Y17" s="124">
        <v>0</v>
      </c>
      <c r="Z17" s="124">
        <v>0</v>
      </c>
      <c r="AA17" s="124">
        <v>0</v>
      </c>
      <c r="AB17" s="124">
        <v>0</v>
      </c>
      <c r="AC17" s="124">
        <v>0</v>
      </c>
      <c r="AD17" s="124">
        <v>0</v>
      </c>
      <c r="AE17" s="124">
        <v>0</v>
      </c>
      <c r="AF17" s="124">
        <v>0.06</v>
      </c>
      <c r="AG17" s="124"/>
      <c r="AH17" s="53">
        <f t="shared" si="0"/>
        <v>1.51</v>
      </c>
    </row>
    <row r="18" spans="1:34" ht="15" customHeight="1">
      <c r="A18" s="1831" t="s">
        <v>84</v>
      </c>
      <c r="B18" s="18">
        <f t="shared" si="1"/>
        <v>0.62</v>
      </c>
      <c r="C18" s="124">
        <v>0.06</v>
      </c>
      <c r="D18" s="124">
        <v>0</v>
      </c>
      <c r="E18" s="124">
        <v>0</v>
      </c>
      <c r="F18" s="124">
        <v>0</v>
      </c>
      <c r="G18" s="124">
        <v>0</v>
      </c>
      <c r="H18" s="124">
        <v>0</v>
      </c>
      <c r="I18" s="124">
        <v>0</v>
      </c>
      <c r="J18" s="124">
        <v>0</v>
      </c>
      <c r="K18" s="124">
        <v>0.04</v>
      </c>
      <c r="L18" s="124">
        <v>0</v>
      </c>
      <c r="M18" s="124">
        <v>0</v>
      </c>
      <c r="N18" s="124">
        <v>0</v>
      </c>
      <c r="O18" s="124">
        <v>0</v>
      </c>
      <c r="P18" s="124">
        <v>0</v>
      </c>
      <c r="Q18" s="124">
        <v>0.04</v>
      </c>
      <c r="R18" s="124">
        <v>0</v>
      </c>
      <c r="S18" s="124">
        <v>0</v>
      </c>
      <c r="T18" s="124">
        <v>0</v>
      </c>
      <c r="U18" s="124">
        <v>0</v>
      </c>
      <c r="V18" s="124">
        <v>0</v>
      </c>
      <c r="W18" s="124">
        <v>0</v>
      </c>
      <c r="X18" s="124">
        <v>0</v>
      </c>
      <c r="Y18" s="124">
        <v>0</v>
      </c>
      <c r="Z18" s="124">
        <v>0</v>
      </c>
      <c r="AA18" s="124">
        <v>0</v>
      </c>
      <c r="AB18" s="124">
        <v>0</v>
      </c>
      <c r="AC18" s="124">
        <v>0</v>
      </c>
      <c r="AD18" s="124">
        <v>0</v>
      </c>
      <c r="AE18" s="124">
        <v>0</v>
      </c>
      <c r="AF18" s="124">
        <v>0.48</v>
      </c>
      <c r="AG18" s="124">
        <v>0</v>
      </c>
      <c r="AH18" s="53">
        <f t="shared" si="0"/>
        <v>0.62</v>
      </c>
    </row>
    <row r="19" spans="1:34" ht="15" customHeight="1">
      <c r="A19" s="1744" t="s">
        <v>85</v>
      </c>
      <c r="B19" s="18">
        <f t="shared" si="1"/>
        <v>29.509999999999994</v>
      </c>
      <c r="C19" s="124">
        <v>0</v>
      </c>
      <c r="D19" s="124">
        <v>0</v>
      </c>
      <c r="E19" s="124">
        <v>0.65</v>
      </c>
      <c r="F19" s="124">
        <v>0</v>
      </c>
      <c r="G19" s="124">
        <v>0.9</v>
      </c>
      <c r="H19" s="124">
        <v>0.3</v>
      </c>
      <c r="I19" s="124">
        <v>0.35</v>
      </c>
      <c r="J19" s="124">
        <v>0.72</v>
      </c>
      <c r="K19" s="124">
        <v>0.48000000000000004</v>
      </c>
      <c r="L19" s="124">
        <v>0</v>
      </c>
      <c r="M19" s="124">
        <v>0</v>
      </c>
      <c r="N19" s="124">
        <v>3.6</v>
      </c>
      <c r="O19" s="124">
        <v>3</v>
      </c>
      <c r="P19" s="124">
        <v>2.7</v>
      </c>
      <c r="Q19" s="124">
        <v>0</v>
      </c>
      <c r="R19" s="124">
        <v>0</v>
      </c>
      <c r="S19" s="124">
        <v>8.1999999999999993</v>
      </c>
      <c r="T19" s="124">
        <v>0.9</v>
      </c>
      <c r="U19" s="124">
        <v>0</v>
      </c>
      <c r="V19" s="124">
        <v>0</v>
      </c>
      <c r="W19" s="124">
        <v>0</v>
      </c>
      <c r="X19" s="124">
        <v>0</v>
      </c>
      <c r="Y19" s="124">
        <v>0</v>
      </c>
      <c r="Z19" s="124">
        <v>0</v>
      </c>
      <c r="AA19" s="124">
        <v>0</v>
      </c>
      <c r="AB19" s="124">
        <v>0</v>
      </c>
      <c r="AC19" s="124">
        <v>0</v>
      </c>
      <c r="AD19" s="124">
        <v>0</v>
      </c>
      <c r="AE19" s="124">
        <v>3.51</v>
      </c>
      <c r="AF19" s="124">
        <v>4.2</v>
      </c>
      <c r="AG19" s="124"/>
      <c r="AH19" s="53">
        <f t="shared" si="0"/>
        <v>29.509999999999994</v>
      </c>
    </row>
    <row r="20" spans="1:34" ht="15" customHeight="1">
      <c r="A20" s="1744" t="s">
        <v>86</v>
      </c>
      <c r="B20" s="18">
        <f t="shared" si="1"/>
        <v>47.7</v>
      </c>
      <c r="C20" s="124">
        <v>4.3</v>
      </c>
      <c r="D20" s="124">
        <v>6</v>
      </c>
      <c r="E20" s="124">
        <v>0</v>
      </c>
      <c r="F20" s="124">
        <v>2.5</v>
      </c>
      <c r="G20" s="124">
        <v>0</v>
      </c>
      <c r="H20" s="124">
        <v>9.1999999999999993</v>
      </c>
      <c r="I20" s="124">
        <v>1.8</v>
      </c>
      <c r="J20" s="124">
        <v>0</v>
      </c>
      <c r="K20" s="124">
        <v>0</v>
      </c>
      <c r="L20" s="124">
        <v>0</v>
      </c>
      <c r="M20" s="124">
        <v>0</v>
      </c>
      <c r="N20" s="124">
        <v>0</v>
      </c>
      <c r="O20" s="124">
        <v>0</v>
      </c>
      <c r="P20" s="124">
        <v>0</v>
      </c>
      <c r="Q20" s="124">
        <v>0</v>
      </c>
      <c r="R20" s="124">
        <v>0</v>
      </c>
      <c r="S20" s="124">
        <v>0</v>
      </c>
      <c r="T20" s="124">
        <v>0</v>
      </c>
      <c r="U20" s="124">
        <v>0</v>
      </c>
      <c r="V20" s="124">
        <v>0</v>
      </c>
      <c r="W20" s="124">
        <v>0</v>
      </c>
      <c r="X20" s="124">
        <v>0</v>
      </c>
      <c r="Y20" s="124">
        <v>0</v>
      </c>
      <c r="Z20" s="124">
        <v>0</v>
      </c>
      <c r="AA20" s="124">
        <v>0</v>
      </c>
      <c r="AB20" s="124">
        <v>0</v>
      </c>
      <c r="AC20" s="124">
        <v>0</v>
      </c>
      <c r="AD20" s="124">
        <v>5.5</v>
      </c>
      <c r="AE20" s="124">
        <v>0</v>
      </c>
      <c r="AF20" s="124">
        <v>0</v>
      </c>
      <c r="AG20" s="124">
        <v>18.399999999999999</v>
      </c>
      <c r="AH20" s="53">
        <f t="shared" si="0"/>
        <v>47.7</v>
      </c>
    </row>
    <row r="21" spans="1:34" ht="15" customHeight="1">
      <c r="A21" s="88" t="s">
        <v>74</v>
      </c>
      <c r="B21" s="89">
        <f>SUM(B9:B20)</f>
        <v>166.25100000000003</v>
      </c>
      <c r="C21" s="46">
        <f>SUM(C9:C20)</f>
        <v>6.16</v>
      </c>
      <c r="D21" s="46">
        <f t="shared" ref="D21:AG21" si="2">SUM(D9:D20)</f>
        <v>6.64</v>
      </c>
      <c r="E21" s="46">
        <f t="shared" si="2"/>
        <v>1.65</v>
      </c>
      <c r="F21" s="46">
        <f t="shared" si="2"/>
        <v>5.52</v>
      </c>
      <c r="G21" s="46">
        <f t="shared" si="2"/>
        <v>3.33</v>
      </c>
      <c r="H21" s="46">
        <f t="shared" si="2"/>
        <v>17.759999999999998</v>
      </c>
      <c r="I21" s="46">
        <f t="shared" si="2"/>
        <v>7.3999999999999986</v>
      </c>
      <c r="J21" s="46">
        <f t="shared" si="2"/>
        <v>2.17</v>
      </c>
      <c r="K21" s="46">
        <f t="shared" si="2"/>
        <v>5.82</v>
      </c>
      <c r="L21" s="46">
        <f t="shared" si="2"/>
        <v>0.66999999999999993</v>
      </c>
      <c r="M21" s="46">
        <f t="shared" si="2"/>
        <v>0.27</v>
      </c>
      <c r="N21" s="46">
        <f t="shared" si="2"/>
        <v>4.37</v>
      </c>
      <c r="O21" s="46">
        <f>SUM(O9:O20)</f>
        <v>3.105</v>
      </c>
      <c r="P21" s="46">
        <f t="shared" si="2"/>
        <v>29.310000000000002</v>
      </c>
      <c r="Q21" s="46">
        <f t="shared" si="2"/>
        <v>1.1150000000000002</v>
      </c>
      <c r="R21" s="46">
        <f t="shared" si="2"/>
        <v>3.1549999999999998</v>
      </c>
      <c r="S21" s="46">
        <f t="shared" si="2"/>
        <v>8.35</v>
      </c>
      <c r="T21" s="46">
        <f t="shared" si="2"/>
        <v>2.1800000000000002</v>
      </c>
      <c r="U21" s="46">
        <f t="shared" si="2"/>
        <v>0.45999999999999996</v>
      </c>
      <c r="V21" s="46">
        <f t="shared" si="2"/>
        <v>0.66000000000000014</v>
      </c>
      <c r="W21" s="46">
        <f t="shared" si="2"/>
        <v>4.9149999999999991</v>
      </c>
      <c r="X21" s="46">
        <f t="shared" si="2"/>
        <v>0.85299999999999998</v>
      </c>
      <c r="Y21" s="46">
        <f t="shared" si="2"/>
        <v>1.355</v>
      </c>
      <c r="Z21" s="46">
        <f t="shared" si="2"/>
        <v>0.8680000000000001</v>
      </c>
      <c r="AA21" s="46">
        <f t="shared" si="2"/>
        <v>0.59499999999999997</v>
      </c>
      <c r="AB21" s="46">
        <f t="shared" si="2"/>
        <v>13.170000000000002</v>
      </c>
      <c r="AC21" s="46">
        <f t="shared" si="2"/>
        <v>0.35</v>
      </c>
      <c r="AD21" s="46">
        <f t="shared" si="2"/>
        <v>5.9649999999999999</v>
      </c>
      <c r="AE21" s="46">
        <f>SUM(AE9:AE20)</f>
        <v>3.63</v>
      </c>
      <c r="AF21" s="46">
        <f t="shared" si="2"/>
        <v>5.68</v>
      </c>
      <c r="AG21" s="46">
        <f t="shared" si="2"/>
        <v>18.774999999999999</v>
      </c>
      <c r="AH21" s="53">
        <f t="shared" si="0"/>
        <v>166.251</v>
      </c>
    </row>
    <row r="22" spans="1:34" ht="15" customHeight="1">
      <c r="A22" s="135"/>
      <c r="B22" s="135"/>
      <c r="C22" s="135"/>
      <c r="D22" s="135"/>
      <c r="E22" s="135"/>
      <c r="F22" s="135"/>
      <c r="G22" s="135"/>
      <c r="H22" s="135"/>
      <c r="I22" s="135"/>
      <c r="J22" s="135"/>
      <c r="K22" s="135"/>
      <c r="L22" s="135"/>
      <c r="M22" s="135"/>
      <c r="N22" s="135"/>
      <c r="O22" s="135"/>
      <c r="P22" s="135"/>
      <c r="Q22" s="135"/>
      <c r="R22" s="135"/>
      <c r="S22" s="135"/>
      <c r="T22" s="135"/>
      <c r="U22" s="60"/>
      <c r="V22" s="60"/>
      <c r="W22" s="60"/>
      <c r="X22" s="60"/>
      <c r="Y22" s="60"/>
      <c r="Z22" s="60"/>
      <c r="AA22" s="60"/>
      <c r="AB22" s="60"/>
      <c r="AC22" s="60"/>
      <c r="AD22" s="60"/>
      <c r="AE22" s="60"/>
      <c r="AF22" s="60"/>
      <c r="AG22" s="60"/>
      <c r="AH22" s="60"/>
    </row>
    <row r="23" spans="1:34" ht="15" customHeight="1">
      <c r="A23" s="3569" t="s">
        <v>118</v>
      </c>
      <c r="B23" s="3570"/>
      <c r="C23" s="3570"/>
      <c r="D23" s="3570"/>
      <c r="E23" s="3570"/>
      <c r="F23" s="3570"/>
      <c r="G23" s="3570"/>
      <c r="H23" s="3571"/>
      <c r="I23" s="11"/>
      <c r="J23" s="2323"/>
      <c r="K23" s="11"/>
      <c r="L23" s="11"/>
      <c r="M23" s="11"/>
      <c r="N23" s="11"/>
      <c r="O23" s="11"/>
      <c r="P23" s="11"/>
      <c r="Q23" s="11"/>
      <c r="R23" s="11"/>
      <c r="S23" s="11"/>
      <c r="T23" s="11"/>
      <c r="U23" s="11"/>
      <c r="V23" s="11"/>
      <c r="W23" s="11"/>
      <c r="X23" s="11"/>
      <c r="Y23" s="11"/>
      <c r="Z23" s="11"/>
      <c r="AA23" s="11"/>
      <c r="AB23" s="11"/>
      <c r="AC23" s="11"/>
      <c r="AD23" s="11"/>
      <c r="AE23" s="11"/>
      <c r="AF23" s="11"/>
      <c r="AG23" s="11"/>
      <c r="AH23" s="11"/>
    </row>
    <row r="24" spans="1:34" ht="15" customHeight="1">
      <c r="A24" s="5" t="s">
        <v>72</v>
      </c>
      <c r="B24" s="5" t="s">
        <v>73</v>
      </c>
      <c r="C24" s="1249">
        <v>1</v>
      </c>
      <c r="D24" s="30">
        <v>2</v>
      </c>
      <c r="E24" s="30">
        <v>3</v>
      </c>
      <c r="F24" s="30">
        <v>4</v>
      </c>
      <c r="G24" s="30">
        <v>5</v>
      </c>
      <c r="H24" s="30">
        <v>6</v>
      </c>
      <c r="I24" s="30">
        <v>7</v>
      </c>
      <c r="J24" s="30">
        <v>8</v>
      </c>
      <c r="K24" s="30">
        <v>9</v>
      </c>
      <c r="L24" s="30">
        <v>10</v>
      </c>
      <c r="M24" s="30">
        <v>11</v>
      </c>
      <c r="N24" s="30">
        <v>12</v>
      </c>
      <c r="O24" s="30">
        <v>13</v>
      </c>
      <c r="P24" s="30">
        <v>14</v>
      </c>
      <c r="Q24" s="30">
        <v>15</v>
      </c>
      <c r="R24" s="30">
        <v>16</v>
      </c>
      <c r="S24" s="30">
        <v>17</v>
      </c>
      <c r="T24" s="30">
        <v>18</v>
      </c>
      <c r="U24" s="30">
        <v>19</v>
      </c>
      <c r="V24" s="30">
        <v>20</v>
      </c>
      <c r="W24" s="30">
        <v>21</v>
      </c>
      <c r="X24" s="30">
        <v>22</v>
      </c>
      <c r="Y24" s="30">
        <v>23</v>
      </c>
      <c r="Z24" s="30">
        <v>24</v>
      </c>
      <c r="AA24" s="30">
        <v>25</v>
      </c>
      <c r="AB24" s="30">
        <v>26</v>
      </c>
      <c r="AC24" s="30">
        <v>27</v>
      </c>
      <c r="AD24" s="30">
        <v>28</v>
      </c>
      <c r="AE24" s="30">
        <v>29</v>
      </c>
      <c r="AF24" s="30">
        <v>30</v>
      </c>
      <c r="AG24" s="30">
        <v>31</v>
      </c>
      <c r="AH24" s="39" t="s">
        <v>74</v>
      </c>
    </row>
    <row r="25" spans="1:34" s="84" customFormat="1" ht="15" customHeight="1">
      <c r="A25" s="1831" t="s">
        <v>75</v>
      </c>
      <c r="B25" s="18">
        <f>+AH25</f>
        <v>22.1</v>
      </c>
      <c r="C25" s="110">
        <v>0</v>
      </c>
      <c r="D25" s="111">
        <v>0</v>
      </c>
      <c r="E25" s="111">
        <v>0</v>
      </c>
      <c r="F25" s="261">
        <v>0</v>
      </c>
      <c r="G25" s="111">
        <v>0</v>
      </c>
      <c r="H25" s="111">
        <v>0</v>
      </c>
      <c r="I25" s="111">
        <v>1.3</v>
      </c>
      <c r="J25" s="111">
        <v>0</v>
      </c>
      <c r="K25" s="111">
        <v>0</v>
      </c>
      <c r="L25" s="111">
        <v>0</v>
      </c>
      <c r="M25" s="111">
        <v>19.5</v>
      </c>
      <c r="N25" s="111">
        <v>0</v>
      </c>
      <c r="O25" s="111">
        <v>0</v>
      </c>
      <c r="P25" s="111">
        <v>0</v>
      </c>
      <c r="Q25" s="111">
        <v>0.5</v>
      </c>
      <c r="R25" s="154">
        <v>0</v>
      </c>
      <c r="S25" s="154">
        <v>0</v>
      </c>
      <c r="T25" s="111">
        <v>0</v>
      </c>
      <c r="U25" s="202">
        <v>0</v>
      </c>
      <c r="V25" s="111">
        <v>0</v>
      </c>
      <c r="W25" s="261">
        <v>0</v>
      </c>
      <c r="X25" s="111">
        <v>0</v>
      </c>
      <c r="Y25" s="111">
        <v>0</v>
      </c>
      <c r="Z25" s="111">
        <v>0</v>
      </c>
      <c r="AA25" s="111">
        <v>0</v>
      </c>
      <c r="AB25" s="111">
        <v>0</v>
      </c>
      <c r="AC25" s="111">
        <v>0</v>
      </c>
      <c r="AD25" s="111">
        <v>0.8</v>
      </c>
      <c r="AE25" s="111">
        <v>0</v>
      </c>
      <c r="AF25" s="111">
        <v>0</v>
      </c>
      <c r="AG25" s="111">
        <v>0</v>
      </c>
      <c r="AH25" s="18">
        <f>SUM(C25:AG25)</f>
        <v>22.1</v>
      </c>
    </row>
    <row r="26" spans="1:34" ht="15" customHeight="1">
      <c r="A26" s="1831" t="s">
        <v>76</v>
      </c>
      <c r="B26" s="18">
        <f>+AH26</f>
        <v>892.6640000000001</v>
      </c>
      <c r="C26" s="110">
        <v>0</v>
      </c>
      <c r="D26" s="111">
        <v>0</v>
      </c>
      <c r="E26" s="111">
        <v>0</v>
      </c>
      <c r="F26" s="111">
        <v>0</v>
      </c>
      <c r="G26" s="111">
        <v>39.1</v>
      </c>
      <c r="H26" s="111">
        <v>13.34</v>
      </c>
      <c r="I26" s="111">
        <v>126.98800000000001</v>
      </c>
      <c r="J26" s="111">
        <v>164.25400000000002</v>
      </c>
      <c r="K26" s="111">
        <v>34.042999999999999</v>
      </c>
      <c r="L26" s="111">
        <v>0</v>
      </c>
      <c r="M26" s="111">
        <v>25.803000000000001</v>
      </c>
      <c r="N26" s="111">
        <v>106.676</v>
      </c>
      <c r="O26" s="111">
        <v>0</v>
      </c>
      <c r="P26" s="111">
        <v>0</v>
      </c>
      <c r="Q26" s="111">
        <v>0</v>
      </c>
      <c r="R26" s="111">
        <v>0</v>
      </c>
      <c r="S26" s="111">
        <v>0</v>
      </c>
      <c r="T26" s="111">
        <v>0</v>
      </c>
      <c r="U26" s="111">
        <v>212.19700000000003</v>
      </c>
      <c r="V26" s="111">
        <v>0</v>
      </c>
      <c r="W26" s="111">
        <v>0</v>
      </c>
      <c r="X26" s="111">
        <v>71.69</v>
      </c>
      <c r="Y26" s="111">
        <v>72.167000000000002</v>
      </c>
      <c r="Z26" s="111">
        <v>0</v>
      </c>
      <c r="AA26" s="111">
        <v>0</v>
      </c>
      <c r="AB26" s="111">
        <v>0</v>
      </c>
      <c r="AC26" s="111">
        <v>18.457999999999998</v>
      </c>
      <c r="AD26" s="111">
        <v>7.9480000000000004</v>
      </c>
      <c r="AE26" s="111"/>
      <c r="AF26" s="111"/>
      <c r="AG26" s="111"/>
      <c r="AH26" s="53">
        <f t="shared" ref="AH26:AH37" si="3">SUM(C26:AG26)</f>
        <v>892.6640000000001</v>
      </c>
    </row>
    <row r="27" spans="1:34" ht="15" customHeight="1">
      <c r="A27" s="1831" t="s">
        <v>77</v>
      </c>
      <c r="B27" s="18">
        <f t="shared" ref="B27:B36" si="4">+AH27</f>
        <v>538.49500000000012</v>
      </c>
      <c r="C27" s="202">
        <v>18.14</v>
      </c>
      <c r="D27" s="154">
        <v>0</v>
      </c>
      <c r="E27" s="216">
        <v>0</v>
      </c>
      <c r="F27" s="216">
        <v>0</v>
      </c>
      <c r="G27" s="216">
        <v>0</v>
      </c>
      <c r="H27" s="216">
        <v>15.237</v>
      </c>
      <c r="I27" s="216">
        <v>0</v>
      </c>
      <c r="J27" s="216">
        <v>0</v>
      </c>
      <c r="K27" s="216">
        <v>0</v>
      </c>
      <c r="L27" s="216">
        <v>0</v>
      </c>
      <c r="M27" s="216">
        <v>0</v>
      </c>
      <c r="N27" s="216">
        <v>294.21700000000004</v>
      </c>
      <c r="O27" s="216">
        <v>78.161000000000001</v>
      </c>
      <c r="P27" s="216">
        <v>115.622</v>
      </c>
      <c r="Q27" s="216">
        <v>2.2000000000000002</v>
      </c>
      <c r="R27" s="216">
        <v>14.917999999999999</v>
      </c>
      <c r="S27" s="216">
        <v>0</v>
      </c>
      <c r="T27" s="216">
        <v>0</v>
      </c>
      <c r="U27" s="216">
        <v>0</v>
      </c>
      <c r="V27" s="216">
        <v>0</v>
      </c>
      <c r="W27" s="216">
        <v>0</v>
      </c>
      <c r="X27" s="216">
        <v>0</v>
      </c>
      <c r="Y27" s="216">
        <v>0</v>
      </c>
      <c r="Z27" s="216">
        <v>0</v>
      </c>
      <c r="AA27" s="216">
        <v>0</v>
      </c>
      <c r="AB27" s="216">
        <v>0</v>
      </c>
      <c r="AC27" s="216">
        <v>0</v>
      </c>
      <c r="AD27" s="216">
        <v>0</v>
      </c>
      <c r="AE27" s="216">
        <v>0</v>
      </c>
      <c r="AF27" s="216">
        <v>0</v>
      </c>
      <c r="AG27" s="216">
        <v>0</v>
      </c>
      <c r="AH27" s="53">
        <f t="shared" si="3"/>
        <v>538.49500000000012</v>
      </c>
    </row>
    <row r="28" spans="1:34" ht="15" customHeight="1">
      <c r="A28" s="1831" t="s">
        <v>78</v>
      </c>
      <c r="B28" s="18">
        <f t="shared" si="4"/>
        <v>47.207000000000001</v>
      </c>
      <c r="C28" s="261">
        <v>8.6999999999999993</v>
      </c>
      <c r="D28" s="111">
        <v>0</v>
      </c>
      <c r="E28" s="262">
        <v>0</v>
      </c>
      <c r="F28" s="262">
        <v>0</v>
      </c>
      <c r="G28" s="262">
        <v>0</v>
      </c>
      <c r="H28" s="262">
        <v>0</v>
      </c>
      <c r="I28" s="262">
        <v>0</v>
      </c>
      <c r="J28" s="262">
        <v>0</v>
      </c>
      <c r="K28" s="262">
        <v>0</v>
      </c>
      <c r="L28" s="262">
        <v>0</v>
      </c>
      <c r="M28" s="262">
        <v>6</v>
      </c>
      <c r="N28" s="262">
        <v>0</v>
      </c>
      <c r="O28" s="262">
        <v>14.807</v>
      </c>
      <c r="P28" s="262">
        <v>0</v>
      </c>
      <c r="Q28" s="262">
        <v>0</v>
      </c>
      <c r="R28" s="262">
        <v>0</v>
      </c>
      <c r="S28" s="262">
        <v>12</v>
      </c>
      <c r="T28" s="262">
        <v>5.7</v>
      </c>
      <c r="U28" s="262">
        <v>0</v>
      </c>
      <c r="V28" s="262">
        <v>0</v>
      </c>
      <c r="W28" s="262">
        <v>0</v>
      </c>
      <c r="X28" s="262">
        <v>0</v>
      </c>
      <c r="Y28" s="262">
        <v>0</v>
      </c>
      <c r="Z28" s="262">
        <v>0</v>
      </c>
      <c r="AA28" s="262">
        <v>0</v>
      </c>
      <c r="AB28" s="262">
        <v>0</v>
      </c>
      <c r="AC28" s="262">
        <v>0</v>
      </c>
      <c r="AD28" s="262">
        <v>0</v>
      </c>
      <c r="AE28" s="262">
        <v>0</v>
      </c>
      <c r="AF28" s="262">
        <v>0</v>
      </c>
      <c r="AG28" s="262"/>
      <c r="AH28" s="53">
        <f t="shared" si="3"/>
        <v>47.207000000000001</v>
      </c>
    </row>
    <row r="29" spans="1:34" ht="15" customHeight="1">
      <c r="A29" s="1831" t="s">
        <v>79</v>
      </c>
      <c r="B29" s="18">
        <f t="shared" si="4"/>
        <v>7</v>
      </c>
      <c r="C29" s="3072">
        <v>0</v>
      </c>
      <c r="D29" s="1965">
        <v>0</v>
      </c>
      <c r="E29" s="840">
        <v>0</v>
      </c>
      <c r="F29" s="840">
        <v>0</v>
      </c>
      <c r="G29" s="262">
        <v>0</v>
      </c>
      <c r="H29" s="262">
        <v>0</v>
      </c>
      <c r="I29" s="262">
        <v>7</v>
      </c>
      <c r="J29" s="262">
        <v>0</v>
      </c>
      <c r="K29" s="262">
        <v>0</v>
      </c>
      <c r="L29" s="262">
        <v>0</v>
      </c>
      <c r="M29" s="262">
        <v>0</v>
      </c>
      <c r="N29" s="262">
        <v>0</v>
      </c>
      <c r="O29" s="262">
        <v>0</v>
      </c>
      <c r="P29" s="262">
        <v>0</v>
      </c>
      <c r="Q29" s="262">
        <v>0</v>
      </c>
      <c r="R29" s="262">
        <v>0</v>
      </c>
      <c r="S29" s="262">
        <v>0</v>
      </c>
      <c r="T29" s="262">
        <v>0</v>
      </c>
      <c r="U29" s="262">
        <v>0</v>
      </c>
      <c r="V29" s="262">
        <v>0</v>
      </c>
      <c r="W29" s="262">
        <v>0</v>
      </c>
      <c r="X29" s="262">
        <v>0</v>
      </c>
      <c r="Y29" s="262">
        <v>0</v>
      </c>
      <c r="Z29" s="262">
        <v>0</v>
      </c>
      <c r="AA29" s="262">
        <v>0</v>
      </c>
      <c r="AB29" s="262">
        <v>0</v>
      </c>
      <c r="AC29" s="262">
        <v>0</v>
      </c>
      <c r="AD29" s="262">
        <v>0</v>
      </c>
      <c r="AE29" s="262">
        <v>0</v>
      </c>
      <c r="AF29" s="262">
        <v>0</v>
      </c>
      <c r="AG29" s="262">
        <v>0</v>
      </c>
      <c r="AH29" s="53">
        <f t="shared" si="3"/>
        <v>7</v>
      </c>
    </row>
    <row r="30" spans="1:34" ht="15" customHeight="1">
      <c r="A30" s="1831" t="s">
        <v>80</v>
      </c>
      <c r="B30" s="18">
        <f t="shared" si="4"/>
        <v>115.048</v>
      </c>
      <c r="C30" s="124">
        <v>0</v>
      </c>
      <c r="D30" s="124">
        <v>0</v>
      </c>
      <c r="E30" s="124">
        <v>0</v>
      </c>
      <c r="F30" s="124">
        <v>0.3</v>
      </c>
      <c r="G30" s="124">
        <v>0</v>
      </c>
      <c r="H30" s="124">
        <v>0</v>
      </c>
      <c r="I30" s="124">
        <v>0</v>
      </c>
      <c r="J30" s="124">
        <v>0</v>
      </c>
      <c r="K30" s="124">
        <v>0</v>
      </c>
      <c r="L30" s="124">
        <v>0</v>
      </c>
      <c r="M30" s="124">
        <v>0</v>
      </c>
      <c r="N30" s="124">
        <v>0</v>
      </c>
      <c r="O30" s="124">
        <v>0</v>
      </c>
      <c r="P30" s="124">
        <v>0</v>
      </c>
      <c r="Q30" s="124">
        <v>0</v>
      </c>
      <c r="R30" s="124">
        <v>0</v>
      </c>
      <c r="S30" s="124">
        <v>0</v>
      </c>
      <c r="T30" s="124">
        <v>0</v>
      </c>
      <c r="U30" s="124">
        <v>0</v>
      </c>
      <c r="V30" s="124">
        <v>0</v>
      </c>
      <c r="W30" s="124">
        <v>0</v>
      </c>
      <c r="X30" s="124">
        <v>0</v>
      </c>
      <c r="Y30" s="124">
        <v>0</v>
      </c>
      <c r="Z30" s="124">
        <v>31.863</v>
      </c>
      <c r="AA30" s="124">
        <v>59.709000000000003</v>
      </c>
      <c r="AB30" s="124">
        <v>23.176000000000002</v>
      </c>
      <c r="AC30" s="124">
        <v>0</v>
      </c>
      <c r="AD30" s="124">
        <v>0</v>
      </c>
      <c r="AE30" s="124">
        <v>0</v>
      </c>
      <c r="AF30" s="124">
        <v>0</v>
      </c>
      <c r="AG30" s="124"/>
      <c r="AH30" s="53">
        <f t="shared" si="3"/>
        <v>115.048</v>
      </c>
    </row>
    <row r="31" spans="1:34" ht="15" customHeight="1">
      <c r="A31" s="1831" t="s">
        <v>81</v>
      </c>
      <c r="B31" s="18">
        <f t="shared" si="4"/>
        <v>54.959000000000003</v>
      </c>
      <c r="C31" s="124">
        <v>12.5</v>
      </c>
      <c r="D31" s="124">
        <v>3.2709999999999999</v>
      </c>
      <c r="E31" s="124">
        <v>5</v>
      </c>
      <c r="F31" s="124">
        <v>0</v>
      </c>
      <c r="G31" s="124">
        <v>0</v>
      </c>
      <c r="H31" s="124">
        <v>0</v>
      </c>
      <c r="I31" s="124">
        <v>0</v>
      </c>
      <c r="J31" s="124">
        <v>0</v>
      </c>
      <c r="K31" s="124">
        <v>0</v>
      </c>
      <c r="L31" s="124">
        <v>0</v>
      </c>
      <c r="M31" s="124">
        <v>0</v>
      </c>
      <c r="N31" s="124">
        <v>0</v>
      </c>
      <c r="O31" s="124">
        <v>0</v>
      </c>
      <c r="P31" s="124">
        <v>0</v>
      </c>
      <c r="Q31" s="124">
        <v>0</v>
      </c>
      <c r="R31" s="124">
        <v>0</v>
      </c>
      <c r="S31" s="124">
        <v>0</v>
      </c>
      <c r="T31" s="124">
        <v>0</v>
      </c>
      <c r="U31" s="124">
        <v>0</v>
      </c>
      <c r="V31" s="124">
        <v>0</v>
      </c>
      <c r="W31" s="124">
        <v>0</v>
      </c>
      <c r="X31" s="124">
        <v>0</v>
      </c>
      <c r="Y31" s="124">
        <v>0</v>
      </c>
      <c r="Z31" s="124">
        <v>18.399999999999999</v>
      </c>
      <c r="AA31" s="124">
        <v>11.362</v>
      </c>
      <c r="AB31" s="124">
        <v>0</v>
      </c>
      <c r="AC31" s="124">
        <v>4.4260000000000002</v>
      </c>
      <c r="AD31" s="124">
        <v>0</v>
      </c>
      <c r="AE31" s="124">
        <v>0</v>
      </c>
      <c r="AF31" s="124">
        <v>0</v>
      </c>
      <c r="AG31" s="124">
        <v>0</v>
      </c>
      <c r="AH31" s="53">
        <f t="shared" si="3"/>
        <v>54.959000000000003</v>
      </c>
    </row>
    <row r="32" spans="1:34" ht="15" customHeight="1">
      <c r="A32" s="1831" t="s">
        <v>82</v>
      </c>
      <c r="B32" s="18">
        <f t="shared" si="4"/>
        <v>15.04</v>
      </c>
      <c r="C32" s="124">
        <v>0</v>
      </c>
      <c r="D32" s="124">
        <v>0</v>
      </c>
      <c r="E32" s="124">
        <v>0</v>
      </c>
      <c r="F32" s="124">
        <v>0</v>
      </c>
      <c r="G32" s="124">
        <v>0</v>
      </c>
      <c r="H32" s="124">
        <v>0</v>
      </c>
      <c r="I32" s="124">
        <v>0</v>
      </c>
      <c r="J32" s="124">
        <v>0</v>
      </c>
      <c r="K32" s="124">
        <v>0</v>
      </c>
      <c r="L32" s="124">
        <v>0</v>
      </c>
      <c r="M32" s="124">
        <v>0</v>
      </c>
      <c r="N32" s="124">
        <v>0</v>
      </c>
      <c r="O32" s="124">
        <v>0</v>
      </c>
      <c r="P32" s="124">
        <v>0</v>
      </c>
      <c r="Q32" s="124">
        <v>0</v>
      </c>
      <c r="R32" s="124">
        <v>0</v>
      </c>
      <c r="S32" s="124">
        <v>0</v>
      </c>
      <c r="T32" s="124">
        <v>0</v>
      </c>
      <c r="U32" s="124">
        <v>0</v>
      </c>
      <c r="V32" s="124">
        <v>0</v>
      </c>
      <c r="W32" s="124">
        <v>0</v>
      </c>
      <c r="X32" s="124">
        <v>0</v>
      </c>
      <c r="Y32" s="124">
        <v>0.03</v>
      </c>
      <c r="Z32" s="124">
        <v>0</v>
      </c>
      <c r="AA32" s="124">
        <v>0.01</v>
      </c>
      <c r="AB32" s="124">
        <v>0</v>
      </c>
      <c r="AC32" s="124">
        <v>0</v>
      </c>
      <c r="AD32" s="124">
        <v>0</v>
      </c>
      <c r="AE32" s="124">
        <v>0</v>
      </c>
      <c r="AF32" s="124">
        <v>0</v>
      </c>
      <c r="AG32" s="124">
        <v>15</v>
      </c>
      <c r="AH32" s="53">
        <f t="shared" si="3"/>
        <v>15.04</v>
      </c>
    </row>
    <row r="33" spans="1:34" ht="15" customHeight="1">
      <c r="A33" s="1831" t="s">
        <v>83</v>
      </c>
      <c r="B33" s="18">
        <f t="shared" si="4"/>
        <v>85.187999999999988</v>
      </c>
      <c r="C33" s="124">
        <v>0</v>
      </c>
      <c r="D33" s="124">
        <v>8.9</v>
      </c>
      <c r="E33" s="124">
        <v>0</v>
      </c>
      <c r="F33" s="124">
        <v>0</v>
      </c>
      <c r="G33" s="124">
        <v>0</v>
      </c>
      <c r="H33" s="124">
        <v>0</v>
      </c>
      <c r="I33" s="124">
        <v>0</v>
      </c>
      <c r="J33" s="124">
        <v>0</v>
      </c>
      <c r="K33" s="124">
        <v>0</v>
      </c>
      <c r="L33" s="124">
        <v>44.55</v>
      </c>
      <c r="M33" s="124">
        <v>0</v>
      </c>
      <c r="N33" s="124">
        <v>0</v>
      </c>
      <c r="O33" s="124">
        <v>0</v>
      </c>
      <c r="P33" s="124">
        <v>0</v>
      </c>
      <c r="Q33" s="124">
        <v>0</v>
      </c>
      <c r="R33" s="124">
        <v>0</v>
      </c>
      <c r="S33" s="124">
        <v>0</v>
      </c>
      <c r="T33" s="124">
        <v>0</v>
      </c>
      <c r="U33" s="124">
        <v>0</v>
      </c>
      <c r="V33" s="124">
        <v>0</v>
      </c>
      <c r="W33" s="124">
        <v>0</v>
      </c>
      <c r="X33" s="124">
        <v>0</v>
      </c>
      <c r="Y33" s="124">
        <v>14.5</v>
      </c>
      <c r="Z33" s="124">
        <v>14.238</v>
      </c>
      <c r="AA33" s="124">
        <v>0</v>
      </c>
      <c r="AB33" s="124">
        <v>0</v>
      </c>
      <c r="AC33" s="124">
        <v>0</v>
      </c>
      <c r="AD33" s="124">
        <v>0</v>
      </c>
      <c r="AE33" s="124">
        <v>0</v>
      </c>
      <c r="AF33" s="124">
        <v>3</v>
      </c>
      <c r="AG33" s="124"/>
      <c r="AH33" s="53">
        <f t="shared" si="3"/>
        <v>85.187999999999988</v>
      </c>
    </row>
    <row r="34" spans="1:34" ht="15" customHeight="1">
      <c r="A34" s="1831" t="s">
        <v>84</v>
      </c>
      <c r="B34" s="18">
        <f t="shared" si="4"/>
        <v>211.03</v>
      </c>
      <c r="C34" s="124">
        <v>0</v>
      </c>
      <c r="D34" s="124">
        <v>0</v>
      </c>
      <c r="E34" s="124">
        <v>2.7</v>
      </c>
      <c r="F34" s="124">
        <v>0</v>
      </c>
      <c r="G34" s="124">
        <v>0</v>
      </c>
      <c r="H34" s="124">
        <v>0</v>
      </c>
      <c r="I34" s="124">
        <v>0</v>
      </c>
      <c r="J34" s="124">
        <v>0</v>
      </c>
      <c r="K34" s="124">
        <v>0.4</v>
      </c>
      <c r="L34" s="124">
        <v>0</v>
      </c>
      <c r="M34" s="124">
        <v>10.58</v>
      </c>
      <c r="N34" s="124">
        <v>0</v>
      </c>
      <c r="O34" s="124">
        <v>0</v>
      </c>
      <c r="P34" s="124">
        <v>0</v>
      </c>
      <c r="Q34" s="124">
        <v>0</v>
      </c>
      <c r="R34" s="124">
        <v>0</v>
      </c>
      <c r="S34" s="124">
        <v>0</v>
      </c>
      <c r="T34" s="124">
        <v>0</v>
      </c>
      <c r="U34" s="124">
        <v>0</v>
      </c>
      <c r="V34" s="124">
        <v>0</v>
      </c>
      <c r="W34" s="124">
        <v>0</v>
      </c>
      <c r="X34" s="124">
        <v>0</v>
      </c>
      <c r="Y34" s="124">
        <v>70.8</v>
      </c>
      <c r="Z34" s="124">
        <v>0</v>
      </c>
      <c r="AA34" s="124">
        <v>0</v>
      </c>
      <c r="AB34" s="124">
        <v>36.799999999999997</v>
      </c>
      <c r="AC34" s="124">
        <v>0</v>
      </c>
      <c r="AD34" s="124">
        <v>68.350000000000009</v>
      </c>
      <c r="AE34" s="124">
        <v>0</v>
      </c>
      <c r="AF34" s="124">
        <v>21.4</v>
      </c>
      <c r="AG34" s="124">
        <v>0</v>
      </c>
      <c r="AH34" s="53">
        <f t="shared" si="3"/>
        <v>211.03</v>
      </c>
    </row>
    <row r="35" spans="1:34" ht="15" customHeight="1">
      <c r="A35" s="1744" t="s">
        <v>85</v>
      </c>
      <c r="B35" s="18">
        <f t="shared" si="4"/>
        <v>432.89</v>
      </c>
      <c r="C35" s="124">
        <v>0</v>
      </c>
      <c r="D35" s="124">
        <v>0</v>
      </c>
      <c r="E35" s="124">
        <v>0</v>
      </c>
      <c r="F35" s="124">
        <v>0</v>
      </c>
      <c r="G35" s="124">
        <v>19.45</v>
      </c>
      <c r="H35" s="124">
        <v>37.599999999999994</v>
      </c>
      <c r="I35" s="124">
        <v>70.706999999999994</v>
      </c>
      <c r="J35" s="124">
        <v>0</v>
      </c>
      <c r="K35" s="124">
        <v>36.799999999999997</v>
      </c>
      <c r="L35" s="124">
        <v>0</v>
      </c>
      <c r="M35" s="124">
        <v>0</v>
      </c>
      <c r="N35" s="124">
        <v>0</v>
      </c>
      <c r="O35" s="124">
        <v>0</v>
      </c>
      <c r="P35" s="124">
        <v>0</v>
      </c>
      <c r="Q35" s="124">
        <v>0</v>
      </c>
      <c r="R35" s="124">
        <v>0</v>
      </c>
      <c r="S35" s="124">
        <v>0</v>
      </c>
      <c r="T35" s="124">
        <v>0</v>
      </c>
      <c r="U35" s="124">
        <v>0</v>
      </c>
      <c r="V35" s="124">
        <v>29</v>
      </c>
      <c r="W35" s="124">
        <v>80.640000000000015</v>
      </c>
      <c r="X35" s="124">
        <v>0</v>
      </c>
      <c r="Y35" s="124">
        <v>0</v>
      </c>
      <c r="Z35" s="124">
        <v>0</v>
      </c>
      <c r="AA35" s="124">
        <v>30.004000000000001</v>
      </c>
      <c r="AB35" s="124">
        <v>81.288999999999987</v>
      </c>
      <c r="AC35" s="124">
        <v>0</v>
      </c>
      <c r="AD35" s="124">
        <v>0</v>
      </c>
      <c r="AE35" s="124">
        <v>0</v>
      </c>
      <c r="AF35" s="124">
        <v>47.4</v>
      </c>
      <c r="AG35" s="124"/>
      <c r="AH35" s="53">
        <f t="shared" si="3"/>
        <v>432.89</v>
      </c>
    </row>
    <row r="36" spans="1:34" ht="15" customHeight="1">
      <c r="A36" s="1744" t="s">
        <v>86</v>
      </c>
      <c r="B36" s="18">
        <f t="shared" si="4"/>
        <v>661.976</v>
      </c>
      <c r="C36" s="124">
        <v>0</v>
      </c>
      <c r="D36" s="124">
        <v>0</v>
      </c>
      <c r="E36" s="124">
        <v>0</v>
      </c>
      <c r="F36" s="124">
        <v>11.18</v>
      </c>
      <c r="G36" s="124">
        <v>6</v>
      </c>
      <c r="H36" s="124">
        <v>46.511999999999993</v>
      </c>
      <c r="I36" s="124">
        <v>17.474</v>
      </c>
      <c r="J36" s="124">
        <v>0</v>
      </c>
      <c r="K36" s="124">
        <v>0</v>
      </c>
      <c r="L36" s="124">
        <v>0</v>
      </c>
      <c r="M36" s="124">
        <v>0</v>
      </c>
      <c r="N36" s="124">
        <v>0</v>
      </c>
      <c r="O36" s="124">
        <v>0</v>
      </c>
      <c r="P36" s="124">
        <v>0</v>
      </c>
      <c r="Q36" s="124">
        <v>0</v>
      </c>
      <c r="R36" s="124">
        <v>0</v>
      </c>
      <c r="S36" s="124">
        <v>0</v>
      </c>
      <c r="T36" s="124">
        <v>0</v>
      </c>
      <c r="U36" s="124">
        <v>0</v>
      </c>
      <c r="V36" s="124">
        <v>0</v>
      </c>
      <c r="W36" s="124">
        <v>0</v>
      </c>
      <c r="X36" s="124">
        <v>0</v>
      </c>
      <c r="Y36" s="124">
        <v>0</v>
      </c>
      <c r="Z36" s="124">
        <v>0</v>
      </c>
      <c r="AA36" s="124">
        <v>0</v>
      </c>
      <c r="AB36" s="124">
        <v>168.70100000000002</v>
      </c>
      <c r="AC36" s="124">
        <v>72.859000000000009</v>
      </c>
      <c r="AD36" s="124">
        <v>78.281000000000006</v>
      </c>
      <c r="AE36" s="124">
        <v>0</v>
      </c>
      <c r="AF36" s="124">
        <v>260.96899999999999</v>
      </c>
      <c r="AG36" s="124">
        <v>0</v>
      </c>
      <c r="AH36" s="53">
        <f t="shared" si="3"/>
        <v>661.976</v>
      </c>
    </row>
    <row r="37" spans="1:34" ht="15" customHeight="1">
      <c r="A37" s="88" t="s">
        <v>74</v>
      </c>
      <c r="B37" s="89">
        <f t="shared" ref="B37:AG37" si="5">SUM(B25:B36)</f>
        <v>3083.5970000000007</v>
      </c>
      <c r="C37" s="46">
        <f t="shared" si="5"/>
        <v>39.340000000000003</v>
      </c>
      <c r="D37" s="46">
        <f t="shared" si="5"/>
        <v>12.170999999999999</v>
      </c>
      <c r="E37" s="46">
        <f t="shared" si="5"/>
        <v>7.7</v>
      </c>
      <c r="F37" s="46">
        <f t="shared" si="5"/>
        <v>11.48</v>
      </c>
      <c r="G37" s="46">
        <f t="shared" si="5"/>
        <v>64.55</v>
      </c>
      <c r="H37" s="46">
        <f t="shared" si="5"/>
        <v>112.68899999999999</v>
      </c>
      <c r="I37" s="46">
        <f t="shared" si="5"/>
        <v>223.46899999999999</v>
      </c>
      <c r="J37" s="46">
        <f t="shared" si="5"/>
        <v>164.25400000000002</v>
      </c>
      <c r="K37" s="46">
        <f t="shared" si="5"/>
        <v>71.242999999999995</v>
      </c>
      <c r="L37" s="46">
        <f t="shared" si="5"/>
        <v>44.55</v>
      </c>
      <c r="M37" s="46">
        <f t="shared" si="5"/>
        <v>61.882999999999996</v>
      </c>
      <c r="N37" s="46">
        <f t="shared" si="5"/>
        <v>400.89300000000003</v>
      </c>
      <c r="O37" s="46">
        <f t="shared" si="5"/>
        <v>92.968000000000004</v>
      </c>
      <c r="P37" s="46">
        <f t="shared" si="5"/>
        <v>115.622</v>
      </c>
      <c r="Q37" s="46">
        <f t="shared" si="5"/>
        <v>2.7</v>
      </c>
      <c r="R37" s="46">
        <f t="shared" si="5"/>
        <v>14.917999999999999</v>
      </c>
      <c r="S37" s="46">
        <f t="shared" si="5"/>
        <v>12</v>
      </c>
      <c r="T37" s="46">
        <f t="shared" si="5"/>
        <v>5.7</v>
      </c>
      <c r="U37" s="46">
        <f t="shared" si="5"/>
        <v>212.19700000000003</v>
      </c>
      <c r="V37" s="46">
        <f t="shared" si="5"/>
        <v>29</v>
      </c>
      <c r="W37" s="46">
        <f t="shared" si="5"/>
        <v>80.640000000000015</v>
      </c>
      <c r="X37" s="46">
        <f t="shared" si="5"/>
        <v>71.69</v>
      </c>
      <c r="Y37" s="46">
        <f t="shared" si="5"/>
        <v>157.49700000000001</v>
      </c>
      <c r="Z37" s="46">
        <f t="shared" si="5"/>
        <v>64.501000000000005</v>
      </c>
      <c r="AA37" s="46">
        <f t="shared" si="5"/>
        <v>101.08500000000001</v>
      </c>
      <c r="AB37" s="46">
        <f t="shared" si="5"/>
        <v>309.96600000000001</v>
      </c>
      <c r="AC37" s="46">
        <f t="shared" si="5"/>
        <v>95.743000000000009</v>
      </c>
      <c r="AD37" s="46">
        <f t="shared" si="5"/>
        <v>155.37900000000002</v>
      </c>
      <c r="AE37" s="46">
        <f t="shared" si="5"/>
        <v>0</v>
      </c>
      <c r="AF37" s="46">
        <f t="shared" si="5"/>
        <v>332.76900000000001</v>
      </c>
      <c r="AG37" s="46">
        <f t="shared" si="5"/>
        <v>15</v>
      </c>
      <c r="AH37" s="53">
        <f t="shared" si="3"/>
        <v>3083.5970000000007</v>
      </c>
    </row>
    <row r="38" spans="1:34" ht="15" customHeight="1">
      <c r="A38" s="135"/>
      <c r="B38" s="135"/>
      <c r="C38" s="135"/>
      <c r="D38" s="135"/>
      <c r="E38" s="135"/>
      <c r="F38" s="135"/>
      <c r="G38" s="135"/>
      <c r="H38" s="135"/>
      <c r="I38" s="135"/>
      <c r="J38" s="135"/>
      <c r="K38" s="135"/>
      <c r="L38" s="135"/>
      <c r="M38" s="135"/>
      <c r="N38" s="135"/>
      <c r="O38" s="135"/>
      <c r="P38" s="135"/>
      <c r="Q38" s="135"/>
      <c r="R38" s="135"/>
      <c r="S38" s="135"/>
      <c r="T38" s="135"/>
      <c r="U38" s="60"/>
      <c r="V38" s="60"/>
      <c r="W38" s="60"/>
      <c r="X38" s="60"/>
      <c r="Y38" s="60"/>
      <c r="Z38" s="60"/>
      <c r="AA38" s="60"/>
      <c r="AB38" s="60"/>
      <c r="AC38" s="60"/>
      <c r="AD38" s="60"/>
      <c r="AE38" s="60"/>
      <c r="AF38" s="60"/>
      <c r="AG38" s="60"/>
      <c r="AH38" s="60"/>
    </row>
    <row r="39" spans="1:34" ht="15" customHeight="1">
      <c r="A39" s="3569" t="s">
        <v>119</v>
      </c>
      <c r="B39" s="3570"/>
      <c r="C39" s="3570"/>
      <c r="D39" s="3570"/>
      <c r="E39" s="3570"/>
      <c r="F39" s="3570"/>
      <c r="G39" s="3570"/>
      <c r="H39" s="357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row>
    <row r="40" spans="1:34" ht="15" customHeight="1">
      <c r="A40" s="5" t="s">
        <v>72</v>
      </c>
      <c r="B40" s="5" t="s">
        <v>73</v>
      </c>
      <c r="C40" s="1249">
        <v>1</v>
      </c>
      <c r="D40" s="30">
        <v>2</v>
      </c>
      <c r="E40" s="30">
        <v>3</v>
      </c>
      <c r="F40" s="30">
        <v>4</v>
      </c>
      <c r="G40" s="30">
        <v>5</v>
      </c>
      <c r="H40" s="30">
        <v>6</v>
      </c>
      <c r="I40" s="30">
        <v>7</v>
      </c>
      <c r="J40" s="30">
        <v>8</v>
      </c>
      <c r="K40" s="30">
        <v>9</v>
      </c>
      <c r="L40" s="30">
        <v>10</v>
      </c>
      <c r="M40" s="30">
        <v>11</v>
      </c>
      <c r="N40" s="30">
        <v>12</v>
      </c>
      <c r="O40" s="30">
        <v>13</v>
      </c>
      <c r="P40" s="30">
        <v>14</v>
      </c>
      <c r="Q40" s="30">
        <v>15</v>
      </c>
      <c r="R40" s="30">
        <v>16</v>
      </c>
      <c r="S40" s="30">
        <v>17</v>
      </c>
      <c r="T40" s="30">
        <v>18</v>
      </c>
      <c r="U40" s="30">
        <v>19</v>
      </c>
      <c r="V40" s="30">
        <v>20</v>
      </c>
      <c r="W40" s="30">
        <v>21</v>
      </c>
      <c r="X40" s="30">
        <v>22</v>
      </c>
      <c r="Y40" s="30">
        <v>23</v>
      </c>
      <c r="Z40" s="30">
        <v>24</v>
      </c>
      <c r="AA40" s="30">
        <v>25</v>
      </c>
      <c r="AB40" s="30">
        <v>26</v>
      </c>
      <c r="AC40" s="30">
        <v>27</v>
      </c>
      <c r="AD40" s="30">
        <v>28</v>
      </c>
      <c r="AE40" s="30">
        <v>29</v>
      </c>
      <c r="AF40" s="30">
        <v>30</v>
      </c>
      <c r="AG40" s="30">
        <v>31</v>
      </c>
      <c r="AH40" s="39" t="s">
        <v>74</v>
      </c>
    </row>
    <row r="41" spans="1:34" ht="15" customHeight="1">
      <c r="A41" s="1831" t="s">
        <v>75</v>
      </c>
      <c r="B41" s="18">
        <f>+AH41</f>
        <v>1.2810000000000001</v>
      </c>
      <c r="C41" s="1966">
        <v>0</v>
      </c>
      <c r="D41" s="1967">
        <v>0</v>
      </c>
      <c r="E41" s="1968">
        <v>0</v>
      </c>
      <c r="F41" s="1968">
        <v>0.01</v>
      </c>
      <c r="G41" s="1968">
        <v>2.5000000000000001E-2</v>
      </c>
      <c r="H41" s="1968">
        <v>0</v>
      </c>
      <c r="I41" s="1968">
        <v>3.5000000000000003E-2</v>
      </c>
      <c r="J41" s="1967">
        <v>0.05</v>
      </c>
      <c r="K41" s="1967">
        <v>0</v>
      </c>
      <c r="L41" s="1967">
        <v>1.2E-2</v>
      </c>
      <c r="M41" s="111">
        <v>0</v>
      </c>
      <c r="N41" s="111">
        <v>0</v>
      </c>
      <c r="O41" s="111">
        <v>0.32500000000000001</v>
      </c>
      <c r="P41" s="111">
        <v>1.2E-2</v>
      </c>
      <c r="Q41" s="111">
        <v>0</v>
      </c>
      <c r="R41" s="111">
        <v>0.105</v>
      </c>
      <c r="S41" s="111">
        <v>0</v>
      </c>
      <c r="T41" s="111">
        <v>0.22499999999999998</v>
      </c>
      <c r="U41" s="111">
        <v>7.0000000000000007E-2</v>
      </c>
      <c r="V41" s="111">
        <v>9.5000000000000001E-2</v>
      </c>
      <c r="W41" s="111">
        <v>0</v>
      </c>
      <c r="X41" s="111">
        <v>1.2E-2</v>
      </c>
      <c r="Y41" s="111">
        <v>0.22500000000000001</v>
      </c>
      <c r="Z41" s="111">
        <v>0</v>
      </c>
      <c r="AA41" s="111">
        <v>0.05</v>
      </c>
      <c r="AB41" s="111">
        <v>0.02</v>
      </c>
      <c r="AC41" s="111">
        <v>0</v>
      </c>
      <c r="AD41" s="111">
        <v>0</v>
      </c>
      <c r="AE41" s="111">
        <v>0</v>
      </c>
      <c r="AF41" s="111">
        <v>4.0000000000000001E-3</v>
      </c>
      <c r="AG41" s="111">
        <v>6.0000000000000001E-3</v>
      </c>
      <c r="AH41" s="53">
        <f>SUM(C41:AG41)</f>
        <v>1.2810000000000001</v>
      </c>
    </row>
    <row r="42" spans="1:34" ht="15" customHeight="1">
      <c r="A42" s="1831" t="s">
        <v>76</v>
      </c>
      <c r="B42" s="18">
        <f>+AH42</f>
        <v>53.703000000000003</v>
      </c>
      <c r="C42" s="1965">
        <v>1.0999999999999999E-2</v>
      </c>
      <c r="D42" s="111">
        <v>0.09</v>
      </c>
      <c r="E42" s="111">
        <v>0.36</v>
      </c>
      <c r="F42" s="111">
        <v>7.4999999999999997E-2</v>
      </c>
      <c r="G42" s="111">
        <v>0.112</v>
      </c>
      <c r="H42" s="111">
        <v>8.5830000000000002</v>
      </c>
      <c r="I42" s="111">
        <v>3.6120000000000001</v>
      </c>
      <c r="J42" s="111">
        <v>27.33</v>
      </c>
      <c r="K42" s="111">
        <v>7.15</v>
      </c>
      <c r="L42" s="111">
        <v>0</v>
      </c>
      <c r="M42" s="111">
        <v>0</v>
      </c>
      <c r="N42" s="111">
        <v>4.3</v>
      </c>
      <c r="O42" s="111">
        <v>0</v>
      </c>
      <c r="P42" s="111">
        <v>0</v>
      </c>
      <c r="Q42" s="111">
        <v>0</v>
      </c>
      <c r="R42" s="111">
        <v>0</v>
      </c>
      <c r="S42" s="111">
        <v>0</v>
      </c>
      <c r="T42" s="111">
        <v>0.2</v>
      </c>
      <c r="U42" s="111">
        <v>0</v>
      </c>
      <c r="V42" s="111">
        <v>0</v>
      </c>
      <c r="W42" s="111">
        <v>0.1</v>
      </c>
      <c r="X42" s="111">
        <v>0.15</v>
      </c>
      <c r="Y42" s="111">
        <v>0.06</v>
      </c>
      <c r="Z42" s="111">
        <v>0.03</v>
      </c>
      <c r="AA42" s="111">
        <v>0</v>
      </c>
      <c r="AB42" s="111">
        <v>0.6</v>
      </c>
      <c r="AC42" s="111">
        <v>0.9</v>
      </c>
      <c r="AD42" s="111">
        <v>0.04</v>
      </c>
      <c r="AE42" s="111"/>
      <c r="AF42" s="111"/>
      <c r="AG42" s="111"/>
      <c r="AH42" s="53">
        <f t="shared" ref="AH42:AH53" si="6">SUM(C42:AG42)</f>
        <v>53.703000000000003</v>
      </c>
    </row>
    <row r="43" spans="1:34" ht="15" customHeight="1">
      <c r="A43" s="1831" t="s">
        <v>77</v>
      </c>
      <c r="B43" s="18">
        <f t="shared" ref="B43:B52" si="7">+AH43</f>
        <v>152.27300000000002</v>
      </c>
      <c r="C43" s="205">
        <v>0.78</v>
      </c>
      <c r="D43" s="206">
        <v>7.6999999999999999E-2</v>
      </c>
      <c r="E43" s="207">
        <v>0</v>
      </c>
      <c r="F43" s="207">
        <v>0</v>
      </c>
      <c r="G43" s="207">
        <v>0.9</v>
      </c>
      <c r="H43" s="207">
        <v>0.65</v>
      </c>
      <c r="I43" s="207">
        <v>1.32</v>
      </c>
      <c r="J43" s="207">
        <v>0.3</v>
      </c>
      <c r="K43" s="207">
        <v>0.6</v>
      </c>
      <c r="L43" s="207">
        <v>0</v>
      </c>
      <c r="M43" s="207">
        <v>0.03</v>
      </c>
      <c r="N43" s="207">
        <v>5.7</v>
      </c>
      <c r="O43" s="207">
        <v>61.891999999999996</v>
      </c>
      <c r="P43" s="207">
        <v>65.094000000000008</v>
      </c>
      <c r="Q43" s="207">
        <v>14.54</v>
      </c>
      <c r="R43" s="207">
        <v>0.05</v>
      </c>
      <c r="S43" s="207">
        <v>0</v>
      </c>
      <c r="T43" s="207">
        <v>0</v>
      </c>
      <c r="U43" s="207">
        <v>0</v>
      </c>
      <c r="V43" s="207">
        <v>0</v>
      </c>
      <c r="W43" s="207">
        <v>7.0000000000000007E-2</v>
      </c>
      <c r="X43" s="207">
        <v>6.0000000000000001E-3</v>
      </c>
      <c r="Y43" s="207">
        <v>8.5000000000000006E-2</v>
      </c>
      <c r="Z43" s="207">
        <v>0</v>
      </c>
      <c r="AA43" s="207">
        <v>0</v>
      </c>
      <c r="AB43" s="207">
        <v>0</v>
      </c>
      <c r="AC43" s="207">
        <v>2.9000000000000001E-2</v>
      </c>
      <c r="AD43" s="207">
        <v>0.05</v>
      </c>
      <c r="AE43" s="207">
        <v>0</v>
      </c>
      <c r="AF43" s="207">
        <v>0.1</v>
      </c>
      <c r="AG43" s="207">
        <v>0</v>
      </c>
      <c r="AH43" s="53">
        <f t="shared" si="6"/>
        <v>152.27300000000002</v>
      </c>
    </row>
    <row r="44" spans="1:34" ht="15" customHeight="1">
      <c r="A44" s="1831" t="s">
        <v>78</v>
      </c>
      <c r="B44" s="18">
        <f t="shared" si="7"/>
        <v>67.042000000000002</v>
      </c>
      <c r="C44" s="112">
        <v>31.323999999999998</v>
      </c>
      <c r="D44" s="112">
        <v>0</v>
      </c>
      <c r="E44" s="112">
        <v>0.02</v>
      </c>
      <c r="F44" s="112">
        <v>0</v>
      </c>
      <c r="G44" s="112">
        <v>0</v>
      </c>
      <c r="H44" s="112">
        <v>0</v>
      </c>
      <c r="I44" s="112">
        <v>7.0149999999999997</v>
      </c>
      <c r="J44" s="112">
        <v>0</v>
      </c>
      <c r="K44" s="112">
        <v>4</v>
      </c>
      <c r="L44" s="112">
        <v>0.35</v>
      </c>
      <c r="M44" s="112">
        <v>0</v>
      </c>
      <c r="N44" s="112">
        <v>0.08</v>
      </c>
      <c r="O44" s="112">
        <v>12.478</v>
      </c>
      <c r="P44" s="112">
        <v>0.23</v>
      </c>
      <c r="Q44" s="112">
        <v>3.0000000000000001E-3</v>
      </c>
      <c r="R44" s="112">
        <v>0.35</v>
      </c>
      <c r="S44" s="112">
        <v>10.824999999999999</v>
      </c>
      <c r="T44" s="112">
        <v>4.0000000000000001E-3</v>
      </c>
      <c r="U44" s="112">
        <v>0</v>
      </c>
      <c r="V44" s="112">
        <v>0</v>
      </c>
      <c r="W44" s="112">
        <v>0</v>
      </c>
      <c r="X44" s="112">
        <v>0</v>
      </c>
      <c r="Y44" s="112">
        <v>0.02</v>
      </c>
      <c r="Z44" s="112">
        <v>0.1</v>
      </c>
      <c r="AA44" s="112">
        <v>7.5000000000000011E-2</v>
      </c>
      <c r="AB44" s="112">
        <v>9.0000000000000011E-2</v>
      </c>
      <c r="AC44" s="112">
        <v>1.4999999999999999E-2</v>
      </c>
      <c r="AD44" s="112">
        <v>2.5000000000000001E-2</v>
      </c>
      <c r="AE44" s="112">
        <v>0</v>
      </c>
      <c r="AF44" s="112">
        <v>3.7999999999999999E-2</v>
      </c>
      <c r="AG44" s="112"/>
      <c r="AH44" s="53">
        <f t="shared" si="6"/>
        <v>67.042000000000002</v>
      </c>
    </row>
    <row r="45" spans="1:34" ht="15" customHeight="1">
      <c r="A45" s="1831" t="s">
        <v>79</v>
      </c>
      <c r="B45" s="18">
        <f t="shared" si="7"/>
        <v>65.654000000000025</v>
      </c>
      <c r="C45" s="49">
        <v>0.13500000000000001</v>
      </c>
      <c r="D45" s="18">
        <v>0</v>
      </c>
      <c r="E45" s="18">
        <v>0</v>
      </c>
      <c r="F45" s="18">
        <v>1.4999999999999999E-2</v>
      </c>
      <c r="G45" s="18">
        <v>0</v>
      </c>
      <c r="H45" s="18">
        <v>0.04</v>
      </c>
      <c r="I45" s="18">
        <v>17.649999999999999</v>
      </c>
      <c r="J45" s="18">
        <v>35.991</v>
      </c>
      <c r="K45" s="18">
        <v>11.019</v>
      </c>
      <c r="L45" s="18">
        <v>0</v>
      </c>
      <c r="M45" s="18">
        <v>0.10300000000000001</v>
      </c>
      <c r="N45" s="18">
        <v>0</v>
      </c>
      <c r="O45" s="18">
        <v>0</v>
      </c>
      <c r="P45" s="18">
        <v>6.0000000000000001E-3</v>
      </c>
      <c r="Q45" s="18">
        <v>6.0000000000000001E-3</v>
      </c>
      <c r="R45" s="18">
        <v>0.1</v>
      </c>
      <c r="S45" s="18">
        <v>0</v>
      </c>
      <c r="T45" s="18">
        <v>0.18</v>
      </c>
      <c r="U45" s="18">
        <v>0</v>
      </c>
      <c r="V45" s="18">
        <v>0</v>
      </c>
      <c r="W45" s="18">
        <v>0</v>
      </c>
      <c r="X45" s="18">
        <v>0</v>
      </c>
      <c r="Y45" s="18">
        <v>0.08</v>
      </c>
      <c r="Z45" s="18">
        <v>0</v>
      </c>
      <c r="AA45" s="18">
        <v>3.6999999999999998E-2</v>
      </c>
      <c r="AB45" s="18">
        <v>3.4999999999999996E-2</v>
      </c>
      <c r="AC45" s="18">
        <v>4.2999999999999997E-2</v>
      </c>
      <c r="AD45" s="18">
        <v>4.0000000000000001E-3</v>
      </c>
      <c r="AE45" s="18">
        <v>0.15000000000000002</v>
      </c>
      <c r="AF45" s="18">
        <v>0.05</v>
      </c>
      <c r="AG45" s="18">
        <v>0.01</v>
      </c>
      <c r="AH45" s="53">
        <f t="shared" si="6"/>
        <v>65.654000000000025</v>
      </c>
    </row>
    <row r="46" spans="1:34" ht="15" customHeight="1">
      <c r="A46" s="1831" t="s">
        <v>80</v>
      </c>
      <c r="B46" s="18">
        <f t="shared" si="7"/>
        <v>137.92699999999999</v>
      </c>
      <c r="C46" s="49">
        <v>0.05</v>
      </c>
      <c r="D46" s="18">
        <v>0</v>
      </c>
      <c r="E46" s="18">
        <v>0</v>
      </c>
      <c r="F46" s="18">
        <v>0.11</v>
      </c>
      <c r="G46" s="18">
        <v>0</v>
      </c>
      <c r="H46" s="18">
        <v>8.0000000000000002E-3</v>
      </c>
      <c r="I46" s="18">
        <v>1.2E-2</v>
      </c>
      <c r="J46" s="18">
        <v>0</v>
      </c>
      <c r="K46" s="18">
        <v>0</v>
      </c>
      <c r="L46" s="18">
        <v>0.05</v>
      </c>
      <c r="M46" s="18">
        <v>0.08</v>
      </c>
      <c r="N46" s="18">
        <v>0</v>
      </c>
      <c r="O46" s="18">
        <v>1.7999999999999999E-2</v>
      </c>
      <c r="P46" s="18">
        <v>0</v>
      </c>
      <c r="Q46" s="18">
        <v>0.08</v>
      </c>
      <c r="R46" s="18">
        <v>0.10200000000000001</v>
      </c>
      <c r="S46" s="18">
        <v>0.11</v>
      </c>
      <c r="T46" s="18">
        <v>0.04</v>
      </c>
      <c r="U46" s="18">
        <v>0</v>
      </c>
      <c r="V46" s="18">
        <v>6.0000000000000001E-3</v>
      </c>
      <c r="W46" s="18">
        <v>19.835000000000001</v>
      </c>
      <c r="X46" s="18">
        <v>3</v>
      </c>
      <c r="Y46" s="18">
        <v>0</v>
      </c>
      <c r="Z46" s="18">
        <v>8.7249999999999996</v>
      </c>
      <c r="AA46" s="18">
        <v>58.375</v>
      </c>
      <c r="AB46" s="18">
        <v>47.316000000000003</v>
      </c>
      <c r="AC46" s="18">
        <v>0</v>
      </c>
      <c r="AD46" s="18">
        <v>0.01</v>
      </c>
      <c r="AE46" s="18">
        <v>0</v>
      </c>
      <c r="AF46" s="18">
        <v>0</v>
      </c>
      <c r="AG46" s="18"/>
      <c r="AH46" s="53">
        <f t="shared" si="6"/>
        <v>137.92699999999999</v>
      </c>
    </row>
    <row r="47" spans="1:34" ht="15" customHeight="1">
      <c r="A47" s="1831" t="s">
        <v>81</v>
      </c>
      <c r="B47" s="18">
        <f t="shared" si="7"/>
        <v>39.220000000000006</v>
      </c>
      <c r="C47" s="49">
        <v>5.9</v>
      </c>
      <c r="D47" s="18">
        <v>19.032</v>
      </c>
      <c r="E47" s="18">
        <v>13.86</v>
      </c>
      <c r="F47" s="18">
        <v>0</v>
      </c>
      <c r="G47" s="18">
        <v>0</v>
      </c>
      <c r="H47" s="18">
        <v>0</v>
      </c>
      <c r="I47" s="18">
        <v>0</v>
      </c>
      <c r="J47" s="49">
        <v>0</v>
      </c>
      <c r="K47" s="49">
        <v>0</v>
      </c>
      <c r="L47" s="18">
        <v>8.0000000000000002E-3</v>
      </c>
      <c r="M47" s="18">
        <v>6.0000000000000001E-3</v>
      </c>
      <c r="N47" s="18">
        <v>0</v>
      </c>
      <c r="O47" s="18">
        <v>0</v>
      </c>
      <c r="P47" s="18">
        <v>0</v>
      </c>
      <c r="Q47" s="18">
        <v>0.05</v>
      </c>
      <c r="R47" s="18">
        <v>5.0000000000000001E-3</v>
      </c>
      <c r="S47" s="18">
        <v>0</v>
      </c>
      <c r="T47" s="18">
        <v>5.6000000000000001E-2</v>
      </c>
      <c r="U47" s="18">
        <v>0</v>
      </c>
      <c r="V47" s="18">
        <v>0.11800000000000001</v>
      </c>
      <c r="W47" s="18">
        <v>0.04</v>
      </c>
      <c r="X47" s="18">
        <v>0</v>
      </c>
      <c r="Y47" s="18">
        <v>4.4999999999999998E-2</v>
      </c>
      <c r="Z47" s="18">
        <v>0</v>
      </c>
      <c r="AA47" s="18">
        <v>3.6999999999999998E-2</v>
      </c>
      <c r="AB47" s="18">
        <v>0</v>
      </c>
      <c r="AC47" s="18">
        <v>0.02</v>
      </c>
      <c r="AD47" s="18">
        <v>0</v>
      </c>
      <c r="AE47" s="18">
        <v>4.2999999999999997E-2</v>
      </c>
      <c r="AF47" s="18">
        <v>0</v>
      </c>
      <c r="AG47" s="18">
        <v>0</v>
      </c>
      <c r="AH47" s="53">
        <f t="shared" si="6"/>
        <v>39.220000000000006</v>
      </c>
    </row>
    <row r="48" spans="1:34" ht="15" customHeight="1">
      <c r="A48" s="1831" t="s">
        <v>82</v>
      </c>
      <c r="B48" s="18">
        <f t="shared" si="7"/>
        <v>25.648999999999997</v>
      </c>
      <c r="C48" s="49">
        <v>0</v>
      </c>
      <c r="D48" s="18">
        <v>0</v>
      </c>
      <c r="E48" s="18">
        <v>0</v>
      </c>
      <c r="F48" s="18">
        <v>0</v>
      </c>
      <c r="G48" s="18">
        <v>0</v>
      </c>
      <c r="H48" s="18">
        <v>0.11</v>
      </c>
      <c r="I48" s="18">
        <v>3.5</v>
      </c>
      <c r="J48" s="49">
        <v>0</v>
      </c>
      <c r="K48" s="49">
        <v>5.8000000000000003E-2</v>
      </c>
      <c r="L48" s="18">
        <v>0</v>
      </c>
      <c r="M48" s="18">
        <v>3.4000000000000002E-2</v>
      </c>
      <c r="N48" s="18">
        <v>6.0000000000000001E-3</v>
      </c>
      <c r="O48" s="18">
        <v>0</v>
      </c>
      <c r="P48" s="18">
        <v>0.09</v>
      </c>
      <c r="Q48" s="18">
        <v>0</v>
      </c>
      <c r="R48" s="18">
        <v>2.3E-2</v>
      </c>
      <c r="S48" s="18">
        <v>1.2E-2</v>
      </c>
      <c r="T48" s="18">
        <v>0</v>
      </c>
      <c r="U48" s="18">
        <v>0</v>
      </c>
      <c r="V48" s="18">
        <v>0</v>
      </c>
      <c r="W48" s="18">
        <v>0</v>
      </c>
      <c r="X48" s="18">
        <v>8.0000000000000002E-3</v>
      </c>
      <c r="Y48" s="18">
        <v>0</v>
      </c>
      <c r="Z48" s="18">
        <v>0</v>
      </c>
      <c r="AA48" s="18">
        <v>0</v>
      </c>
      <c r="AB48" s="18">
        <v>0</v>
      </c>
      <c r="AC48" s="18">
        <v>0</v>
      </c>
      <c r="AD48" s="18">
        <v>8.0000000000000002E-3</v>
      </c>
      <c r="AE48" s="18">
        <v>0</v>
      </c>
      <c r="AF48" s="18">
        <v>0</v>
      </c>
      <c r="AG48" s="18">
        <v>21.799999999999997</v>
      </c>
      <c r="AH48" s="53">
        <f t="shared" si="6"/>
        <v>25.648999999999997</v>
      </c>
    </row>
    <row r="49" spans="1:34" ht="15" customHeight="1">
      <c r="A49" s="1831" t="s">
        <v>83</v>
      </c>
      <c r="B49" s="18">
        <f t="shared" si="7"/>
        <v>43.379999999999995</v>
      </c>
      <c r="C49" s="49">
        <v>0</v>
      </c>
      <c r="D49" s="18">
        <v>9.5060000000000002</v>
      </c>
      <c r="E49" s="18">
        <v>0</v>
      </c>
      <c r="F49" s="18">
        <v>0</v>
      </c>
      <c r="G49" s="18">
        <v>0</v>
      </c>
      <c r="H49" s="18">
        <v>0</v>
      </c>
      <c r="I49" s="18">
        <v>0</v>
      </c>
      <c r="J49" s="49">
        <v>0</v>
      </c>
      <c r="K49" s="49">
        <v>4.0000000000000001E-3</v>
      </c>
      <c r="L49" s="18">
        <v>12.808</v>
      </c>
      <c r="M49" s="18">
        <v>0</v>
      </c>
      <c r="N49" s="18">
        <v>0.2</v>
      </c>
      <c r="O49" s="18">
        <v>0</v>
      </c>
      <c r="P49" s="18">
        <v>0</v>
      </c>
      <c r="Q49" s="18">
        <v>0</v>
      </c>
      <c r="R49" s="18">
        <v>8.0000000000000002E-3</v>
      </c>
      <c r="S49" s="18">
        <v>0</v>
      </c>
      <c r="T49" s="18">
        <v>0</v>
      </c>
      <c r="U49" s="18">
        <v>0</v>
      </c>
      <c r="V49" s="18">
        <v>0</v>
      </c>
      <c r="W49" s="18">
        <v>0</v>
      </c>
      <c r="X49" s="18">
        <v>0</v>
      </c>
      <c r="Y49" s="18">
        <v>16.747999999999998</v>
      </c>
      <c r="Z49" s="18">
        <v>2</v>
      </c>
      <c r="AA49" s="18">
        <v>0</v>
      </c>
      <c r="AB49" s="18">
        <v>2.1</v>
      </c>
      <c r="AC49" s="18">
        <v>0</v>
      </c>
      <c r="AD49" s="18">
        <v>0</v>
      </c>
      <c r="AE49" s="18">
        <v>0</v>
      </c>
      <c r="AF49" s="18">
        <v>6.0000000000000001E-3</v>
      </c>
      <c r="AG49" s="18"/>
      <c r="AH49" s="53">
        <f t="shared" si="6"/>
        <v>43.379999999999995</v>
      </c>
    </row>
    <row r="50" spans="1:34" ht="15" customHeight="1">
      <c r="A50" s="1831" t="s">
        <v>84</v>
      </c>
      <c r="B50" s="18">
        <f t="shared" si="7"/>
        <v>11.048999999999999</v>
      </c>
      <c r="C50" s="49">
        <v>0</v>
      </c>
      <c r="D50" s="18">
        <v>0</v>
      </c>
      <c r="E50" s="18">
        <v>0</v>
      </c>
      <c r="F50" s="18">
        <v>1.7000000000000001E-2</v>
      </c>
      <c r="G50" s="18">
        <v>0</v>
      </c>
      <c r="H50" s="18">
        <v>1.2E-2</v>
      </c>
      <c r="I50" s="18">
        <v>1.2E-2</v>
      </c>
      <c r="J50" s="18">
        <v>0.03</v>
      </c>
      <c r="K50" s="18">
        <v>0.02</v>
      </c>
      <c r="L50" s="18">
        <v>8.2000000000000003E-2</v>
      </c>
      <c r="M50" s="18">
        <v>0</v>
      </c>
      <c r="N50" s="18">
        <v>1.7999999999999999E-2</v>
      </c>
      <c r="O50" s="18">
        <v>1.4999999999999999E-2</v>
      </c>
      <c r="P50" s="18">
        <v>0</v>
      </c>
      <c r="Q50" s="18">
        <v>1.2E-2</v>
      </c>
      <c r="R50" s="18">
        <v>1.7999999999999999E-2</v>
      </c>
      <c r="S50" s="18">
        <v>0</v>
      </c>
      <c r="T50" s="18">
        <v>1.4999999999999999E-2</v>
      </c>
      <c r="U50" s="18">
        <v>0</v>
      </c>
      <c r="V50" s="18">
        <v>1.4999999999999999E-2</v>
      </c>
      <c r="W50" s="18">
        <v>1.5</v>
      </c>
      <c r="X50" s="18">
        <v>9.2379999999999995</v>
      </c>
      <c r="Y50" s="18">
        <v>0</v>
      </c>
      <c r="Z50" s="18">
        <v>1.2E-2</v>
      </c>
      <c r="AA50" s="18">
        <v>0</v>
      </c>
      <c r="AB50" s="18">
        <v>0</v>
      </c>
      <c r="AC50" s="18">
        <v>0.01</v>
      </c>
      <c r="AD50" s="18">
        <v>1.4999999999999999E-2</v>
      </c>
      <c r="AE50" s="18">
        <v>8.0000000000000002E-3</v>
      </c>
      <c r="AF50" s="18">
        <v>0</v>
      </c>
      <c r="AG50" s="18">
        <v>0</v>
      </c>
      <c r="AH50" s="53">
        <f t="shared" si="6"/>
        <v>11.048999999999999</v>
      </c>
    </row>
    <row r="51" spans="1:34" ht="15" customHeight="1">
      <c r="A51" s="1744" t="s">
        <v>85</v>
      </c>
      <c r="B51" s="18">
        <f t="shared" si="7"/>
        <v>20.936</v>
      </c>
      <c r="C51" s="49">
        <v>0</v>
      </c>
      <c r="D51" s="18">
        <v>0</v>
      </c>
      <c r="E51" s="18">
        <v>0</v>
      </c>
      <c r="F51" s="18">
        <v>0</v>
      </c>
      <c r="G51" s="8">
        <v>9.9499999999999993</v>
      </c>
      <c r="H51" s="18">
        <v>2.7E-2</v>
      </c>
      <c r="I51" s="18">
        <v>0.1</v>
      </c>
      <c r="J51" s="18">
        <v>0</v>
      </c>
      <c r="K51" s="18">
        <v>0.04</v>
      </c>
      <c r="L51" s="18">
        <v>0.1</v>
      </c>
      <c r="M51" s="18">
        <v>3.5</v>
      </c>
      <c r="N51" s="18">
        <v>0</v>
      </c>
      <c r="O51" s="18">
        <v>0</v>
      </c>
      <c r="P51" s="18">
        <v>0</v>
      </c>
      <c r="Q51" s="18">
        <v>0</v>
      </c>
      <c r="R51" s="18">
        <v>0</v>
      </c>
      <c r="S51" s="18">
        <v>0</v>
      </c>
      <c r="T51" s="18">
        <v>0</v>
      </c>
      <c r="U51" s="18">
        <v>0</v>
      </c>
      <c r="V51" s="18">
        <v>0</v>
      </c>
      <c r="W51" s="18">
        <v>0</v>
      </c>
      <c r="X51" s="18">
        <v>0</v>
      </c>
      <c r="Y51" s="8">
        <v>0</v>
      </c>
      <c r="Z51" s="18">
        <v>1.4999999999999999E-2</v>
      </c>
      <c r="AA51" s="18">
        <v>0</v>
      </c>
      <c r="AB51" s="18">
        <v>7.1920000000000002</v>
      </c>
      <c r="AC51" s="18">
        <v>0</v>
      </c>
      <c r="AD51" s="18">
        <v>0</v>
      </c>
      <c r="AE51" s="18">
        <v>1.2E-2</v>
      </c>
      <c r="AF51" s="18">
        <v>0</v>
      </c>
      <c r="AG51" s="18">
        <v>0</v>
      </c>
      <c r="AH51" s="53">
        <f t="shared" si="6"/>
        <v>20.936</v>
      </c>
    </row>
    <row r="52" spans="1:34" ht="15" customHeight="1">
      <c r="A52" s="1744" t="s">
        <v>86</v>
      </c>
      <c r="B52" s="18">
        <f t="shared" si="7"/>
        <v>0.13100000000000001</v>
      </c>
      <c r="C52" s="49">
        <v>0</v>
      </c>
      <c r="D52" s="18">
        <v>0</v>
      </c>
      <c r="E52" s="18">
        <v>0</v>
      </c>
      <c r="F52" s="18">
        <v>0</v>
      </c>
      <c r="G52" s="18">
        <v>0</v>
      </c>
      <c r="H52" s="18">
        <v>0</v>
      </c>
      <c r="I52" s="18">
        <v>0</v>
      </c>
      <c r="J52" s="18">
        <v>0</v>
      </c>
      <c r="K52" s="18">
        <v>5.3999999999999999E-2</v>
      </c>
      <c r="L52" s="18">
        <v>0</v>
      </c>
      <c r="M52" s="18">
        <v>0</v>
      </c>
      <c r="N52" s="18">
        <v>0</v>
      </c>
      <c r="O52" s="18">
        <v>0</v>
      </c>
      <c r="P52" s="18">
        <v>0</v>
      </c>
      <c r="Q52" s="18">
        <v>0</v>
      </c>
      <c r="R52" s="18">
        <v>7.6999999999999999E-2</v>
      </c>
      <c r="S52" s="18">
        <v>0</v>
      </c>
      <c r="T52" s="18">
        <v>0</v>
      </c>
      <c r="U52" s="18">
        <v>0</v>
      </c>
      <c r="V52" s="18">
        <v>0</v>
      </c>
      <c r="W52" s="18">
        <v>0</v>
      </c>
      <c r="X52" s="18">
        <v>0</v>
      </c>
      <c r="Y52" s="18">
        <v>0</v>
      </c>
      <c r="Z52" s="18">
        <v>0</v>
      </c>
      <c r="AA52" s="18">
        <v>0</v>
      </c>
      <c r="AB52" s="18">
        <v>0</v>
      </c>
      <c r="AC52" s="18">
        <v>0</v>
      </c>
      <c r="AD52" s="18">
        <v>0</v>
      </c>
      <c r="AE52" s="18">
        <v>0</v>
      </c>
      <c r="AF52" s="18">
        <v>0</v>
      </c>
      <c r="AG52" s="18">
        <v>0</v>
      </c>
      <c r="AH52" s="53">
        <f t="shared" si="6"/>
        <v>0.13100000000000001</v>
      </c>
    </row>
    <row r="53" spans="1:34" ht="15" customHeight="1">
      <c r="A53" s="88" t="s">
        <v>74</v>
      </c>
      <c r="B53" s="89">
        <f t="shared" ref="B53:AG53" si="8">SUM(B41:B52)</f>
        <v>618.24500000000012</v>
      </c>
      <c r="C53" s="46">
        <f t="shared" si="8"/>
        <v>38.199999999999989</v>
      </c>
      <c r="D53" s="53">
        <f t="shared" si="8"/>
        <v>28.705000000000002</v>
      </c>
      <c r="E53" s="53">
        <f t="shared" si="8"/>
        <v>14.24</v>
      </c>
      <c r="F53" s="53">
        <f t="shared" si="8"/>
        <v>0.22699999999999998</v>
      </c>
      <c r="G53" s="53">
        <f t="shared" si="8"/>
        <v>10.986999999999998</v>
      </c>
      <c r="H53" s="53">
        <f t="shared" si="8"/>
        <v>9.4299999999999979</v>
      </c>
      <c r="I53" s="53">
        <f t="shared" si="8"/>
        <v>33.256</v>
      </c>
      <c r="J53" s="53">
        <f t="shared" si="8"/>
        <v>63.701000000000001</v>
      </c>
      <c r="K53" s="53">
        <f t="shared" si="8"/>
        <v>22.944999999999997</v>
      </c>
      <c r="L53" s="53">
        <f t="shared" si="8"/>
        <v>13.41</v>
      </c>
      <c r="M53" s="53">
        <f t="shared" si="8"/>
        <v>3.7530000000000001</v>
      </c>
      <c r="N53" s="53">
        <f t="shared" si="8"/>
        <v>10.304</v>
      </c>
      <c r="O53" s="53">
        <f t="shared" si="8"/>
        <v>74.727999999999994</v>
      </c>
      <c r="P53" s="53">
        <f t="shared" si="8"/>
        <v>65.432000000000016</v>
      </c>
      <c r="Q53" s="53">
        <f t="shared" si="8"/>
        <v>14.691000000000001</v>
      </c>
      <c r="R53" s="53">
        <f t="shared" si="8"/>
        <v>0.83799999999999997</v>
      </c>
      <c r="S53" s="53">
        <f t="shared" si="8"/>
        <v>10.946999999999999</v>
      </c>
      <c r="T53" s="53">
        <f t="shared" si="8"/>
        <v>0.72000000000000008</v>
      </c>
      <c r="U53" s="53">
        <f t="shared" si="8"/>
        <v>7.0000000000000007E-2</v>
      </c>
      <c r="V53" s="53">
        <f t="shared" si="8"/>
        <v>0.23400000000000004</v>
      </c>
      <c r="W53" s="53">
        <f t="shared" si="8"/>
        <v>21.545000000000002</v>
      </c>
      <c r="X53" s="53">
        <f t="shared" si="8"/>
        <v>12.414</v>
      </c>
      <c r="Y53" s="53">
        <f t="shared" si="8"/>
        <v>17.262999999999998</v>
      </c>
      <c r="Z53" s="53">
        <f t="shared" si="8"/>
        <v>10.882000000000001</v>
      </c>
      <c r="AA53" s="53">
        <f t="shared" si="8"/>
        <v>58.573999999999998</v>
      </c>
      <c r="AB53" s="53">
        <f t="shared" si="8"/>
        <v>57.353000000000002</v>
      </c>
      <c r="AC53" s="53">
        <f t="shared" si="8"/>
        <v>1.0170000000000001</v>
      </c>
      <c r="AD53" s="53">
        <f t="shared" si="8"/>
        <v>0.15200000000000002</v>
      </c>
      <c r="AE53" s="53">
        <f t="shared" si="8"/>
        <v>0.21300000000000002</v>
      </c>
      <c r="AF53" s="53">
        <f t="shared" si="8"/>
        <v>0.19800000000000001</v>
      </c>
      <c r="AG53" s="53">
        <f t="shared" si="8"/>
        <v>21.815999999999995</v>
      </c>
      <c r="AH53" s="46">
        <f t="shared" si="6"/>
        <v>618.24499999999989</v>
      </c>
    </row>
    <row r="54" spans="1:34" ht="15" customHeight="1">
      <c r="A54" s="135"/>
      <c r="B54" s="135"/>
      <c r="C54" s="135"/>
      <c r="D54" s="135"/>
      <c r="E54" s="135"/>
      <c r="F54" s="135"/>
      <c r="G54" s="135"/>
      <c r="H54" s="135"/>
      <c r="I54" s="135"/>
      <c r="J54" s="135"/>
      <c r="K54" s="135"/>
      <c r="L54" s="135"/>
      <c r="M54" s="135"/>
      <c r="N54" s="135"/>
      <c r="O54" s="135"/>
      <c r="P54" s="135"/>
      <c r="Q54" s="135"/>
      <c r="R54" s="135"/>
      <c r="S54" s="135"/>
      <c r="T54" s="135"/>
      <c r="U54" s="11"/>
      <c r="V54" s="11"/>
      <c r="W54" s="11"/>
      <c r="X54" s="11"/>
      <c r="Y54" s="11"/>
      <c r="Z54" s="11"/>
      <c r="AA54" s="11"/>
      <c r="AB54" s="11"/>
      <c r="AC54" s="11"/>
      <c r="AD54" s="11"/>
      <c r="AE54" s="11"/>
      <c r="AF54" s="11"/>
      <c r="AG54" s="11"/>
      <c r="AH54" s="1"/>
    </row>
    <row r="55" spans="1:34" ht="15" customHeight="1">
      <c r="A55" s="3591" t="s">
        <v>95</v>
      </c>
      <c r="B55" s="3592"/>
      <c r="C55" s="3592"/>
      <c r="D55" s="3592"/>
      <c r="E55" s="3592"/>
      <c r="F55" s="3592"/>
      <c r="G55" s="3592"/>
      <c r="H55" s="3592"/>
      <c r="I55" s="3592"/>
      <c r="J55" s="3592"/>
      <c r="K55" s="3592"/>
      <c r="L55" s="3592"/>
      <c r="M55" s="3592"/>
      <c r="N55" s="3592"/>
      <c r="O55" s="3592"/>
      <c r="P55" s="3592"/>
      <c r="Q55" s="3592"/>
      <c r="R55" s="3593"/>
      <c r="S55" s="11"/>
      <c r="T55" s="11"/>
      <c r="U55" s="11"/>
      <c r="V55" s="11"/>
      <c r="W55" s="11"/>
      <c r="X55" s="11"/>
      <c r="Y55" s="11"/>
      <c r="Z55" s="11"/>
      <c r="AA55" s="11"/>
      <c r="AB55" s="11"/>
      <c r="AC55" s="11"/>
      <c r="AD55" s="11"/>
      <c r="AE55" s="11"/>
      <c r="AF55" s="11"/>
      <c r="AG55" s="11"/>
      <c r="AH55" s="1"/>
    </row>
    <row r="56" spans="1:34" ht="5.0999999999999996" customHeight="1">
      <c r="A56" s="50"/>
      <c r="B56" s="74"/>
      <c r="C56" s="13"/>
      <c r="D56" s="52"/>
      <c r="E56" s="52"/>
      <c r="F56" s="52"/>
      <c r="G56" s="52"/>
      <c r="H56" s="52"/>
      <c r="I56" s="52"/>
      <c r="J56" s="52"/>
      <c r="K56" s="52"/>
      <c r="L56" s="52"/>
      <c r="M56" s="52"/>
      <c r="N56" s="52"/>
      <c r="O56" s="52"/>
      <c r="P56" s="52"/>
      <c r="Q56" s="52"/>
      <c r="R56" s="52"/>
      <c r="S56" s="52"/>
      <c r="T56" s="52"/>
      <c r="U56" s="52"/>
      <c r="V56" s="52"/>
      <c r="W56" s="52"/>
      <c r="X56" s="52"/>
      <c r="Y56" s="52"/>
      <c r="Z56" s="52"/>
      <c r="AA56" s="52"/>
      <c r="AB56" s="52"/>
      <c r="AC56" s="52"/>
      <c r="AD56" s="52"/>
      <c r="AE56" s="52"/>
      <c r="AF56" s="52"/>
      <c r="AG56" s="52"/>
      <c r="AH56" s="13"/>
    </row>
    <row r="57" spans="1:34" ht="15" customHeight="1">
      <c r="A57" s="3640" t="s">
        <v>90</v>
      </c>
      <c r="B57" s="3641"/>
      <c r="C57" s="3641"/>
      <c r="D57" s="3641"/>
      <c r="E57" s="3641"/>
      <c r="F57" s="3641"/>
      <c r="G57" s="3641"/>
      <c r="H57" s="3641"/>
      <c r="I57" s="3641"/>
      <c r="J57" s="3641"/>
      <c r="K57" s="3641"/>
      <c r="L57" s="3641"/>
      <c r="M57" s="3641"/>
      <c r="N57" s="11"/>
      <c r="O57" s="11"/>
      <c r="P57" s="11"/>
      <c r="Q57" s="11"/>
      <c r="R57" s="11"/>
      <c r="S57" s="11"/>
      <c r="T57" s="11"/>
      <c r="U57" s="11"/>
      <c r="V57" s="11"/>
      <c r="W57" s="11"/>
      <c r="X57" s="11"/>
      <c r="Y57" s="11"/>
      <c r="Z57" s="11"/>
      <c r="AA57" s="11"/>
      <c r="AB57" s="11"/>
      <c r="AC57" s="11"/>
      <c r="AD57" s="11"/>
      <c r="AE57" s="11"/>
      <c r="AF57" s="11"/>
      <c r="AG57" s="11"/>
      <c r="AH57" s="11"/>
    </row>
    <row r="58" spans="1:34" ht="15" customHeight="1">
      <c r="A58" s="5" t="s">
        <v>91</v>
      </c>
      <c r="B58" s="71" t="s">
        <v>73</v>
      </c>
      <c r="C58" s="1249">
        <v>1</v>
      </c>
      <c r="D58" s="30">
        <v>2</v>
      </c>
      <c r="E58" s="30">
        <v>3</v>
      </c>
      <c r="F58" s="30">
        <v>4</v>
      </c>
      <c r="G58" s="30">
        <v>5</v>
      </c>
      <c r="H58" s="30">
        <v>6</v>
      </c>
      <c r="I58" s="30">
        <v>7</v>
      </c>
      <c r="J58" s="30">
        <v>8</v>
      </c>
      <c r="K58" s="30">
        <v>9</v>
      </c>
      <c r="L58" s="30">
        <v>10</v>
      </c>
      <c r="M58" s="30">
        <v>11</v>
      </c>
      <c r="N58" s="30">
        <v>12</v>
      </c>
      <c r="O58" s="30">
        <v>13</v>
      </c>
      <c r="P58" s="30">
        <v>14</v>
      </c>
      <c r="Q58" s="30">
        <v>15</v>
      </c>
      <c r="R58" s="30">
        <v>16</v>
      </c>
      <c r="S58" s="30">
        <v>17</v>
      </c>
      <c r="T58" s="30">
        <v>18</v>
      </c>
      <c r="U58" s="30">
        <v>19</v>
      </c>
      <c r="V58" s="30">
        <v>20</v>
      </c>
      <c r="W58" s="30">
        <v>21</v>
      </c>
      <c r="X58" s="30">
        <v>22</v>
      </c>
      <c r="Y58" s="30">
        <v>23</v>
      </c>
      <c r="Z58" s="30">
        <v>24</v>
      </c>
      <c r="AA58" s="30">
        <v>25</v>
      </c>
      <c r="AB58" s="30">
        <v>26</v>
      </c>
      <c r="AC58" s="30">
        <v>27</v>
      </c>
      <c r="AD58" s="30">
        <v>28</v>
      </c>
      <c r="AE58" s="30">
        <v>29</v>
      </c>
      <c r="AF58" s="30">
        <v>30</v>
      </c>
      <c r="AG58" s="30">
        <v>31</v>
      </c>
      <c r="AH58" s="39" t="s">
        <v>74</v>
      </c>
    </row>
    <row r="59" spans="1:34" ht="15" customHeight="1">
      <c r="A59" s="1233" t="s">
        <v>75</v>
      </c>
      <c r="B59" s="119">
        <f t="shared" ref="B59:B70" si="9">+AH59</f>
        <v>0</v>
      </c>
      <c r="C59" s="1287">
        <v>0</v>
      </c>
      <c r="D59" s="1287">
        <v>0</v>
      </c>
      <c r="E59" s="18">
        <v>0</v>
      </c>
      <c r="F59" s="18">
        <v>0</v>
      </c>
      <c r="G59" s="18">
        <v>0</v>
      </c>
      <c r="H59" s="18">
        <v>0</v>
      </c>
      <c r="I59" s="18">
        <v>0</v>
      </c>
      <c r="J59" s="18">
        <v>0</v>
      </c>
      <c r="K59" s="18">
        <v>0</v>
      </c>
      <c r="L59" s="18">
        <v>0</v>
      </c>
      <c r="M59" s="18">
        <v>0</v>
      </c>
      <c r="N59" s="18">
        <v>0</v>
      </c>
      <c r="O59" s="18">
        <v>0</v>
      </c>
      <c r="P59" s="18">
        <v>0</v>
      </c>
      <c r="Q59" s="18">
        <v>0</v>
      </c>
      <c r="R59" s="18">
        <v>0</v>
      </c>
      <c r="S59" s="18">
        <v>0</v>
      </c>
      <c r="T59" s="18">
        <v>0</v>
      </c>
      <c r="U59" s="18">
        <v>0</v>
      </c>
      <c r="V59" s="18">
        <v>0</v>
      </c>
      <c r="W59" s="18">
        <v>0</v>
      </c>
      <c r="X59" s="18">
        <v>0</v>
      </c>
      <c r="Y59" s="18">
        <v>0</v>
      </c>
      <c r="Z59" s="18">
        <v>0</v>
      </c>
      <c r="AA59" s="18">
        <v>0</v>
      </c>
      <c r="AB59" s="18">
        <v>0</v>
      </c>
      <c r="AC59" s="18">
        <v>0</v>
      </c>
      <c r="AD59" s="18">
        <v>0</v>
      </c>
      <c r="AE59" s="18">
        <v>0</v>
      </c>
      <c r="AF59" s="18">
        <v>0</v>
      </c>
      <c r="AG59" s="18">
        <v>0</v>
      </c>
      <c r="AH59" s="53">
        <f>SUM(C59:AG59)</f>
        <v>0</v>
      </c>
    </row>
    <row r="60" spans="1:34" ht="15" customHeight="1">
      <c r="A60" s="1233" t="s">
        <v>76</v>
      </c>
      <c r="B60" s="119">
        <f t="shared" si="9"/>
        <v>0</v>
      </c>
      <c r="C60" s="1287">
        <v>0</v>
      </c>
      <c r="D60" s="1287">
        <v>0</v>
      </c>
      <c r="E60" s="18">
        <v>0</v>
      </c>
      <c r="F60" s="18">
        <v>0</v>
      </c>
      <c r="G60" s="18">
        <v>0</v>
      </c>
      <c r="H60" s="18">
        <v>0</v>
      </c>
      <c r="I60" s="18">
        <v>0</v>
      </c>
      <c r="J60" s="18">
        <v>0</v>
      </c>
      <c r="K60" s="18">
        <v>0</v>
      </c>
      <c r="L60" s="18">
        <v>0</v>
      </c>
      <c r="M60" s="18">
        <v>0</v>
      </c>
      <c r="N60" s="18">
        <v>0</v>
      </c>
      <c r="O60" s="18">
        <v>0</v>
      </c>
      <c r="P60" s="18">
        <v>0</v>
      </c>
      <c r="Q60" s="18">
        <v>0</v>
      </c>
      <c r="R60" s="18">
        <v>0</v>
      </c>
      <c r="S60" s="18">
        <v>0</v>
      </c>
      <c r="T60" s="18">
        <v>0</v>
      </c>
      <c r="U60" s="18">
        <v>0</v>
      </c>
      <c r="V60" s="18">
        <v>0</v>
      </c>
      <c r="W60" s="18">
        <v>0</v>
      </c>
      <c r="X60" s="18">
        <v>0</v>
      </c>
      <c r="Y60" s="18">
        <v>0</v>
      </c>
      <c r="Z60" s="18">
        <v>0</v>
      </c>
      <c r="AA60" s="18">
        <v>0</v>
      </c>
      <c r="AB60" s="18">
        <v>0</v>
      </c>
      <c r="AC60" s="18">
        <v>0</v>
      </c>
      <c r="AD60" s="18">
        <v>0</v>
      </c>
      <c r="AE60" s="18">
        <v>0</v>
      </c>
      <c r="AF60" s="18">
        <v>0</v>
      </c>
      <c r="AG60" s="18">
        <v>0</v>
      </c>
      <c r="AH60" s="53">
        <f t="shared" ref="AH60:AH70" si="10">SUM(C60:AG60)</f>
        <v>0</v>
      </c>
    </row>
    <row r="61" spans="1:34" ht="15" customHeight="1">
      <c r="A61" s="1233" t="s">
        <v>77</v>
      </c>
      <c r="B61" s="119">
        <f t="shared" si="9"/>
        <v>0</v>
      </c>
      <c r="C61" s="1287">
        <v>0</v>
      </c>
      <c r="D61" s="1287">
        <v>0</v>
      </c>
      <c r="E61" s="18">
        <v>0</v>
      </c>
      <c r="F61" s="18">
        <v>0</v>
      </c>
      <c r="G61" s="18">
        <v>0</v>
      </c>
      <c r="H61" s="18">
        <v>0</v>
      </c>
      <c r="I61" s="18">
        <v>0</v>
      </c>
      <c r="J61" s="18">
        <v>0</v>
      </c>
      <c r="K61" s="18"/>
      <c r="L61" s="18"/>
      <c r="M61" s="18"/>
      <c r="N61" s="18"/>
      <c r="O61" s="18"/>
      <c r="P61" s="18"/>
      <c r="Q61" s="18"/>
      <c r="R61" s="18"/>
      <c r="S61" s="18"/>
      <c r="T61" s="18"/>
      <c r="U61" s="18"/>
      <c r="V61" s="18"/>
      <c r="W61" s="18"/>
      <c r="X61" s="18"/>
      <c r="Y61" s="18"/>
      <c r="Z61" s="18"/>
      <c r="AA61" s="18"/>
      <c r="AB61" s="18"/>
      <c r="AC61" s="18"/>
      <c r="AD61" s="18"/>
      <c r="AE61" s="18"/>
      <c r="AF61" s="18"/>
      <c r="AG61" s="18"/>
      <c r="AH61" s="53">
        <f t="shared" si="10"/>
        <v>0</v>
      </c>
    </row>
    <row r="62" spans="1:34" ht="15" customHeight="1">
      <c r="A62" s="1233" t="s">
        <v>78</v>
      </c>
      <c r="B62" s="119">
        <f t="shared" si="9"/>
        <v>0</v>
      </c>
      <c r="C62" s="1287"/>
      <c r="D62" s="1287"/>
      <c r="E62" s="18"/>
      <c r="F62" s="18"/>
      <c r="G62" s="18"/>
      <c r="H62" s="18"/>
      <c r="I62" s="18"/>
      <c r="J62" s="18"/>
      <c r="K62" s="18"/>
      <c r="L62" s="296"/>
      <c r="M62" s="296"/>
      <c r="N62" s="266"/>
      <c r="O62" s="266"/>
      <c r="P62" s="266"/>
      <c r="Q62" s="266"/>
      <c r="R62" s="266"/>
      <c r="S62" s="266"/>
      <c r="T62" s="266"/>
      <c r="U62" s="266"/>
      <c r="V62" s="266"/>
      <c r="W62" s="266"/>
      <c r="X62" s="266"/>
      <c r="Y62" s="266"/>
      <c r="Z62" s="266"/>
      <c r="AA62" s="266"/>
      <c r="AB62" s="266"/>
      <c r="AC62" s="266"/>
      <c r="AD62" s="266"/>
      <c r="AE62" s="266"/>
      <c r="AF62" s="266"/>
      <c r="AG62" s="266"/>
      <c r="AH62" s="53">
        <f t="shared" si="10"/>
        <v>0</v>
      </c>
    </row>
    <row r="63" spans="1:34" ht="15" customHeight="1">
      <c r="A63" s="1233" t="s">
        <v>79</v>
      </c>
      <c r="B63" s="119">
        <f t="shared" si="9"/>
        <v>0</v>
      </c>
      <c r="C63" s="1287"/>
      <c r="D63" s="1287"/>
      <c r="E63" s="18"/>
      <c r="F63" s="18"/>
      <c r="G63" s="18"/>
      <c r="H63" s="18"/>
      <c r="I63" s="18"/>
      <c r="J63" s="18"/>
      <c r="K63" s="18"/>
      <c r="L63" s="18"/>
      <c r="M63" s="18"/>
      <c r="N63" s="266"/>
      <c r="O63" s="266"/>
      <c r="P63" s="266"/>
      <c r="Q63" s="266"/>
      <c r="R63" s="266"/>
      <c r="S63" s="266"/>
      <c r="T63" s="266"/>
      <c r="U63" s="266"/>
      <c r="V63" s="266"/>
      <c r="W63" s="266"/>
      <c r="X63" s="266"/>
      <c r="Y63" s="266"/>
      <c r="Z63" s="266"/>
      <c r="AA63" s="266"/>
      <c r="AB63" s="266"/>
      <c r="AC63" s="266"/>
      <c r="AD63" s="266"/>
      <c r="AE63" s="266"/>
      <c r="AF63" s="266"/>
      <c r="AG63" s="266"/>
      <c r="AH63" s="53">
        <f t="shared" si="10"/>
        <v>0</v>
      </c>
    </row>
    <row r="64" spans="1:34" ht="15" customHeight="1">
      <c r="A64" s="1233" t="s">
        <v>80</v>
      </c>
      <c r="B64" s="119">
        <f t="shared" si="9"/>
        <v>0</v>
      </c>
      <c r="C64" s="1287"/>
      <c r="D64" s="1287"/>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53">
        <f t="shared" si="10"/>
        <v>0</v>
      </c>
    </row>
    <row r="65" spans="1:34" ht="15" customHeight="1">
      <c r="A65" s="1233" t="s">
        <v>81</v>
      </c>
      <c r="B65" s="119">
        <f t="shared" si="9"/>
        <v>0</v>
      </c>
      <c r="C65" s="1287"/>
      <c r="D65" s="1287"/>
      <c r="E65" s="18"/>
      <c r="F65" s="18"/>
      <c r="G65" s="18"/>
      <c r="H65" s="18"/>
      <c r="I65" s="18"/>
      <c r="J65" s="49"/>
      <c r="K65" s="49"/>
      <c r="L65" s="18"/>
      <c r="M65" s="18"/>
      <c r="N65" s="18"/>
      <c r="O65" s="18"/>
      <c r="P65" s="18"/>
      <c r="Q65" s="18"/>
      <c r="R65" s="18"/>
      <c r="S65" s="18"/>
      <c r="T65" s="18"/>
      <c r="U65" s="18"/>
      <c r="V65" s="18"/>
      <c r="W65" s="18"/>
      <c r="X65" s="18"/>
      <c r="Y65" s="18"/>
      <c r="Z65" s="18"/>
      <c r="AA65" s="18"/>
      <c r="AB65" s="18"/>
      <c r="AC65" s="18"/>
      <c r="AD65" s="18"/>
      <c r="AE65" s="18"/>
      <c r="AF65" s="18"/>
      <c r="AG65" s="18"/>
      <c r="AH65" s="53">
        <f t="shared" si="10"/>
        <v>0</v>
      </c>
    </row>
    <row r="66" spans="1:34" ht="15" customHeight="1">
      <c r="A66" s="1233" t="s">
        <v>82</v>
      </c>
      <c r="B66" s="119">
        <f t="shared" si="9"/>
        <v>0</v>
      </c>
      <c r="C66" s="1287"/>
      <c r="D66" s="1287"/>
      <c r="E66" s="18"/>
      <c r="F66" s="18"/>
      <c r="G66" s="18"/>
      <c r="H66" s="18"/>
      <c r="I66" s="18"/>
      <c r="J66" s="49"/>
      <c r="K66" s="49"/>
      <c r="L66" s="18"/>
      <c r="M66" s="18"/>
      <c r="N66" s="18"/>
      <c r="O66" s="18"/>
      <c r="P66" s="18"/>
      <c r="Q66" s="18"/>
      <c r="R66" s="18"/>
      <c r="S66" s="18"/>
      <c r="T66" s="18"/>
      <c r="U66" s="18"/>
      <c r="V66" s="18"/>
      <c r="W66" s="18"/>
      <c r="X66" s="18"/>
      <c r="Y66" s="18"/>
      <c r="Z66" s="18"/>
      <c r="AA66" s="18"/>
      <c r="AB66" s="18"/>
      <c r="AC66" s="18"/>
      <c r="AD66" s="18"/>
      <c r="AE66" s="18"/>
      <c r="AF66" s="18"/>
      <c r="AG66" s="18"/>
      <c r="AH66" s="53">
        <f t="shared" si="10"/>
        <v>0</v>
      </c>
    </row>
    <row r="67" spans="1:34" ht="15" customHeight="1">
      <c r="A67" s="1233" t="s">
        <v>83</v>
      </c>
      <c r="B67" s="119">
        <f t="shared" si="9"/>
        <v>0</v>
      </c>
      <c r="C67" s="1287"/>
      <c r="D67" s="1287"/>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53">
        <f t="shared" si="10"/>
        <v>0</v>
      </c>
    </row>
    <row r="68" spans="1:34" ht="15" customHeight="1">
      <c r="A68" s="1744" t="s">
        <v>84</v>
      </c>
      <c r="B68" s="28">
        <f t="shared" si="9"/>
        <v>0</v>
      </c>
      <c r="C68" s="1287"/>
      <c r="D68" s="1287"/>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53">
        <f t="shared" si="10"/>
        <v>0</v>
      </c>
    </row>
    <row r="69" spans="1:34" ht="15" customHeight="1">
      <c r="A69" s="1744" t="s">
        <v>85</v>
      </c>
      <c r="B69" s="28">
        <f t="shared" si="9"/>
        <v>0</v>
      </c>
      <c r="C69" s="1287"/>
      <c r="D69" s="1287"/>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53"/>
      <c r="AF69" s="18"/>
      <c r="AG69" s="53"/>
      <c r="AH69" s="53">
        <f t="shared" si="10"/>
        <v>0</v>
      </c>
    </row>
    <row r="70" spans="1:34" ht="15" customHeight="1">
      <c r="A70" s="1744" t="s">
        <v>86</v>
      </c>
      <c r="B70" s="28">
        <f t="shared" si="9"/>
        <v>0</v>
      </c>
      <c r="C70" s="1287"/>
      <c r="D70" s="1287"/>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53"/>
      <c r="AF70" s="18"/>
      <c r="AG70" s="53"/>
      <c r="AH70" s="53">
        <f t="shared" si="10"/>
        <v>0</v>
      </c>
    </row>
    <row r="71" spans="1:34" ht="15" customHeight="1">
      <c r="A71" s="88" t="s">
        <v>74</v>
      </c>
      <c r="B71" s="90">
        <f>SUM(B59:B70)</f>
        <v>0</v>
      </c>
      <c r="C71" s="46">
        <f>SUM(C59:C69)</f>
        <v>0</v>
      </c>
      <c r="D71" s="53">
        <f>SUM(D59:D69)</f>
        <v>0</v>
      </c>
      <c r="E71" s="53">
        <v>0</v>
      </c>
      <c r="F71" s="53">
        <f t="shared" ref="F71:AC71" si="11">SUM(F59:F69)</f>
        <v>0</v>
      </c>
      <c r="G71" s="53">
        <f t="shared" si="11"/>
        <v>0</v>
      </c>
      <c r="H71" s="53">
        <f t="shared" si="11"/>
        <v>0</v>
      </c>
      <c r="I71" s="53">
        <f t="shared" si="11"/>
        <v>0</v>
      </c>
      <c r="J71" s="53">
        <f t="shared" si="11"/>
        <v>0</v>
      </c>
      <c r="K71" s="53">
        <f t="shared" si="11"/>
        <v>0</v>
      </c>
      <c r="L71" s="53">
        <f t="shared" si="11"/>
        <v>0</v>
      </c>
      <c r="M71" s="53">
        <f t="shared" si="11"/>
        <v>0</v>
      </c>
      <c r="N71" s="53">
        <f t="shared" si="11"/>
        <v>0</v>
      </c>
      <c r="O71" s="53">
        <f t="shared" si="11"/>
        <v>0</v>
      </c>
      <c r="P71" s="53">
        <f t="shared" si="11"/>
        <v>0</v>
      </c>
      <c r="Q71" s="53">
        <f t="shared" si="11"/>
        <v>0</v>
      </c>
      <c r="R71" s="53">
        <f t="shared" si="11"/>
        <v>0</v>
      </c>
      <c r="S71" s="53">
        <f t="shared" si="11"/>
        <v>0</v>
      </c>
      <c r="T71" s="53">
        <f t="shared" si="11"/>
        <v>0</v>
      </c>
      <c r="U71" s="53">
        <f t="shared" si="11"/>
        <v>0</v>
      </c>
      <c r="V71" s="53">
        <f t="shared" si="11"/>
        <v>0</v>
      </c>
      <c r="W71" s="53">
        <f t="shared" si="11"/>
        <v>0</v>
      </c>
      <c r="X71" s="53">
        <f t="shared" si="11"/>
        <v>0</v>
      </c>
      <c r="Y71" s="53">
        <f t="shared" si="11"/>
        <v>0</v>
      </c>
      <c r="Z71" s="53">
        <f t="shared" si="11"/>
        <v>0</v>
      </c>
      <c r="AA71" s="53">
        <f t="shared" si="11"/>
        <v>0</v>
      </c>
      <c r="AB71" s="53">
        <f t="shared" si="11"/>
        <v>0</v>
      </c>
      <c r="AC71" s="53">
        <f t="shared" si="11"/>
        <v>0</v>
      </c>
      <c r="AD71" s="53">
        <v>0</v>
      </c>
      <c r="AE71" s="53">
        <f>SUM(AE59:AE69)</f>
        <v>0</v>
      </c>
      <c r="AF71" s="53">
        <f>SUM(AF59:AF69)</f>
        <v>0</v>
      </c>
      <c r="AG71" s="53">
        <f>SUM(AG59:AG69)</f>
        <v>0</v>
      </c>
      <c r="AH71" s="46">
        <f>SUM(AH59:AH70)</f>
        <v>0</v>
      </c>
    </row>
    <row r="72" spans="1:34" ht="5.0999999999999996" customHeight="1">
      <c r="A72" s="51"/>
      <c r="B72" s="74"/>
      <c r="C72" s="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
    </row>
    <row r="73" spans="1:34" ht="15" customHeight="1">
      <c r="A73" s="3615" t="s">
        <v>60</v>
      </c>
      <c r="B73" s="3616"/>
      <c r="C73" s="3616"/>
      <c r="D73" s="3616"/>
      <c r="E73" s="3616"/>
      <c r="F73" s="3616"/>
      <c r="G73" s="3616"/>
      <c r="H73" s="3617"/>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row>
    <row r="74" spans="1:34" ht="15" customHeight="1">
      <c r="A74" s="5" t="s">
        <v>91</v>
      </c>
      <c r="B74" s="71" t="s">
        <v>73</v>
      </c>
      <c r="C74" s="1494">
        <v>1</v>
      </c>
      <c r="D74" s="62">
        <v>2</v>
      </c>
      <c r="E74" s="62">
        <v>3</v>
      </c>
      <c r="F74" s="62">
        <v>4</v>
      </c>
      <c r="G74" s="62">
        <v>5</v>
      </c>
      <c r="H74" s="62">
        <v>6</v>
      </c>
      <c r="I74" s="62">
        <v>7</v>
      </c>
      <c r="J74" s="62">
        <v>8</v>
      </c>
      <c r="K74" s="62">
        <v>9</v>
      </c>
      <c r="L74" s="62">
        <v>10</v>
      </c>
      <c r="M74" s="62">
        <v>11</v>
      </c>
      <c r="N74" s="62">
        <v>12</v>
      </c>
      <c r="O74" s="62">
        <v>13</v>
      </c>
      <c r="P74" s="62">
        <v>14</v>
      </c>
      <c r="Q74" s="62">
        <v>15</v>
      </c>
      <c r="R74" s="62">
        <v>16</v>
      </c>
      <c r="S74" s="62">
        <v>17</v>
      </c>
      <c r="T74" s="62">
        <v>18</v>
      </c>
      <c r="U74" s="62">
        <v>19</v>
      </c>
      <c r="V74" s="62">
        <v>20</v>
      </c>
      <c r="W74" s="62">
        <v>21</v>
      </c>
      <c r="X74" s="62">
        <v>22</v>
      </c>
      <c r="Y74" s="62">
        <v>23</v>
      </c>
      <c r="Z74" s="62">
        <v>24</v>
      </c>
      <c r="AA74" s="62">
        <v>25</v>
      </c>
      <c r="AB74" s="62">
        <v>26</v>
      </c>
      <c r="AC74" s="62">
        <v>27</v>
      </c>
      <c r="AD74" s="62">
        <v>28</v>
      </c>
      <c r="AE74" s="62">
        <v>29</v>
      </c>
      <c r="AF74" s="62">
        <v>30</v>
      </c>
      <c r="AG74" s="62">
        <v>31</v>
      </c>
      <c r="AH74" s="639" t="s">
        <v>74</v>
      </c>
    </row>
    <row r="75" spans="1:34" ht="15" customHeight="1">
      <c r="A75" s="1233" t="s">
        <v>75</v>
      </c>
      <c r="B75" s="2544">
        <f t="shared" ref="B75:B86" si="12">+AH75</f>
        <v>5.1099999999999994</v>
      </c>
      <c r="C75" s="1825">
        <v>0</v>
      </c>
      <c r="D75" s="1825">
        <v>0</v>
      </c>
      <c r="E75" s="266">
        <v>2.7E-2</v>
      </c>
      <c r="F75" s="266">
        <v>5.0000000000000001E-3</v>
      </c>
      <c r="G75" s="266">
        <v>2.3E-2</v>
      </c>
      <c r="H75" s="266">
        <v>2.4E-2</v>
      </c>
      <c r="I75" s="266">
        <v>3.0000000000000001E-3</v>
      </c>
      <c r="J75" s="266">
        <v>0.01</v>
      </c>
      <c r="K75" s="266">
        <v>0</v>
      </c>
      <c r="L75" s="266">
        <v>0.02</v>
      </c>
      <c r="M75" s="266">
        <v>0.03</v>
      </c>
      <c r="N75" s="266">
        <v>1.4E-2</v>
      </c>
      <c r="O75" s="266">
        <v>0.02</v>
      </c>
      <c r="P75" s="266">
        <v>0.03</v>
      </c>
      <c r="Q75" s="266">
        <v>0.04</v>
      </c>
      <c r="R75" s="266">
        <v>8.0000000000000002E-3</v>
      </c>
      <c r="S75" s="266">
        <v>4.9000000000000002E-2</v>
      </c>
      <c r="T75" s="266">
        <v>8.7999999999999995E-2</v>
      </c>
      <c r="U75" s="266">
        <v>5.1999999999999998E-2</v>
      </c>
      <c r="V75" s="266">
        <v>1.7000000000000001E-2</v>
      </c>
      <c r="W75" s="266">
        <v>0.04</v>
      </c>
      <c r="X75" s="266">
        <v>0.25800000000000001</v>
      </c>
      <c r="Y75" s="266">
        <v>0.23300000000000001</v>
      </c>
      <c r="Z75" s="266">
        <v>2.2679999999999998</v>
      </c>
      <c r="AA75" s="266">
        <v>0.30299999999999999</v>
      </c>
      <c r="AB75" s="266">
        <v>0.218</v>
      </c>
      <c r="AC75" s="266">
        <v>7.0000000000000001E-3</v>
      </c>
      <c r="AD75" s="266">
        <v>0.11</v>
      </c>
      <c r="AE75" s="266">
        <v>0.192</v>
      </c>
      <c r="AF75" s="266">
        <v>0.496</v>
      </c>
      <c r="AG75" s="266">
        <v>0.52500000000000002</v>
      </c>
      <c r="AH75" s="53">
        <f>SUM(C75:AG75)</f>
        <v>5.1099999999999994</v>
      </c>
    </row>
    <row r="76" spans="1:34" ht="15" customHeight="1">
      <c r="A76" s="1233" t="s">
        <v>76</v>
      </c>
      <c r="B76" s="2544">
        <f t="shared" si="12"/>
        <v>16.645000000000003</v>
      </c>
      <c r="C76" s="1825">
        <v>0.89500000000000002</v>
      </c>
      <c r="D76" s="1825">
        <v>0.24</v>
      </c>
      <c r="E76" s="266">
        <v>0.02</v>
      </c>
      <c r="F76" s="266">
        <v>0</v>
      </c>
      <c r="G76" s="266">
        <v>8.1000000000000003E-2</v>
      </c>
      <c r="H76" s="266">
        <v>0.17399999999999999</v>
      </c>
      <c r="I76" s="266">
        <v>2.9369999999999998</v>
      </c>
      <c r="J76" s="266">
        <v>5.3659999999999997</v>
      </c>
      <c r="K76" s="266">
        <v>0.82</v>
      </c>
      <c r="L76" s="266">
        <v>6.5000000000000002E-2</v>
      </c>
      <c r="M76" s="266">
        <v>1.7000000000000001E-2</v>
      </c>
      <c r="N76" s="266">
        <v>3.89</v>
      </c>
      <c r="O76" s="266">
        <v>0.05</v>
      </c>
      <c r="P76" s="266">
        <v>0.18</v>
      </c>
      <c r="Q76" s="266">
        <v>0.28199999999999997</v>
      </c>
      <c r="R76" s="266">
        <v>0.16</v>
      </c>
      <c r="S76" s="266">
        <v>3.3000000000000002E-2</v>
      </c>
      <c r="T76" s="266">
        <v>0.1</v>
      </c>
      <c r="U76" s="266">
        <v>0.157</v>
      </c>
      <c r="V76" s="266">
        <v>0.54</v>
      </c>
      <c r="W76" s="266">
        <v>0.11</v>
      </c>
      <c r="X76" s="266">
        <v>0.25</v>
      </c>
      <c r="Y76" s="266">
        <v>5.5E-2</v>
      </c>
      <c r="Z76" s="266">
        <v>0.03</v>
      </c>
      <c r="AA76" s="266">
        <v>0.1</v>
      </c>
      <c r="AB76" s="266">
        <v>0.03</v>
      </c>
      <c r="AC76" s="266">
        <v>4.2000000000000003E-2</v>
      </c>
      <c r="AD76" s="266">
        <v>2.1000000000000001E-2</v>
      </c>
      <c r="AE76" s="266">
        <v>0</v>
      </c>
      <c r="AF76" s="266">
        <v>0</v>
      </c>
      <c r="AG76" s="266">
        <v>0</v>
      </c>
      <c r="AH76" s="53">
        <f t="shared" ref="AH76:AH86" si="13">SUM(C76:AG76)</f>
        <v>16.645000000000003</v>
      </c>
    </row>
    <row r="77" spans="1:34" ht="15" customHeight="1">
      <c r="A77" s="1233" t="s">
        <v>77</v>
      </c>
      <c r="B77" s="2544">
        <f t="shared" si="12"/>
        <v>2.335</v>
      </c>
      <c r="C77" s="1825">
        <v>0.02</v>
      </c>
      <c r="D77" s="1825">
        <v>0.10299999999999999</v>
      </c>
      <c r="E77" s="266">
        <v>1.2E-2</v>
      </c>
      <c r="F77" s="266">
        <v>0.03</v>
      </c>
      <c r="G77" s="266">
        <v>8.1000000000000003E-2</v>
      </c>
      <c r="H77" s="266">
        <v>4.0000000000000001E-3</v>
      </c>
      <c r="I77" s="266">
        <v>0</v>
      </c>
      <c r="J77" s="266">
        <v>0</v>
      </c>
      <c r="K77" s="266">
        <v>0</v>
      </c>
      <c r="L77" s="266">
        <v>8.0000000000000002E-3</v>
      </c>
      <c r="M77" s="266">
        <v>0</v>
      </c>
      <c r="N77" s="266">
        <v>0</v>
      </c>
      <c r="O77" s="266">
        <v>0.1</v>
      </c>
      <c r="P77" s="266">
        <v>0</v>
      </c>
      <c r="Q77" s="266">
        <v>0</v>
      </c>
      <c r="R77" s="266">
        <v>2.9000000000000001E-2</v>
      </c>
      <c r="S77" s="266">
        <v>0</v>
      </c>
      <c r="T77" s="266">
        <v>0</v>
      </c>
      <c r="U77" s="266">
        <v>0.2</v>
      </c>
      <c r="V77" s="266">
        <v>0.376</v>
      </c>
      <c r="W77" s="266">
        <v>1.7999999999999999E-2</v>
      </c>
      <c r="X77" s="266">
        <v>0.28399999999999997</v>
      </c>
      <c r="Y77" s="266">
        <v>0.04</v>
      </c>
      <c r="Z77" s="266">
        <v>8.0000000000000002E-3</v>
      </c>
      <c r="AA77" s="266">
        <v>0</v>
      </c>
      <c r="AB77" s="266">
        <v>0.187</v>
      </c>
      <c r="AC77" s="266">
        <v>0.26800000000000002</v>
      </c>
      <c r="AD77" s="266">
        <v>0.19700000000000001</v>
      </c>
      <c r="AE77" s="266">
        <v>0.12</v>
      </c>
      <c r="AF77" s="266">
        <v>0.13200000000000001</v>
      </c>
      <c r="AG77" s="266">
        <v>0.11799999999999999</v>
      </c>
      <c r="AH77" s="53">
        <f t="shared" si="13"/>
        <v>2.335</v>
      </c>
    </row>
    <row r="78" spans="1:34" ht="15" customHeight="1">
      <c r="A78" s="1233" t="s">
        <v>78</v>
      </c>
      <c r="B78" s="36">
        <f t="shared" si="12"/>
        <v>4.3929999999999998</v>
      </c>
      <c r="C78" s="1826">
        <v>0</v>
      </c>
      <c r="D78" s="1827">
        <v>0</v>
      </c>
      <c r="E78" s="289">
        <v>0</v>
      </c>
      <c r="F78" s="289">
        <v>2.7E-2</v>
      </c>
      <c r="G78" s="289">
        <v>1.2E-2</v>
      </c>
      <c r="H78" s="289">
        <v>1.7999999999999999E-2</v>
      </c>
      <c r="I78" s="289">
        <v>0</v>
      </c>
      <c r="J78" s="289">
        <v>0.03</v>
      </c>
      <c r="K78" s="289">
        <v>0</v>
      </c>
      <c r="L78" s="289">
        <v>0</v>
      </c>
      <c r="M78" s="289">
        <v>0</v>
      </c>
      <c r="N78" s="289">
        <v>0</v>
      </c>
      <c r="O78" s="289">
        <v>0</v>
      </c>
      <c r="P78" s="289">
        <v>0</v>
      </c>
      <c r="Q78" s="289">
        <v>1.7999999999999999E-2</v>
      </c>
      <c r="R78" s="289">
        <v>0.2</v>
      </c>
      <c r="S78" s="289">
        <v>1.4999999999999999E-2</v>
      </c>
      <c r="T78" s="289">
        <v>7.0000000000000007E-2</v>
      </c>
      <c r="U78" s="289">
        <v>0</v>
      </c>
      <c r="V78" s="289">
        <v>0.06</v>
      </c>
      <c r="W78" s="289">
        <v>0.04</v>
      </c>
      <c r="X78" s="289">
        <v>0.86799999999999999</v>
      </c>
      <c r="Y78" s="289">
        <v>1E-3</v>
      </c>
      <c r="Z78" s="289">
        <v>0.83</v>
      </c>
      <c r="AA78" s="289">
        <v>0.79500000000000004</v>
      </c>
      <c r="AB78" s="289">
        <v>1.02</v>
      </c>
      <c r="AC78" s="289">
        <v>0.371</v>
      </c>
      <c r="AD78" s="289">
        <v>1.7999999999999999E-2</v>
      </c>
      <c r="AE78" s="289">
        <v>0</v>
      </c>
      <c r="AF78" s="289">
        <v>0</v>
      </c>
      <c r="AG78" s="289">
        <v>0</v>
      </c>
      <c r="AH78" s="267">
        <f t="shared" si="13"/>
        <v>4.3929999999999998</v>
      </c>
    </row>
    <row r="79" spans="1:34" ht="15" customHeight="1">
      <c r="A79" s="1233" t="s">
        <v>79</v>
      </c>
      <c r="B79" s="36">
        <f t="shared" si="12"/>
        <v>12.262</v>
      </c>
      <c r="C79" s="1828">
        <v>0</v>
      </c>
      <c r="D79" s="1829">
        <v>0.06</v>
      </c>
      <c r="E79" s="265">
        <v>0.05</v>
      </c>
      <c r="F79" s="265">
        <v>0</v>
      </c>
      <c r="G79" s="265">
        <v>0.02</v>
      </c>
      <c r="H79" s="265">
        <v>0</v>
      </c>
      <c r="I79" s="265">
        <v>0</v>
      </c>
      <c r="J79" s="265">
        <v>0.5</v>
      </c>
      <c r="K79" s="265">
        <v>0.26800000000000002</v>
      </c>
      <c r="L79" s="265">
        <v>0.01</v>
      </c>
      <c r="M79" s="265">
        <v>0</v>
      </c>
      <c r="N79" s="265">
        <v>1.4E-2</v>
      </c>
      <c r="O79" s="265">
        <v>0.53400000000000003</v>
      </c>
      <c r="P79" s="265">
        <v>0.60599999999999998</v>
      </c>
      <c r="Q79" s="265">
        <v>0</v>
      </c>
      <c r="R79" s="265">
        <v>0</v>
      </c>
      <c r="S79" s="265">
        <v>1.2E-2</v>
      </c>
      <c r="T79" s="265">
        <v>0.63500000000000001</v>
      </c>
      <c r="U79" s="265">
        <v>5.0000000000000001E-3</v>
      </c>
      <c r="V79" s="265">
        <v>0.04</v>
      </c>
      <c r="W79" s="265">
        <v>0.11</v>
      </c>
      <c r="X79" s="265">
        <v>7.0000000000000007E-2</v>
      </c>
      <c r="Y79" s="265">
        <v>2.2210000000000001</v>
      </c>
      <c r="Z79" s="265">
        <v>1.4E-2</v>
      </c>
      <c r="AA79" s="265">
        <v>0</v>
      </c>
      <c r="AB79" s="265">
        <v>6.7679999999999998</v>
      </c>
      <c r="AC79" s="265">
        <v>5.8000000000000003E-2</v>
      </c>
      <c r="AD79" s="265">
        <v>0.03</v>
      </c>
      <c r="AE79" s="265">
        <v>0.14000000000000001</v>
      </c>
      <c r="AF79" s="265">
        <v>8.5000000000000006E-2</v>
      </c>
      <c r="AG79" s="265">
        <v>1.2E-2</v>
      </c>
      <c r="AH79" s="53">
        <f t="shared" si="13"/>
        <v>12.262</v>
      </c>
    </row>
    <row r="80" spans="1:34" ht="15" customHeight="1">
      <c r="A80" s="1233" t="s">
        <v>80</v>
      </c>
      <c r="B80" s="36">
        <f t="shared" si="12"/>
        <v>1.0690000000000002</v>
      </c>
      <c r="C80" s="1287">
        <v>2.5000000000000001E-2</v>
      </c>
      <c r="D80" s="1287">
        <v>0</v>
      </c>
      <c r="E80" s="18">
        <v>3.4000000000000002E-2</v>
      </c>
      <c r="F80" s="18">
        <v>1.7999999999999999E-2</v>
      </c>
      <c r="G80" s="18">
        <v>0.15</v>
      </c>
      <c r="H80" s="18">
        <v>0</v>
      </c>
      <c r="I80" s="18">
        <v>0.107</v>
      </c>
      <c r="J80" s="18">
        <v>2.1000000000000001E-2</v>
      </c>
      <c r="K80" s="18">
        <v>7.2999999999999995E-2</v>
      </c>
      <c r="L80" s="18">
        <v>0.14199999999999999</v>
      </c>
      <c r="M80" s="18">
        <v>3.9E-2</v>
      </c>
      <c r="N80" s="18">
        <v>2.5999999999999999E-2</v>
      </c>
      <c r="O80" s="18">
        <v>8.9999999999999993E-3</v>
      </c>
      <c r="P80" s="18">
        <v>1.4999999999999999E-2</v>
      </c>
      <c r="Q80" s="18">
        <v>0</v>
      </c>
      <c r="R80" s="18">
        <v>0.1</v>
      </c>
      <c r="S80" s="18">
        <v>0</v>
      </c>
      <c r="T80" s="18">
        <v>2.5000000000000001E-2</v>
      </c>
      <c r="U80" s="18">
        <v>1.4999999999999999E-2</v>
      </c>
      <c r="V80" s="18">
        <v>0</v>
      </c>
      <c r="W80" s="18">
        <v>0</v>
      </c>
      <c r="X80" s="18">
        <v>0</v>
      </c>
      <c r="Y80" s="18">
        <v>0.03</v>
      </c>
      <c r="Z80" s="18">
        <v>0.04</v>
      </c>
      <c r="AA80" s="18">
        <v>0.1</v>
      </c>
      <c r="AB80" s="18">
        <v>0.1</v>
      </c>
      <c r="AC80" s="18">
        <v>0</v>
      </c>
      <c r="AD80" s="18">
        <v>0</v>
      </c>
      <c r="AE80" s="18">
        <v>0</v>
      </c>
      <c r="AF80" s="18">
        <v>0</v>
      </c>
      <c r="AG80" s="18">
        <v>0</v>
      </c>
      <c r="AH80" s="53">
        <f t="shared" si="13"/>
        <v>1.0690000000000002</v>
      </c>
    </row>
    <row r="81" spans="1:34" ht="15" customHeight="1">
      <c r="A81" s="1233" t="s">
        <v>81</v>
      </c>
      <c r="B81" s="36">
        <f t="shared" si="12"/>
        <v>0.67300000000000004</v>
      </c>
      <c r="C81" s="1287">
        <v>0</v>
      </c>
      <c r="D81" s="1287">
        <v>0.06</v>
      </c>
      <c r="E81" s="18">
        <v>4.0000000000000001E-3</v>
      </c>
      <c r="F81" s="18">
        <v>0</v>
      </c>
      <c r="G81" s="18">
        <v>0</v>
      </c>
      <c r="H81" s="18">
        <v>0</v>
      </c>
      <c r="I81" s="18">
        <v>0.03</v>
      </c>
      <c r="J81" s="49">
        <v>3.0000000000000001E-3</v>
      </c>
      <c r="K81" s="49">
        <v>4.0000000000000001E-3</v>
      </c>
      <c r="L81" s="18">
        <v>3.5000000000000003E-2</v>
      </c>
      <c r="M81" s="18">
        <v>0</v>
      </c>
      <c r="N81" s="18">
        <v>0</v>
      </c>
      <c r="O81" s="18">
        <v>1.4999999999999999E-2</v>
      </c>
      <c r="P81" s="18">
        <v>1.4999999999999999E-2</v>
      </c>
      <c r="Q81" s="18">
        <v>0</v>
      </c>
      <c r="R81" s="18">
        <v>0</v>
      </c>
      <c r="S81" s="18">
        <v>0.09</v>
      </c>
      <c r="T81" s="18">
        <v>0.04</v>
      </c>
      <c r="U81" s="18">
        <v>0.06</v>
      </c>
      <c r="V81" s="18">
        <v>0.03</v>
      </c>
      <c r="W81" s="18">
        <v>0.12</v>
      </c>
      <c r="X81" s="18">
        <v>9.7000000000000003E-2</v>
      </c>
      <c r="Y81" s="18">
        <v>0.03</v>
      </c>
      <c r="Z81" s="18">
        <v>0.02</v>
      </c>
      <c r="AA81" s="18">
        <v>0.02</v>
      </c>
      <c r="AB81" s="18">
        <v>0</v>
      </c>
      <c r="AC81" s="18">
        <v>0</v>
      </c>
      <c r="AD81" s="18">
        <v>0</v>
      </c>
      <c r="AE81" s="18">
        <v>0</v>
      </c>
      <c r="AF81" s="18">
        <v>0</v>
      </c>
      <c r="AG81" s="18">
        <v>0</v>
      </c>
      <c r="AH81" s="53">
        <f t="shared" si="13"/>
        <v>0.67300000000000004</v>
      </c>
    </row>
    <row r="82" spans="1:34" ht="15" customHeight="1">
      <c r="A82" s="1233" t="s">
        <v>82</v>
      </c>
      <c r="B82" s="36">
        <f t="shared" si="12"/>
        <v>17.075000000000003</v>
      </c>
      <c r="C82" s="1287">
        <v>0.06</v>
      </c>
      <c r="D82" s="1287">
        <v>0.14000000000000001</v>
      </c>
      <c r="E82" s="18">
        <v>0</v>
      </c>
      <c r="F82" s="18">
        <v>0</v>
      </c>
      <c r="G82" s="18">
        <v>0.04</v>
      </c>
      <c r="H82" s="18">
        <v>0.47</v>
      </c>
      <c r="I82" s="18">
        <v>0.1</v>
      </c>
      <c r="J82" s="49">
        <v>0.1</v>
      </c>
      <c r="K82" s="49">
        <v>0.05</v>
      </c>
      <c r="L82" s="18">
        <v>0</v>
      </c>
      <c r="M82" s="18">
        <v>0</v>
      </c>
      <c r="N82" s="18">
        <v>0</v>
      </c>
      <c r="O82" s="18">
        <v>0</v>
      </c>
      <c r="P82" s="18">
        <v>0</v>
      </c>
      <c r="Q82" s="18">
        <v>0</v>
      </c>
      <c r="R82" s="18">
        <v>0.02</v>
      </c>
      <c r="S82" s="18">
        <v>0</v>
      </c>
      <c r="T82" s="18">
        <v>2.9000000000000001E-2</v>
      </c>
      <c r="U82" s="18">
        <v>0.01</v>
      </c>
      <c r="V82" s="18">
        <v>0</v>
      </c>
      <c r="W82" s="18">
        <v>0.28499999999999998</v>
      </c>
      <c r="X82" s="18">
        <v>5.7530000000000001</v>
      </c>
      <c r="Y82" s="18">
        <v>5.09</v>
      </c>
      <c r="Z82" s="18">
        <v>4.4379999999999997</v>
      </c>
      <c r="AA82" s="18">
        <v>0.15</v>
      </c>
      <c r="AB82" s="18">
        <v>0.19</v>
      </c>
      <c r="AC82" s="18">
        <v>0.05</v>
      </c>
      <c r="AD82" s="18">
        <v>0.02</v>
      </c>
      <c r="AE82" s="18">
        <v>0.05</v>
      </c>
      <c r="AF82" s="18">
        <v>0.03</v>
      </c>
      <c r="AG82" s="18">
        <v>0</v>
      </c>
      <c r="AH82" s="53">
        <f t="shared" si="13"/>
        <v>17.075000000000003</v>
      </c>
    </row>
    <row r="83" spans="1:34" ht="15" customHeight="1">
      <c r="A83" s="1233" t="s">
        <v>83</v>
      </c>
      <c r="B83" s="36">
        <f t="shared" si="12"/>
        <v>0.42100000000000004</v>
      </c>
      <c r="C83" s="1287">
        <v>0</v>
      </c>
      <c r="D83" s="1287">
        <v>0.05</v>
      </c>
      <c r="E83" s="18">
        <v>0</v>
      </c>
      <c r="F83" s="18">
        <v>0.06</v>
      </c>
      <c r="G83" s="18">
        <v>0</v>
      </c>
      <c r="H83" s="18">
        <v>0.04</v>
      </c>
      <c r="I83" s="18">
        <v>7.0000000000000007E-2</v>
      </c>
      <c r="J83" s="18">
        <v>0</v>
      </c>
      <c r="K83" s="18">
        <v>0</v>
      </c>
      <c r="L83" s="18">
        <v>1.7999999999999999E-2</v>
      </c>
      <c r="M83" s="18">
        <v>0</v>
      </c>
      <c r="N83" s="18">
        <v>0.02</v>
      </c>
      <c r="O83" s="18">
        <v>2.1999999999999999E-2</v>
      </c>
      <c r="P83" s="18">
        <v>0</v>
      </c>
      <c r="Q83" s="18">
        <v>0.06</v>
      </c>
      <c r="R83" s="18">
        <v>0</v>
      </c>
      <c r="S83" s="18">
        <v>0</v>
      </c>
      <c r="T83" s="18">
        <v>0</v>
      </c>
      <c r="U83" s="18">
        <v>2.1999999999999999E-2</v>
      </c>
      <c r="V83" s="18">
        <v>0</v>
      </c>
      <c r="W83" s="18">
        <v>2.7E-2</v>
      </c>
      <c r="X83" s="18">
        <v>0.03</v>
      </c>
      <c r="Y83" s="18">
        <v>0</v>
      </c>
      <c r="Z83" s="18">
        <v>2E-3</v>
      </c>
      <c r="AA83" s="18">
        <v>0</v>
      </c>
      <c r="AB83" s="18">
        <v>0</v>
      </c>
      <c r="AC83" s="18">
        <v>0</v>
      </c>
      <c r="AD83" s="18">
        <v>0</v>
      </c>
      <c r="AE83" s="18">
        <v>0</v>
      </c>
      <c r="AF83" s="18">
        <v>0</v>
      </c>
      <c r="AG83" s="18">
        <v>0</v>
      </c>
      <c r="AH83" s="53">
        <f t="shared" si="13"/>
        <v>0.42100000000000004</v>
      </c>
    </row>
    <row r="84" spans="1:34" ht="15" customHeight="1">
      <c r="A84" s="1744" t="s">
        <v>84</v>
      </c>
      <c r="B84" s="36">
        <f t="shared" si="12"/>
        <v>1.2420000000000002</v>
      </c>
      <c r="C84" s="1287">
        <v>0</v>
      </c>
      <c r="D84" s="1287">
        <v>1.7999999999999999E-2</v>
      </c>
      <c r="E84" s="18">
        <v>0</v>
      </c>
      <c r="F84" s="18">
        <v>2.5000000000000001E-2</v>
      </c>
      <c r="G84" s="18">
        <v>0.01</v>
      </c>
      <c r="H84" s="18">
        <v>0</v>
      </c>
      <c r="I84" s="18">
        <v>0</v>
      </c>
      <c r="J84" s="18">
        <v>1.0999999999999999E-2</v>
      </c>
      <c r="K84" s="18">
        <v>7.0000000000000001E-3</v>
      </c>
      <c r="L84" s="18">
        <v>7.0000000000000001E-3</v>
      </c>
      <c r="M84" s="18">
        <v>3.0000000000000001E-3</v>
      </c>
      <c r="N84" s="18">
        <v>0</v>
      </c>
      <c r="O84" s="18">
        <v>4.0000000000000001E-3</v>
      </c>
      <c r="P84" s="18">
        <v>0</v>
      </c>
      <c r="Q84" s="18">
        <v>0.25800000000000001</v>
      </c>
      <c r="R84" s="18">
        <v>0</v>
      </c>
      <c r="S84" s="18">
        <v>0.17</v>
      </c>
      <c r="T84" s="18">
        <v>0.23200000000000001</v>
      </c>
      <c r="U84" s="18">
        <v>0.02</v>
      </c>
      <c r="V84" s="18">
        <v>0</v>
      </c>
      <c r="W84" s="18">
        <v>2.8000000000000001E-2</v>
      </c>
      <c r="X84" s="18">
        <v>0.06</v>
      </c>
      <c r="Y84" s="18">
        <v>0.22500000000000001</v>
      </c>
      <c r="Z84" s="18">
        <v>0.04</v>
      </c>
      <c r="AA84" s="18">
        <v>0.1</v>
      </c>
      <c r="AB84" s="18">
        <v>0.01</v>
      </c>
      <c r="AC84" s="18">
        <v>0</v>
      </c>
      <c r="AD84" s="18">
        <v>0.01</v>
      </c>
      <c r="AE84" s="18">
        <v>0</v>
      </c>
      <c r="AF84" s="18">
        <v>4.0000000000000001E-3</v>
      </c>
      <c r="AG84" s="18">
        <v>0</v>
      </c>
      <c r="AH84" s="53">
        <f t="shared" si="13"/>
        <v>1.2420000000000002</v>
      </c>
    </row>
    <row r="85" spans="1:34" ht="15" customHeight="1">
      <c r="A85" s="1744" t="s">
        <v>85</v>
      </c>
      <c r="B85" s="36">
        <f t="shared" si="12"/>
        <v>10.151999999999999</v>
      </c>
      <c r="C85" s="49">
        <v>2.5000000000000001E-2</v>
      </c>
      <c r="D85" s="18">
        <v>0</v>
      </c>
      <c r="E85" s="18">
        <v>0.02</v>
      </c>
      <c r="F85" s="18">
        <v>3.0000000000000001E-3</v>
      </c>
      <c r="G85" s="18">
        <v>8.8149999999999995</v>
      </c>
      <c r="H85" s="18">
        <v>0.26700000000000002</v>
      </c>
      <c r="I85" s="18">
        <v>0.03</v>
      </c>
      <c r="J85" s="18">
        <v>7.1999999999999995E-2</v>
      </c>
      <c r="K85" s="18">
        <v>4.4999999999999998E-2</v>
      </c>
      <c r="L85" s="18">
        <v>0.02</v>
      </c>
      <c r="M85" s="18">
        <v>4.2000000000000003E-2</v>
      </c>
      <c r="N85" s="18">
        <v>0</v>
      </c>
      <c r="O85" s="18">
        <v>0</v>
      </c>
      <c r="P85" s="18">
        <v>3.2000000000000001E-2</v>
      </c>
      <c r="Q85" s="18">
        <v>7.9000000000000001E-2</v>
      </c>
      <c r="R85" s="18">
        <v>4.2000000000000003E-2</v>
      </c>
      <c r="S85" s="18">
        <v>0</v>
      </c>
      <c r="T85" s="18">
        <v>0</v>
      </c>
      <c r="U85" s="18">
        <v>0.108</v>
      </c>
      <c r="V85" s="18">
        <v>0.2</v>
      </c>
      <c r="W85" s="18">
        <v>0</v>
      </c>
      <c r="X85" s="18">
        <v>4.5999999999999999E-2</v>
      </c>
      <c r="Y85" s="18">
        <v>0.114</v>
      </c>
      <c r="Z85" s="18">
        <v>0</v>
      </c>
      <c r="AA85" s="18">
        <v>5.0000000000000001E-3</v>
      </c>
      <c r="AB85" s="18">
        <v>0.13700000000000001</v>
      </c>
      <c r="AC85" s="18">
        <v>0.05</v>
      </c>
      <c r="AD85" s="18">
        <v>0</v>
      </c>
      <c r="AE85" s="53">
        <v>0</v>
      </c>
      <c r="AF85" s="18">
        <v>0</v>
      </c>
      <c r="AG85" s="53">
        <v>0</v>
      </c>
      <c r="AH85" s="53">
        <f t="shared" si="13"/>
        <v>10.151999999999999</v>
      </c>
    </row>
    <row r="86" spans="1:34" ht="15" customHeight="1">
      <c r="A86" s="1744" t="s">
        <v>86</v>
      </c>
      <c r="B86" s="36">
        <f t="shared" si="12"/>
        <v>1.3120000000000001</v>
      </c>
      <c r="C86" s="49">
        <v>0</v>
      </c>
      <c r="D86" s="18">
        <v>4.5999999999999999E-2</v>
      </c>
      <c r="E86" s="18">
        <v>0.11700000000000001</v>
      </c>
      <c r="F86" s="18">
        <v>0.14199999999999999</v>
      </c>
      <c r="G86" s="18">
        <v>0.11</v>
      </c>
      <c r="H86" s="18">
        <v>0.26500000000000001</v>
      </c>
      <c r="I86" s="18">
        <v>0.16</v>
      </c>
      <c r="J86" s="18">
        <v>0</v>
      </c>
      <c r="K86" s="18">
        <v>0</v>
      </c>
      <c r="L86" s="18">
        <v>0.1</v>
      </c>
      <c r="M86" s="18">
        <v>5.0000000000000001E-3</v>
      </c>
      <c r="N86" s="18">
        <v>0</v>
      </c>
      <c r="O86" s="18">
        <v>0.06</v>
      </c>
      <c r="P86" s="18">
        <v>0.05</v>
      </c>
      <c r="Q86" s="18">
        <v>0</v>
      </c>
      <c r="R86" s="18">
        <v>0</v>
      </c>
      <c r="S86" s="18">
        <v>0</v>
      </c>
      <c r="T86" s="18">
        <v>3.2000000000000001E-2</v>
      </c>
      <c r="U86" s="18">
        <v>0.05</v>
      </c>
      <c r="V86" s="18">
        <v>0.05</v>
      </c>
      <c r="W86" s="18">
        <v>0</v>
      </c>
      <c r="X86" s="18">
        <v>0.1</v>
      </c>
      <c r="Y86" s="18">
        <v>0</v>
      </c>
      <c r="Z86" s="18">
        <v>0</v>
      </c>
      <c r="AA86" s="18">
        <v>0</v>
      </c>
      <c r="AB86" s="18">
        <v>0</v>
      </c>
      <c r="AC86" s="18">
        <v>0.02</v>
      </c>
      <c r="AD86" s="18">
        <v>0</v>
      </c>
      <c r="AE86" s="53">
        <v>5.0000000000000001E-3</v>
      </c>
      <c r="AF86" s="18">
        <v>0</v>
      </c>
      <c r="AG86" s="53">
        <v>0</v>
      </c>
      <c r="AH86" s="53">
        <f t="shared" si="13"/>
        <v>1.3120000000000001</v>
      </c>
    </row>
    <row r="87" spans="1:34" ht="15" customHeight="1">
      <c r="A87" s="88" t="s">
        <v>74</v>
      </c>
      <c r="B87" s="91">
        <f>SUM(B75:B86)</f>
        <v>72.689000000000007</v>
      </c>
      <c r="C87" s="46">
        <f>SUM(C75:C85)</f>
        <v>1.0249999999999999</v>
      </c>
      <c r="D87" s="53">
        <f>SUM(D75:D85)</f>
        <v>0.67100000000000004</v>
      </c>
      <c r="E87" s="53">
        <v>0</v>
      </c>
      <c r="F87" s="53">
        <f t="shared" ref="F87:AC87" si="14">SUM(F75:F85)</f>
        <v>0.16800000000000001</v>
      </c>
      <c r="G87" s="53">
        <f t="shared" si="14"/>
        <v>9.2319999999999993</v>
      </c>
      <c r="H87" s="53">
        <f t="shared" si="14"/>
        <v>0.997</v>
      </c>
      <c r="I87" s="53">
        <f t="shared" si="14"/>
        <v>3.2769999999999997</v>
      </c>
      <c r="J87" s="53">
        <f t="shared" si="14"/>
        <v>6.1129999999999995</v>
      </c>
      <c r="K87" s="53">
        <f t="shared" si="14"/>
        <v>1.2669999999999999</v>
      </c>
      <c r="L87" s="53">
        <f t="shared" si="14"/>
        <v>0.32500000000000007</v>
      </c>
      <c r="M87" s="53">
        <f t="shared" si="14"/>
        <v>0.13100000000000001</v>
      </c>
      <c r="N87" s="53">
        <f t="shared" si="14"/>
        <v>3.9639999999999995</v>
      </c>
      <c r="O87" s="53">
        <f t="shared" si="14"/>
        <v>0.75400000000000011</v>
      </c>
      <c r="P87" s="53">
        <f t="shared" si="14"/>
        <v>0.878</v>
      </c>
      <c r="Q87" s="53">
        <f t="shared" si="14"/>
        <v>0.73699999999999988</v>
      </c>
      <c r="R87" s="53">
        <f t="shared" si="14"/>
        <v>0.55900000000000005</v>
      </c>
      <c r="S87" s="53">
        <f t="shared" si="14"/>
        <v>0.36899999999999999</v>
      </c>
      <c r="T87" s="53">
        <f t="shared" si="14"/>
        <v>1.2190000000000001</v>
      </c>
      <c r="U87" s="53">
        <f t="shared" si="14"/>
        <v>0.64900000000000002</v>
      </c>
      <c r="V87" s="53">
        <f t="shared" si="14"/>
        <v>1.2630000000000001</v>
      </c>
      <c r="W87" s="53">
        <f t="shared" si="14"/>
        <v>0.77800000000000002</v>
      </c>
      <c r="X87" s="53">
        <f t="shared" si="14"/>
        <v>7.7160000000000002</v>
      </c>
      <c r="Y87" s="53">
        <f t="shared" si="14"/>
        <v>8.0389999999999997</v>
      </c>
      <c r="Z87" s="53">
        <f t="shared" si="14"/>
        <v>7.6899999999999995</v>
      </c>
      <c r="AA87" s="53">
        <f t="shared" si="14"/>
        <v>1.573</v>
      </c>
      <c r="AB87" s="53">
        <f t="shared" si="14"/>
        <v>8.6599999999999984</v>
      </c>
      <c r="AC87" s="53">
        <f t="shared" si="14"/>
        <v>0.84600000000000009</v>
      </c>
      <c r="AD87" s="53">
        <v>0</v>
      </c>
      <c r="AE87" s="53">
        <f>SUM(AE75:AE85)</f>
        <v>0.502</v>
      </c>
      <c r="AF87" s="53">
        <f>SUM(AF75:AF85)</f>
        <v>0.747</v>
      </c>
      <c r="AG87" s="53">
        <f>SUM(AG75:AG85)</f>
        <v>0.65500000000000003</v>
      </c>
      <c r="AH87" s="46">
        <f>SUM(AH75:AH86)</f>
        <v>72.689000000000007</v>
      </c>
    </row>
    <row r="88" spans="1:34" ht="15" customHeight="1">
      <c r="A88" s="75"/>
      <c r="B88" s="75"/>
      <c r="C88" s="75"/>
      <c r="D88" s="76"/>
      <c r="E88" s="76"/>
      <c r="F88" s="76"/>
      <c r="G88" s="76"/>
      <c r="H88" s="76"/>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
    </row>
    <row r="89" spans="1:34" ht="15" customHeight="1">
      <c r="A89" s="3591" t="s">
        <v>55</v>
      </c>
      <c r="B89" s="3592"/>
      <c r="C89" s="3592"/>
      <c r="D89" s="3592"/>
      <c r="E89" s="3592"/>
      <c r="F89" s="3592"/>
      <c r="G89" s="3592"/>
      <c r="H89" s="3592"/>
      <c r="I89" s="3592"/>
      <c r="J89" s="3592"/>
      <c r="K89" s="3592"/>
      <c r="L89" s="3592"/>
      <c r="M89" s="3592"/>
      <c r="N89" s="3592"/>
      <c r="O89" s="3592"/>
      <c r="P89" s="3592"/>
      <c r="Q89" s="3592"/>
      <c r="R89" s="3593"/>
      <c r="S89" s="52"/>
      <c r="T89" s="52"/>
      <c r="U89" s="52"/>
      <c r="V89" s="52"/>
      <c r="W89" s="52"/>
      <c r="X89" s="52"/>
      <c r="Y89" s="52"/>
      <c r="Z89" s="52"/>
      <c r="AA89" s="52"/>
      <c r="AB89" s="52"/>
      <c r="AC89" s="52"/>
      <c r="AD89" s="52"/>
      <c r="AE89" s="52"/>
      <c r="AF89" s="52"/>
      <c r="AG89" s="52"/>
      <c r="AH89" s="13"/>
    </row>
    <row r="90" spans="1:34" ht="5.0999999999999996" customHeight="1">
      <c r="A90" s="50"/>
      <c r="B90" s="51"/>
      <c r="C90" s="13"/>
      <c r="D90" s="52"/>
      <c r="E90" s="52"/>
      <c r="F90" s="52"/>
      <c r="G90" s="52"/>
      <c r="H90" s="52"/>
      <c r="I90" s="52"/>
      <c r="J90" s="52"/>
      <c r="K90" s="52"/>
      <c r="L90" s="52"/>
      <c r="M90" s="52"/>
      <c r="N90" s="52"/>
      <c r="O90" s="52"/>
      <c r="P90" s="52"/>
      <c r="Q90" s="52"/>
      <c r="R90" s="52"/>
      <c r="S90" s="52"/>
      <c r="T90" s="52"/>
      <c r="U90" s="52"/>
      <c r="V90" s="52"/>
      <c r="W90" s="52"/>
      <c r="X90" s="52"/>
      <c r="Y90" s="52"/>
      <c r="Z90" s="52"/>
      <c r="AA90" s="52"/>
      <c r="AB90" s="52"/>
      <c r="AC90" s="52"/>
      <c r="AD90" s="52"/>
      <c r="AE90" s="52"/>
      <c r="AF90" s="52"/>
      <c r="AG90" s="52"/>
      <c r="AH90" s="13"/>
    </row>
    <row r="91" spans="1:34">
      <c r="A91" s="3634" t="s">
        <v>56</v>
      </c>
      <c r="B91" s="3635"/>
      <c r="C91" s="3635"/>
      <c r="D91" s="3635"/>
      <c r="E91" s="3635"/>
      <c r="F91" s="3635"/>
      <c r="G91" s="3635"/>
      <c r="H91" s="3636"/>
      <c r="I91" s="43"/>
      <c r="J91" s="43"/>
      <c r="K91" s="3251" t="s">
        <v>1125</v>
      </c>
      <c r="L91" s="43"/>
      <c r="M91" s="43"/>
      <c r="N91" s="43"/>
      <c r="O91" s="43"/>
      <c r="P91" s="43"/>
      <c r="Q91" s="43"/>
      <c r="R91" s="43"/>
      <c r="S91" s="11"/>
      <c r="T91" s="11"/>
      <c r="U91" s="11"/>
      <c r="V91" s="11"/>
      <c r="W91" s="11"/>
      <c r="X91" s="11"/>
      <c r="Y91" s="11"/>
      <c r="Z91" s="11"/>
      <c r="AA91" s="11"/>
      <c r="AB91" s="11"/>
      <c r="AC91" s="11"/>
      <c r="AD91" s="11"/>
      <c r="AE91" s="11"/>
      <c r="AF91" s="11"/>
      <c r="AG91" s="11"/>
      <c r="AH91" s="11"/>
    </row>
    <row r="92" spans="1:34">
      <c r="A92" s="5" t="s">
        <v>72</v>
      </c>
      <c r="B92" s="5" t="s">
        <v>73</v>
      </c>
      <c r="C92" s="117">
        <v>1</v>
      </c>
      <c r="D92" s="30">
        <v>2</v>
      </c>
      <c r="E92" s="30">
        <v>3</v>
      </c>
      <c r="F92" s="30">
        <v>4</v>
      </c>
      <c r="G92" s="30">
        <v>5</v>
      </c>
      <c r="H92" s="30">
        <v>6</v>
      </c>
      <c r="I92" s="30">
        <v>7</v>
      </c>
      <c r="J92" s="30">
        <v>8</v>
      </c>
      <c r="K92" s="30">
        <v>9</v>
      </c>
      <c r="L92" s="30">
        <v>10</v>
      </c>
      <c r="M92" s="30">
        <v>11</v>
      </c>
      <c r="N92" s="30">
        <v>12</v>
      </c>
      <c r="O92" s="30">
        <v>13</v>
      </c>
      <c r="P92" s="30">
        <v>14</v>
      </c>
      <c r="Q92" s="30">
        <v>15</v>
      </c>
      <c r="R92" s="30">
        <v>16</v>
      </c>
      <c r="S92" s="30">
        <v>17</v>
      </c>
      <c r="T92" s="30">
        <v>18</v>
      </c>
      <c r="U92" s="30">
        <v>19</v>
      </c>
      <c r="V92" s="30">
        <v>20</v>
      </c>
      <c r="W92" s="30">
        <v>21</v>
      </c>
      <c r="X92" s="30">
        <v>22</v>
      </c>
      <c r="Y92" s="30">
        <v>23</v>
      </c>
      <c r="Z92" s="30">
        <v>24</v>
      </c>
      <c r="AA92" s="30">
        <v>25</v>
      </c>
      <c r="AB92" s="30">
        <v>26</v>
      </c>
      <c r="AC92" s="30">
        <v>27</v>
      </c>
      <c r="AD92" s="30">
        <v>28</v>
      </c>
      <c r="AE92" s="30">
        <v>29</v>
      </c>
      <c r="AF92" s="30">
        <v>30</v>
      </c>
      <c r="AG92" s="30">
        <v>31</v>
      </c>
      <c r="AH92" s="39" t="s">
        <v>74</v>
      </c>
    </row>
    <row r="93" spans="1:34">
      <c r="A93" s="1831" t="s">
        <v>75</v>
      </c>
      <c r="B93" s="18">
        <f t="shared" ref="B93:B104" si="15">+AH93</f>
        <v>0</v>
      </c>
      <c r="C93" s="49"/>
      <c r="D93" s="53"/>
      <c r="E93" s="53"/>
      <c r="F93" s="53"/>
      <c r="G93" s="18"/>
      <c r="H93" s="18"/>
      <c r="I93" s="18"/>
      <c r="J93" s="18"/>
      <c r="K93" s="18"/>
      <c r="L93" s="18"/>
      <c r="M93" s="18"/>
      <c r="N93" s="18"/>
      <c r="O93" s="18"/>
      <c r="P93" s="18"/>
      <c r="Q93" s="53"/>
      <c r="R93" s="18"/>
      <c r="S93" s="18"/>
      <c r="T93" s="18"/>
      <c r="U93" s="18"/>
      <c r="V93" s="53"/>
      <c r="W93" s="53"/>
      <c r="X93" s="18"/>
      <c r="Y93" s="18"/>
      <c r="Z93" s="18"/>
      <c r="AA93" s="18"/>
      <c r="AB93" s="18"/>
      <c r="AC93" s="18"/>
      <c r="AD93" s="53"/>
      <c r="AE93" s="18"/>
      <c r="AF93" s="18"/>
      <c r="AG93" s="18"/>
      <c r="AH93" s="53">
        <f>SUM(C93:AG93)</f>
        <v>0</v>
      </c>
    </row>
    <row r="94" spans="1:34">
      <c r="A94" s="1831" t="s">
        <v>76</v>
      </c>
      <c r="B94" s="18">
        <f t="shared" si="15"/>
        <v>0</v>
      </c>
      <c r="C94" s="49"/>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53">
        <f t="shared" ref="AH94:AH104" si="16">SUM(C94:AG94)</f>
        <v>0</v>
      </c>
    </row>
    <row r="95" spans="1:34">
      <c r="A95" s="1831" t="s">
        <v>77</v>
      </c>
      <c r="B95" s="18">
        <f t="shared" si="15"/>
        <v>0</v>
      </c>
      <c r="C95" s="46"/>
      <c r="D95" s="53"/>
      <c r="E95" s="53"/>
      <c r="F95" s="53"/>
      <c r="G95" s="53"/>
      <c r="H95" s="53"/>
      <c r="I95" s="53"/>
      <c r="J95" s="53"/>
      <c r="K95" s="53"/>
      <c r="L95" s="53"/>
      <c r="M95" s="53"/>
      <c r="N95" s="53"/>
      <c r="O95" s="53"/>
      <c r="P95" s="53"/>
      <c r="Q95" s="53"/>
      <c r="R95" s="53"/>
      <c r="S95" s="53"/>
      <c r="T95" s="53"/>
      <c r="U95" s="53"/>
      <c r="V95" s="53"/>
      <c r="W95" s="53"/>
      <c r="X95" s="53"/>
      <c r="Y95" s="53"/>
      <c r="Z95" s="53"/>
      <c r="AA95" s="53"/>
      <c r="AB95" s="53"/>
      <c r="AC95" s="53"/>
      <c r="AD95" s="53"/>
      <c r="AE95" s="53"/>
      <c r="AF95" s="53"/>
      <c r="AG95" s="53"/>
      <c r="AH95" s="53">
        <f>SUM(C95:AG95)</f>
        <v>0</v>
      </c>
    </row>
    <row r="96" spans="1:34">
      <c r="A96" s="1831" t="s">
        <v>78</v>
      </c>
      <c r="B96" s="18">
        <f t="shared" si="15"/>
        <v>15.382</v>
      </c>
      <c r="C96" s="49"/>
      <c r="D96" s="53"/>
      <c r="E96" s="53"/>
      <c r="F96" s="53"/>
      <c r="G96" s="18"/>
      <c r="H96" s="18"/>
      <c r="I96" s="18"/>
      <c r="J96" s="53"/>
      <c r="K96" s="53"/>
      <c r="L96" s="53"/>
      <c r="M96" s="53"/>
      <c r="N96" s="53"/>
      <c r="O96" s="53">
        <v>15.382</v>
      </c>
      <c r="P96" s="53"/>
      <c r="Q96" s="53"/>
      <c r="R96" s="53"/>
      <c r="S96" s="53"/>
      <c r="T96" s="53"/>
      <c r="U96" s="53"/>
      <c r="V96" s="53"/>
      <c r="W96" s="53"/>
      <c r="X96" s="53"/>
      <c r="Y96" s="53"/>
      <c r="Z96" s="53"/>
      <c r="AA96" s="53"/>
      <c r="AB96" s="53"/>
      <c r="AC96" s="53"/>
      <c r="AD96" s="53"/>
      <c r="AE96" s="53"/>
      <c r="AF96" s="53"/>
      <c r="AG96" s="53"/>
      <c r="AH96" s="53">
        <f t="shared" si="16"/>
        <v>15.382</v>
      </c>
    </row>
    <row r="97" spans="1:34">
      <c r="A97" s="1831" t="s">
        <v>79</v>
      </c>
      <c r="B97" s="18">
        <f t="shared" si="15"/>
        <v>0</v>
      </c>
      <c r="C97" s="49"/>
      <c r="D97" s="18"/>
      <c r="E97" s="18"/>
      <c r="F97" s="18"/>
      <c r="G97" s="18"/>
      <c r="H97" s="18"/>
      <c r="I97" s="18"/>
      <c r="J97" s="53"/>
      <c r="K97" s="53"/>
      <c r="L97" s="53"/>
      <c r="M97" s="53"/>
      <c r="N97" s="53"/>
      <c r="O97" s="53"/>
      <c r="P97" s="53"/>
      <c r="Q97" s="53"/>
      <c r="R97" s="53"/>
      <c r="S97" s="53"/>
      <c r="T97" s="53"/>
      <c r="U97" s="53"/>
      <c r="V97" s="53"/>
      <c r="W97" s="53"/>
      <c r="X97" s="53"/>
      <c r="Y97" s="53"/>
      <c r="Z97" s="53"/>
      <c r="AA97" s="53"/>
      <c r="AB97" s="53"/>
      <c r="AC97" s="53"/>
      <c r="AD97" s="53"/>
      <c r="AE97" s="53"/>
      <c r="AF97" s="53"/>
      <c r="AG97" s="53"/>
      <c r="AH97" s="53">
        <f t="shared" si="16"/>
        <v>0</v>
      </c>
    </row>
    <row r="98" spans="1:34">
      <c r="A98" s="1831" t="s">
        <v>80</v>
      </c>
      <c r="B98" s="18">
        <f t="shared" si="15"/>
        <v>0</v>
      </c>
      <c r="C98" s="46"/>
      <c r="D98" s="53"/>
      <c r="E98" s="53"/>
      <c r="F98" s="53"/>
      <c r="G98" s="53"/>
      <c r="H98" s="53"/>
      <c r="I98" s="53"/>
      <c r="J98" s="53"/>
      <c r="K98" s="53"/>
      <c r="L98" s="53"/>
      <c r="M98" s="53"/>
      <c r="N98" s="53"/>
      <c r="O98" s="53"/>
      <c r="P98" s="53"/>
      <c r="Q98" s="53"/>
      <c r="R98" s="53"/>
      <c r="S98" s="53"/>
      <c r="T98" s="53"/>
      <c r="U98" s="53"/>
      <c r="V98" s="53"/>
      <c r="W98" s="53"/>
      <c r="X98" s="53"/>
      <c r="Y98" s="53"/>
      <c r="Z98" s="53"/>
      <c r="AA98" s="53"/>
      <c r="AB98" s="53"/>
      <c r="AC98" s="53"/>
      <c r="AD98" s="53"/>
      <c r="AE98" s="53"/>
      <c r="AF98" s="53"/>
      <c r="AG98" s="53"/>
      <c r="AH98" s="53">
        <f t="shared" si="16"/>
        <v>0</v>
      </c>
    </row>
    <row r="99" spans="1:34">
      <c r="A99" s="1831" t="s">
        <v>81</v>
      </c>
      <c r="B99" s="18">
        <f t="shared" si="15"/>
        <v>0</v>
      </c>
      <c r="C99" s="49"/>
      <c r="D99" s="53"/>
      <c r="E99" s="53"/>
      <c r="F99" s="53"/>
      <c r="G99" s="18"/>
      <c r="H99" s="18"/>
      <c r="I99" s="18"/>
      <c r="J99" s="57"/>
      <c r="K99" s="57"/>
      <c r="L99" s="53"/>
      <c r="M99" s="53"/>
      <c r="N99" s="53"/>
      <c r="O99" s="53"/>
      <c r="P99" s="53"/>
      <c r="Q99" s="53"/>
      <c r="R99" s="53"/>
      <c r="S99" s="53"/>
      <c r="T99" s="53"/>
      <c r="U99" s="53"/>
      <c r="V99" s="53"/>
      <c r="W99" s="53"/>
      <c r="X99" s="53"/>
      <c r="Y99" s="53"/>
      <c r="Z99" s="53"/>
      <c r="AA99" s="53"/>
      <c r="AB99" s="53"/>
      <c r="AC99" s="53"/>
      <c r="AD99" s="53"/>
      <c r="AE99" s="53"/>
      <c r="AF99" s="53"/>
      <c r="AG99" s="53"/>
      <c r="AH99" s="53">
        <f t="shared" si="16"/>
        <v>0</v>
      </c>
    </row>
    <row r="100" spans="1:34">
      <c r="A100" s="1831" t="s">
        <v>82</v>
      </c>
      <c r="B100" s="18">
        <f t="shared" si="15"/>
        <v>0</v>
      </c>
      <c r="C100" s="49"/>
      <c r="D100" s="18"/>
      <c r="E100" s="18"/>
      <c r="F100" s="18"/>
      <c r="G100" s="18"/>
      <c r="H100" s="18"/>
      <c r="I100" s="18"/>
      <c r="J100" s="57"/>
      <c r="K100" s="57"/>
      <c r="L100" s="53"/>
      <c r="M100" s="53"/>
      <c r="N100" s="53"/>
      <c r="O100" s="53"/>
      <c r="P100" s="53"/>
      <c r="Q100" s="53"/>
      <c r="R100" s="53"/>
      <c r="S100" s="53"/>
      <c r="T100" s="53"/>
      <c r="U100" s="53"/>
      <c r="V100" s="53"/>
      <c r="W100" s="53"/>
      <c r="X100" s="53"/>
      <c r="Y100" s="53"/>
      <c r="Z100" s="53"/>
      <c r="AA100" s="53"/>
      <c r="AB100" s="53"/>
      <c r="AC100" s="53"/>
      <c r="AD100" s="53"/>
      <c r="AE100" s="53"/>
      <c r="AF100" s="53"/>
      <c r="AG100" s="53"/>
      <c r="AH100" s="53">
        <f t="shared" si="16"/>
        <v>0</v>
      </c>
    </row>
    <row r="101" spans="1:34">
      <c r="A101" s="1831" t="s">
        <v>83</v>
      </c>
      <c r="B101" s="18">
        <f t="shared" si="15"/>
        <v>0</v>
      </c>
      <c r="C101" s="46"/>
      <c r="D101" s="53"/>
      <c r="E101" s="53"/>
      <c r="F101" s="53"/>
      <c r="G101" s="53"/>
      <c r="H101" s="53"/>
      <c r="I101" s="53"/>
      <c r="J101" s="57"/>
      <c r="K101" s="57"/>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53">
        <f t="shared" si="16"/>
        <v>0</v>
      </c>
    </row>
    <row r="102" spans="1:34">
      <c r="A102" s="1744" t="s">
        <v>84</v>
      </c>
      <c r="B102" s="18">
        <f t="shared" si="15"/>
        <v>0</v>
      </c>
      <c r="C102" s="49"/>
      <c r="D102" s="53"/>
      <c r="E102" s="53"/>
      <c r="F102" s="53"/>
      <c r="G102" s="18"/>
      <c r="H102" s="18"/>
      <c r="I102" s="18"/>
      <c r="J102" s="18"/>
      <c r="K102" s="18"/>
      <c r="L102" s="18"/>
      <c r="M102" s="18"/>
      <c r="N102" s="18"/>
      <c r="O102" s="53"/>
      <c r="P102" s="18"/>
      <c r="Q102" s="18"/>
      <c r="R102" s="18"/>
      <c r="S102" s="18"/>
      <c r="T102" s="18"/>
      <c r="U102" s="18"/>
      <c r="V102" s="18"/>
      <c r="W102" s="18"/>
      <c r="X102" s="18"/>
      <c r="Y102" s="18"/>
      <c r="Z102" s="18"/>
      <c r="AA102" s="18"/>
      <c r="AB102" s="18"/>
      <c r="AC102" s="18"/>
      <c r="AD102" s="18"/>
      <c r="AE102" s="53"/>
      <c r="AF102" s="18"/>
      <c r="AG102" s="53"/>
      <c r="AH102" s="53">
        <f t="shared" si="16"/>
        <v>0</v>
      </c>
    </row>
    <row r="103" spans="1:34">
      <c r="A103" s="1744" t="s">
        <v>85</v>
      </c>
      <c r="B103" s="18">
        <f t="shared" si="15"/>
        <v>0</v>
      </c>
      <c r="C103" s="49"/>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53"/>
      <c r="AF103" s="18"/>
      <c r="AG103" s="53"/>
      <c r="AH103" s="53">
        <f t="shared" si="16"/>
        <v>0</v>
      </c>
    </row>
    <row r="104" spans="1:34">
      <c r="A104" s="1744" t="s">
        <v>86</v>
      </c>
      <c r="B104" s="18">
        <f t="shared" si="15"/>
        <v>0</v>
      </c>
      <c r="C104" s="49"/>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53"/>
      <c r="AF104" s="18"/>
      <c r="AG104" s="53"/>
      <c r="AH104" s="53">
        <f t="shared" si="16"/>
        <v>0</v>
      </c>
    </row>
    <row r="105" spans="1:34">
      <c r="A105" s="88" t="s">
        <v>74</v>
      </c>
      <c r="B105" s="89">
        <f>SUM(B93:B104)</f>
        <v>15.382</v>
      </c>
      <c r="C105" s="46">
        <f>SUM(C93:C103)</f>
        <v>0</v>
      </c>
      <c r="D105" s="53">
        <f>SUM(D93:D103)</f>
        <v>0</v>
      </c>
      <c r="E105" s="53">
        <v>0</v>
      </c>
      <c r="F105" s="53">
        <f t="shared" ref="F105:AC105" si="17">SUM(F93:F103)</f>
        <v>0</v>
      </c>
      <c r="G105" s="53">
        <f t="shared" si="17"/>
        <v>0</v>
      </c>
      <c r="H105" s="53">
        <f t="shared" si="17"/>
        <v>0</v>
      </c>
      <c r="I105" s="53">
        <f t="shared" si="17"/>
        <v>0</v>
      </c>
      <c r="J105" s="53">
        <f t="shared" si="17"/>
        <v>0</v>
      </c>
      <c r="K105" s="53">
        <f t="shared" si="17"/>
        <v>0</v>
      </c>
      <c r="L105" s="53">
        <f t="shared" si="17"/>
        <v>0</v>
      </c>
      <c r="M105" s="53">
        <f t="shared" si="17"/>
        <v>0</v>
      </c>
      <c r="N105" s="53">
        <f t="shared" si="17"/>
        <v>0</v>
      </c>
      <c r="O105" s="53">
        <f t="shared" si="17"/>
        <v>15.382</v>
      </c>
      <c r="P105" s="53">
        <f t="shared" si="17"/>
        <v>0</v>
      </c>
      <c r="Q105" s="53">
        <f t="shared" si="17"/>
        <v>0</v>
      </c>
      <c r="R105" s="53">
        <f t="shared" si="17"/>
        <v>0</v>
      </c>
      <c r="S105" s="53">
        <f t="shared" si="17"/>
        <v>0</v>
      </c>
      <c r="T105" s="53">
        <f t="shared" si="17"/>
        <v>0</v>
      </c>
      <c r="U105" s="53">
        <f t="shared" si="17"/>
        <v>0</v>
      </c>
      <c r="V105" s="53">
        <f t="shared" si="17"/>
        <v>0</v>
      </c>
      <c r="W105" s="53">
        <f t="shared" si="17"/>
        <v>0</v>
      </c>
      <c r="X105" s="53">
        <f t="shared" si="17"/>
        <v>0</v>
      </c>
      <c r="Y105" s="53">
        <f t="shared" si="17"/>
        <v>0</v>
      </c>
      <c r="Z105" s="53">
        <f t="shared" si="17"/>
        <v>0</v>
      </c>
      <c r="AA105" s="53">
        <f t="shared" si="17"/>
        <v>0</v>
      </c>
      <c r="AB105" s="53">
        <f t="shared" si="17"/>
        <v>0</v>
      </c>
      <c r="AC105" s="53">
        <f t="shared" si="17"/>
        <v>0</v>
      </c>
      <c r="AD105" s="53">
        <v>0</v>
      </c>
      <c r="AE105" s="53">
        <f>SUM(AE93:AE103)</f>
        <v>0</v>
      </c>
      <c r="AF105" s="53">
        <f>SUM(AF93:AF103)</f>
        <v>0</v>
      </c>
      <c r="AG105" s="53">
        <f>SUM(AG93:AG103)</f>
        <v>0</v>
      </c>
      <c r="AH105" s="46">
        <f>SUM(AH93:AH103)</f>
        <v>15.382</v>
      </c>
    </row>
    <row r="106" spans="1:34" ht="5.0999999999999996" customHeight="1">
      <c r="A106" s="50"/>
      <c r="B106" s="51"/>
      <c r="C106" s="13"/>
      <c r="D106" s="52"/>
      <c r="E106" s="52"/>
      <c r="F106" s="52"/>
      <c r="G106" s="52"/>
      <c r="H106" s="52"/>
      <c r="I106" s="52"/>
      <c r="J106" s="52"/>
      <c r="K106" s="52"/>
      <c r="L106" s="52"/>
      <c r="M106" s="52"/>
      <c r="N106" s="52"/>
      <c r="O106" s="52"/>
      <c r="P106" s="52"/>
      <c r="Q106" s="52"/>
      <c r="R106" s="52"/>
      <c r="S106" s="52"/>
      <c r="T106" s="52"/>
      <c r="U106" s="52"/>
      <c r="V106" s="52"/>
      <c r="W106" s="52"/>
      <c r="X106" s="52"/>
      <c r="Y106" s="52"/>
      <c r="Z106" s="52"/>
      <c r="AA106" s="52"/>
      <c r="AB106" s="52"/>
      <c r="AC106" s="52"/>
      <c r="AD106" s="52"/>
      <c r="AE106" s="52"/>
      <c r="AF106" s="52"/>
      <c r="AG106" s="52"/>
      <c r="AH106" s="13"/>
    </row>
    <row r="107" spans="1:34">
      <c r="A107" s="3634" t="s">
        <v>57</v>
      </c>
      <c r="B107" s="3635"/>
      <c r="C107" s="3635"/>
      <c r="D107" s="3635"/>
      <c r="E107" s="3635"/>
      <c r="F107" s="3635"/>
      <c r="G107" s="3635"/>
      <c r="H107" s="3636"/>
      <c r="I107" s="43"/>
      <c r="J107" s="43"/>
      <c r="K107" s="43"/>
      <c r="L107" s="43"/>
      <c r="M107" s="43"/>
      <c r="N107" s="43"/>
      <c r="O107" s="43"/>
      <c r="P107" s="43"/>
      <c r="Q107" s="43"/>
      <c r="R107" s="43"/>
      <c r="S107" s="11"/>
      <c r="T107" s="11"/>
      <c r="U107" s="11"/>
      <c r="V107" s="11"/>
      <c r="W107" s="11"/>
      <c r="X107" s="11"/>
      <c r="Y107" s="11"/>
      <c r="Z107" s="11"/>
      <c r="AA107" s="11"/>
      <c r="AB107" s="11"/>
      <c r="AC107" s="11"/>
      <c r="AD107" s="11"/>
      <c r="AE107" s="11"/>
      <c r="AF107" s="11"/>
      <c r="AG107" s="11"/>
      <c r="AH107" s="11"/>
    </row>
    <row r="108" spans="1:34">
      <c r="A108" s="5" t="s">
        <v>72</v>
      </c>
      <c r="B108" s="5" t="s">
        <v>73</v>
      </c>
      <c r="C108" s="117">
        <v>1</v>
      </c>
      <c r="D108" s="30">
        <v>2</v>
      </c>
      <c r="E108" s="30">
        <v>3</v>
      </c>
      <c r="F108" s="30">
        <v>4</v>
      </c>
      <c r="G108" s="30">
        <v>5</v>
      </c>
      <c r="H108" s="30">
        <v>6</v>
      </c>
      <c r="I108" s="30">
        <v>7</v>
      </c>
      <c r="J108" s="30">
        <v>8</v>
      </c>
      <c r="K108" s="30">
        <v>9</v>
      </c>
      <c r="L108" s="30">
        <v>10</v>
      </c>
      <c r="M108" s="30">
        <v>11</v>
      </c>
      <c r="N108" s="30">
        <v>12</v>
      </c>
      <c r="O108" s="30">
        <v>13</v>
      </c>
      <c r="P108" s="30">
        <v>14</v>
      </c>
      <c r="Q108" s="30">
        <v>15</v>
      </c>
      <c r="R108" s="30">
        <v>16</v>
      </c>
      <c r="S108" s="30">
        <v>17</v>
      </c>
      <c r="T108" s="30">
        <v>18</v>
      </c>
      <c r="U108" s="30">
        <v>19</v>
      </c>
      <c r="V108" s="30">
        <v>20</v>
      </c>
      <c r="W108" s="30">
        <v>21</v>
      </c>
      <c r="X108" s="30">
        <v>22</v>
      </c>
      <c r="Y108" s="30">
        <v>23</v>
      </c>
      <c r="Z108" s="30">
        <v>24</v>
      </c>
      <c r="AA108" s="30">
        <v>25</v>
      </c>
      <c r="AB108" s="30">
        <v>26</v>
      </c>
      <c r="AC108" s="30">
        <v>27</v>
      </c>
      <c r="AD108" s="30">
        <v>28</v>
      </c>
      <c r="AE108" s="30">
        <v>29</v>
      </c>
      <c r="AF108" s="30">
        <v>30</v>
      </c>
      <c r="AG108" s="30">
        <v>31</v>
      </c>
      <c r="AH108" s="39" t="s">
        <v>74</v>
      </c>
    </row>
    <row r="109" spans="1:34">
      <c r="A109" s="1831" t="s">
        <v>75</v>
      </c>
      <c r="B109" s="18">
        <f t="shared" ref="B109:B120" si="18">+AH109</f>
        <v>0</v>
      </c>
      <c r="C109" s="49"/>
      <c r="D109" s="53"/>
      <c r="E109" s="53"/>
      <c r="F109" s="53"/>
      <c r="G109" s="18"/>
      <c r="H109" s="18"/>
      <c r="I109" s="18"/>
      <c r="J109" s="18"/>
      <c r="K109" s="18"/>
      <c r="L109" s="18"/>
      <c r="M109" s="18"/>
      <c r="N109" s="18"/>
      <c r="O109" s="18"/>
      <c r="P109" s="18"/>
      <c r="Q109" s="53"/>
      <c r="R109" s="18"/>
      <c r="S109" s="18"/>
      <c r="T109" s="18"/>
      <c r="U109" s="18"/>
      <c r="V109" s="53"/>
      <c r="W109" s="53"/>
      <c r="X109" s="18"/>
      <c r="Y109" s="18"/>
      <c r="Z109" s="18"/>
      <c r="AA109" s="18"/>
      <c r="AB109" s="18"/>
      <c r="AC109" s="18"/>
      <c r="AD109" s="53"/>
      <c r="AE109" s="18"/>
      <c r="AF109" s="18"/>
      <c r="AG109" s="18"/>
      <c r="AH109" s="53">
        <f>SUM(C109:AG109)</f>
        <v>0</v>
      </c>
    </row>
    <row r="110" spans="1:34">
      <c r="A110" s="1831" t="s">
        <v>76</v>
      </c>
      <c r="B110" s="18">
        <f t="shared" si="18"/>
        <v>0</v>
      </c>
      <c r="C110" s="49"/>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53">
        <f>SUM(C110:AG110)</f>
        <v>0</v>
      </c>
    </row>
    <row r="111" spans="1:34">
      <c r="A111" s="1831" t="s">
        <v>77</v>
      </c>
      <c r="B111" s="18">
        <f t="shared" si="18"/>
        <v>0</v>
      </c>
      <c r="C111" s="46"/>
      <c r="D111" s="53"/>
      <c r="E111" s="53"/>
      <c r="F111" s="53"/>
      <c r="G111" s="53"/>
      <c r="H111" s="53"/>
      <c r="I111" s="53"/>
      <c r="J111" s="53"/>
      <c r="K111" s="53"/>
      <c r="L111" s="53"/>
      <c r="M111" s="53"/>
      <c r="N111" s="53"/>
      <c r="O111" s="53"/>
      <c r="P111" s="53"/>
      <c r="Q111" s="53"/>
      <c r="R111" s="53"/>
      <c r="S111" s="53"/>
      <c r="T111" s="53"/>
      <c r="U111" s="53"/>
      <c r="V111" s="53"/>
      <c r="W111" s="53"/>
      <c r="X111" s="53"/>
      <c r="Y111" s="53"/>
      <c r="Z111" s="53"/>
      <c r="AA111" s="53"/>
      <c r="AB111" s="53"/>
      <c r="AC111" s="53"/>
      <c r="AD111" s="53"/>
      <c r="AE111" s="53"/>
      <c r="AF111" s="53"/>
      <c r="AG111" s="53"/>
      <c r="AH111" s="53">
        <f>SUM(C111:AG111)</f>
        <v>0</v>
      </c>
    </row>
    <row r="112" spans="1:34">
      <c r="A112" s="1831" t="s">
        <v>78</v>
      </c>
      <c r="B112" s="18">
        <f t="shared" si="18"/>
        <v>0</v>
      </c>
      <c r="C112" s="49"/>
      <c r="D112" s="53"/>
      <c r="E112" s="53"/>
      <c r="F112" s="53"/>
      <c r="G112" s="18"/>
      <c r="H112" s="18"/>
      <c r="I112" s="18"/>
      <c r="J112" s="53"/>
      <c r="K112" s="53"/>
      <c r="L112" s="53"/>
      <c r="M112" s="53"/>
      <c r="N112" s="53"/>
      <c r="O112" s="53"/>
      <c r="P112" s="53"/>
      <c r="Q112" s="53"/>
      <c r="R112" s="53"/>
      <c r="S112" s="53"/>
      <c r="T112" s="53"/>
      <c r="U112" s="53"/>
      <c r="V112" s="53"/>
      <c r="W112" s="53"/>
      <c r="X112" s="53"/>
      <c r="Y112" s="53"/>
      <c r="Z112" s="53"/>
      <c r="AA112" s="53"/>
      <c r="AB112" s="53"/>
      <c r="AC112" s="53"/>
      <c r="AD112" s="53"/>
      <c r="AE112" s="53"/>
      <c r="AF112" s="53"/>
      <c r="AG112" s="53"/>
      <c r="AH112" s="53">
        <f t="shared" ref="AH112:AH120" si="19">SUM(C112:AG112)</f>
        <v>0</v>
      </c>
    </row>
    <row r="113" spans="1:34">
      <c r="A113" s="1831" t="s">
        <v>79</v>
      </c>
      <c r="B113" s="18">
        <f t="shared" si="18"/>
        <v>0</v>
      </c>
      <c r="C113" s="49"/>
      <c r="D113" s="18"/>
      <c r="E113" s="18"/>
      <c r="F113" s="18"/>
      <c r="G113" s="18"/>
      <c r="H113" s="18"/>
      <c r="I113" s="18"/>
      <c r="J113" s="53"/>
      <c r="K113" s="53"/>
      <c r="L113" s="53"/>
      <c r="M113" s="53"/>
      <c r="N113" s="53"/>
      <c r="O113" s="53"/>
      <c r="P113" s="53"/>
      <c r="Q113" s="53"/>
      <c r="R113" s="53"/>
      <c r="S113" s="53"/>
      <c r="T113" s="53"/>
      <c r="U113" s="53"/>
      <c r="V113" s="53"/>
      <c r="W113" s="53"/>
      <c r="X113" s="53"/>
      <c r="Y113" s="53"/>
      <c r="Z113" s="53"/>
      <c r="AA113" s="53"/>
      <c r="AB113" s="53"/>
      <c r="AC113" s="53"/>
      <c r="AD113" s="53"/>
      <c r="AE113" s="53"/>
      <c r="AF113" s="53"/>
      <c r="AG113" s="53"/>
      <c r="AH113" s="53">
        <f t="shared" si="19"/>
        <v>0</v>
      </c>
    </row>
    <row r="114" spans="1:34">
      <c r="A114" s="1831" t="s">
        <v>80</v>
      </c>
      <c r="B114" s="18">
        <f t="shared" si="18"/>
        <v>0</v>
      </c>
      <c r="C114" s="46"/>
      <c r="D114" s="53"/>
      <c r="E114" s="53"/>
      <c r="F114" s="53"/>
      <c r="G114" s="53"/>
      <c r="H114" s="53"/>
      <c r="I114" s="53"/>
      <c r="J114" s="53"/>
      <c r="K114" s="53"/>
      <c r="L114" s="53"/>
      <c r="M114" s="53"/>
      <c r="N114" s="53"/>
      <c r="O114" s="53"/>
      <c r="P114" s="53"/>
      <c r="Q114" s="53"/>
      <c r="R114" s="53"/>
      <c r="S114" s="53"/>
      <c r="T114" s="53"/>
      <c r="U114" s="53"/>
      <c r="V114" s="53"/>
      <c r="W114" s="53"/>
      <c r="X114" s="53"/>
      <c r="Y114" s="53"/>
      <c r="Z114" s="53"/>
      <c r="AA114" s="53"/>
      <c r="AB114" s="53"/>
      <c r="AC114" s="53"/>
      <c r="AD114" s="53"/>
      <c r="AE114" s="53"/>
      <c r="AF114" s="53"/>
      <c r="AG114" s="53"/>
      <c r="AH114" s="53">
        <f t="shared" si="19"/>
        <v>0</v>
      </c>
    </row>
    <row r="115" spans="1:34">
      <c r="A115" s="1831" t="s">
        <v>81</v>
      </c>
      <c r="B115" s="18">
        <f t="shared" si="18"/>
        <v>0</v>
      </c>
      <c r="C115" s="49"/>
      <c r="D115" s="53"/>
      <c r="E115" s="53"/>
      <c r="F115" s="53"/>
      <c r="G115" s="18"/>
      <c r="H115" s="18"/>
      <c r="I115" s="18"/>
      <c r="J115" s="57"/>
      <c r="K115" s="57"/>
      <c r="L115" s="53"/>
      <c r="M115" s="53"/>
      <c r="N115" s="53"/>
      <c r="O115" s="53"/>
      <c r="P115" s="53"/>
      <c r="Q115" s="53"/>
      <c r="R115" s="53"/>
      <c r="S115" s="53"/>
      <c r="T115" s="53"/>
      <c r="U115" s="53"/>
      <c r="V115" s="53"/>
      <c r="W115" s="53"/>
      <c r="X115" s="53"/>
      <c r="Y115" s="53"/>
      <c r="Z115" s="53"/>
      <c r="AA115" s="53"/>
      <c r="AB115" s="53"/>
      <c r="AC115" s="53"/>
      <c r="AD115" s="53"/>
      <c r="AE115" s="53"/>
      <c r="AF115" s="53"/>
      <c r="AG115" s="53"/>
      <c r="AH115" s="53">
        <f t="shared" si="19"/>
        <v>0</v>
      </c>
    </row>
    <row r="116" spans="1:34">
      <c r="A116" s="1831" t="s">
        <v>82</v>
      </c>
      <c r="B116" s="18">
        <f t="shared" si="18"/>
        <v>0</v>
      </c>
      <c r="C116" s="49"/>
      <c r="D116" s="18"/>
      <c r="E116" s="18"/>
      <c r="F116" s="18"/>
      <c r="G116" s="18"/>
      <c r="H116" s="18"/>
      <c r="I116" s="18"/>
      <c r="J116" s="57"/>
      <c r="K116" s="57"/>
      <c r="L116" s="53"/>
      <c r="M116" s="53"/>
      <c r="N116" s="53"/>
      <c r="O116" s="53"/>
      <c r="P116" s="53"/>
      <c r="Q116" s="53"/>
      <c r="R116" s="53"/>
      <c r="S116" s="53"/>
      <c r="T116" s="53"/>
      <c r="U116" s="53"/>
      <c r="V116" s="53"/>
      <c r="W116" s="53"/>
      <c r="X116" s="53"/>
      <c r="Y116" s="53"/>
      <c r="Z116" s="53"/>
      <c r="AA116" s="53"/>
      <c r="AB116" s="53"/>
      <c r="AC116" s="53"/>
      <c r="AD116" s="53"/>
      <c r="AE116" s="53"/>
      <c r="AF116" s="53"/>
      <c r="AG116" s="53"/>
      <c r="AH116" s="53">
        <f t="shared" si="19"/>
        <v>0</v>
      </c>
    </row>
    <row r="117" spans="1:34">
      <c r="A117" s="1831" t="s">
        <v>83</v>
      </c>
      <c r="B117" s="18">
        <f t="shared" si="18"/>
        <v>0</v>
      </c>
      <c r="C117" s="46"/>
      <c r="D117" s="53"/>
      <c r="E117" s="53"/>
      <c r="F117" s="53"/>
      <c r="G117" s="53"/>
      <c r="H117" s="53"/>
      <c r="I117" s="53"/>
      <c r="J117" s="57"/>
      <c r="K117" s="57"/>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53">
        <f t="shared" si="19"/>
        <v>0</v>
      </c>
    </row>
    <row r="118" spans="1:34">
      <c r="A118" s="1744" t="s">
        <v>84</v>
      </c>
      <c r="B118" s="18">
        <f t="shared" si="18"/>
        <v>0</v>
      </c>
      <c r="C118" s="49"/>
      <c r="D118" s="53"/>
      <c r="E118" s="53"/>
      <c r="F118" s="53"/>
      <c r="G118" s="18"/>
      <c r="H118" s="18"/>
      <c r="I118" s="18"/>
      <c r="J118" s="18"/>
      <c r="K118" s="18"/>
      <c r="L118" s="18"/>
      <c r="M118" s="18"/>
      <c r="N118" s="18"/>
      <c r="O118" s="53"/>
      <c r="P118" s="18"/>
      <c r="Q118" s="18"/>
      <c r="R118" s="18"/>
      <c r="S118" s="18"/>
      <c r="T118" s="18"/>
      <c r="U118" s="18"/>
      <c r="V118" s="18"/>
      <c r="W118" s="18"/>
      <c r="X118" s="18"/>
      <c r="Y118" s="18"/>
      <c r="Z118" s="18"/>
      <c r="AA118" s="18"/>
      <c r="AB118" s="18"/>
      <c r="AC118" s="18"/>
      <c r="AD118" s="18"/>
      <c r="AE118" s="53"/>
      <c r="AF118" s="18"/>
      <c r="AG118" s="53"/>
      <c r="AH118" s="53">
        <f t="shared" si="19"/>
        <v>0</v>
      </c>
    </row>
    <row r="119" spans="1:34">
      <c r="A119" s="1744" t="s">
        <v>85</v>
      </c>
      <c r="B119" s="18">
        <f t="shared" si="18"/>
        <v>0</v>
      </c>
      <c r="C119" s="49"/>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53"/>
      <c r="AF119" s="18"/>
      <c r="AG119" s="53"/>
      <c r="AH119" s="53">
        <f t="shared" si="19"/>
        <v>0</v>
      </c>
    </row>
    <row r="120" spans="1:34">
      <c r="A120" s="1744" t="s">
        <v>86</v>
      </c>
      <c r="B120" s="18">
        <f t="shared" si="18"/>
        <v>0</v>
      </c>
      <c r="C120" s="49"/>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53"/>
      <c r="AF120" s="18"/>
      <c r="AG120" s="53"/>
      <c r="AH120" s="53">
        <f t="shared" si="19"/>
        <v>0</v>
      </c>
    </row>
    <row r="121" spans="1:34">
      <c r="A121" s="88" t="s">
        <v>74</v>
      </c>
      <c r="B121" s="89">
        <f>SUM(B109:B120)</f>
        <v>0</v>
      </c>
      <c r="C121" s="46">
        <f>SUM(C109:C119)</f>
        <v>0</v>
      </c>
      <c r="D121" s="53">
        <f>SUM(D109:D119)</f>
        <v>0</v>
      </c>
      <c r="E121" s="53">
        <v>0</v>
      </c>
      <c r="F121" s="53">
        <f t="shared" ref="F121:AC121" si="20">SUM(F109:F119)</f>
        <v>0</v>
      </c>
      <c r="G121" s="53">
        <f t="shared" si="20"/>
        <v>0</v>
      </c>
      <c r="H121" s="53">
        <f t="shared" si="20"/>
        <v>0</v>
      </c>
      <c r="I121" s="53">
        <f t="shared" si="20"/>
        <v>0</v>
      </c>
      <c r="J121" s="53">
        <f t="shared" si="20"/>
        <v>0</v>
      </c>
      <c r="K121" s="53">
        <f t="shared" si="20"/>
        <v>0</v>
      </c>
      <c r="L121" s="53">
        <f t="shared" si="20"/>
        <v>0</v>
      </c>
      <c r="M121" s="53">
        <f t="shared" si="20"/>
        <v>0</v>
      </c>
      <c r="N121" s="53">
        <f t="shared" si="20"/>
        <v>0</v>
      </c>
      <c r="O121" s="53">
        <f t="shared" si="20"/>
        <v>0</v>
      </c>
      <c r="P121" s="53">
        <f t="shared" si="20"/>
        <v>0</v>
      </c>
      <c r="Q121" s="53">
        <f t="shared" si="20"/>
        <v>0</v>
      </c>
      <c r="R121" s="53">
        <f t="shared" si="20"/>
        <v>0</v>
      </c>
      <c r="S121" s="53">
        <f t="shared" si="20"/>
        <v>0</v>
      </c>
      <c r="T121" s="53">
        <f t="shared" si="20"/>
        <v>0</v>
      </c>
      <c r="U121" s="53">
        <f t="shared" si="20"/>
        <v>0</v>
      </c>
      <c r="V121" s="53">
        <f t="shared" si="20"/>
        <v>0</v>
      </c>
      <c r="W121" s="53">
        <f t="shared" si="20"/>
        <v>0</v>
      </c>
      <c r="X121" s="53">
        <f t="shared" si="20"/>
        <v>0</v>
      </c>
      <c r="Y121" s="53">
        <f t="shared" si="20"/>
        <v>0</v>
      </c>
      <c r="Z121" s="53">
        <f t="shared" si="20"/>
        <v>0</v>
      </c>
      <c r="AA121" s="53">
        <f t="shared" si="20"/>
        <v>0</v>
      </c>
      <c r="AB121" s="53">
        <f t="shared" si="20"/>
        <v>0</v>
      </c>
      <c r="AC121" s="53">
        <f t="shared" si="20"/>
        <v>0</v>
      </c>
      <c r="AD121" s="53">
        <v>0</v>
      </c>
      <c r="AE121" s="53">
        <f>SUM(AE109:AE119)</f>
        <v>0</v>
      </c>
      <c r="AF121" s="53">
        <f>SUM(AF109:AF119)</f>
        <v>0</v>
      </c>
      <c r="AG121" s="53">
        <f>SUM(AG109:AG119)</f>
        <v>0</v>
      </c>
      <c r="AH121" s="46">
        <f>SUM(AH109:AH119)</f>
        <v>0</v>
      </c>
    </row>
    <row r="122" spans="1:34" ht="5.0999999999999996" customHeight="1">
      <c r="A122" s="50"/>
      <c r="B122" s="51"/>
      <c r="C122" s="13"/>
      <c r="D122" s="52"/>
      <c r="E122" s="52"/>
      <c r="F122" s="52"/>
      <c r="G122" s="52"/>
      <c r="H122" s="52"/>
      <c r="I122" s="52"/>
      <c r="J122" s="52"/>
      <c r="K122" s="52"/>
      <c r="L122" s="52"/>
      <c r="M122" s="52"/>
      <c r="N122" s="52"/>
      <c r="O122" s="52"/>
      <c r="P122" s="52"/>
      <c r="Q122" s="52"/>
      <c r="R122" s="52"/>
      <c r="S122" s="52"/>
      <c r="T122" s="52"/>
      <c r="U122" s="52"/>
      <c r="V122" s="52"/>
      <c r="W122" s="52"/>
      <c r="X122" s="52"/>
      <c r="Y122" s="52"/>
      <c r="Z122" s="52"/>
      <c r="AA122" s="52"/>
      <c r="AB122" s="52"/>
      <c r="AC122" s="52"/>
      <c r="AD122" s="52"/>
      <c r="AE122" s="52"/>
      <c r="AF122" s="52"/>
      <c r="AG122" s="52"/>
      <c r="AH122" s="13"/>
    </row>
    <row r="123" spans="1:34">
      <c r="A123" s="3634" t="s">
        <v>58</v>
      </c>
      <c r="B123" s="3635"/>
      <c r="C123" s="3635"/>
      <c r="D123" s="3635"/>
      <c r="E123" s="3635"/>
      <c r="F123" s="3635"/>
      <c r="G123" s="3635"/>
      <c r="H123" s="3636"/>
      <c r="I123" s="43"/>
      <c r="J123" s="43"/>
      <c r="K123" s="43"/>
      <c r="L123" s="43"/>
      <c r="M123" s="43"/>
      <c r="N123" s="43"/>
      <c r="O123" s="43"/>
      <c r="P123" s="43"/>
      <c r="Q123" s="43"/>
      <c r="R123" s="43"/>
      <c r="S123" s="11"/>
      <c r="T123" s="11"/>
      <c r="U123" s="11"/>
      <c r="V123" s="11"/>
      <c r="W123" s="11"/>
      <c r="X123" s="11"/>
      <c r="Y123" s="11"/>
      <c r="Z123" s="11"/>
      <c r="AA123" s="11"/>
      <c r="AB123" s="11"/>
      <c r="AC123" s="11"/>
      <c r="AD123" s="11"/>
      <c r="AE123" s="11"/>
      <c r="AF123" s="11"/>
      <c r="AG123" s="11"/>
      <c r="AH123" s="11"/>
    </row>
    <row r="124" spans="1:34">
      <c r="A124" s="5" t="s">
        <v>72</v>
      </c>
      <c r="B124" s="5" t="s">
        <v>73</v>
      </c>
      <c r="C124" s="117">
        <v>1</v>
      </c>
      <c r="D124" s="30">
        <v>2</v>
      </c>
      <c r="E124" s="30">
        <v>3</v>
      </c>
      <c r="F124" s="30">
        <v>4</v>
      </c>
      <c r="G124" s="30">
        <v>5</v>
      </c>
      <c r="H124" s="30">
        <v>6</v>
      </c>
      <c r="I124" s="30">
        <v>7</v>
      </c>
      <c r="J124" s="30">
        <v>8</v>
      </c>
      <c r="K124" s="30">
        <v>9</v>
      </c>
      <c r="L124" s="30">
        <v>10</v>
      </c>
      <c r="M124" s="30">
        <v>11</v>
      </c>
      <c r="N124" s="30">
        <v>12</v>
      </c>
      <c r="O124" s="30">
        <v>13</v>
      </c>
      <c r="P124" s="30">
        <v>14</v>
      </c>
      <c r="Q124" s="30">
        <v>15</v>
      </c>
      <c r="R124" s="30">
        <v>16</v>
      </c>
      <c r="S124" s="30">
        <v>17</v>
      </c>
      <c r="T124" s="30">
        <v>18</v>
      </c>
      <c r="U124" s="30">
        <v>19</v>
      </c>
      <c r="V124" s="30">
        <v>20</v>
      </c>
      <c r="W124" s="30">
        <v>21</v>
      </c>
      <c r="X124" s="30">
        <v>22</v>
      </c>
      <c r="Y124" s="30">
        <v>23</v>
      </c>
      <c r="Z124" s="30">
        <v>24</v>
      </c>
      <c r="AA124" s="30">
        <v>25</v>
      </c>
      <c r="AB124" s="30">
        <v>26</v>
      </c>
      <c r="AC124" s="30">
        <v>27</v>
      </c>
      <c r="AD124" s="30">
        <v>28</v>
      </c>
      <c r="AE124" s="30">
        <v>29</v>
      </c>
      <c r="AF124" s="30">
        <v>30</v>
      </c>
      <c r="AG124" s="30">
        <v>31</v>
      </c>
      <c r="AH124" s="39" t="s">
        <v>74</v>
      </c>
    </row>
    <row r="125" spans="1:34">
      <c r="A125" s="1831" t="s">
        <v>75</v>
      </c>
      <c r="B125" s="18">
        <f t="shared" ref="B125:B136" si="21">+AH125</f>
        <v>0</v>
      </c>
      <c r="C125" s="49"/>
      <c r="D125" s="53"/>
      <c r="E125" s="53"/>
      <c r="F125" s="53"/>
      <c r="G125" s="18"/>
      <c r="H125" s="18"/>
      <c r="I125" s="18"/>
      <c r="J125" s="18"/>
      <c r="K125" s="18"/>
      <c r="L125" s="18"/>
      <c r="M125" s="18"/>
      <c r="N125" s="18"/>
      <c r="O125" s="18"/>
      <c r="P125" s="18"/>
      <c r="Q125" s="53"/>
      <c r="R125" s="18"/>
      <c r="S125" s="18"/>
      <c r="T125" s="18"/>
      <c r="U125" s="18"/>
      <c r="V125" s="53"/>
      <c r="W125" s="53"/>
      <c r="X125" s="18"/>
      <c r="Y125" s="18"/>
      <c r="Z125" s="18"/>
      <c r="AA125" s="18"/>
      <c r="AB125" s="18"/>
      <c r="AC125" s="18"/>
      <c r="AD125" s="53"/>
      <c r="AE125" s="18"/>
      <c r="AF125" s="18"/>
      <c r="AG125" s="18"/>
      <c r="AH125" s="53">
        <f>SUM(C125:AG125)</f>
        <v>0</v>
      </c>
    </row>
    <row r="126" spans="1:34">
      <c r="A126" s="1831" t="s">
        <v>76</v>
      </c>
      <c r="B126" s="18">
        <f t="shared" si="21"/>
        <v>0</v>
      </c>
      <c r="C126" s="49"/>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53">
        <f>SUM(C126:AG126)</f>
        <v>0</v>
      </c>
    </row>
    <row r="127" spans="1:34">
      <c r="A127" s="1831" t="s">
        <v>77</v>
      </c>
      <c r="B127" s="18">
        <f t="shared" si="21"/>
        <v>0</v>
      </c>
      <c r="C127" s="46"/>
      <c r="D127" s="53"/>
      <c r="E127" s="53"/>
      <c r="F127" s="53"/>
      <c r="G127" s="53"/>
      <c r="H127" s="53"/>
      <c r="I127" s="53"/>
      <c r="J127" s="53"/>
      <c r="K127" s="53"/>
      <c r="L127" s="53"/>
      <c r="M127" s="53"/>
      <c r="N127" s="53"/>
      <c r="O127" s="53"/>
      <c r="P127" s="53"/>
      <c r="Q127" s="53"/>
      <c r="R127" s="53"/>
      <c r="S127" s="53"/>
      <c r="T127" s="53"/>
      <c r="U127" s="53"/>
      <c r="V127" s="53"/>
      <c r="W127" s="53"/>
      <c r="X127" s="53"/>
      <c r="Y127" s="53"/>
      <c r="Z127" s="53"/>
      <c r="AA127" s="53"/>
      <c r="AB127" s="53"/>
      <c r="AC127" s="53"/>
      <c r="AD127" s="53"/>
      <c r="AE127" s="53"/>
      <c r="AF127" s="53"/>
      <c r="AG127" s="53"/>
      <c r="AH127" s="53">
        <f>SUM(C127:AG127)</f>
        <v>0</v>
      </c>
    </row>
    <row r="128" spans="1:34">
      <c r="A128" s="1831" t="s">
        <v>78</v>
      </c>
      <c r="B128" s="18">
        <f t="shared" si="21"/>
        <v>0</v>
      </c>
      <c r="C128" s="49"/>
      <c r="D128" s="53"/>
      <c r="E128" s="53"/>
      <c r="F128" s="53"/>
      <c r="G128" s="18"/>
      <c r="H128" s="18"/>
      <c r="I128" s="18"/>
      <c r="J128" s="53"/>
      <c r="K128" s="53"/>
      <c r="L128" s="53"/>
      <c r="M128" s="53"/>
      <c r="N128" s="53"/>
      <c r="O128" s="53"/>
      <c r="P128" s="53"/>
      <c r="Q128" s="53"/>
      <c r="R128" s="53"/>
      <c r="S128" s="53"/>
      <c r="T128" s="53"/>
      <c r="U128" s="53"/>
      <c r="V128" s="53"/>
      <c r="W128" s="53"/>
      <c r="X128" s="53"/>
      <c r="Y128" s="53"/>
      <c r="Z128" s="53"/>
      <c r="AA128" s="53"/>
      <c r="AB128" s="53"/>
      <c r="AC128" s="53"/>
      <c r="AD128" s="53"/>
      <c r="AE128" s="53"/>
      <c r="AF128" s="53"/>
      <c r="AG128" s="53"/>
      <c r="AH128" s="53">
        <f t="shared" ref="AH128:AH136" si="22">SUM(C128:AG128)</f>
        <v>0</v>
      </c>
    </row>
    <row r="129" spans="1:34">
      <c r="A129" s="1831" t="s">
        <v>79</v>
      </c>
      <c r="B129" s="18">
        <f t="shared" si="21"/>
        <v>0</v>
      </c>
      <c r="C129" s="49"/>
      <c r="D129" s="18"/>
      <c r="E129" s="18"/>
      <c r="F129" s="18"/>
      <c r="G129" s="18"/>
      <c r="H129" s="18"/>
      <c r="I129" s="18"/>
      <c r="J129" s="53"/>
      <c r="K129" s="53"/>
      <c r="L129" s="53"/>
      <c r="M129" s="53"/>
      <c r="N129" s="53"/>
      <c r="O129" s="53"/>
      <c r="P129" s="53"/>
      <c r="Q129" s="53"/>
      <c r="R129" s="53"/>
      <c r="S129" s="53"/>
      <c r="T129" s="53"/>
      <c r="U129" s="53"/>
      <c r="V129" s="53"/>
      <c r="W129" s="53"/>
      <c r="X129" s="53"/>
      <c r="Y129" s="53"/>
      <c r="Z129" s="53"/>
      <c r="AA129" s="53"/>
      <c r="AB129" s="53"/>
      <c r="AC129" s="53"/>
      <c r="AD129" s="53"/>
      <c r="AE129" s="53"/>
      <c r="AF129" s="53"/>
      <c r="AG129" s="53"/>
      <c r="AH129" s="53">
        <f t="shared" si="22"/>
        <v>0</v>
      </c>
    </row>
    <row r="130" spans="1:34">
      <c r="A130" s="1831" t="s">
        <v>80</v>
      </c>
      <c r="B130" s="18">
        <f t="shared" si="21"/>
        <v>0</v>
      </c>
      <c r="C130" s="46"/>
      <c r="D130" s="53"/>
      <c r="E130" s="53"/>
      <c r="F130" s="53"/>
      <c r="G130" s="53"/>
      <c r="H130" s="53"/>
      <c r="I130" s="53"/>
      <c r="J130" s="53"/>
      <c r="K130" s="53"/>
      <c r="L130" s="53"/>
      <c r="M130" s="53"/>
      <c r="N130" s="53"/>
      <c r="O130" s="53"/>
      <c r="P130" s="53"/>
      <c r="Q130" s="53"/>
      <c r="R130" s="53"/>
      <c r="S130" s="53"/>
      <c r="T130" s="53"/>
      <c r="U130" s="53"/>
      <c r="V130" s="53"/>
      <c r="W130" s="53"/>
      <c r="X130" s="53"/>
      <c r="Y130" s="53"/>
      <c r="Z130" s="53"/>
      <c r="AA130" s="53"/>
      <c r="AB130" s="53"/>
      <c r="AC130" s="53"/>
      <c r="AD130" s="53"/>
      <c r="AE130" s="53"/>
      <c r="AF130" s="53"/>
      <c r="AG130" s="53"/>
      <c r="AH130" s="53">
        <f t="shared" si="22"/>
        <v>0</v>
      </c>
    </row>
    <row r="131" spans="1:34">
      <c r="A131" s="1831" t="s">
        <v>81</v>
      </c>
      <c r="B131" s="18">
        <f t="shared" si="21"/>
        <v>0</v>
      </c>
      <c r="C131" s="49"/>
      <c r="D131" s="53"/>
      <c r="E131" s="53"/>
      <c r="F131" s="53"/>
      <c r="G131" s="18"/>
      <c r="H131" s="18"/>
      <c r="I131" s="18"/>
      <c r="J131" s="57"/>
      <c r="K131" s="57"/>
      <c r="L131" s="53"/>
      <c r="M131" s="53"/>
      <c r="N131" s="53"/>
      <c r="O131" s="53"/>
      <c r="P131" s="53"/>
      <c r="Q131" s="53"/>
      <c r="R131" s="53"/>
      <c r="S131" s="53"/>
      <c r="T131" s="53"/>
      <c r="U131" s="53"/>
      <c r="V131" s="53"/>
      <c r="W131" s="53"/>
      <c r="X131" s="53"/>
      <c r="Y131" s="53"/>
      <c r="Z131" s="53"/>
      <c r="AA131" s="53"/>
      <c r="AB131" s="53"/>
      <c r="AC131" s="53"/>
      <c r="AD131" s="53"/>
      <c r="AE131" s="53"/>
      <c r="AF131" s="53"/>
      <c r="AG131" s="53"/>
      <c r="AH131" s="53">
        <f t="shared" si="22"/>
        <v>0</v>
      </c>
    </row>
    <row r="132" spans="1:34">
      <c r="A132" s="1831" t="s">
        <v>82</v>
      </c>
      <c r="B132" s="18">
        <f t="shared" si="21"/>
        <v>0</v>
      </c>
      <c r="C132" s="49"/>
      <c r="D132" s="18"/>
      <c r="E132" s="18"/>
      <c r="F132" s="18"/>
      <c r="G132" s="18"/>
      <c r="H132" s="18"/>
      <c r="I132" s="18"/>
      <c r="J132" s="57"/>
      <c r="K132" s="57"/>
      <c r="L132" s="53"/>
      <c r="M132" s="53"/>
      <c r="N132" s="53"/>
      <c r="O132" s="53"/>
      <c r="P132" s="53"/>
      <c r="Q132" s="53"/>
      <c r="R132" s="53"/>
      <c r="S132" s="53"/>
      <c r="T132" s="53"/>
      <c r="U132" s="53"/>
      <c r="V132" s="53"/>
      <c r="W132" s="53"/>
      <c r="X132" s="53"/>
      <c r="Y132" s="53"/>
      <c r="Z132" s="53"/>
      <c r="AA132" s="53"/>
      <c r="AB132" s="53"/>
      <c r="AC132" s="53"/>
      <c r="AD132" s="53"/>
      <c r="AE132" s="53"/>
      <c r="AF132" s="53"/>
      <c r="AG132" s="53"/>
      <c r="AH132" s="53">
        <f t="shared" si="22"/>
        <v>0</v>
      </c>
    </row>
    <row r="133" spans="1:34">
      <c r="A133" s="1831" t="s">
        <v>83</v>
      </c>
      <c r="B133" s="18">
        <f t="shared" si="21"/>
        <v>0</v>
      </c>
      <c r="C133" s="46"/>
      <c r="D133" s="53"/>
      <c r="E133" s="53"/>
      <c r="F133" s="53"/>
      <c r="G133" s="53"/>
      <c r="H133" s="53"/>
      <c r="I133" s="53"/>
      <c r="J133" s="57"/>
      <c r="K133" s="57"/>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53">
        <f t="shared" si="22"/>
        <v>0</v>
      </c>
    </row>
    <row r="134" spans="1:34">
      <c r="A134" s="1744" t="s">
        <v>84</v>
      </c>
      <c r="B134" s="18">
        <f t="shared" si="21"/>
        <v>0</v>
      </c>
      <c r="C134" s="49"/>
      <c r="D134" s="53"/>
      <c r="E134" s="53"/>
      <c r="F134" s="53"/>
      <c r="G134" s="18"/>
      <c r="H134" s="18"/>
      <c r="I134" s="18"/>
      <c r="J134" s="18"/>
      <c r="K134" s="18"/>
      <c r="L134" s="18"/>
      <c r="M134" s="18"/>
      <c r="N134" s="18"/>
      <c r="O134" s="53"/>
      <c r="P134" s="18"/>
      <c r="Q134" s="18"/>
      <c r="R134" s="18"/>
      <c r="S134" s="18"/>
      <c r="T134" s="18"/>
      <c r="U134" s="18"/>
      <c r="V134" s="18"/>
      <c r="W134" s="18"/>
      <c r="X134" s="18"/>
      <c r="Y134" s="18"/>
      <c r="Z134" s="18"/>
      <c r="AA134" s="18"/>
      <c r="AB134" s="18"/>
      <c r="AC134" s="18"/>
      <c r="AD134" s="18"/>
      <c r="AE134" s="53"/>
      <c r="AF134" s="18"/>
      <c r="AG134" s="53"/>
      <c r="AH134" s="53">
        <f t="shared" si="22"/>
        <v>0</v>
      </c>
    </row>
    <row r="135" spans="1:34">
      <c r="A135" s="1744" t="s">
        <v>85</v>
      </c>
      <c r="B135" s="18">
        <f t="shared" si="21"/>
        <v>0</v>
      </c>
      <c r="C135" s="49"/>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53"/>
      <c r="AF135" s="18"/>
      <c r="AG135" s="53"/>
      <c r="AH135" s="53">
        <f t="shared" si="22"/>
        <v>0</v>
      </c>
    </row>
    <row r="136" spans="1:34">
      <c r="A136" s="1744" t="s">
        <v>86</v>
      </c>
      <c r="B136" s="18">
        <f t="shared" si="21"/>
        <v>0</v>
      </c>
      <c r="C136" s="49"/>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53"/>
      <c r="AF136" s="18"/>
      <c r="AG136" s="53"/>
      <c r="AH136" s="53">
        <f t="shared" si="22"/>
        <v>0</v>
      </c>
    </row>
    <row r="137" spans="1:34">
      <c r="A137" s="88" t="s">
        <v>74</v>
      </c>
      <c r="B137" s="89">
        <f>SUM(B125:B136)</f>
        <v>0</v>
      </c>
      <c r="C137" s="46">
        <f>SUM(C125:C135)</f>
        <v>0</v>
      </c>
      <c r="D137" s="53">
        <f>SUM(D125:D135)</f>
        <v>0</v>
      </c>
      <c r="E137" s="53">
        <v>0</v>
      </c>
      <c r="F137" s="53">
        <f t="shared" ref="F137:AC137" si="23">SUM(F125:F135)</f>
        <v>0</v>
      </c>
      <c r="G137" s="53">
        <f t="shared" si="23"/>
        <v>0</v>
      </c>
      <c r="H137" s="53">
        <f t="shared" si="23"/>
        <v>0</v>
      </c>
      <c r="I137" s="53">
        <f t="shared" si="23"/>
        <v>0</v>
      </c>
      <c r="J137" s="53">
        <f t="shared" si="23"/>
        <v>0</v>
      </c>
      <c r="K137" s="53">
        <f t="shared" si="23"/>
        <v>0</v>
      </c>
      <c r="L137" s="53">
        <f t="shared" si="23"/>
        <v>0</v>
      </c>
      <c r="M137" s="53">
        <f t="shared" si="23"/>
        <v>0</v>
      </c>
      <c r="N137" s="53">
        <f t="shared" si="23"/>
        <v>0</v>
      </c>
      <c r="O137" s="53">
        <f t="shared" si="23"/>
        <v>0</v>
      </c>
      <c r="P137" s="53">
        <f t="shared" si="23"/>
        <v>0</v>
      </c>
      <c r="Q137" s="53">
        <f t="shared" si="23"/>
        <v>0</v>
      </c>
      <c r="R137" s="53">
        <f t="shared" si="23"/>
        <v>0</v>
      </c>
      <c r="S137" s="53">
        <f t="shared" si="23"/>
        <v>0</v>
      </c>
      <c r="T137" s="53">
        <f t="shared" si="23"/>
        <v>0</v>
      </c>
      <c r="U137" s="53">
        <f t="shared" si="23"/>
        <v>0</v>
      </c>
      <c r="V137" s="53">
        <f t="shared" si="23"/>
        <v>0</v>
      </c>
      <c r="W137" s="53">
        <f t="shared" si="23"/>
        <v>0</v>
      </c>
      <c r="X137" s="53">
        <f t="shared" si="23"/>
        <v>0</v>
      </c>
      <c r="Y137" s="53">
        <f t="shared" si="23"/>
        <v>0</v>
      </c>
      <c r="Z137" s="53">
        <f t="shared" si="23"/>
        <v>0</v>
      </c>
      <c r="AA137" s="53">
        <f t="shared" si="23"/>
        <v>0</v>
      </c>
      <c r="AB137" s="53">
        <f t="shared" si="23"/>
        <v>0</v>
      </c>
      <c r="AC137" s="53">
        <f t="shared" si="23"/>
        <v>0</v>
      </c>
      <c r="AD137" s="53">
        <v>0</v>
      </c>
      <c r="AE137" s="53">
        <f>SUM(AE125:AE135)</f>
        <v>0</v>
      </c>
      <c r="AF137" s="53">
        <f>SUM(AF125:AF135)</f>
        <v>0</v>
      </c>
      <c r="AG137" s="53">
        <f>SUM(AG125:AG135)</f>
        <v>0</v>
      </c>
      <c r="AH137" s="46">
        <f>SUM(AH125:AH135)</f>
        <v>0</v>
      </c>
    </row>
    <row r="138" spans="1:34" ht="5.0999999999999996" customHeight="1">
      <c r="A138" s="50"/>
      <c r="B138" s="51"/>
      <c r="C138" s="13"/>
      <c r="D138" s="52"/>
      <c r="E138" s="52"/>
      <c r="F138" s="52"/>
      <c r="G138" s="52"/>
      <c r="H138" s="52"/>
      <c r="I138" s="52"/>
      <c r="J138" s="52"/>
      <c r="K138" s="52"/>
      <c r="L138" s="52"/>
      <c r="M138" s="52"/>
      <c r="N138" s="52"/>
      <c r="O138" s="52"/>
      <c r="P138" s="52"/>
      <c r="Q138" s="52"/>
      <c r="R138" s="52"/>
      <c r="S138" s="52"/>
      <c r="T138" s="52"/>
      <c r="U138" s="52"/>
      <c r="V138" s="52"/>
      <c r="W138" s="52"/>
      <c r="X138" s="52"/>
      <c r="Y138" s="52"/>
      <c r="Z138" s="52"/>
      <c r="AA138" s="52"/>
      <c r="AB138" s="52"/>
      <c r="AC138" s="52"/>
      <c r="AD138" s="52"/>
      <c r="AE138" s="52"/>
      <c r="AF138" s="52"/>
      <c r="AG138" s="52"/>
      <c r="AH138" s="13"/>
    </row>
    <row r="139" spans="1:34">
      <c r="A139" s="3634" t="s">
        <v>102</v>
      </c>
      <c r="B139" s="3635"/>
      <c r="C139" s="3635"/>
      <c r="D139" s="3635"/>
      <c r="E139" s="3635"/>
      <c r="F139" s="3635"/>
      <c r="G139" s="3635"/>
      <c r="H139" s="3636"/>
      <c r="I139" s="43"/>
      <c r="J139" s="43"/>
      <c r="K139" s="43"/>
      <c r="L139" s="43"/>
      <c r="M139" s="43"/>
      <c r="N139" s="43"/>
      <c r="O139" s="43"/>
      <c r="P139" s="43"/>
      <c r="Q139" s="43"/>
      <c r="R139" s="43"/>
      <c r="S139" s="11"/>
      <c r="T139" s="11"/>
      <c r="U139" s="11"/>
      <c r="V139" s="11"/>
      <c r="W139" s="11"/>
      <c r="X139" s="11"/>
      <c r="Y139" s="11"/>
      <c r="Z139" s="11"/>
      <c r="AA139" s="11"/>
      <c r="AB139" s="11"/>
      <c r="AC139" s="11"/>
      <c r="AD139" s="11"/>
      <c r="AE139" s="11"/>
      <c r="AF139" s="11"/>
      <c r="AG139" s="11"/>
      <c r="AH139" s="11"/>
    </row>
    <row r="140" spans="1:34">
      <c r="A140" s="5" t="s">
        <v>72</v>
      </c>
      <c r="B140" s="5" t="s">
        <v>73</v>
      </c>
      <c r="C140" s="117">
        <v>1</v>
      </c>
      <c r="D140" s="30">
        <v>2</v>
      </c>
      <c r="E140" s="30">
        <v>3</v>
      </c>
      <c r="F140" s="30">
        <v>4</v>
      </c>
      <c r="G140" s="30">
        <v>5</v>
      </c>
      <c r="H140" s="30">
        <v>6</v>
      </c>
      <c r="I140" s="30">
        <v>7</v>
      </c>
      <c r="J140" s="30">
        <v>8</v>
      </c>
      <c r="K140" s="30">
        <v>9</v>
      </c>
      <c r="L140" s="30">
        <v>10</v>
      </c>
      <c r="M140" s="30">
        <v>11</v>
      </c>
      <c r="N140" s="30">
        <v>12</v>
      </c>
      <c r="O140" s="30">
        <v>13</v>
      </c>
      <c r="P140" s="30">
        <v>14</v>
      </c>
      <c r="Q140" s="30">
        <v>15</v>
      </c>
      <c r="R140" s="30">
        <v>16</v>
      </c>
      <c r="S140" s="30">
        <v>17</v>
      </c>
      <c r="T140" s="30">
        <v>18</v>
      </c>
      <c r="U140" s="30">
        <v>19</v>
      </c>
      <c r="V140" s="30">
        <v>20</v>
      </c>
      <c r="W140" s="30">
        <v>21</v>
      </c>
      <c r="X140" s="30">
        <v>22</v>
      </c>
      <c r="Y140" s="30">
        <v>23</v>
      </c>
      <c r="Z140" s="30">
        <v>24</v>
      </c>
      <c r="AA140" s="30">
        <v>25</v>
      </c>
      <c r="AB140" s="30">
        <v>26</v>
      </c>
      <c r="AC140" s="30">
        <v>27</v>
      </c>
      <c r="AD140" s="30">
        <v>28</v>
      </c>
      <c r="AE140" s="30">
        <v>29</v>
      </c>
      <c r="AF140" s="30">
        <v>30</v>
      </c>
      <c r="AG140" s="30">
        <v>31</v>
      </c>
      <c r="AH140" s="39" t="s">
        <v>74</v>
      </c>
    </row>
    <row r="141" spans="1:34">
      <c r="A141" s="1831" t="s">
        <v>75</v>
      </c>
      <c r="B141" s="18">
        <f t="shared" ref="B141:B152" si="24">+AH141</f>
        <v>0</v>
      </c>
      <c r="C141" s="49"/>
      <c r="D141" s="53"/>
      <c r="E141" s="53"/>
      <c r="F141" s="53"/>
      <c r="G141" s="18"/>
      <c r="H141" s="18"/>
      <c r="I141" s="18"/>
      <c r="J141" s="18"/>
      <c r="K141" s="18"/>
      <c r="L141" s="18"/>
      <c r="M141" s="18"/>
      <c r="N141" s="18"/>
      <c r="O141" s="18"/>
      <c r="P141" s="18"/>
      <c r="Q141" s="53"/>
      <c r="R141" s="18"/>
      <c r="S141" s="18"/>
      <c r="T141" s="18"/>
      <c r="U141" s="18"/>
      <c r="V141" s="53"/>
      <c r="W141" s="53"/>
      <c r="X141" s="18"/>
      <c r="Y141" s="18"/>
      <c r="Z141" s="18"/>
      <c r="AA141" s="18"/>
      <c r="AB141" s="18"/>
      <c r="AC141" s="18"/>
      <c r="AD141" s="53"/>
      <c r="AE141" s="18"/>
      <c r="AF141" s="18"/>
      <c r="AG141" s="18"/>
      <c r="AH141" s="53">
        <f>SUM(C141:AG141)</f>
        <v>0</v>
      </c>
    </row>
    <row r="142" spans="1:34">
      <c r="A142" s="1831" t="s">
        <v>76</v>
      </c>
      <c r="B142" s="18">
        <f t="shared" si="24"/>
        <v>0</v>
      </c>
      <c r="C142" s="49"/>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53">
        <f>SUM(C142:AG142)</f>
        <v>0</v>
      </c>
    </row>
    <row r="143" spans="1:34">
      <c r="A143" s="1831" t="s">
        <v>77</v>
      </c>
      <c r="B143" s="18">
        <f t="shared" si="24"/>
        <v>0</v>
      </c>
      <c r="C143" s="46"/>
      <c r="D143" s="53"/>
      <c r="E143" s="53"/>
      <c r="F143" s="53"/>
      <c r="G143" s="53"/>
      <c r="H143" s="53"/>
      <c r="I143" s="53"/>
      <c r="J143" s="53"/>
      <c r="K143" s="53"/>
      <c r="L143" s="53"/>
      <c r="M143" s="53"/>
      <c r="N143" s="53"/>
      <c r="O143" s="53"/>
      <c r="P143" s="53"/>
      <c r="Q143" s="53"/>
      <c r="R143" s="53"/>
      <c r="S143" s="53"/>
      <c r="T143" s="53"/>
      <c r="U143" s="53"/>
      <c r="V143" s="53"/>
      <c r="W143" s="53"/>
      <c r="X143" s="53"/>
      <c r="Y143" s="53"/>
      <c r="Z143" s="53"/>
      <c r="AA143" s="53"/>
      <c r="AB143" s="53"/>
      <c r="AC143" s="53"/>
      <c r="AD143" s="53"/>
      <c r="AE143" s="53"/>
      <c r="AF143" s="53"/>
      <c r="AG143" s="53"/>
      <c r="AH143" s="53">
        <f>SUM(C143:AG143)</f>
        <v>0</v>
      </c>
    </row>
    <row r="144" spans="1:34">
      <c r="A144" s="1831" t="s">
        <v>78</v>
      </c>
      <c r="B144" s="18">
        <f t="shared" si="24"/>
        <v>0</v>
      </c>
      <c r="C144" s="49"/>
      <c r="D144" s="53"/>
      <c r="E144" s="53"/>
      <c r="F144" s="53"/>
      <c r="G144" s="18"/>
      <c r="H144" s="18"/>
      <c r="I144" s="18"/>
      <c r="J144" s="53"/>
      <c r="K144" s="53"/>
      <c r="L144" s="53"/>
      <c r="M144" s="53"/>
      <c r="N144" s="53"/>
      <c r="O144" s="53"/>
      <c r="P144" s="53"/>
      <c r="Q144" s="53"/>
      <c r="R144" s="53"/>
      <c r="S144" s="53"/>
      <c r="T144" s="53"/>
      <c r="U144" s="53"/>
      <c r="V144" s="53"/>
      <c r="W144" s="53"/>
      <c r="X144" s="53"/>
      <c r="Y144" s="53"/>
      <c r="Z144" s="53"/>
      <c r="AA144" s="53"/>
      <c r="AB144" s="53"/>
      <c r="AC144" s="53"/>
      <c r="AD144" s="53"/>
      <c r="AE144" s="53"/>
      <c r="AF144" s="53"/>
      <c r="AG144" s="53"/>
      <c r="AH144" s="53">
        <f t="shared" ref="AH144:AH152" si="25">SUM(C144:AG144)</f>
        <v>0</v>
      </c>
    </row>
    <row r="145" spans="1:34">
      <c r="A145" s="1831" t="s">
        <v>79</v>
      </c>
      <c r="B145" s="18">
        <f t="shared" si="24"/>
        <v>0</v>
      </c>
      <c r="C145" s="49"/>
      <c r="D145" s="18"/>
      <c r="E145" s="18"/>
      <c r="F145" s="18"/>
      <c r="G145" s="18"/>
      <c r="H145" s="18"/>
      <c r="I145" s="18"/>
      <c r="J145" s="53"/>
      <c r="K145" s="53"/>
      <c r="L145" s="53"/>
      <c r="M145" s="53"/>
      <c r="N145" s="53"/>
      <c r="O145" s="53"/>
      <c r="P145" s="53"/>
      <c r="Q145" s="53"/>
      <c r="R145" s="53"/>
      <c r="S145" s="53"/>
      <c r="T145" s="53"/>
      <c r="U145" s="53"/>
      <c r="V145" s="53"/>
      <c r="W145" s="53"/>
      <c r="X145" s="53"/>
      <c r="Y145" s="53"/>
      <c r="Z145" s="53"/>
      <c r="AA145" s="53"/>
      <c r="AB145" s="53"/>
      <c r="AC145" s="53"/>
      <c r="AD145" s="53"/>
      <c r="AE145" s="53"/>
      <c r="AF145" s="53"/>
      <c r="AG145" s="53"/>
      <c r="AH145" s="53">
        <f t="shared" si="25"/>
        <v>0</v>
      </c>
    </row>
    <row r="146" spans="1:34">
      <c r="A146" s="1831" t="s">
        <v>80</v>
      </c>
      <c r="B146" s="18">
        <f t="shared" si="24"/>
        <v>0</v>
      </c>
      <c r="C146" s="46"/>
      <c r="D146" s="53"/>
      <c r="E146" s="53"/>
      <c r="F146" s="53"/>
      <c r="G146" s="53"/>
      <c r="H146" s="53"/>
      <c r="I146" s="53"/>
      <c r="J146" s="53"/>
      <c r="K146" s="53"/>
      <c r="L146" s="53"/>
      <c r="M146" s="53"/>
      <c r="N146" s="53"/>
      <c r="O146" s="53"/>
      <c r="P146" s="53"/>
      <c r="Q146" s="53"/>
      <c r="R146" s="53"/>
      <c r="S146" s="53"/>
      <c r="T146" s="53"/>
      <c r="U146" s="53"/>
      <c r="V146" s="53"/>
      <c r="W146" s="53"/>
      <c r="X146" s="53"/>
      <c r="Y146" s="53"/>
      <c r="Z146" s="53"/>
      <c r="AA146" s="53"/>
      <c r="AB146" s="53"/>
      <c r="AC146" s="53"/>
      <c r="AD146" s="53"/>
      <c r="AE146" s="53"/>
      <c r="AF146" s="53"/>
      <c r="AG146" s="53"/>
      <c r="AH146" s="53">
        <f t="shared" si="25"/>
        <v>0</v>
      </c>
    </row>
    <row r="147" spans="1:34">
      <c r="A147" s="1831" t="s">
        <v>81</v>
      </c>
      <c r="B147" s="18">
        <f t="shared" si="24"/>
        <v>0</v>
      </c>
      <c r="C147" s="49"/>
      <c r="D147" s="53"/>
      <c r="E147" s="53"/>
      <c r="F147" s="53"/>
      <c r="G147" s="18"/>
      <c r="H147" s="18"/>
      <c r="I147" s="18"/>
      <c r="J147" s="57"/>
      <c r="K147" s="57"/>
      <c r="L147" s="53"/>
      <c r="M147" s="53"/>
      <c r="N147" s="53"/>
      <c r="O147" s="53"/>
      <c r="P147" s="53"/>
      <c r="Q147" s="53"/>
      <c r="R147" s="53"/>
      <c r="S147" s="53"/>
      <c r="T147" s="53"/>
      <c r="U147" s="53"/>
      <c r="V147" s="53"/>
      <c r="W147" s="53"/>
      <c r="X147" s="53"/>
      <c r="Y147" s="53"/>
      <c r="Z147" s="53"/>
      <c r="AA147" s="53"/>
      <c r="AB147" s="53"/>
      <c r="AC147" s="53"/>
      <c r="AD147" s="53"/>
      <c r="AE147" s="53"/>
      <c r="AF147" s="53"/>
      <c r="AG147" s="53"/>
      <c r="AH147" s="53">
        <f t="shared" si="25"/>
        <v>0</v>
      </c>
    </row>
    <row r="148" spans="1:34">
      <c r="A148" s="1831" t="s">
        <v>82</v>
      </c>
      <c r="B148" s="18">
        <f t="shared" si="24"/>
        <v>0</v>
      </c>
      <c r="C148" s="49"/>
      <c r="D148" s="18"/>
      <c r="E148" s="18"/>
      <c r="F148" s="18"/>
      <c r="G148" s="18"/>
      <c r="H148" s="18"/>
      <c r="I148" s="18"/>
      <c r="J148" s="57"/>
      <c r="K148" s="57"/>
      <c r="L148" s="53"/>
      <c r="M148" s="53"/>
      <c r="N148" s="53"/>
      <c r="O148" s="53"/>
      <c r="P148" s="53"/>
      <c r="Q148" s="53"/>
      <c r="R148" s="53"/>
      <c r="S148" s="53"/>
      <c r="T148" s="53"/>
      <c r="U148" s="53"/>
      <c r="V148" s="53"/>
      <c r="W148" s="53"/>
      <c r="X148" s="53"/>
      <c r="Y148" s="53"/>
      <c r="Z148" s="53"/>
      <c r="AA148" s="53"/>
      <c r="AB148" s="53"/>
      <c r="AC148" s="53"/>
      <c r="AD148" s="53"/>
      <c r="AE148" s="53"/>
      <c r="AF148" s="53"/>
      <c r="AG148" s="53"/>
      <c r="AH148" s="53">
        <f t="shared" si="25"/>
        <v>0</v>
      </c>
    </row>
    <row r="149" spans="1:34">
      <c r="A149" s="1831" t="s">
        <v>83</v>
      </c>
      <c r="B149" s="18">
        <f t="shared" si="24"/>
        <v>0</v>
      </c>
      <c r="C149" s="46"/>
      <c r="D149" s="53"/>
      <c r="E149" s="53"/>
      <c r="F149" s="53"/>
      <c r="G149" s="53"/>
      <c r="H149" s="53"/>
      <c r="I149" s="53"/>
      <c r="J149" s="57"/>
      <c r="K149" s="57"/>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53">
        <f t="shared" si="25"/>
        <v>0</v>
      </c>
    </row>
    <row r="150" spans="1:34">
      <c r="A150" s="1744" t="s">
        <v>84</v>
      </c>
      <c r="B150" s="18">
        <f t="shared" si="24"/>
        <v>0</v>
      </c>
      <c r="C150" s="49"/>
      <c r="D150" s="53"/>
      <c r="E150" s="53"/>
      <c r="F150" s="53"/>
      <c r="G150" s="18"/>
      <c r="H150" s="18"/>
      <c r="I150" s="18"/>
      <c r="J150" s="18"/>
      <c r="K150" s="18"/>
      <c r="L150" s="18"/>
      <c r="M150" s="18"/>
      <c r="N150" s="18"/>
      <c r="O150" s="53"/>
      <c r="P150" s="18"/>
      <c r="Q150" s="18"/>
      <c r="R150" s="18"/>
      <c r="S150" s="18"/>
      <c r="T150" s="18"/>
      <c r="U150" s="18"/>
      <c r="V150" s="18"/>
      <c r="W150" s="18"/>
      <c r="X150" s="18"/>
      <c r="Y150" s="18"/>
      <c r="Z150" s="18"/>
      <c r="AA150" s="18"/>
      <c r="AB150" s="18"/>
      <c r="AC150" s="18"/>
      <c r="AD150" s="18"/>
      <c r="AE150" s="53"/>
      <c r="AF150" s="18"/>
      <c r="AG150" s="53"/>
      <c r="AH150" s="53">
        <f t="shared" si="25"/>
        <v>0</v>
      </c>
    </row>
    <row r="151" spans="1:34">
      <c r="A151" s="1744" t="s">
        <v>85</v>
      </c>
      <c r="B151" s="18">
        <f t="shared" si="24"/>
        <v>0</v>
      </c>
      <c r="C151" s="49"/>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53"/>
      <c r="AF151" s="18"/>
      <c r="AG151" s="53"/>
      <c r="AH151" s="53">
        <f t="shared" si="25"/>
        <v>0</v>
      </c>
    </row>
    <row r="152" spans="1:34">
      <c r="A152" s="1744" t="s">
        <v>86</v>
      </c>
      <c r="B152" s="18">
        <f t="shared" si="24"/>
        <v>0</v>
      </c>
      <c r="C152" s="49"/>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53"/>
      <c r="AF152" s="18"/>
      <c r="AG152" s="53"/>
      <c r="AH152" s="53">
        <f t="shared" si="25"/>
        <v>0</v>
      </c>
    </row>
    <row r="153" spans="1:34">
      <c r="A153" s="88" t="s">
        <v>74</v>
      </c>
      <c r="B153" s="89">
        <f>SUM(B141:B152)</f>
        <v>0</v>
      </c>
      <c r="C153" s="46">
        <f>SUM(C141:C151)</f>
        <v>0</v>
      </c>
      <c r="D153" s="53">
        <f>SUM(D141:D151)</f>
        <v>0</v>
      </c>
      <c r="E153" s="53">
        <v>0</v>
      </c>
      <c r="F153" s="53">
        <f t="shared" ref="F153:AC153" si="26">SUM(F141:F151)</f>
        <v>0</v>
      </c>
      <c r="G153" s="53">
        <f t="shared" si="26"/>
        <v>0</v>
      </c>
      <c r="H153" s="53">
        <f t="shared" si="26"/>
        <v>0</v>
      </c>
      <c r="I153" s="53">
        <f t="shared" si="26"/>
        <v>0</v>
      </c>
      <c r="J153" s="53">
        <f t="shared" si="26"/>
        <v>0</v>
      </c>
      <c r="K153" s="53">
        <f t="shared" si="26"/>
        <v>0</v>
      </c>
      <c r="L153" s="53">
        <f t="shared" si="26"/>
        <v>0</v>
      </c>
      <c r="M153" s="53">
        <f t="shared" si="26"/>
        <v>0</v>
      </c>
      <c r="N153" s="53">
        <f t="shared" si="26"/>
        <v>0</v>
      </c>
      <c r="O153" s="53">
        <f t="shared" si="26"/>
        <v>0</v>
      </c>
      <c r="P153" s="53">
        <f t="shared" si="26"/>
        <v>0</v>
      </c>
      <c r="Q153" s="53">
        <f t="shared" si="26"/>
        <v>0</v>
      </c>
      <c r="R153" s="53">
        <f t="shared" si="26"/>
        <v>0</v>
      </c>
      <c r="S153" s="53">
        <f t="shared" si="26"/>
        <v>0</v>
      </c>
      <c r="T153" s="53">
        <f t="shared" si="26"/>
        <v>0</v>
      </c>
      <c r="U153" s="53">
        <f t="shared" si="26"/>
        <v>0</v>
      </c>
      <c r="V153" s="53">
        <f t="shared" si="26"/>
        <v>0</v>
      </c>
      <c r="W153" s="53">
        <f t="shared" si="26"/>
        <v>0</v>
      </c>
      <c r="X153" s="53">
        <f t="shared" si="26"/>
        <v>0</v>
      </c>
      <c r="Y153" s="53">
        <f t="shared" si="26"/>
        <v>0</v>
      </c>
      <c r="Z153" s="53">
        <f t="shared" si="26"/>
        <v>0</v>
      </c>
      <c r="AA153" s="53">
        <f t="shared" si="26"/>
        <v>0</v>
      </c>
      <c r="AB153" s="53">
        <f t="shared" si="26"/>
        <v>0</v>
      </c>
      <c r="AC153" s="53">
        <f t="shared" si="26"/>
        <v>0</v>
      </c>
      <c r="AD153" s="53">
        <v>0</v>
      </c>
      <c r="AE153" s="53">
        <f>SUM(AE141:AE151)</f>
        <v>0</v>
      </c>
      <c r="AF153" s="53">
        <f>SUM(AF141:AF151)</f>
        <v>0</v>
      </c>
      <c r="AG153" s="53">
        <f>SUM(AG141:AG151)</f>
        <v>0</v>
      </c>
      <c r="AH153" s="46">
        <f>SUM(AH141:AH151)</f>
        <v>0</v>
      </c>
    </row>
    <row r="154" spans="1:34" ht="5.0999999999999996" customHeight="1">
      <c r="A154" s="50"/>
      <c r="B154" s="51"/>
      <c r="C154" s="13"/>
      <c r="D154" s="52"/>
      <c r="E154" s="52"/>
      <c r="F154" s="52"/>
      <c r="G154" s="52"/>
      <c r="H154" s="52"/>
      <c r="I154" s="52"/>
      <c r="J154" s="52"/>
      <c r="K154" s="52"/>
      <c r="L154" s="52"/>
      <c r="M154" s="52"/>
      <c r="N154" s="52"/>
      <c r="O154" s="52"/>
      <c r="P154" s="52"/>
      <c r="Q154" s="52"/>
      <c r="R154" s="52"/>
      <c r="S154" s="52"/>
      <c r="T154" s="52"/>
      <c r="U154" s="52"/>
      <c r="V154" s="52"/>
      <c r="W154" s="52"/>
      <c r="X154" s="52"/>
      <c r="Y154" s="52"/>
      <c r="Z154" s="52"/>
      <c r="AA154" s="52"/>
      <c r="AB154" s="52"/>
      <c r="AC154" s="52"/>
      <c r="AD154" s="52"/>
      <c r="AE154" s="52"/>
      <c r="AF154" s="52"/>
      <c r="AG154" s="52"/>
      <c r="AH154" s="13"/>
    </row>
    <row r="155" spans="1:34">
      <c r="A155" s="3634" t="s">
        <v>59</v>
      </c>
      <c r="B155" s="3635"/>
      <c r="C155" s="3635"/>
      <c r="D155" s="3635"/>
      <c r="E155" s="3635"/>
      <c r="F155" s="3635"/>
      <c r="G155" s="3635"/>
      <c r="H155" s="3636"/>
      <c r="I155" s="43"/>
      <c r="J155" s="3251" t="s">
        <v>1253</v>
      </c>
      <c r="K155" s="43"/>
      <c r="L155" s="43"/>
      <c r="M155" s="43"/>
      <c r="N155" s="43"/>
      <c r="O155" s="43"/>
      <c r="P155" s="43"/>
      <c r="Q155" s="43"/>
      <c r="R155" s="43"/>
      <c r="S155" s="11"/>
      <c r="T155" s="11"/>
      <c r="U155" s="11"/>
      <c r="V155" s="11"/>
      <c r="W155" s="11"/>
      <c r="X155" s="11"/>
      <c r="Y155" s="11"/>
      <c r="Z155" s="11"/>
      <c r="AA155" s="11"/>
      <c r="AB155" s="11"/>
      <c r="AC155" s="11"/>
      <c r="AD155" s="11"/>
      <c r="AE155" s="11"/>
      <c r="AF155" s="11"/>
      <c r="AG155" s="11"/>
      <c r="AH155" s="11"/>
    </row>
    <row r="156" spans="1:34">
      <c r="A156" s="5" t="s">
        <v>72</v>
      </c>
      <c r="B156" s="5" t="s">
        <v>73</v>
      </c>
      <c r="C156" s="117">
        <v>1</v>
      </c>
      <c r="D156" s="30">
        <v>2</v>
      </c>
      <c r="E156" s="30">
        <v>3</v>
      </c>
      <c r="F156" s="30">
        <v>4</v>
      </c>
      <c r="G156" s="30">
        <v>5</v>
      </c>
      <c r="H156" s="30">
        <v>6</v>
      </c>
      <c r="I156" s="30">
        <v>7</v>
      </c>
      <c r="J156" s="30">
        <v>8</v>
      </c>
      <c r="K156" s="30">
        <v>9</v>
      </c>
      <c r="L156" s="30">
        <v>10</v>
      </c>
      <c r="M156" s="30">
        <v>11</v>
      </c>
      <c r="N156" s="30">
        <v>12</v>
      </c>
      <c r="O156" s="30">
        <v>13</v>
      </c>
      <c r="P156" s="30">
        <v>14</v>
      </c>
      <c r="Q156" s="30">
        <v>15</v>
      </c>
      <c r="R156" s="30">
        <v>16</v>
      </c>
      <c r="S156" s="30">
        <v>17</v>
      </c>
      <c r="T156" s="30">
        <v>18</v>
      </c>
      <c r="U156" s="30">
        <v>19</v>
      </c>
      <c r="V156" s="30">
        <v>20</v>
      </c>
      <c r="W156" s="30">
        <v>21</v>
      </c>
      <c r="X156" s="30">
        <v>22</v>
      </c>
      <c r="Y156" s="30">
        <v>23</v>
      </c>
      <c r="Z156" s="30">
        <v>24</v>
      </c>
      <c r="AA156" s="30">
        <v>25</v>
      </c>
      <c r="AB156" s="30">
        <v>26</v>
      </c>
      <c r="AC156" s="30">
        <v>27</v>
      </c>
      <c r="AD156" s="30">
        <v>28</v>
      </c>
      <c r="AE156" s="30">
        <v>29</v>
      </c>
      <c r="AF156" s="30">
        <v>30</v>
      </c>
      <c r="AG156" s="30">
        <v>31</v>
      </c>
      <c r="AH156" s="39" t="s">
        <v>74</v>
      </c>
    </row>
    <row r="157" spans="1:34">
      <c r="A157" s="1831" t="s">
        <v>75</v>
      </c>
      <c r="B157" s="18">
        <f t="shared" ref="B157:B168" si="27">+AH157</f>
        <v>0</v>
      </c>
      <c r="C157" s="49"/>
      <c r="D157" s="53"/>
      <c r="E157" s="53"/>
      <c r="F157" s="53"/>
      <c r="G157" s="18"/>
      <c r="H157" s="18"/>
      <c r="I157" s="18"/>
      <c r="J157" s="18"/>
      <c r="K157" s="18"/>
      <c r="L157" s="18"/>
      <c r="M157" s="18"/>
      <c r="N157" s="18"/>
      <c r="O157" s="18"/>
      <c r="P157" s="18"/>
      <c r="Q157" s="53"/>
      <c r="R157" s="18"/>
      <c r="S157" s="18"/>
      <c r="T157" s="18"/>
      <c r="U157" s="18"/>
      <c r="V157" s="53"/>
      <c r="W157" s="53"/>
      <c r="X157" s="18"/>
      <c r="Y157" s="18"/>
      <c r="Z157" s="18"/>
      <c r="AA157" s="18"/>
      <c r="AB157" s="18"/>
      <c r="AC157" s="18"/>
      <c r="AD157" s="53"/>
      <c r="AE157" s="18"/>
      <c r="AF157" s="18"/>
      <c r="AG157" s="18"/>
      <c r="AH157" s="53">
        <f>SUM(C157:AG157)</f>
        <v>0</v>
      </c>
    </row>
    <row r="158" spans="1:34">
      <c r="A158" s="1831" t="s">
        <v>76</v>
      </c>
      <c r="B158" s="18">
        <f t="shared" si="27"/>
        <v>0</v>
      </c>
      <c r="C158" s="49"/>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53">
        <f>SUM(C158:AG158)</f>
        <v>0</v>
      </c>
    </row>
    <row r="159" spans="1:34">
      <c r="A159" s="1831" t="s">
        <v>77</v>
      </c>
      <c r="B159" s="18">
        <f t="shared" si="27"/>
        <v>0</v>
      </c>
      <c r="C159" s="46"/>
      <c r="D159" s="53"/>
      <c r="E159" s="53"/>
      <c r="F159" s="53"/>
      <c r="G159" s="53"/>
      <c r="H159" s="53"/>
      <c r="I159" s="53"/>
      <c r="J159" s="53"/>
      <c r="K159" s="53"/>
      <c r="L159" s="53"/>
      <c r="M159" s="53"/>
      <c r="N159" s="53"/>
      <c r="O159" s="53"/>
      <c r="P159" s="53"/>
      <c r="Q159" s="53"/>
      <c r="R159" s="53"/>
      <c r="S159" s="53"/>
      <c r="T159" s="53"/>
      <c r="U159" s="53"/>
      <c r="V159" s="53"/>
      <c r="W159" s="53"/>
      <c r="X159" s="53"/>
      <c r="Y159" s="53"/>
      <c r="Z159" s="53"/>
      <c r="AA159" s="53"/>
      <c r="AB159" s="53"/>
      <c r="AC159" s="53"/>
      <c r="AD159" s="53"/>
      <c r="AE159" s="53"/>
      <c r="AF159" s="53"/>
      <c r="AG159" s="53"/>
      <c r="AH159" s="53">
        <f>SUM(C159:AG159)</f>
        <v>0</v>
      </c>
    </row>
    <row r="160" spans="1:34">
      <c r="A160" s="1831" t="s">
        <v>78</v>
      </c>
      <c r="B160" s="18">
        <f t="shared" si="27"/>
        <v>0</v>
      </c>
      <c r="C160" s="49"/>
      <c r="D160" s="53"/>
      <c r="E160" s="53"/>
      <c r="F160" s="53"/>
      <c r="G160" s="18"/>
      <c r="H160" s="18"/>
      <c r="I160" s="18"/>
      <c r="J160" s="53"/>
      <c r="K160" s="53"/>
      <c r="L160" s="53"/>
      <c r="M160" s="53"/>
      <c r="N160" s="53"/>
      <c r="O160" s="53"/>
      <c r="P160" s="53"/>
      <c r="Q160" s="53"/>
      <c r="R160" s="53"/>
      <c r="S160" s="53"/>
      <c r="T160" s="53"/>
      <c r="U160" s="53"/>
      <c r="V160" s="53"/>
      <c r="W160" s="53"/>
      <c r="X160" s="53"/>
      <c r="Y160" s="53"/>
      <c r="Z160" s="53"/>
      <c r="AA160" s="53"/>
      <c r="AB160" s="53"/>
      <c r="AC160" s="53"/>
      <c r="AD160" s="53"/>
      <c r="AE160" s="53"/>
      <c r="AF160" s="53"/>
      <c r="AG160" s="53"/>
      <c r="AH160" s="53">
        <f t="shared" ref="AH160:AH168" si="28">SUM(C160:AG160)</f>
        <v>0</v>
      </c>
    </row>
    <row r="161" spans="1:34">
      <c r="A161" s="1831" t="s">
        <v>79</v>
      </c>
      <c r="B161" s="18">
        <f t="shared" si="27"/>
        <v>0</v>
      </c>
      <c r="C161" s="49"/>
      <c r="D161" s="18"/>
      <c r="E161" s="18"/>
      <c r="F161" s="18"/>
      <c r="G161" s="18"/>
      <c r="H161" s="18"/>
      <c r="I161" s="18"/>
      <c r="J161" s="53"/>
      <c r="K161" s="53"/>
      <c r="L161" s="53"/>
      <c r="M161" s="53"/>
      <c r="N161" s="53"/>
      <c r="O161" s="53"/>
      <c r="P161" s="53"/>
      <c r="Q161" s="53"/>
      <c r="R161" s="53"/>
      <c r="S161" s="53"/>
      <c r="T161" s="53"/>
      <c r="U161" s="53"/>
      <c r="V161" s="53"/>
      <c r="W161" s="53"/>
      <c r="X161" s="53"/>
      <c r="Y161" s="53"/>
      <c r="Z161" s="53"/>
      <c r="AA161" s="53"/>
      <c r="AB161" s="53"/>
      <c r="AC161" s="53"/>
      <c r="AD161" s="53"/>
      <c r="AE161" s="53"/>
      <c r="AF161" s="53"/>
      <c r="AG161" s="53"/>
      <c r="AH161" s="53">
        <f t="shared" si="28"/>
        <v>0</v>
      </c>
    </row>
    <row r="162" spans="1:34">
      <c r="A162" s="1831" t="s">
        <v>80</v>
      </c>
      <c r="B162" s="18">
        <f t="shared" si="27"/>
        <v>0</v>
      </c>
      <c r="C162" s="46"/>
      <c r="D162" s="53"/>
      <c r="E162" s="53"/>
      <c r="F162" s="53"/>
      <c r="G162" s="53"/>
      <c r="H162" s="53"/>
      <c r="I162" s="53"/>
      <c r="J162" s="53"/>
      <c r="K162" s="53"/>
      <c r="L162" s="53"/>
      <c r="M162" s="53"/>
      <c r="N162" s="53"/>
      <c r="O162" s="53"/>
      <c r="P162" s="53"/>
      <c r="Q162" s="53"/>
      <c r="R162" s="53"/>
      <c r="S162" s="53"/>
      <c r="T162" s="53"/>
      <c r="U162" s="53"/>
      <c r="V162" s="53"/>
      <c r="W162" s="53"/>
      <c r="X162" s="53"/>
      <c r="Y162" s="53"/>
      <c r="Z162" s="53"/>
      <c r="AA162" s="53"/>
      <c r="AB162" s="53"/>
      <c r="AC162" s="53"/>
      <c r="AD162" s="53"/>
      <c r="AE162" s="53"/>
      <c r="AF162" s="53"/>
      <c r="AG162" s="53"/>
      <c r="AH162" s="53">
        <f t="shared" si="28"/>
        <v>0</v>
      </c>
    </row>
    <row r="163" spans="1:34">
      <c r="A163" s="1831" t="s">
        <v>81</v>
      </c>
      <c r="B163" s="18">
        <f t="shared" si="27"/>
        <v>0</v>
      </c>
      <c r="C163" s="49"/>
      <c r="D163" s="53"/>
      <c r="E163" s="53"/>
      <c r="F163" s="53"/>
      <c r="G163" s="18"/>
      <c r="H163" s="18"/>
      <c r="I163" s="18"/>
      <c r="J163" s="57"/>
      <c r="K163" s="57"/>
      <c r="L163" s="53"/>
      <c r="M163" s="53"/>
      <c r="N163" s="53"/>
      <c r="O163" s="53"/>
      <c r="P163" s="53"/>
      <c r="Q163" s="53"/>
      <c r="R163" s="53"/>
      <c r="S163" s="53"/>
      <c r="T163" s="53"/>
      <c r="U163" s="53"/>
      <c r="V163" s="53"/>
      <c r="W163" s="53"/>
      <c r="X163" s="53"/>
      <c r="Y163" s="53"/>
      <c r="Z163" s="53"/>
      <c r="AA163" s="53"/>
      <c r="AB163" s="53"/>
      <c r="AC163" s="53"/>
      <c r="AD163" s="53"/>
      <c r="AE163" s="53"/>
      <c r="AF163" s="53"/>
      <c r="AG163" s="53"/>
      <c r="AH163" s="53">
        <f t="shared" si="28"/>
        <v>0</v>
      </c>
    </row>
    <row r="164" spans="1:34">
      <c r="A164" s="1831" t="s">
        <v>82</v>
      </c>
      <c r="B164" s="18">
        <f t="shared" si="27"/>
        <v>0</v>
      </c>
      <c r="C164" s="49"/>
      <c r="D164" s="18"/>
      <c r="E164" s="18"/>
      <c r="F164" s="18"/>
      <c r="G164" s="18"/>
      <c r="H164" s="18"/>
      <c r="I164" s="18"/>
      <c r="J164" s="57"/>
      <c r="K164" s="57"/>
      <c r="L164" s="53"/>
      <c r="M164" s="53"/>
      <c r="N164" s="53"/>
      <c r="O164" s="53"/>
      <c r="P164" s="53"/>
      <c r="Q164" s="53"/>
      <c r="R164" s="53"/>
      <c r="S164" s="53"/>
      <c r="T164" s="53"/>
      <c r="U164" s="53"/>
      <c r="V164" s="53"/>
      <c r="W164" s="53"/>
      <c r="X164" s="53"/>
      <c r="Y164" s="53"/>
      <c r="Z164" s="53"/>
      <c r="AA164" s="53"/>
      <c r="AB164" s="53"/>
      <c r="AC164" s="53"/>
      <c r="AD164" s="53"/>
      <c r="AE164" s="53"/>
      <c r="AF164" s="53"/>
      <c r="AG164" s="53"/>
      <c r="AH164" s="53">
        <f t="shared" si="28"/>
        <v>0</v>
      </c>
    </row>
    <row r="165" spans="1:34">
      <c r="A165" s="1831" t="s">
        <v>83</v>
      </c>
      <c r="B165" s="18">
        <f t="shared" si="27"/>
        <v>0</v>
      </c>
      <c r="C165" s="46"/>
      <c r="D165" s="53"/>
      <c r="E165" s="53"/>
      <c r="F165" s="53"/>
      <c r="G165" s="53"/>
      <c r="H165" s="53"/>
      <c r="I165" s="53"/>
      <c r="J165" s="57"/>
      <c r="K165" s="57"/>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53">
        <f t="shared" si="28"/>
        <v>0</v>
      </c>
    </row>
    <row r="166" spans="1:34">
      <c r="A166" s="1744" t="s">
        <v>84</v>
      </c>
      <c r="B166" s="18">
        <f t="shared" si="27"/>
        <v>0</v>
      </c>
      <c r="C166" s="49"/>
      <c r="D166" s="53"/>
      <c r="E166" s="53"/>
      <c r="F166" s="53"/>
      <c r="G166" s="18"/>
      <c r="H166" s="18"/>
      <c r="I166" s="18"/>
      <c r="J166" s="18"/>
      <c r="K166" s="18"/>
      <c r="L166" s="18"/>
      <c r="M166" s="18"/>
      <c r="N166" s="18"/>
      <c r="O166" s="53"/>
      <c r="P166" s="18"/>
      <c r="Q166" s="18"/>
      <c r="R166" s="18"/>
      <c r="S166" s="18"/>
      <c r="T166" s="18"/>
      <c r="U166" s="18"/>
      <c r="V166" s="18"/>
      <c r="W166" s="18"/>
      <c r="X166" s="18"/>
      <c r="Y166" s="18"/>
      <c r="Z166" s="18"/>
      <c r="AA166" s="18"/>
      <c r="AB166" s="18"/>
      <c r="AC166" s="18"/>
      <c r="AD166" s="18"/>
      <c r="AE166" s="53"/>
      <c r="AF166" s="18"/>
      <c r="AG166" s="53"/>
      <c r="AH166" s="53">
        <f t="shared" si="28"/>
        <v>0</v>
      </c>
    </row>
    <row r="167" spans="1:34">
      <c r="A167" s="1744" t="s">
        <v>85</v>
      </c>
      <c r="B167" s="18">
        <f t="shared" si="27"/>
        <v>2.9000000000000001E-2</v>
      </c>
      <c r="C167" s="49"/>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v>2.9000000000000001E-2</v>
      </c>
      <c r="AD167" s="18"/>
      <c r="AE167" s="53"/>
      <c r="AF167" s="18"/>
      <c r="AG167" s="53"/>
      <c r="AH167" s="53">
        <f t="shared" si="28"/>
        <v>2.9000000000000001E-2</v>
      </c>
    </row>
    <row r="168" spans="1:34">
      <c r="A168" s="1744" t="s">
        <v>86</v>
      </c>
      <c r="B168" s="18">
        <f t="shared" si="27"/>
        <v>0</v>
      </c>
      <c r="C168" s="49"/>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53"/>
      <c r="AF168" s="18"/>
      <c r="AG168" s="53"/>
      <c r="AH168" s="53">
        <f t="shared" si="28"/>
        <v>0</v>
      </c>
    </row>
    <row r="169" spans="1:34">
      <c r="A169" s="88" t="s">
        <v>74</v>
      </c>
      <c r="B169" s="89">
        <f>SUM(B157:B168)</f>
        <v>2.9000000000000001E-2</v>
      </c>
      <c r="C169" s="46">
        <f>SUM(C157:C167)</f>
        <v>0</v>
      </c>
      <c r="D169" s="53">
        <f>SUM(D157:D167)</f>
        <v>0</v>
      </c>
      <c r="E169" s="53">
        <v>0</v>
      </c>
      <c r="F169" s="53">
        <f t="shared" ref="F169:AC169" si="29">SUM(F157:F167)</f>
        <v>0</v>
      </c>
      <c r="G169" s="53">
        <f t="shared" si="29"/>
        <v>0</v>
      </c>
      <c r="H169" s="53">
        <f t="shared" si="29"/>
        <v>0</v>
      </c>
      <c r="I169" s="53">
        <f t="shared" si="29"/>
        <v>0</v>
      </c>
      <c r="J169" s="53">
        <f t="shared" si="29"/>
        <v>0</v>
      </c>
      <c r="K169" s="53">
        <f t="shared" si="29"/>
        <v>0</v>
      </c>
      <c r="L169" s="53">
        <f t="shared" si="29"/>
        <v>0</v>
      </c>
      <c r="M169" s="53">
        <f t="shared" si="29"/>
        <v>0</v>
      </c>
      <c r="N169" s="53">
        <f t="shared" si="29"/>
        <v>0</v>
      </c>
      <c r="O169" s="53">
        <f t="shared" si="29"/>
        <v>0</v>
      </c>
      <c r="P169" s="53">
        <f t="shared" si="29"/>
        <v>0</v>
      </c>
      <c r="Q169" s="53">
        <f t="shared" si="29"/>
        <v>0</v>
      </c>
      <c r="R169" s="53">
        <f t="shared" si="29"/>
        <v>0</v>
      </c>
      <c r="S169" s="53">
        <f t="shared" si="29"/>
        <v>0</v>
      </c>
      <c r="T169" s="53">
        <f t="shared" si="29"/>
        <v>0</v>
      </c>
      <c r="U169" s="53">
        <f t="shared" si="29"/>
        <v>0</v>
      </c>
      <c r="V169" s="53">
        <f t="shared" si="29"/>
        <v>0</v>
      </c>
      <c r="W169" s="53">
        <f t="shared" si="29"/>
        <v>0</v>
      </c>
      <c r="X169" s="53">
        <f t="shared" si="29"/>
        <v>0</v>
      </c>
      <c r="Y169" s="53">
        <f t="shared" si="29"/>
        <v>0</v>
      </c>
      <c r="Z169" s="53">
        <f t="shared" si="29"/>
        <v>0</v>
      </c>
      <c r="AA169" s="53">
        <f t="shared" si="29"/>
        <v>0</v>
      </c>
      <c r="AB169" s="53">
        <f t="shared" si="29"/>
        <v>0</v>
      </c>
      <c r="AC169" s="53">
        <f t="shared" si="29"/>
        <v>2.9000000000000001E-2</v>
      </c>
      <c r="AD169" s="53">
        <v>0</v>
      </c>
      <c r="AE169" s="53">
        <f>SUM(AE157:AE167)</f>
        <v>0</v>
      </c>
      <c r="AF169" s="53">
        <f>SUM(AF157:AF167)</f>
        <v>0</v>
      </c>
      <c r="AG169" s="53">
        <f>SUM(AG157:AG167)</f>
        <v>0</v>
      </c>
      <c r="AH169" s="46">
        <f>SUM(AH157:AH167)</f>
        <v>2.9000000000000001E-2</v>
      </c>
    </row>
    <row r="170" spans="1:34" ht="5.0999999999999996" customHeight="1">
      <c r="A170" s="50"/>
      <c r="B170" s="51"/>
      <c r="C170" s="13"/>
      <c r="D170" s="52"/>
      <c r="E170" s="52"/>
      <c r="F170" s="52"/>
      <c r="G170" s="52"/>
      <c r="H170" s="52"/>
      <c r="I170" s="52"/>
      <c r="J170" s="52"/>
      <c r="K170" s="52"/>
      <c r="L170" s="52"/>
      <c r="M170" s="52"/>
      <c r="N170" s="52"/>
      <c r="O170" s="52"/>
      <c r="P170" s="52"/>
      <c r="Q170" s="52"/>
      <c r="R170" s="52"/>
      <c r="S170" s="52"/>
      <c r="T170" s="52"/>
      <c r="U170" s="52"/>
      <c r="V170" s="52"/>
      <c r="W170" s="52"/>
      <c r="X170" s="52"/>
      <c r="Y170" s="52"/>
      <c r="Z170" s="52"/>
      <c r="AA170" s="52"/>
      <c r="AB170" s="52"/>
      <c r="AC170" s="52"/>
      <c r="AD170" s="52"/>
      <c r="AE170" s="52"/>
      <c r="AF170" s="52"/>
      <c r="AG170" s="52"/>
      <c r="AH170" s="13"/>
    </row>
    <row r="171" spans="1:34">
      <c r="A171" s="3634" t="s">
        <v>103</v>
      </c>
      <c r="B171" s="3635"/>
      <c r="C171" s="3635"/>
      <c r="D171" s="3635"/>
      <c r="E171" s="3635"/>
      <c r="F171" s="3635"/>
      <c r="G171" s="3635"/>
      <c r="H171" s="3636"/>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row>
    <row r="172" spans="1:34">
      <c r="A172" s="5" t="s">
        <v>72</v>
      </c>
      <c r="B172" s="5" t="s">
        <v>73</v>
      </c>
      <c r="C172" s="117">
        <v>1</v>
      </c>
      <c r="D172" s="30">
        <v>2</v>
      </c>
      <c r="E172" s="30">
        <v>3</v>
      </c>
      <c r="F172" s="30">
        <v>4</v>
      </c>
      <c r="G172" s="30">
        <v>5</v>
      </c>
      <c r="H172" s="30">
        <v>6</v>
      </c>
      <c r="I172" s="30">
        <v>7</v>
      </c>
      <c r="J172" s="30">
        <v>8</v>
      </c>
      <c r="K172" s="30">
        <v>9</v>
      </c>
      <c r="L172" s="30">
        <v>10</v>
      </c>
      <c r="M172" s="30">
        <v>11</v>
      </c>
      <c r="N172" s="30">
        <v>12</v>
      </c>
      <c r="O172" s="30">
        <v>13</v>
      </c>
      <c r="P172" s="30">
        <v>14</v>
      </c>
      <c r="Q172" s="30">
        <v>15</v>
      </c>
      <c r="R172" s="30">
        <v>16</v>
      </c>
      <c r="S172" s="30">
        <v>17</v>
      </c>
      <c r="T172" s="30">
        <v>18</v>
      </c>
      <c r="U172" s="30">
        <v>19</v>
      </c>
      <c r="V172" s="30">
        <v>20</v>
      </c>
      <c r="W172" s="30">
        <v>21</v>
      </c>
      <c r="X172" s="30">
        <v>22</v>
      </c>
      <c r="Y172" s="30">
        <v>23</v>
      </c>
      <c r="Z172" s="30">
        <v>24</v>
      </c>
      <c r="AA172" s="30">
        <v>25</v>
      </c>
      <c r="AB172" s="30">
        <v>26</v>
      </c>
      <c r="AC172" s="30">
        <v>27</v>
      </c>
      <c r="AD172" s="30">
        <v>28</v>
      </c>
      <c r="AE172" s="30">
        <v>29</v>
      </c>
      <c r="AF172" s="30">
        <v>30</v>
      </c>
      <c r="AG172" s="30">
        <v>31</v>
      </c>
      <c r="AH172" s="39" t="s">
        <v>74</v>
      </c>
    </row>
    <row r="173" spans="1:34">
      <c r="A173" s="1831" t="s">
        <v>75</v>
      </c>
      <c r="B173" s="18">
        <f t="shared" ref="B173:B184" si="30">+AH173</f>
        <v>0</v>
      </c>
      <c r="C173" s="1287"/>
      <c r="D173" s="53"/>
      <c r="E173" s="53"/>
      <c r="F173" s="53"/>
      <c r="G173" s="18"/>
      <c r="H173" s="18"/>
      <c r="I173" s="18"/>
      <c r="J173" s="18"/>
      <c r="K173" s="18"/>
      <c r="L173" s="18"/>
      <c r="M173" s="18"/>
      <c r="N173" s="18"/>
      <c r="O173" s="18"/>
      <c r="P173" s="18"/>
      <c r="Q173" s="53"/>
      <c r="R173" s="18"/>
      <c r="S173" s="18"/>
      <c r="T173" s="18"/>
      <c r="U173" s="18"/>
      <c r="V173" s="53"/>
      <c r="W173" s="53"/>
      <c r="X173" s="18"/>
      <c r="Y173" s="18"/>
      <c r="Z173" s="18"/>
      <c r="AA173" s="18"/>
      <c r="AB173" s="18"/>
      <c r="AC173" s="18"/>
      <c r="AD173" s="53"/>
      <c r="AE173" s="18"/>
      <c r="AF173" s="18"/>
      <c r="AG173" s="18"/>
      <c r="AH173" s="53">
        <f>SUM(C173:AG173)</f>
        <v>0</v>
      </c>
    </row>
    <row r="174" spans="1:34">
      <c r="A174" s="1831" t="s">
        <v>76</v>
      </c>
      <c r="B174" s="18">
        <f t="shared" si="30"/>
        <v>0</v>
      </c>
      <c r="C174" s="1287"/>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53">
        <f t="shared" ref="AH174:AH184" si="31">SUM(C174:AG174)</f>
        <v>0</v>
      </c>
    </row>
    <row r="175" spans="1:34">
      <c r="A175" s="1831" t="s">
        <v>77</v>
      </c>
      <c r="B175" s="67">
        <f t="shared" si="30"/>
        <v>0</v>
      </c>
      <c r="C175" s="1488"/>
      <c r="D175" s="53"/>
      <c r="E175" s="53"/>
      <c r="F175" s="53"/>
      <c r="G175" s="53"/>
      <c r="H175" s="53"/>
      <c r="I175" s="53"/>
      <c r="J175" s="53"/>
      <c r="K175" s="53"/>
      <c r="L175" s="53"/>
      <c r="M175" s="53"/>
      <c r="N175" s="53"/>
      <c r="O175" s="53"/>
      <c r="P175" s="53"/>
      <c r="Q175" s="53"/>
      <c r="R175" s="53"/>
      <c r="S175" s="53"/>
      <c r="T175" s="53"/>
      <c r="U175" s="53"/>
      <c r="V175" s="53"/>
      <c r="W175" s="53"/>
      <c r="X175" s="53"/>
      <c r="Y175" s="53"/>
      <c r="Z175" s="53"/>
      <c r="AA175" s="53"/>
      <c r="AB175" s="53"/>
      <c r="AC175" s="53"/>
      <c r="AD175" s="53"/>
      <c r="AE175" s="53"/>
      <c r="AF175" s="53"/>
      <c r="AG175" s="53"/>
      <c r="AH175" s="53">
        <f t="shared" si="31"/>
        <v>0</v>
      </c>
    </row>
    <row r="176" spans="1:34">
      <c r="A176" s="1831" t="s">
        <v>78</v>
      </c>
      <c r="B176" s="67">
        <f t="shared" si="30"/>
        <v>0</v>
      </c>
      <c r="C176" s="1287"/>
      <c r="D176" s="53"/>
      <c r="E176" s="53"/>
      <c r="F176" s="53"/>
      <c r="G176" s="18"/>
      <c r="H176" s="18"/>
      <c r="I176" s="18"/>
      <c r="J176" s="53"/>
      <c r="K176" s="53"/>
      <c r="L176" s="53"/>
      <c r="M176" s="53"/>
      <c r="N176" s="53"/>
      <c r="O176" s="53"/>
      <c r="P176" s="53"/>
      <c r="Q176" s="53"/>
      <c r="R176" s="53"/>
      <c r="S176" s="53"/>
      <c r="T176" s="53"/>
      <c r="U176" s="53"/>
      <c r="V176" s="53"/>
      <c r="W176" s="53"/>
      <c r="X176" s="53"/>
      <c r="Y176" s="53"/>
      <c r="Z176" s="53"/>
      <c r="AA176" s="53"/>
      <c r="AB176" s="53"/>
      <c r="AC176" s="53"/>
      <c r="AD176" s="53"/>
      <c r="AE176" s="53"/>
      <c r="AF176" s="53"/>
      <c r="AG176" s="53"/>
      <c r="AH176" s="53">
        <f t="shared" si="31"/>
        <v>0</v>
      </c>
    </row>
    <row r="177" spans="1:34">
      <c r="A177" s="1831" t="s">
        <v>79</v>
      </c>
      <c r="B177" s="18">
        <f t="shared" si="30"/>
        <v>0</v>
      </c>
      <c r="C177" s="1287"/>
      <c r="D177" s="18"/>
      <c r="E177" s="18"/>
      <c r="F177" s="18"/>
      <c r="G177" s="18"/>
      <c r="H177" s="18"/>
      <c r="I177" s="18"/>
      <c r="J177" s="53"/>
      <c r="K177" s="53"/>
      <c r="L177" s="53"/>
      <c r="M177" s="53"/>
      <c r="N177" s="53"/>
      <c r="O177" s="53"/>
      <c r="P177" s="53"/>
      <c r="Q177" s="53"/>
      <c r="R177" s="53"/>
      <c r="S177" s="53"/>
      <c r="T177" s="53"/>
      <c r="U177" s="53"/>
      <c r="V177" s="53"/>
      <c r="W177" s="53"/>
      <c r="X177" s="53"/>
      <c r="Y177" s="53"/>
      <c r="Z177" s="53"/>
      <c r="AA177" s="53"/>
      <c r="AB177" s="53"/>
      <c r="AC177" s="53"/>
      <c r="AD177" s="53"/>
      <c r="AE177" s="53"/>
      <c r="AF177" s="53"/>
      <c r="AG177" s="53"/>
      <c r="AH177" s="53">
        <f t="shared" si="31"/>
        <v>0</v>
      </c>
    </row>
    <row r="178" spans="1:34">
      <c r="A178" s="1831" t="s">
        <v>80</v>
      </c>
      <c r="B178" s="18">
        <f t="shared" si="30"/>
        <v>0</v>
      </c>
      <c r="C178" s="1488"/>
      <c r="D178" s="53"/>
      <c r="E178" s="53"/>
      <c r="F178" s="53"/>
      <c r="G178" s="53"/>
      <c r="H178" s="53"/>
      <c r="I178" s="53"/>
      <c r="J178" s="53"/>
      <c r="K178" s="53"/>
      <c r="L178" s="53"/>
      <c r="M178" s="53"/>
      <c r="N178" s="53"/>
      <c r="O178" s="53"/>
      <c r="P178" s="53"/>
      <c r="Q178" s="53"/>
      <c r="R178" s="53"/>
      <c r="S178" s="53"/>
      <c r="T178" s="53"/>
      <c r="U178" s="53"/>
      <c r="V178" s="53"/>
      <c r="W178" s="53"/>
      <c r="X178" s="53"/>
      <c r="Y178" s="53"/>
      <c r="Z178" s="53"/>
      <c r="AA178" s="53"/>
      <c r="AB178" s="53"/>
      <c r="AC178" s="53"/>
      <c r="AD178" s="53"/>
      <c r="AE178" s="53"/>
      <c r="AF178" s="53"/>
      <c r="AG178" s="53"/>
      <c r="AH178" s="53">
        <f t="shared" si="31"/>
        <v>0</v>
      </c>
    </row>
    <row r="179" spans="1:34">
      <c r="A179" s="1831" t="s">
        <v>81</v>
      </c>
      <c r="B179" s="18">
        <f t="shared" si="30"/>
        <v>0</v>
      </c>
      <c r="C179" s="1287"/>
      <c r="D179" s="53"/>
      <c r="E179" s="53"/>
      <c r="F179" s="53"/>
      <c r="G179" s="18"/>
      <c r="H179" s="18"/>
      <c r="I179" s="18"/>
      <c r="J179" s="57"/>
      <c r="K179" s="57"/>
      <c r="L179" s="53"/>
      <c r="M179" s="53"/>
      <c r="N179" s="53"/>
      <c r="O179" s="53"/>
      <c r="P179" s="53"/>
      <c r="Q179" s="53"/>
      <c r="R179" s="53"/>
      <c r="S179" s="53"/>
      <c r="T179" s="53"/>
      <c r="U179" s="53"/>
      <c r="V179" s="53"/>
      <c r="W179" s="53"/>
      <c r="X179" s="53"/>
      <c r="Y179" s="53"/>
      <c r="Z179" s="53"/>
      <c r="AA179" s="53"/>
      <c r="AB179" s="53"/>
      <c r="AC179" s="53"/>
      <c r="AD179" s="53"/>
      <c r="AE179" s="53"/>
      <c r="AF179" s="53"/>
      <c r="AG179" s="53"/>
      <c r="AH179" s="53">
        <f t="shared" si="31"/>
        <v>0</v>
      </c>
    </row>
    <row r="180" spans="1:34">
      <c r="A180" s="1831" t="s">
        <v>82</v>
      </c>
      <c r="B180" s="18">
        <f t="shared" si="30"/>
        <v>0</v>
      </c>
      <c r="C180" s="1287"/>
      <c r="D180" s="18"/>
      <c r="E180" s="18"/>
      <c r="F180" s="18"/>
      <c r="G180" s="18"/>
      <c r="H180" s="18"/>
      <c r="I180" s="18"/>
      <c r="J180" s="57"/>
      <c r="K180" s="57"/>
      <c r="L180" s="53"/>
      <c r="M180" s="53"/>
      <c r="N180" s="53"/>
      <c r="O180" s="53"/>
      <c r="P180" s="53"/>
      <c r="Q180" s="53"/>
      <c r="R180" s="53"/>
      <c r="S180" s="53"/>
      <c r="T180" s="53"/>
      <c r="U180" s="53"/>
      <c r="V180" s="53"/>
      <c r="W180" s="53"/>
      <c r="X180" s="53"/>
      <c r="Y180" s="53"/>
      <c r="Z180" s="53"/>
      <c r="AA180" s="53"/>
      <c r="AB180" s="53"/>
      <c r="AC180" s="53"/>
      <c r="AD180" s="53"/>
      <c r="AE180" s="53"/>
      <c r="AF180" s="53"/>
      <c r="AG180" s="53"/>
      <c r="AH180" s="53">
        <f t="shared" si="31"/>
        <v>0</v>
      </c>
    </row>
    <row r="181" spans="1:34">
      <c r="A181" s="1831" t="s">
        <v>83</v>
      </c>
      <c r="B181" s="18">
        <f t="shared" si="30"/>
        <v>0</v>
      </c>
      <c r="C181" s="1488"/>
      <c r="D181" s="53"/>
      <c r="E181" s="53"/>
      <c r="F181" s="53"/>
      <c r="G181" s="53"/>
      <c r="H181" s="53"/>
      <c r="I181" s="53"/>
      <c r="J181" s="57"/>
      <c r="K181" s="57"/>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53">
        <f t="shared" si="31"/>
        <v>0</v>
      </c>
    </row>
    <row r="182" spans="1:34">
      <c r="A182" s="1744" t="s">
        <v>84</v>
      </c>
      <c r="B182" s="18">
        <f t="shared" si="30"/>
        <v>0</v>
      </c>
      <c r="C182" s="1287"/>
      <c r="D182" s="53"/>
      <c r="E182" s="53"/>
      <c r="F182" s="53"/>
      <c r="G182" s="18"/>
      <c r="H182" s="18"/>
      <c r="I182" s="18"/>
      <c r="J182" s="18"/>
      <c r="K182" s="18"/>
      <c r="L182" s="18"/>
      <c r="M182" s="18"/>
      <c r="N182" s="18"/>
      <c r="O182" s="53"/>
      <c r="P182" s="18"/>
      <c r="Q182" s="18"/>
      <c r="R182" s="18"/>
      <c r="S182" s="18"/>
      <c r="T182" s="18"/>
      <c r="U182" s="18"/>
      <c r="V182" s="18"/>
      <c r="W182" s="18"/>
      <c r="X182" s="18"/>
      <c r="Y182" s="18"/>
      <c r="Z182" s="18"/>
      <c r="AA182" s="18"/>
      <c r="AB182" s="18"/>
      <c r="AC182" s="18"/>
      <c r="AD182" s="18"/>
      <c r="AE182" s="53"/>
      <c r="AF182" s="18"/>
      <c r="AG182" s="53"/>
      <c r="AH182" s="53">
        <f t="shared" si="31"/>
        <v>0</v>
      </c>
    </row>
    <row r="183" spans="1:34">
      <c r="A183" s="1744" t="s">
        <v>85</v>
      </c>
      <c r="B183" s="18">
        <f t="shared" si="30"/>
        <v>0</v>
      </c>
      <c r="C183" s="1287"/>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53"/>
      <c r="AF183" s="18"/>
      <c r="AG183" s="53"/>
      <c r="AH183" s="53">
        <f t="shared" si="31"/>
        <v>0</v>
      </c>
    </row>
    <row r="184" spans="1:34">
      <c r="A184" s="1744" t="s">
        <v>86</v>
      </c>
      <c r="B184" s="18">
        <f t="shared" si="30"/>
        <v>0</v>
      </c>
      <c r="C184" s="1287"/>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53"/>
      <c r="AF184" s="18"/>
      <c r="AG184" s="53"/>
      <c r="AH184" s="53">
        <f t="shared" si="31"/>
        <v>0</v>
      </c>
    </row>
    <row r="185" spans="1:34">
      <c r="A185" s="88" t="s">
        <v>74</v>
      </c>
      <c r="B185" s="92">
        <f>SUM(B173:B184)</f>
        <v>0</v>
      </c>
      <c r="C185" s="46">
        <f>SUM(C173:C183)</f>
        <v>0</v>
      </c>
      <c r="D185" s="53">
        <f>SUM(D173:D183)</f>
        <v>0</v>
      </c>
      <c r="E185" s="53">
        <v>0</v>
      </c>
      <c r="F185" s="53">
        <f t="shared" ref="F185:AC185" si="32">SUM(F173:F183)</f>
        <v>0</v>
      </c>
      <c r="G185" s="53">
        <f t="shared" si="32"/>
        <v>0</v>
      </c>
      <c r="H185" s="53">
        <f t="shared" si="32"/>
        <v>0</v>
      </c>
      <c r="I185" s="53">
        <f t="shared" si="32"/>
        <v>0</v>
      </c>
      <c r="J185" s="53">
        <f t="shared" si="32"/>
        <v>0</v>
      </c>
      <c r="K185" s="53">
        <f t="shared" si="32"/>
        <v>0</v>
      </c>
      <c r="L185" s="53">
        <f t="shared" si="32"/>
        <v>0</v>
      </c>
      <c r="M185" s="53">
        <f t="shared" si="32"/>
        <v>0</v>
      </c>
      <c r="N185" s="53">
        <f t="shared" si="32"/>
        <v>0</v>
      </c>
      <c r="O185" s="53">
        <f t="shared" si="32"/>
        <v>0</v>
      </c>
      <c r="P185" s="53">
        <f t="shared" si="32"/>
        <v>0</v>
      </c>
      <c r="Q185" s="53">
        <f t="shared" si="32"/>
        <v>0</v>
      </c>
      <c r="R185" s="53">
        <f t="shared" si="32"/>
        <v>0</v>
      </c>
      <c r="S185" s="53">
        <f t="shared" si="32"/>
        <v>0</v>
      </c>
      <c r="T185" s="53">
        <f t="shared" si="32"/>
        <v>0</v>
      </c>
      <c r="U185" s="53">
        <f t="shared" si="32"/>
        <v>0</v>
      </c>
      <c r="V185" s="53">
        <f t="shared" si="32"/>
        <v>0</v>
      </c>
      <c r="W185" s="53">
        <f t="shared" si="32"/>
        <v>0</v>
      </c>
      <c r="X185" s="53">
        <f t="shared" si="32"/>
        <v>0</v>
      </c>
      <c r="Y185" s="53">
        <f t="shared" si="32"/>
        <v>0</v>
      </c>
      <c r="Z185" s="53">
        <f t="shared" si="32"/>
        <v>0</v>
      </c>
      <c r="AA185" s="53">
        <f t="shared" si="32"/>
        <v>0</v>
      </c>
      <c r="AB185" s="53">
        <f t="shared" si="32"/>
        <v>0</v>
      </c>
      <c r="AC185" s="53">
        <f t="shared" si="32"/>
        <v>0</v>
      </c>
      <c r="AD185" s="53">
        <v>0</v>
      </c>
      <c r="AE185" s="53">
        <f>SUM(AE173:AE183)</f>
        <v>0</v>
      </c>
      <c r="AF185" s="53">
        <f>SUM(AF173:AF183)</f>
        <v>0</v>
      </c>
      <c r="AG185" s="53">
        <f>SUM(AG173:AG183)</f>
        <v>0</v>
      </c>
      <c r="AH185" s="46">
        <f>SUM(AH173:AH183)</f>
        <v>0</v>
      </c>
    </row>
    <row r="186" spans="1:34" ht="5.0999999999999996" customHeight="1">
      <c r="A186" s="50"/>
      <c r="B186" s="58"/>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c r="AA186" s="52"/>
      <c r="AB186" s="52"/>
      <c r="AC186" s="52"/>
      <c r="AD186" s="52"/>
      <c r="AE186" s="52"/>
      <c r="AF186" s="52"/>
      <c r="AG186" s="52"/>
      <c r="AH186" s="52"/>
    </row>
    <row r="187" spans="1:34">
      <c r="A187" s="3634" t="s">
        <v>104</v>
      </c>
      <c r="B187" s="3635"/>
      <c r="C187" s="3635"/>
      <c r="D187" s="3635"/>
      <c r="E187" s="3635"/>
      <c r="F187" s="3635"/>
      <c r="G187" s="3635"/>
      <c r="H187" s="3636"/>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row>
    <row r="188" spans="1:34">
      <c r="A188" s="5" t="s">
        <v>91</v>
      </c>
      <c r="B188" s="5" t="s">
        <v>73</v>
      </c>
      <c r="C188" s="117">
        <v>1</v>
      </c>
      <c r="D188" s="30">
        <v>2</v>
      </c>
      <c r="E188" s="30">
        <v>3</v>
      </c>
      <c r="F188" s="30">
        <v>4</v>
      </c>
      <c r="G188" s="30">
        <v>5</v>
      </c>
      <c r="H188" s="30">
        <v>6</v>
      </c>
      <c r="I188" s="30">
        <v>7</v>
      </c>
      <c r="J188" s="30">
        <v>8</v>
      </c>
      <c r="K188" s="30">
        <v>9</v>
      </c>
      <c r="L188" s="30">
        <v>10</v>
      </c>
      <c r="M188" s="30">
        <v>11</v>
      </c>
      <c r="N188" s="30">
        <v>12</v>
      </c>
      <c r="O188" s="30">
        <v>13</v>
      </c>
      <c r="P188" s="30">
        <v>14</v>
      </c>
      <c r="Q188" s="30">
        <v>15</v>
      </c>
      <c r="R188" s="30">
        <v>16</v>
      </c>
      <c r="S188" s="30">
        <v>17</v>
      </c>
      <c r="T188" s="30">
        <v>18</v>
      </c>
      <c r="U188" s="30">
        <v>19</v>
      </c>
      <c r="V188" s="30">
        <v>20</v>
      </c>
      <c r="W188" s="30">
        <v>21</v>
      </c>
      <c r="X188" s="30">
        <v>22</v>
      </c>
      <c r="Y188" s="30">
        <v>23</v>
      </c>
      <c r="Z188" s="30">
        <v>24</v>
      </c>
      <c r="AA188" s="30">
        <v>25</v>
      </c>
      <c r="AB188" s="30">
        <v>26</v>
      </c>
      <c r="AC188" s="30">
        <v>27</v>
      </c>
      <c r="AD188" s="30">
        <v>28</v>
      </c>
      <c r="AE188" s="30">
        <v>29</v>
      </c>
      <c r="AF188" s="30">
        <v>30</v>
      </c>
      <c r="AG188" s="30">
        <v>31</v>
      </c>
      <c r="AH188" s="39" t="s">
        <v>74</v>
      </c>
    </row>
    <row r="189" spans="1:34">
      <c r="A189" s="1831" t="s">
        <v>75</v>
      </c>
      <c r="B189" s="18">
        <f t="shared" ref="B189:B200" si="33">+AH189</f>
        <v>0</v>
      </c>
      <c r="C189" s="49"/>
      <c r="D189" s="53"/>
      <c r="E189" s="53"/>
      <c r="F189" s="53"/>
      <c r="G189" s="18"/>
      <c r="H189" s="18"/>
      <c r="I189" s="18"/>
      <c r="J189" s="18"/>
      <c r="K189" s="18"/>
      <c r="L189" s="18"/>
      <c r="M189" s="18"/>
      <c r="N189" s="18"/>
      <c r="O189" s="18"/>
      <c r="P189" s="18"/>
      <c r="Q189" s="53"/>
      <c r="R189" s="18"/>
      <c r="S189" s="18"/>
      <c r="T189" s="18"/>
      <c r="U189" s="18"/>
      <c r="V189" s="53"/>
      <c r="W189" s="53"/>
      <c r="X189" s="18"/>
      <c r="Y189" s="18"/>
      <c r="Z189" s="18"/>
      <c r="AA189" s="18"/>
      <c r="AB189" s="18"/>
      <c r="AC189" s="18"/>
      <c r="AD189" s="53"/>
      <c r="AE189" s="18"/>
      <c r="AF189" s="18"/>
      <c r="AG189" s="18"/>
      <c r="AH189" s="53">
        <f>SUM(C189:AG189)</f>
        <v>0</v>
      </c>
    </row>
    <row r="190" spans="1:34">
      <c r="A190" s="1831" t="s">
        <v>76</v>
      </c>
      <c r="B190" s="18">
        <f t="shared" si="33"/>
        <v>0</v>
      </c>
      <c r="C190" s="49"/>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53">
        <f t="shared" ref="AH190:AH200" si="34">SUM(C190:AG190)</f>
        <v>0</v>
      </c>
    </row>
    <row r="191" spans="1:34">
      <c r="A191" s="1831" t="s">
        <v>77</v>
      </c>
      <c r="B191" s="18">
        <f t="shared" si="33"/>
        <v>0</v>
      </c>
      <c r="C191" s="1488"/>
      <c r="D191" s="53"/>
      <c r="E191" s="53"/>
      <c r="F191" s="53"/>
      <c r="G191" s="53"/>
      <c r="H191" s="53"/>
      <c r="I191" s="53"/>
      <c r="J191" s="53"/>
      <c r="K191" s="53"/>
      <c r="L191" s="53"/>
      <c r="M191" s="53"/>
      <c r="N191" s="53"/>
      <c r="O191" s="53"/>
      <c r="P191" s="53"/>
      <c r="Q191" s="53"/>
      <c r="R191" s="53"/>
      <c r="S191" s="53"/>
      <c r="T191" s="53"/>
      <c r="U191" s="53"/>
      <c r="V191" s="53"/>
      <c r="W191" s="53"/>
      <c r="X191" s="53"/>
      <c r="Y191" s="53"/>
      <c r="Z191" s="53"/>
      <c r="AA191" s="53"/>
      <c r="AB191" s="53"/>
      <c r="AC191" s="53"/>
      <c r="AD191" s="53"/>
      <c r="AE191" s="53"/>
      <c r="AF191" s="53"/>
      <c r="AG191" s="53"/>
      <c r="AH191" s="53">
        <f t="shared" si="34"/>
        <v>0</v>
      </c>
    </row>
    <row r="192" spans="1:34">
      <c r="A192" s="1831" t="s">
        <v>78</v>
      </c>
      <c r="B192" s="18">
        <f t="shared" si="33"/>
        <v>0</v>
      </c>
      <c r="C192" s="1287"/>
      <c r="D192" s="53"/>
      <c r="E192" s="53"/>
      <c r="F192" s="53"/>
      <c r="G192" s="18"/>
      <c r="H192" s="18"/>
      <c r="I192" s="18"/>
      <c r="J192" s="53"/>
      <c r="K192" s="53"/>
      <c r="L192" s="53"/>
      <c r="M192" s="53"/>
      <c r="N192" s="53"/>
      <c r="O192" s="53"/>
      <c r="P192" s="53"/>
      <c r="Q192" s="53"/>
      <c r="R192" s="53"/>
      <c r="S192" s="53"/>
      <c r="T192" s="53"/>
      <c r="U192" s="53"/>
      <c r="V192" s="53"/>
      <c r="W192" s="53"/>
      <c r="X192" s="53"/>
      <c r="Y192" s="53"/>
      <c r="Z192" s="53"/>
      <c r="AA192" s="53"/>
      <c r="AB192" s="53"/>
      <c r="AC192" s="53"/>
      <c r="AD192" s="53"/>
      <c r="AE192" s="53"/>
      <c r="AF192" s="53"/>
      <c r="AG192" s="53"/>
      <c r="AH192" s="53">
        <f t="shared" si="34"/>
        <v>0</v>
      </c>
    </row>
    <row r="193" spans="1:34">
      <c r="A193" s="1831" t="s">
        <v>79</v>
      </c>
      <c r="B193" s="18">
        <f t="shared" si="33"/>
        <v>0</v>
      </c>
      <c r="C193" s="1287"/>
      <c r="D193" s="18"/>
      <c r="E193" s="18"/>
      <c r="F193" s="18"/>
      <c r="G193" s="18"/>
      <c r="H193" s="18"/>
      <c r="I193" s="18"/>
      <c r="J193" s="53"/>
      <c r="K193" s="53"/>
      <c r="L193" s="53"/>
      <c r="M193" s="53"/>
      <c r="N193" s="53"/>
      <c r="O193" s="53"/>
      <c r="P193" s="53"/>
      <c r="Q193" s="53"/>
      <c r="R193" s="53"/>
      <c r="S193" s="53"/>
      <c r="T193" s="53"/>
      <c r="U193" s="53"/>
      <c r="V193" s="53"/>
      <c r="W193" s="53"/>
      <c r="X193" s="53"/>
      <c r="Y193" s="53"/>
      <c r="Z193" s="53"/>
      <c r="AA193" s="53"/>
      <c r="AB193" s="53"/>
      <c r="AC193" s="53"/>
      <c r="AD193" s="53"/>
      <c r="AE193" s="53"/>
      <c r="AF193" s="53"/>
      <c r="AG193" s="53"/>
      <c r="AH193" s="53">
        <f t="shared" si="34"/>
        <v>0</v>
      </c>
    </row>
    <row r="194" spans="1:34">
      <c r="A194" s="1831" t="s">
        <v>80</v>
      </c>
      <c r="B194" s="18">
        <f t="shared" si="33"/>
        <v>0</v>
      </c>
      <c r="C194" s="1488"/>
      <c r="D194" s="53"/>
      <c r="E194" s="53"/>
      <c r="F194" s="53"/>
      <c r="G194" s="53"/>
      <c r="H194" s="53"/>
      <c r="I194" s="53"/>
      <c r="J194" s="53"/>
      <c r="K194" s="53"/>
      <c r="L194" s="53"/>
      <c r="M194" s="53"/>
      <c r="N194" s="53"/>
      <c r="O194" s="53"/>
      <c r="P194" s="53"/>
      <c r="Q194" s="53"/>
      <c r="R194" s="53"/>
      <c r="S194" s="53"/>
      <c r="T194" s="53"/>
      <c r="U194" s="53"/>
      <c r="V194" s="53"/>
      <c r="W194" s="53"/>
      <c r="X194" s="53"/>
      <c r="Y194" s="53"/>
      <c r="Z194" s="53"/>
      <c r="AA194" s="53"/>
      <c r="AB194" s="53"/>
      <c r="AC194" s="53"/>
      <c r="AD194" s="53"/>
      <c r="AE194" s="53"/>
      <c r="AF194" s="53"/>
      <c r="AG194" s="53"/>
      <c r="AH194" s="53">
        <f t="shared" si="34"/>
        <v>0</v>
      </c>
    </row>
    <row r="195" spans="1:34">
      <c r="A195" s="1831" t="s">
        <v>81</v>
      </c>
      <c r="B195" s="18">
        <f t="shared" si="33"/>
        <v>0</v>
      </c>
      <c r="C195" s="1287"/>
      <c r="D195" s="53"/>
      <c r="E195" s="53"/>
      <c r="F195" s="53"/>
      <c r="G195" s="18"/>
      <c r="H195" s="18"/>
      <c r="I195" s="18"/>
      <c r="J195" s="57"/>
      <c r="K195" s="57"/>
      <c r="L195" s="53"/>
      <c r="M195" s="53"/>
      <c r="N195" s="53"/>
      <c r="O195" s="53"/>
      <c r="P195" s="53"/>
      <c r="Q195" s="53"/>
      <c r="R195" s="53"/>
      <c r="S195" s="53"/>
      <c r="T195" s="53"/>
      <c r="U195" s="53"/>
      <c r="V195" s="53"/>
      <c r="W195" s="53"/>
      <c r="X195" s="53"/>
      <c r="Y195" s="53"/>
      <c r="Z195" s="53"/>
      <c r="AA195" s="53"/>
      <c r="AB195" s="53"/>
      <c r="AC195" s="53"/>
      <c r="AD195" s="53"/>
      <c r="AE195" s="53"/>
      <c r="AF195" s="53"/>
      <c r="AG195" s="53"/>
      <c r="AH195" s="53">
        <f t="shared" si="34"/>
        <v>0</v>
      </c>
    </row>
    <row r="196" spans="1:34">
      <c r="A196" s="1831" t="s">
        <v>82</v>
      </c>
      <c r="B196" s="18">
        <f t="shared" si="33"/>
        <v>0</v>
      </c>
      <c r="C196" s="1287"/>
      <c r="D196" s="18"/>
      <c r="E196" s="18"/>
      <c r="F196" s="18"/>
      <c r="G196" s="18"/>
      <c r="H196" s="18"/>
      <c r="I196" s="18"/>
      <c r="J196" s="57"/>
      <c r="K196" s="57"/>
      <c r="L196" s="53"/>
      <c r="M196" s="53"/>
      <c r="N196" s="53"/>
      <c r="O196" s="53"/>
      <c r="P196" s="53"/>
      <c r="Q196" s="53"/>
      <c r="R196" s="53"/>
      <c r="S196" s="53"/>
      <c r="T196" s="53"/>
      <c r="U196" s="53"/>
      <c r="V196" s="53"/>
      <c r="W196" s="53"/>
      <c r="X196" s="53"/>
      <c r="Y196" s="53"/>
      <c r="Z196" s="53"/>
      <c r="AA196" s="53"/>
      <c r="AB196" s="53"/>
      <c r="AC196" s="53"/>
      <c r="AD196" s="53"/>
      <c r="AE196" s="53"/>
      <c r="AF196" s="53"/>
      <c r="AG196" s="53"/>
      <c r="AH196" s="53">
        <f t="shared" si="34"/>
        <v>0</v>
      </c>
    </row>
    <row r="197" spans="1:34">
      <c r="A197" s="1831" t="s">
        <v>83</v>
      </c>
      <c r="B197" s="18">
        <f t="shared" si="33"/>
        <v>0</v>
      </c>
      <c r="C197" s="1488"/>
      <c r="D197" s="53"/>
      <c r="E197" s="53"/>
      <c r="F197" s="53"/>
      <c r="G197" s="53"/>
      <c r="H197" s="53"/>
      <c r="I197" s="53"/>
      <c r="J197" s="57"/>
      <c r="K197" s="57"/>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53">
        <f t="shared" si="34"/>
        <v>0</v>
      </c>
    </row>
    <row r="198" spans="1:34">
      <c r="A198" s="1744" t="s">
        <v>84</v>
      </c>
      <c r="B198" s="18">
        <f t="shared" si="33"/>
        <v>0</v>
      </c>
      <c r="C198" s="49"/>
      <c r="D198" s="53"/>
      <c r="E198" s="53"/>
      <c r="F198" s="53"/>
      <c r="G198" s="18"/>
      <c r="H198" s="18"/>
      <c r="I198" s="18"/>
      <c r="J198" s="18"/>
      <c r="K198" s="18"/>
      <c r="L198" s="18"/>
      <c r="M198" s="18"/>
      <c r="N198" s="18"/>
      <c r="O198" s="53"/>
      <c r="P198" s="18"/>
      <c r="Q198" s="18"/>
      <c r="R198" s="18"/>
      <c r="S198" s="18"/>
      <c r="T198" s="18"/>
      <c r="U198" s="18"/>
      <c r="V198" s="18"/>
      <c r="W198" s="18"/>
      <c r="X198" s="18"/>
      <c r="Y198" s="18"/>
      <c r="Z198" s="18"/>
      <c r="AA198" s="18"/>
      <c r="AB198" s="18"/>
      <c r="AC198" s="18"/>
      <c r="AD198" s="18"/>
      <c r="AE198" s="53"/>
      <c r="AF198" s="18"/>
      <c r="AG198" s="53"/>
      <c r="AH198" s="53">
        <f t="shared" si="34"/>
        <v>0</v>
      </c>
    </row>
    <row r="199" spans="1:34">
      <c r="A199" s="1744" t="s">
        <v>85</v>
      </c>
      <c r="B199" s="18">
        <f t="shared" si="33"/>
        <v>0</v>
      </c>
      <c r="C199" s="49"/>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53"/>
      <c r="AF199" s="18"/>
      <c r="AG199" s="53"/>
      <c r="AH199" s="53">
        <f t="shared" si="34"/>
        <v>0</v>
      </c>
    </row>
    <row r="200" spans="1:34">
      <c r="A200" s="1744" t="s">
        <v>86</v>
      </c>
      <c r="B200" s="18">
        <f t="shared" si="33"/>
        <v>0</v>
      </c>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53"/>
      <c r="AF200" s="18"/>
      <c r="AG200" s="53"/>
      <c r="AH200" s="53">
        <f t="shared" si="34"/>
        <v>0</v>
      </c>
    </row>
    <row r="201" spans="1:34">
      <c r="A201" s="88" t="s">
        <v>74</v>
      </c>
      <c r="B201" s="89">
        <f>SUM(B189:B200)</f>
        <v>0</v>
      </c>
      <c r="C201" s="46">
        <f>SUM(C189:C199)</f>
        <v>0</v>
      </c>
      <c r="D201" s="53">
        <f>SUM(D189:D199)</f>
        <v>0</v>
      </c>
      <c r="E201" s="53">
        <v>0</v>
      </c>
      <c r="F201" s="53">
        <f t="shared" ref="F201:AC201" si="35">SUM(F189:F199)</f>
        <v>0</v>
      </c>
      <c r="G201" s="53">
        <f t="shared" si="35"/>
        <v>0</v>
      </c>
      <c r="H201" s="53">
        <f t="shared" si="35"/>
        <v>0</v>
      </c>
      <c r="I201" s="53">
        <f t="shared" si="35"/>
        <v>0</v>
      </c>
      <c r="J201" s="53">
        <f t="shared" si="35"/>
        <v>0</v>
      </c>
      <c r="K201" s="53">
        <f t="shared" si="35"/>
        <v>0</v>
      </c>
      <c r="L201" s="53">
        <f t="shared" si="35"/>
        <v>0</v>
      </c>
      <c r="M201" s="53">
        <f t="shared" si="35"/>
        <v>0</v>
      </c>
      <c r="N201" s="53">
        <f t="shared" si="35"/>
        <v>0</v>
      </c>
      <c r="O201" s="53">
        <f t="shared" si="35"/>
        <v>0</v>
      </c>
      <c r="P201" s="53">
        <f t="shared" si="35"/>
        <v>0</v>
      </c>
      <c r="Q201" s="53">
        <f t="shared" si="35"/>
        <v>0</v>
      </c>
      <c r="R201" s="53">
        <f t="shared" si="35"/>
        <v>0</v>
      </c>
      <c r="S201" s="53">
        <f t="shared" si="35"/>
        <v>0</v>
      </c>
      <c r="T201" s="53">
        <f t="shared" si="35"/>
        <v>0</v>
      </c>
      <c r="U201" s="53">
        <f t="shared" si="35"/>
        <v>0</v>
      </c>
      <c r="V201" s="53">
        <f t="shared" si="35"/>
        <v>0</v>
      </c>
      <c r="W201" s="53">
        <f t="shared" si="35"/>
        <v>0</v>
      </c>
      <c r="X201" s="53">
        <f t="shared" si="35"/>
        <v>0</v>
      </c>
      <c r="Y201" s="53">
        <f t="shared" si="35"/>
        <v>0</v>
      </c>
      <c r="Z201" s="53">
        <f t="shared" si="35"/>
        <v>0</v>
      </c>
      <c r="AA201" s="53">
        <f t="shared" si="35"/>
        <v>0</v>
      </c>
      <c r="AB201" s="53">
        <f t="shared" si="35"/>
        <v>0</v>
      </c>
      <c r="AC201" s="53">
        <f t="shared" si="35"/>
        <v>0</v>
      </c>
      <c r="AD201" s="53">
        <v>0</v>
      </c>
      <c r="AE201" s="53">
        <f>SUM(AE189:AE199)</f>
        <v>0</v>
      </c>
      <c r="AF201" s="53">
        <f>SUM(AF189:AF199)</f>
        <v>0</v>
      </c>
      <c r="AG201" s="53">
        <f>SUM(AG189:AG199)</f>
        <v>0</v>
      </c>
      <c r="AH201" s="46">
        <f>SUM(AH189:AH199)</f>
        <v>0</v>
      </c>
    </row>
    <row r="202" spans="1:34" ht="5.0999999999999996" customHeight="1">
      <c r="A202" s="14"/>
      <c r="B202" s="14"/>
      <c r="C202" s="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
    </row>
    <row r="203" spans="1:34">
      <c r="A203" s="3634" t="s">
        <v>105</v>
      </c>
      <c r="B203" s="3635"/>
      <c r="C203" s="3635"/>
      <c r="D203" s="3635"/>
      <c r="E203" s="3635"/>
      <c r="F203" s="3635"/>
      <c r="G203" s="3635"/>
      <c r="H203" s="3636"/>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row>
    <row r="204" spans="1:34">
      <c r="A204" s="5" t="s">
        <v>72</v>
      </c>
      <c r="B204" s="5" t="s">
        <v>73</v>
      </c>
      <c r="C204" s="117">
        <v>1</v>
      </c>
      <c r="D204" s="30">
        <v>2</v>
      </c>
      <c r="E204" s="30">
        <v>3</v>
      </c>
      <c r="F204" s="30">
        <v>4</v>
      </c>
      <c r="G204" s="30">
        <v>5</v>
      </c>
      <c r="H204" s="30">
        <v>6</v>
      </c>
      <c r="I204" s="30">
        <v>7</v>
      </c>
      <c r="J204" s="30">
        <v>8</v>
      </c>
      <c r="K204" s="30">
        <v>9</v>
      </c>
      <c r="L204" s="30">
        <v>10</v>
      </c>
      <c r="M204" s="30">
        <v>11</v>
      </c>
      <c r="N204" s="30">
        <v>12</v>
      </c>
      <c r="O204" s="30">
        <v>13</v>
      </c>
      <c r="P204" s="30">
        <v>14</v>
      </c>
      <c r="Q204" s="30">
        <v>15</v>
      </c>
      <c r="R204" s="30">
        <v>16</v>
      </c>
      <c r="S204" s="30">
        <v>17</v>
      </c>
      <c r="T204" s="30">
        <v>18</v>
      </c>
      <c r="U204" s="30">
        <v>19</v>
      </c>
      <c r="V204" s="30">
        <v>20</v>
      </c>
      <c r="W204" s="30">
        <v>21</v>
      </c>
      <c r="X204" s="30">
        <v>22</v>
      </c>
      <c r="Y204" s="30">
        <v>23</v>
      </c>
      <c r="Z204" s="30">
        <v>24</v>
      </c>
      <c r="AA204" s="30">
        <v>25</v>
      </c>
      <c r="AB204" s="30">
        <v>26</v>
      </c>
      <c r="AC204" s="30">
        <v>27</v>
      </c>
      <c r="AD204" s="30">
        <v>28</v>
      </c>
      <c r="AE204" s="30">
        <v>29</v>
      </c>
      <c r="AF204" s="30">
        <v>30</v>
      </c>
      <c r="AG204" s="30">
        <v>31</v>
      </c>
      <c r="AH204" s="39" t="s">
        <v>74</v>
      </c>
    </row>
    <row r="205" spans="1:34">
      <c r="A205" s="1831" t="s">
        <v>75</v>
      </c>
      <c r="B205" s="18">
        <f t="shared" ref="B205:B216" si="36">+AH205</f>
        <v>0</v>
      </c>
      <c r="C205" s="49"/>
      <c r="D205" s="53"/>
      <c r="E205" s="53"/>
      <c r="F205" s="53"/>
      <c r="G205" s="18"/>
      <c r="H205" s="18"/>
      <c r="I205" s="18"/>
      <c r="J205" s="18"/>
      <c r="K205" s="18"/>
      <c r="L205" s="18"/>
      <c r="M205" s="18"/>
      <c r="N205" s="18"/>
      <c r="O205" s="18"/>
      <c r="P205" s="18"/>
      <c r="Q205" s="53"/>
      <c r="R205" s="18"/>
      <c r="S205" s="18"/>
      <c r="T205" s="18"/>
      <c r="U205" s="18"/>
      <c r="V205" s="53"/>
      <c r="W205" s="53"/>
      <c r="X205" s="18"/>
      <c r="Y205" s="18"/>
      <c r="Z205" s="18"/>
      <c r="AA205" s="18"/>
      <c r="AB205" s="18"/>
      <c r="AC205" s="18"/>
      <c r="AD205" s="53"/>
      <c r="AE205" s="18"/>
      <c r="AF205" s="18"/>
      <c r="AG205" s="18"/>
      <c r="AH205" s="53">
        <f>SUM(C205:AG205)</f>
        <v>0</v>
      </c>
    </row>
    <row r="206" spans="1:34" s="83" customFormat="1">
      <c r="A206" s="1831" t="s">
        <v>76</v>
      </c>
      <c r="B206" s="18">
        <f t="shared" si="36"/>
        <v>0</v>
      </c>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53">
        <f t="shared" ref="AH206:AH216" si="37">SUM(C206:AG206)</f>
        <v>0</v>
      </c>
    </row>
    <row r="207" spans="1:34">
      <c r="A207" s="1831" t="s">
        <v>77</v>
      </c>
      <c r="B207" s="18">
        <f t="shared" si="36"/>
        <v>0</v>
      </c>
      <c r="C207" s="46"/>
      <c r="D207" s="53"/>
      <c r="E207" s="53"/>
      <c r="F207" s="53"/>
      <c r="G207" s="53"/>
      <c r="H207" s="53"/>
      <c r="I207" s="53"/>
      <c r="J207" s="53"/>
      <c r="K207" s="53"/>
      <c r="L207" s="53"/>
      <c r="M207" s="53"/>
      <c r="N207" s="53"/>
      <c r="O207" s="53"/>
      <c r="P207" s="53"/>
      <c r="Q207" s="53"/>
      <c r="R207" s="53"/>
      <c r="S207" s="53"/>
      <c r="T207" s="53"/>
      <c r="U207" s="53"/>
      <c r="V207" s="53"/>
      <c r="W207" s="53"/>
      <c r="X207" s="53"/>
      <c r="Y207" s="53"/>
      <c r="Z207" s="53"/>
      <c r="AA207" s="53"/>
      <c r="AB207" s="53"/>
      <c r="AC207" s="53"/>
      <c r="AD207" s="53"/>
      <c r="AE207" s="53"/>
      <c r="AF207" s="53"/>
      <c r="AG207" s="53"/>
      <c r="AH207" s="53">
        <f t="shared" si="37"/>
        <v>0</v>
      </c>
    </row>
    <row r="208" spans="1:34">
      <c r="A208" s="1831" t="s">
        <v>78</v>
      </c>
      <c r="B208" s="18">
        <f t="shared" si="36"/>
        <v>0</v>
      </c>
      <c r="C208" s="49"/>
      <c r="D208" s="53"/>
      <c r="E208" s="53"/>
      <c r="F208" s="53"/>
      <c r="G208" s="18"/>
      <c r="H208" s="18"/>
      <c r="I208" s="18"/>
      <c r="J208" s="53"/>
      <c r="K208" s="53"/>
      <c r="L208" s="53"/>
      <c r="M208" s="53"/>
      <c r="N208" s="53"/>
      <c r="O208" s="53"/>
      <c r="P208" s="53"/>
      <c r="Q208" s="53"/>
      <c r="R208" s="53"/>
      <c r="S208" s="53"/>
      <c r="T208" s="53"/>
      <c r="U208" s="53"/>
      <c r="V208" s="53"/>
      <c r="W208" s="53"/>
      <c r="X208" s="53"/>
      <c r="Y208" s="53"/>
      <c r="Z208" s="53"/>
      <c r="AA208" s="53"/>
      <c r="AB208" s="53"/>
      <c r="AC208" s="53"/>
      <c r="AD208" s="53"/>
      <c r="AE208" s="53"/>
      <c r="AF208" s="53"/>
      <c r="AG208" s="53"/>
      <c r="AH208" s="53">
        <f t="shared" si="37"/>
        <v>0</v>
      </c>
    </row>
    <row r="209" spans="1:34" s="83" customFormat="1">
      <c r="A209" s="1831" t="s">
        <v>79</v>
      </c>
      <c r="B209" s="18">
        <f t="shared" si="36"/>
        <v>0</v>
      </c>
      <c r="C209" s="18"/>
      <c r="D209" s="18"/>
      <c r="E209" s="18"/>
      <c r="F209" s="18"/>
      <c r="G209" s="18"/>
      <c r="H209" s="18"/>
      <c r="I209" s="18"/>
      <c r="J209" s="53"/>
      <c r="K209" s="53"/>
      <c r="L209" s="53"/>
      <c r="M209" s="53"/>
      <c r="N209" s="53"/>
      <c r="O209" s="53"/>
      <c r="P209" s="53"/>
      <c r="Q209" s="53"/>
      <c r="R209" s="53"/>
      <c r="S209" s="53"/>
      <c r="T209" s="53"/>
      <c r="U209" s="53"/>
      <c r="V209" s="53"/>
      <c r="W209" s="53"/>
      <c r="X209" s="53"/>
      <c r="Y209" s="53"/>
      <c r="Z209" s="53"/>
      <c r="AA209" s="53"/>
      <c r="AB209" s="53"/>
      <c r="AC209" s="53"/>
      <c r="AD209" s="53"/>
      <c r="AE209" s="53"/>
      <c r="AF209" s="53"/>
      <c r="AG209" s="53"/>
      <c r="AH209" s="53">
        <f t="shared" si="37"/>
        <v>0</v>
      </c>
    </row>
    <row r="210" spans="1:34">
      <c r="A210" s="1831" t="s">
        <v>80</v>
      </c>
      <c r="B210" s="18">
        <f t="shared" si="36"/>
        <v>0</v>
      </c>
      <c r="C210" s="46"/>
      <c r="D210" s="53"/>
      <c r="E210" s="53"/>
      <c r="F210" s="53"/>
      <c r="G210" s="53"/>
      <c r="H210" s="53"/>
      <c r="I210" s="53"/>
      <c r="J210" s="53"/>
      <c r="K210" s="53"/>
      <c r="L210" s="53"/>
      <c r="M210" s="53"/>
      <c r="N210" s="53"/>
      <c r="O210" s="53"/>
      <c r="P210" s="53"/>
      <c r="Q210" s="53"/>
      <c r="R210" s="53"/>
      <c r="S210" s="53"/>
      <c r="T210" s="53"/>
      <c r="U210" s="53"/>
      <c r="V210" s="53"/>
      <c r="W210" s="53"/>
      <c r="X210" s="53"/>
      <c r="Y210" s="53"/>
      <c r="Z210" s="53"/>
      <c r="AA210" s="53"/>
      <c r="AB210" s="53"/>
      <c r="AC210" s="53"/>
      <c r="AD210" s="53"/>
      <c r="AE210" s="53"/>
      <c r="AF210" s="53"/>
      <c r="AG210" s="53"/>
      <c r="AH210" s="53">
        <f t="shared" si="37"/>
        <v>0</v>
      </c>
    </row>
    <row r="211" spans="1:34">
      <c r="A211" s="1831" t="s">
        <v>81</v>
      </c>
      <c r="B211" s="18">
        <f t="shared" si="36"/>
        <v>0</v>
      </c>
      <c r="C211" s="49"/>
      <c r="D211" s="53"/>
      <c r="E211" s="53"/>
      <c r="F211" s="53"/>
      <c r="G211" s="18"/>
      <c r="H211" s="18"/>
      <c r="I211" s="18"/>
      <c r="J211" s="57"/>
      <c r="K211" s="57"/>
      <c r="L211" s="53"/>
      <c r="M211" s="53"/>
      <c r="N211" s="18"/>
      <c r="O211" s="18"/>
      <c r="P211" s="18"/>
      <c r="Q211" s="53"/>
      <c r="R211" s="53"/>
      <c r="S211" s="53"/>
      <c r="T211" s="53"/>
      <c r="U211" s="53"/>
      <c r="V211" s="53"/>
      <c r="W211" s="53"/>
      <c r="X211" s="53"/>
      <c r="Y211" s="53"/>
      <c r="Z211" s="53"/>
      <c r="AA211" s="53"/>
      <c r="AB211" s="53"/>
      <c r="AC211" s="53"/>
      <c r="AD211" s="53"/>
      <c r="AE211" s="53"/>
      <c r="AF211" s="53"/>
      <c r="AG211" s="53"/>
      <c r="AH211" s="53">
        <f t="shared" si="37"/>
        <v>0</v>
      </c>
    </row>
    <row r="212" spans="1:34" s="83" customFormat="1">
      <c r="A212" s="1831" t="s">
        <v>82</v>
      </c>
      <c r="B212" s="18">
        <f t="shared" si="36"/>
        <v>0</v>
      </c>
      <c r="C212" s="18"/>
      <c r="D212" s="18"/>
      <c r="E212" s="18"/>
      <c r="F212" s="18"/>
      <c r="G212" s="18"/>
      <c r="H212" s="18"/>
      <c r="I212" s="18"/>
      <c r="J212" s="80"/>
      <c r="K212" s="80"/>
      <c r="L212" s="53"/>
      <c r="M212" s="53"/>
      <c r="N212" s="53"/>
      <c r="O212" s="53"/>
      <c r="P212" s="53"/>
      <c r="Q212" s="53"/>
      <c r="R212" s="53"/>
      <c r="S212" s="53"/>
      <c r="T212" s="53"/>
      <c r="U212" s="53"/>
      <c r="V212" s="53"/>
      <c r="W212" s="53"/>
      <c r="X212" s="53"/>
      <c r="Y212" s="53"/>
      <c r="Z212" s="53"/>
      <c r="AA212" s="53"/>
      <c r="AB212" s="53"/>
      <c r="AC212" s="53"/>
      <c r="AD212" s="53"/>
      <c r="AE212" s="53"/>
      <c r="AF212" s="53"/>
      <c r="AG212" s="53"/>
      <c r="AH212" s="53">
        <f t="shared" si="37"/>
        <v>0</v>
      </c>
    </row>
    <row r="213" spans="1:34">
      <c r="A213" s="1831" t="s">
        <v>83</v>
      </c>
      <c r="B213" s="18">
        <f t="shared" si="36"/>
        <v>0</v>
      </c>
      <c r="C213" s="46"/>
      <c r="D213" s="53"/>
      <c r="E213" s="53"/>
      <c r="F213" s="53"/>
      <c r="G213" s="53"/>
      <c r="H213" s="53"/>
      <c r="I213" s="53"/>
      <c r="J213" s="57"/>
      <c r="K213" s="57"/>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53">
        <f t="shared" si="37"/>
        <v>0</v>
      </c>
    </row>
    <row r="214" spans="1:34">
      <c r="A214" s="1744" t="s">
        <v>84</v>
      </c>
      <c r="B214" s="18">
        <f t="shared" si="36"/>
        <v>0</v>
      </c>
      <c r="C214" s="49"/>
      <c r="D214" s="53"/>
      <c r="E214" s="53"/>
      <c r="F214" s="53"/>
      <c r="G214" s="18"/>
      <c r="H214" s="18"/>
      <c r="I214" s="18"/>
      <c r="J214" s="18"/>
      <c r="K214" s="18"/>
      <c r="L214" s="18"/>
      <c r="M214" s="18"/>
      <c r="N214" s="18"/>
      <c r="O214" s="53"/>
      <c r="P214" s="18"/>
      <c r="Q214" s="18"/>
      <c r="R214" s="18"/>
      <c r="S214" s="18"/>
      <c r="T214" s="18"/>
      <c r="U214" s="18"/>
      <c r="V214" s="18"/>
      <c r="W214" s="18"/>
      <c r="X214" s="18"/>
      <c r="Y214" s="18"/>
      <c r="Z214" s="18"/>
      <c r="AA214" s="18"/>
      <c r="AB214" s="18"/>
      <c r="AC214" s="18"/>
      <c r="AD214" s="18"/>
      <c r="AE214" s="53"/>
      <c r="AF214" s="18"/>
      <c r="AG214" s="53"/>
      <c r="AH214" s="53">
        <f t="shared" si="37"/>
        <v>0</v>
      </c>
    </row>
    <row r="215" spans="1:34">
      <c r="A215" s="1744" t="s">
        <v>85</v>
      </c>
      <c r="B215" s="18">
        <f t="shared" si="36"/>
        <v>0</v>
      </c>
      <c r="C215" s="49"/>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53"/>
      <c r="AF215" s="18"/>
      <c r="AG215" s="53"/>
      <c r="AH215" s="53">
        <f t="shared" si="37"/>
        <v>0</v>
      </c>
    </row>
    <row r="216" spans="1:34">
      <c r="A216" s="1744" t="s">
        <v>86</v>
      </c>
      <c r="B216" s="18">
        <f t="shared" si="36"/>
        <v>0</v>
      </c>
      <c r="C216" s="49"/>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53"/>
      <c r="AF216" s="18"/>
      <c r="AG216" s="53"/>
      <c r="AH216" s="53">
        <f t="shared" si="37"/>
        <v>0</v>
      </c>
    </row>
    <row r="217" spans="1:34">
      <c r="A217" s="88" t="s">
        <v>74</v>
      </c>
      <c r="B217" s="89">
        <f>SUM(B205:B216)</f>
        <v>0</v>
      </c>
      <c r="C217" s="46">
        <f>SUM(C205:C215)</f>
        <v>0</v>
      </c>
      <c r="D217" s="53">
        <f>SUM(D205:D215)</f>
        <v>0</v>
      </c>
      <c r="E217" s="53">
        <v>0</v>
      </c>
      <c r="F217" s="53">
        <f t="shared" ref="F217:AC217" si="38">SUM(F205:F215)</f>
        <v>0</v>
      </c>
      <c r="G217" s="53">
        <f t="shared" si="38"/>
        <v>0</v>
      </c>
      <c r="H217" s="53">
        <f t="shared" si="38"/>
        <v>0</v>
      </c>
      <c r="I217" s="53">
        <f t="shared" si="38"/>
        <v>0</v>
      </c>
      <c r="J217" s="53">
        <f t="shared" si="38"/>
        <v>0</v>
      </c>
      <c r="K217" s="53">
        <f t="shared" si="38"/>
        <v>0</v>
      </c>
      <c r="L217" s="53">
        <f t="shared" si="38"/>
        <v>0</v>
      </c>
      <c r="M217" s="53">
        <f t="shared" si="38"/>
        <v>0</v>
      </c>
      <c r="N217" s="53">
        <f t="shared" si="38"/>
        <v>0</v>
      </c>
      <c r="O217" s="53">
        <f t="shared" si="38"/>
        <v>0</v>
      </c>
      <c r="P217" s="53">
        <f t="shared" si="38"/>
        <v>0</v>
      </c>
      <c r="Q217" s="53">
        <f t="shared" si="38"/>
        <v>0</v>
      </c>
      <c r="R217" s="53">
        <f t="shared" si="38"/>
        <v>0</v>
      </c>
      <c r="S217" s="53">
        <f t="shared" si="38"/>
        <v>0</v>
      </c>
      <c r="T217" s="53">
        <f t="shared" si="38"/>
        <v>0</v>
      </c>
      <c r="U217" s="53">
        <f t="shared" si="38"/>
        <v>0</v>
      </c>
      <c r="V217" s="53">
        <f t="shared" si="38"/>
        <v>0</v>
      </c>
      <c r="W217" s="53">
        <f t="shared" si="38"/>
        <v>0</v>
      </c>
      <c r="X217" s="53">
        <f t="shared" si="38"/>
        <v>0</v>
      </c>
      <c r="Y217" s="53">
        <f t="shared" si="38"/>
        <v>0</v>
      </c>
      <c r="Z217" s="53">
        <f t="shared" si="38"/>
        <v>0</v>
      </c>
      <c r="AA217" s="53">
        <f t="shared" si="38"/>
        <v>0</v>
      </c>
      <c r="AB217" s="53">
        <f t="shared" si="38"/>
        <v>0</v>
      </c>
      <c r="AC217" s="53">
        <f t="shared" si="38"/>
        <v>0</v>
      </c>
      <c r="AD217" s="53">
        <v>0</v>
      </c>
      <c r="AE217" s="53">
        <f>SUM(AE205:AE215)</f>
        <v>0</v>
      </c>
      <c r="AF217" s="53">
        <f>SUM(AF205:AF215)</f>
        <v>0</v>
      </c>
      <c r="AG217" s="53">
        <f>SUM(AG205:AG215)</f>
        <v>0</v>
      </c>
      <c r="AH217" s="46">
        <f>SUM(AH205:AH215)</f>
        <v>0</v>
      </c>
    </row>
    <row r="218" spans="1:34" ht="5.0999999999999996" customHeight="1">
      <c r="A218" s="14"/>
      <c r="B218" s="14"/>
      <c r="C218" s="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
    </row>
    <row r="219" spans="1:34">
      <c r="A219" s="3634" t="s">
        <v>106</v>
      </c>
      <c r="B219" s="3635"/>
      <c r="C219" s="3635"/>
      <c r="D219" s="3635"/>
      <c r="E219" s="3635"/>
      <c r="F219" s="3635"/>
      <c r="G219" s="3635"/>
      <c r="H219" s="3636"/>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row>
    <row r="220" spans="1:34">
      <c r="A220" s="5" t="s">
        <v>72</v>
      </c>
      <c r="B220" s="5" t="s">
        <v>73</v>
      </c>
      <c r="C220" s="117">
        <v>1</v>
      </c>
      <c r="D220" s="30">
        <v>2</v>
      </c>
      <c r="E220" s="30">
        <v>3</v>
      </c>
      <c r="F220" s="30">
        <v>4</v>
      </c>
      <c r="G220" s="30">
        <v>5</v>
      </c>
      <c r="H220" s="30">
        <v>6</v>
      </c>
      <c r="I220" s="30">
        <v>7</v>
      </c>
      <c r="J220" s="30">
        <v>8</v>
      </c>
      <c r="K220" s="30">
        <v>9</v>
      </c>
      <c r="L220" s="30">
        <v>10</v>
      </c>
      <c r="M220" s="30">
        <v>11</v>
      </c>
      <c r="N220" s="30">
        <v>12</v>
      </c>
      <c r="O220" s="30">
        <v>13</v>
      </c>
      <c r="P220" s="30">
        <v>14</v>
      </c>
      <c r="Q220" s="30">
        <v>15</v>
      </c>
      <c r="R220" s="30">
        <v>16</v>
      </c>
      <c r="S220" s="30">
        <v>17</v>
      </c>
      <c r="T220" s="30">
        <v>18</v>
      </c>
      <c r="U220" s="30">
        <v>19</v>
      </c>
      <c r="V220" s="30">
        <v>20</v>
      </c>
      <c r="W220" s="30">
        <v>21</v>
      </c>
      <c r="X220" s="30">
        <v>22</v>
      </c>
      <c r="Y220" s="30">
        <v>23</v>
      </c>
      <c r="Z220" s="30">
        <v>24</v>
      </c>
      <c r="AA220" s="30">
        <v>25</v>
      </c>
      <c r="AB220" s="30">
        <v>26</v>
      </c>
      <c r="AC220" s="30">
        <v>27</v>
      </c>
      <c r="AD220" s="30">
        <v>28</v>
      </c>
      <c r="AE220" s="30">
        <v>29</v>
      </c>
      <c r="AF220" s="30">
        <v>30</v>
      </c>
      <c r="AG220" s="30">
        <v>31</v>
      </c>
      <c r="AH220" s="39" t="s">
        <v>74</v>
      </c>
    </row>
    <row r="221" spans="1:34">
      <c r="A221" s="1831" t="s">
        <v>75</v>
      </c>
      <c r="B221" s="18">
        <f t="shared" ref="B221:B232" si="39">+AH221</f>
        <v>0</v>
      </c>
      <c r="C221" s="49"/>
      <c r="D221" s="53"/>
      <c r="E221" s="53"/>
      <c r="F221" s="53"/>
      <c r="G221" s="18"/>
      <c r="H221" s="18"/>
      <c r="I221" s="18"/>
      <c r="J221" s="18"/>
      <c r="K221" s="18"/>
      <c r="L221" s="18"/>
      <c r="M221" s="18"/>
      <c r="N221" s="18"/>
      <c r="O221" s="18"/>
      <c r="P221" s="18"/>
      <c r="Q221" s="53"/>
      <c r="R221" s="18"/>
      <c r="S221" s="18"/>
      <c r="T221" s="18"/>
      <c r="U221" s="18"/>
      <c r="V221" s="53"/>
      <c r="W221" s="53"/>
      <c r="X221" s="18"/>
      <c r="Y221" s="18"/>
      <c r="Z221" s="18"/>
      <c r="AA221" s="18"/>
      <c r="AB221" s="18"/>
      <c r="AC221" s="18"/>
      <c r="AD221" s="53"/>
      <c r="AE221" s="18"/>
      <c r="AF221" s="18"/>
      <c r="AG221" s="18"/>
      <c r="AH221" s="53">
        <f>SUM(C221:AG221)</f>
        <v>0</v>
      </c>
    </row>
    <row r="222" spans="1:34" s="83" customFormat="1">
      <c r="A222" s="1831" t="s">
        <v>76</v>
      </c>
      <c r="B222" s="18">
        <f t="shared" si="39"/>
        <v>0</v>
      </c>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53">
        <f t="shared" ref="AH222:AH232" si="40">SUM(C222:AG222)</f>
        <v>0</v>
      </c>
    </row>
    <row r="223" spans="1:34">
      <c r="A223" s="1831" t="s">
        <v>77</v>
      </c>
      <c r="B223" s="18">
        <f t="shared" si="39"/>
        <v>0</v>
      </c>
      <c r="C223" s="46"/>
      <c r="D223" s="53"/>
      <c r="E223" s="53"/>
      <c r="F223" s="53"/>
      <c r="G223" s="53"/>
      <c r="H223" s="53"/>
      <c r="I223" s="53"/>
      <c r="J223" s="53"/>
      <c r="K223" s="53"/>
      <c r="L223" s="53"/>
      <c r="M223" s="53"/>
      <c r="N223" s="53"/>
      <c r="O223" s="53"/>
      <c r="P223" s="53"/>
      <c r="Q223" s="53"/>
      <c r="R223" s="53"/>
      <c r="S223" s="53"/>
      <c r="T223" s="53"/>
      <c r="U223" s="53"/>
      <c r="V223" s="53"/>
      <c r="W223" s="53"/>
      <c r="X223" s="53"/>
      <c r="Y223" s="53"/>
      <c r="Z223" s="53"/>
      <c r="AA223" s="53"/>
      <c r="AB223" s="53"/>
      <c r="AC223" s="53"/>
      <c r="AD223" s="53"/>
      <c r="AE223" s="53"/>
      <c r="AF223" s="53"/>
      <c r="AG223" s="53"/>
      <c r="AH223" s="53">
        <f t="shared" si="40"/>
        <v>0</v>
      </c>
    </row>
    <row r="224" spans="1:34">
      <c r="A224" s="1831" t="s">
        <v>78</v>
      </c>
      <c r="B224" s="18">
        <f t="shared" si="39"/>
        <v>0</v>
      </c>
      <c r="C224" s="49"/>
      <c r="D224" s="53"/>
      <c r="E224" s="53"/>
      <c r="F224" s="53"/>
      <c r="G224" s="18"/>
      <c r="H224" s="18"/>
      <c r="I224" s="18"/>
      <c r="J224" s="53"/>
      <c r="K224" s="53"/>
      <c r="L224" s="53"/>
      <c r="M224" s="53"/>
      <c r="N224" s="53"/>
      <c r="O224" s="53"/>
      <c r="P224" s="53"/>
      <c r="Q224" s="53"/>
      <c r="R224" s="53"/>
      <c r="S224" s="53"/>
      <c r="T224" s="53"/>
      <c r="U224" s="53"/>
      <c r="V224" s="53"/>
      <c r="W224" s="53"/>
      <c r="X224" s="53"/>
      <c r="Y224" s="53"/>
      <c r="Z224" s="53"/>
      <c r="AA224" s="53"/>
      <c r="AB224" s="53"/>
      <c r="AC224" s="53"/>
      <c r="AD224" s="53"/>
      <c r="AE224" s="53"/>
      <c r="AF224" s="53"/>
      <c r="AG224" s="53"/>
      <c r="AH224" s="53">
        <f t="shared" si="40"/>
        <v>0</v>
      </c>
    </row>
    <row r="225" spans="1:34" s="83" customFormat="1">
      <c r="A225" s="1831" t="s">
        <v>79</v>
      </c>
      <c r="B225" s="18">
        <f t="shared" si="39"/>
        <v>0</v>
      </c>
      <c r="C225" s="18"/>
      <c r="D225" s="18"/>
      <c r="E225" s="18"/>
      <c r="F225" s="18"/>
      <c r="G225" s="18"/>
      <c r="H225" s="18"/>
      <c r="I225" s="18"/>
      <c r="J225" s="53"/>
      <c r="K225" s="53"/>
      <c r="L225" s="53"/>
      <c r="M225" s="53"/>
      <c r="N225" s="53"/>
      <c r="O225" s="53"/>
      <c r="P225" s="53"/>
      <c r="Q225" s="53"/>
      <c r="R225" s="53"/>
      <c r="S225" s="53"/>
      <c r="T225" s="53"/>
      <c r="U225" s="53"/>
      <c r="V225" s="53"/>
      <c r="W225" s="53"/>
      <c r="X225" s="53"/>
      <c r="Y225" s="53"/>
      <c r="Z225" s="53"/>
      <c r="AA225" s="53"/>
      <c r="AB225" s="53"/>
      <c r="AC225" s="53"/>
      <c r="AD225" s="53"/>
      <c r="AE225" s="53"/>
      <c r="AF225" s="53"/>
      <c r="AG225" s="53"/>
      <c r="AH225" s="53">
        <f t="shared" si="40"/>
        <v>0</v>
      </c>
    </row>
    <row r="226" spans="1:34">
      <c r="A226" s="1831" t="s">
        <v>80</v>
      </c>
      <c r="B226" s="18">
        <f t="shared" si="39"/>
        <v>0</v>
      </c>
      <c r="C226" s="46"/>
      <c r="D226" s="53"/>
      <c r="E226" s="53"/>
      <c r="F226" s="53"/>
      <c r="G226" s="53"/>
      <c r="H226" s="53"/>
      <c r="I226" s="53"/>
      <c r="J226" s="53"/>
      <c r="K226" s="53"/>
      <c r="L226" s="53"/>
      <c r="M226" s="53"/>
      <c r="N226" s="53"/>
      <c r="O226" s="53"/>
      <c r="P226" s="53"/>
      <c r="Q226" s="53"/>
      <c r="R226" s="53"/>
      <c r="S226" s="53"/>
      <c r="T226" s="53"/>
      <c r="U226" s="53"/>
      <c r="V226" s="53"/>
      <c r="W226" s="53"/>
      <c r="X226" s="53"/>
      <c r="Y226" s="53"/>
      <c r="Z226" s="53"/>
      <c r="AA226" s="53"/>
      <c r="AB226" s="53"/>
      <c r="AC226" s="53"/>
      <c r="AD226" s="53"/>
      <c r="AE226" s="53"/>
      <c r="AF226" s="53"/>
      <c r="AG226" s="53"/>
      <c r="AH226" s="53">
        <f t="shared" si="40"/>
        <v>0</v>
      </c>
    </row>
    <row r="227" spans="1:34">
      <c r="A227" s="1831" t="s">
        <v>81</v>
      </c>
      <c r="B227" s="18">
        <f t="shared" si="39"/>
        <v>0</v>
      </c>
      <c r="C227" s="49"/>
      <c r="D227" s="53"/>
      <c r="E227" s="53"/>
      <c r="F227" s="53"/>
      <c r="G227" s="18"/>
      <c r="H227" s="18"/>
      <c r="I227" s="18"/>
      <c r="J227" s="57"/>
      <c r="K227" s="57"/>
      <c r="L227" s="53"/>
      <c r="M227" s="53"/>
      <c r="N227" s="18"/>
      <c r="O227" s="18"/>
      <c r="P227" s="18"/>
      <c r="Q227" s="53"/>
      <c r="R227" s="53"/>
      <c r="S227" s="53"/>
      <c r="T227" s="53"/>
      <c r="U227" s="53"/>
      <c r="V227" s="53"/>
      <c r="W227" s="53"/>
      <c r="X227" s="53"/>
      <c r="Y227" s="53"/>
      <c r="Z227" s="53"/>
      <c r="AA227" s="53"/>
      <c r="AB227" s="53"/>
      <c r="AC227" s="53"/>
      <c r="AD227" s="53"/>
      <c r="AE227" s="53"/>
      <c r="AF227" s="53"/>
      <c r="AG227" s="53"/>
      <c r="AH227" s="53">
        <f t="shared" si="40"/>
        <v>0</v>
      </c>
    </row>
    <row r="228" spans="1:34" s="83" customFormat="1">
      <c r="A228" s="1831" t="s">
        <v>82</v>
      </c>
      <c r="B228" s="18">
        <f t="shared" si="39"/>
        <v>0</v>
      </c>
      <c r="C228" s="18"/>
      <c r="D228" s="18"/>
      <c r="E228" s="18"/>
      <c r="F228" s="18"/>
      <c r="G228" s="18"/>
      <c r="H228" s="18"/>
      <c r="I228" s="18"/>
      <c r="J228" s="80"/>
      <c r="K228" s="80"/>
      <c r="L228" s="53"/>
      <c r="M228" s="53"/>
      <c r="N228" s="53"/>
      <c r="O228" s="53"/>
      <c r="P228" s="53"/>
      <c r="Q228" s="53"/>
      <c r="R228" s="53"/>
      <c r="S228" s="53"/>
      <c r="T228" s="53"/>
      <c r="U228" s="53"/>
      <c r="V228" s="53"/>
      <c r="W228" s="53"/>
      <c r="X228" s="53"/>
      <c r="Y228" s="53"/>
      <c r="Z228" s="53"/>
      <c r="AA228" s="53"/>
      <c r="AB228" s="53"/>
      <c r="AC228" s="53"/>
      <c r="AD228" s="53"/>
      <c r="AE228" s="53"/>
      <c r="AF228" s="53"/>
      <c r="AG228" s="53"/>
      <c r="AH228" s="53">
        <f t="shared" si="40"/>
        <v>0</v>
      </c>
    </row>
    <row r="229" spans="1:34">
      <c r="A229" s="1831" t="s">
        <v>83</v>
      </c>
      <c r="B229" s="18">
        <f t="shared" si="39"/>
        <v>0</v>
      </c>
      <c r="C229" s="46"/>
      <c r="D229" s="53"/>
      <c r="E229" s="53"/>
      <c r="F229" s="53"/>
      <c r="G229" s="53"/>
      <c r="H229" s="53"/>
      <c r="I229" s="53"/>
      <c r="J229" s="57"/>
      <c r="K229" s="57"/>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53">
        <f t="shared" si="40"/>
        <v>0</v>
      </c>
    </row>
    <row r="230" spans="1:34">
      <c r="A230" s="1744" t="s">
        <v>84</v>
      </c>
      <c r="B230" s="18">
        <f t="shared" si="39"/>
        <v>0</v>
      </c>
      <c r="C230" s="49"/>
      <c r="D230" s="53"/>
      <c r="E230" s="53"/>
      <c r="F230" s="53"/>
      <c r="G230" s="18"/>
      <c r="H230" s="18"/>
      <c r="I230" s="18"/>
      <c r="J230" s="18"/>
      <c r="K230" s="18"/>
      <c r="L230" s="18"/>
      <c r="M230" s="18"/>
      <c r="N230" s="18"/>
      <c r="O230" s="53"/>
      <c r="P230" s="18"/>
      <c r="Q230" s="18"/>
      <c r="R230" s="18"/>
      <c r="S230" s="18"/>
      <c r="T230" s="18"/>
      <c r="U230" s="18"/>
      <c r="V230" s="18"/>
      <c r="W230" s="18"/>
      <c r="X230" s="18"/>
      <c r="Y230" s="18"/>
      <c r="Z230" s="18"/>
      <c r="AA230" s="18"/>
      <c r="AB230" s="18"/>
      <c r="AC230" s="18"/>
      <c r="AD230" s="18"/>
      <c r="AE230" s="53"/>
      <c r="AF230" s="18"/>
      <c r="AG230" s="53"/>
      <c r="AH230" s="53">
        <f t="shared" si="40"/>
        <v>0</v>
      </c>
    </row>
    <row r="231" spans="1:34">
      <c r="A231" s="1744" t="s">
        <v>85</v>
      </c>
      <c r="B231" s="18">
        <f t="shared" si="39"/>
        <v>0</v>
      </c>
      <c r="C231" s="49"/>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53"/>
      <c r="AF231" s="18"/>
      <c r="AG231" s="53"/>
      <c r="AH231" s="53">
        <f t="shared" si="40"/>
        <v>0</v>
      </c>
    </row>
    <row r="232" spans="1:34">
      <c r="A232" s="1744" t="s">
        <v>86</v>
      </c>
      <c r="B232" s="18">
        <f t="shared" si="39"/>
        <v>0</v>
      </c>
      <c r="C232" s="49"/>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53"/>
      <c r="AF232" s="18"/>
      <c r="AG232" s="53"/>
      <c r="AH232" s="53">
        <f t="shared" si="40"/>
        <v>0</v>
      </c>
    </row>
    <row r="233" spans="1:34">
      <c r="A233" s="88" t="s">
        <v>74</v>
      </c>
      <c r="B233" s="89">
        <f>SUM(B221:B232)</f>
        <v>0</v>
      </c>
      <c r="C233" s="46">
        <f>SUM(C221:C231)</f>
        <v>0</v>
      </c>
      <c r="D233" s="53">
        <f>SUM(D221:D231)</f>
        <v>0</v>
      </c>
      <c r="E233" s="53">
        <v>0</v>
      </c>
      <c r="F233" s="53">
        <f t="shared" ref="F233:AC233" si="41">SUM(F221:F231)</f>
        <v>0</v>
      </c>
      <c r="G233" s="53">
        <f t="shared" si="41"/>
        <v>0</v>
      </c>
      <c r="H233" s="53">
        <f t="shared" si="41"/>
        <v>0</v>
      </c>
      <c r="I233" s="53">
        <f t="shared" si="41"/>
        <v>0</v>
      </c>
      <c r="J233" s="53">
        <f t="shared" si="41"/>
        <v>0</v>
      </c>
      <c r="K233" s="53">
        <f t="shared" si="41"/>
        <v>0</v>
      </c>
      <c r="L233" s="53">
        <f t="shared" si="41"/>
        <v>0</v>
      </c>
      <c r="M233" s="53">
        <f t="shared" si="41"/>
        <v>0</v>
      </c>
      <c r="N233" s="53">
        <f t="shared" si="41"/>
        <v>0</v>
      </c>
      <c r="O233" s="53">
        <f t="shared" si="41"/>
        <v>0</v>
      </c>
      <c r="P233" s="53">
        <f t="shared" si="41"/>
        <v>0</v>
      </c>
      <c r="Q233" s="53">
        <f t="shared" si="41"/>
        <v>0</v>
      </c>
      <c r="R233" s="53">
        <f t="shared" si="41"/>
        <v>0</v>
      </c>
      <c r="S233" s="53">
        <f t="shared" si="41"/>
        <v>0</v>
      </c>
      <c r="T233" s="53">
        <f t="shared" si="41"/>
        <v>0</v>
      </c>
      <c r="U233" s="53">
        <f t="shared" si="41"/>
        <v>0</v>
      </c>
      <c r="V233" s="53">
        <f t="shared" si="41"/>
        <v>0</v>
      </c>
      <c r="W233" s="53">
        <f t="shared" si="41"/>
        <v>0</v>
      </c>
      <c r="X233" s="53">
        <f t="shared" si="41"/>
        <v>0</v>
      </c>
      <c r="Y233" s="53">
        <f t="shared" si="41"/>
        <v>0</v>
      </c>
      <c r="Z233" s="53">
        <f t="shared" si="41"/>
        <v>0</v>
      </c>
      <c r="AA233" s="53">
        <f t="shared" si="41"/>
        <v>0</v>
      </c>
      <c r="AB233" s="53">
        <f t="shared" si="41"/>
        <v>0</v>
      </c>
      <c r="AC233" s="53">
        <f t="shared" si="41"/>
        <v>0</v>
      </c>
      <c r="AD233" s="53">
        <v>0</v>
      </c>
      <c r="AE233" s="53">
        <f>SUM(AE221:AE231)</f>
        <v>0</v>
      </c>
      <c r="AF233" s="53">
        <f>SUM(AF221:AF231)</f>
        <v>0</v>
      </c>
      <c r="AG233" s="53">
        <f>SUM(AG221:AG231)</f>
        <v>0</v>
      </c>
      <c r="AH233" s="46">
        <f>SUM(AH221:AH231)</f>
        <v>0</v>
      </c>
    </row>
    <row r="234" spans="1:34" ht="5.0999999999999996" customHeight="1">
      <c r="A234" s="14"/>
      <c r="B234" s="14"/>
      <c r="C234" s="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
    </row>
    <row r="235" spans="1:34">
      <c r="A235" s="3634" t="s">
        <v>107</v>
      </c>
      <c r="B235" s="3635"/>
      <c r="C235" s="3635"/>
      <c r="D235" s="3635"/>
      <c r="E235" s="3635"/>
      <c r="F235" s="3635"/>
      <c r="G235" s="3635"/>
      <c r="H235" s="3636"/>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row>
    <row r="236" spans="1:34">
      <c r="A236" s="5" t="s">
        <v>72</v>
      </c>
      <c r="B236" s="5" t="s">
        <v>73</v>
      </c>
      <c r="C236" s="117">
        <v>1</v>
      </c>
      <c r="D236" s="30">
        <v>2</v>
      </c>
      <c r="E236" s="30">
        <v>3</v>
      </c>
      <c r="F236" s="30">
        <v>4</v>
      </c>
      <c r="G236" s="30">
        <v>5</v>
      </c>
      <c r="H236" s="30">
        <v>6</v>
      </c>
      <c r="I236" s="30">
        <v>7</v>
      </c>
      <c r="J236" s="30">
        <v>8</v>
      </c>
      <c r="K236" s="30">
        <v>9</v>
      </c>
      <c r="L236" s="30">
        <v>10</v>
      </c>
      <c r="M236" s="30">
        <v>11</v>
      </c>
      <c r="N236" s="30">
        <v>12</v>
      </c>
      <c r="O236" s="30">
        <v>13</v>
      </c>
      <c r="P236" s="30">
        <v>14</v>
      </c>
      <c r="Q236" s="30">
        <v>15</v>
      </c>
      <c r="R236" s="30">
        <v>16</v>
      </c>
      <c r="S236" s="30">
        <v>17</v>
      </c>
      <c r="T236" s="30">
        <v>18</v>
      </c>
      <c r="U236" s="30">
        <v>19</v>
      </c>
      <c r="V236" s="30">
        <v>20</v>
      </c>
      <c r="W236" s="30">
        <v>21</v>
      </c>
      <c r="X236" s="30">
        <v>22</v>
      </c>
      <c r="Y236" s="30">
        <v>23</v>
      </c>
      <c r="Z236" s="30">
        <v>24</v>
      </c>
      <c r="AA236" s="30">
        <v>25</v>
      </c>
      <c r="AB236" s="30">
        <v>26</v>
      </c>
      <c r="AC236" s="30">
        <v>27</v>
      </c>
      <c r="AD236" s="30">
        <v>28</v>
      </c>
      <c r="AE236" s="30">
        <v>29</v>
      </c>
      <c r="AF236" s="30">
        <v>30</v>
      </c>
      <c r="AG236" s="30">
        <v>31</v>
      </c>
      <c r="AH236" s="39" t="s">
        <v>74</v>
      </c>
    </row>
    <row r="237" spans="1:34">
      <c r="A237" s="1831" t="s">
        <v>75</v>
      </c>
      <c r="B237" s="18">
        <f t="shared" ref="B237:B248" si="42">+AH237</f>
        <v>0</v>
      </c>
      <c r="C237" s="49"/>
      <c r="D237" s="53"/>
      <c r="E237" s="53"/>
      <c r="F237" s="53"/>
      <c r="G237" s="18"/>
      <c r="H237" s="18"/>
      <c r="I237" s="18"/>
      <c r="J237" s="18"/>
      <c r="K237" s="18"/>
      <c r="L237" s="18"/>
      <c r="M237" s="18"/>
      <c r="N237" s="18"/>
      <c r="O237" s="18"/>
      <c r="P237" s="18"/>
      <c r="Q237" s="53"/>
      <c r="R237" s="18"/>
      <c r="S237" s="18"/>
      <c r="T237" s="18"/>
      <c r="U237" s="18"/>
      <c r="V237" s="53"/>
      <c r="W237" s="53"/>
      <c r="X237" s="18"/>
      <c r="Y237" s="18"/>
      <c r="Z237" s="18"/>
      <c r="AA237" s="18"/>
      <c r="AB237" s="18"/>
      <c r="AC237" s="18"/>
      <c r="AD237" s="53"/>
      <c r="AE237" s="18"/>
      <c r="AF237" s="18"/>
      <c r="AG237" s="18"/>
      <c r="AH237" s="53">
        <f>SUM(C237:AG237)</f>
        <v>0</v>
      </c>
    </row>
    <row r="238" spans="1:34" s="83" customFormat="1">
      <c r="A238" s="1831" t="s">
        <v>76</v>
      </c>
      <c r="B238" s="18">
        <f t="shared" si="42"/>
        <v>0</v>
      </c>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53">
        <f t="shared" ref="AH238:AH248" si="43">SUM(C238:AG238)</f>
        <v>0</v>
      </c>
    </row>
    <row r="239" spans="1:34">
      <c r="A239" s="1831" t="s">
        <v>77</v>
      </c>
      <c r="B239" s="18">
        <f t="shared" si="42"/>
        <v>0</v>
      </c>
      <c r="C239" s="46"/>
      <c r="D239" s="53"/>
      <c r="E239" s="53"/>
      <c r="F239" s="53"/>
      <c r="G239" s="53"/>
      <c r="H239" s="53"/>
      <c r="I239" s="53"/>
      <c r="J239" s="53"/>
      <c r="K239" s="53"/>
      <c r="L239" s="53"/>
      <c r="M239" s="53"/>
      <c r="N239" s="53"/>
      <c r="O239" s="53"/>
      <c r="P239" s="53"/>
      <c r="Q239" s="53"/>
      <c r="R239" s="53"/>
      <c r="S239" s="53"/>
      <c r="T239" s="53"/>
      <c r="U239" s="53"/>
      <c r="V239" s="53"/>
      <c r="W239" s="53"/>
      <c r="X239" s="53"/>
      <c r="Y239" s="53"/>
      <c r="Z239" s="53"/>
      <c r="AA239" s="53"/>
      <c r="AB239" s="53"/>
      <c r="AC239" s="53"/>
      <c r="AD239" s="53"/>
      <c r="AE239" s="53"/>
      <c r="AF239" s="53"/>
      <c r="AG239" s="53"/>
      <c r="AH239" s="53">
        <f t="shared" si="43"/>
        <v>0</v>
      </c>
    </row>
    <row r="240" spans="1:34">
      <c r="A240" s="1831" t="s">
        <v>78</v>
      </c>
      <c r="B240" s="18">
        <f t="shared" si="42"/>
        <v>0</v>
      </c>
      <c r="C240" s="49"/>
      <c r="D240" s="53"/>
      <c r="E240" s="53"/>
      <c r="F240" s="53"/>
      <c r="G240" s="18"/>
      <c r="H240" s="18"/>
      <c r="I240" s="18"/>
      <c r="J240" s="53"/>
      <c r="K240" s="53"/>
      <c r="L240" s="53"/>
      <c r="M240" s="53"/>
      <c r="N240" s="53"/>
      <c r="O240" s="53"/>
      <c r="P240" s="53"/>
      <c r="Q240" s="53"/>
      <c r="R240" s="53"/>
      <c r="S240" s="53"/>
      <c r="T240" s="53"/>
      <c r="U240" s="53"/>
      <c r="V240" s="53"/>
      <c r="W240" s="53"/>
      <c r="X240" s="53"/>
      <c r="Y240" s="53"/>
      <c r="Z240" s="53"/>
      <c r="AA240" s="53"/>
      <c r="AB240" s="53"/>
      <c r="AC240" s="53"/>
      <c r="AD240" s="53"/>
      <c r="AE240" s="53"/>
      <c r="AF240" s="53"/>
      <c r="AG240" s="53"/>
      <c r="AH240" s="53">
        <f t="shared" si="43"/>
        <v>0</v>
      </c>
    </row>
    <row r="241" spans="1:34" s="83" customFormat="1">
      <c r="A241" s="1831" t="s">
        <v>79</v>
      </c>
      <c r="B241" s="18">
        <f t="shared" si="42"/>
        <v>0</v>
      </c>
      <c r="C241" s="18"/>
      <c r="D241" s="18"/>
      <c r="E241" s="18"/>
      <c r="F241" s="18"/>
      <c r="G241" s="18"/>
      <c r="H241" s="18"/>
      <c r="I241" s="18"/>
      <c r="J241" s="53"/>
      <c r="K241" s="53"/>
      <c r="L241" s="53"/>
      <c r="M241" s="53"/>
      <c r="N241" s="53"/>
      <c r="O241" s="53"/>
      <c r="P241" s="53"/>
      <c r="Q241" s="53"/>
      <c r="R241" s="53"/>
      <c r="S241" s="53"/>
      <c r="T241" s="53"/>
      <c r="U241" s="53"/>
      <c r="V241" s="53"/>
      <c r="W241" s="53"/>
      <c r="X241" s="53"/>
      <c r="Y241" s="53"/>
      <c r="Z241" s="53"/>
      <c r="AA241" s="53"/>
      <c r="AB241" s="53"/>
      <c r="AC241" s="53"/>
      <c r="AD241" s="53"/>
      <c r="AE241" s="53"/>
      <c r="AF241" s="53"/>
      <c r="AG241" s="53"/>
      <c r="AH241" s="53">
        <f t="shared" si="43"/>
        <v>0</v>
      </c>
    </row>
    <row r="242" spans="1:34">
      <c r="A242" s="1831" t="s">
        <v>80</v>
      </c>
      <c r="B242" s="18">
        <f t="shared" si="42"/>
        <v>0</v>
      </c>
      <c r="C242" s="46"/>
      <c r="D242" s="53"/>
      <c r="E242" s="53"/>
      <c r="F242" s="53"/>
      <c r="G242" s="53"/>
      <c r="H242" s="53"/>
      <c r="I242" s="53"/>
      <c r="J242" s="53"/>
      <c r="K242" s="53"/>
      <c r="L242" s="53"/>
      <c r="M242" s="53"/>
      <c r="N242" s="53"/>
      <c r="O242" s="53"/>
      <c r="P242" s="53"/>
      <c r="Q242" s="53"/>
      <c r="R242" s="53"/>
      <c r="S242" s="53"/>
      <c r="T242" s="53"/>
      <c r="U242" s="53"/>
      <c r="V242" s="53"/>
      <c r="W242" s="53"/>
      <c r="X242" s="53"/>
      <c r="Y242" s="53"/>
      <c r="Z242" s="53"/>
      <c r="AA242" s="53"/>
      <c r="AB242" s="53"/>
      <c r="AC242" s="53"/>
      <c r="AD242" s="53"/>
      <c r="AE242" s="53"/>
      <c r="AF242" s="53"/>
      <c r="AG242" s="53"/>
      <c r="AH242" s="53">
        <f t="shared" si="43"/>
        <v>0</v>
      </c>
    </row>
    <row r="243" spans="1:34">
      <c r="A243" s="1831" t="s">
        <v>81</v>
      </c>
      <c r="B243" s="18">
        <f t="shared" si="42"/>
        <v>0</v>
      </c>
      <c r="C243" s="49"/>
      <c r="D243" s="53"/>
      <c r="E243" s="53"/>
      <c r="F243" s="53"/>
      <c r="G243" s="18"/>
      <c r="H243" s="18"/>
      <c r="I243" s="18"/>
      <c r="J243" s="57"/>
      <c r="K243" s="57"/>
      <c r="L243" s="53"/>
      <c r="M243" s="53"/>
      <c r="N243" s="18"/>
      <c r="O243" s="18"/>
      <c r="P243" s="18"/>
      <c r="Q243" s="53"/>
      <c r="R243" s="53"/>
      <c r="S243" s="53"/>
      <c r="T243" s="53"/>
      <c r="U243" s="53"/>
      <c r="V243" s="53"/>
      <c r="W243" s="53"/>
      <c r="X243" s="53"/>
      <c r="Y243" s="53"/>
      <c r="Z243" s="53"/>
      <c r="AA243" s="53"/>
      <c r="AB243" s="53"/>
      <c r="AC243" s="53"/>
      <c r="AD243" s="53"/>
      <c r="AE243" s="53"/>
      <c r="AF243" s="53"/>
      <c r="AG243" s="53"/>
      <c r="AH243" s="53">
        <f t="shared" si="43"/>
        <v>0</v>
      </c>
    </row>
    <row r="244" spans="1:34" s="83" customFormat="1">
      <c r="A244" s="1831" t="s">
        <v>82</v>
      </c>
      <c r="B244" s="18">
        <f t="shared" si="42"/>
        <v>0</v>
      </c>
      <c r="C244" s="18"/>
      <c r="D244" s="18"/>
      <c r="E244" s="18"/>
      <c r="F244" s="18"/>
      <c r="G244" s="18"/>
      <c r="H244" s="18"/>
      <c r="I244" s="18"/>
      <c r="J244" s="80"/>
      <c r="K244" s="80"/>
      <c r="L244" s="53"/>
      <c r="M244" s="53"/>
      <c r="N244" s="53"/>
      <c r="O244" s="53"/>
      <c r="P244" s="53"/>
      <c r="Q244" s="53"/>
      <c r="R244" s="53"/>
      <c r="S244" s="53"/>
      <c r="T244" s="53"/>
      <c r="U244" s="53"/>
      <c r="V244" s="53"/>
      <c r="W244" s="53"/>
      <c r="X244" s="53"/>
      <c r="Y244" s="53"/>
      <c r="Z244" s="53"/>
      <c r="AA244" s="53"/>
      <c r="AB244" s="53"/>
      <c r="AC244" s="53"/>
      <c r="AD244" s="53"/>
      <c r="AE244" s="53"/>
      <c r="AF244" s="53"/>
      <c r="AG244" s="53"/>
      <c r="AH244" s="53">
        <f t="shared" si="43"/>
        <v>0</v>
      </c>
    </row>
    <row r="245" spans="1:34">
      <c r="A245" s="1831" t="s">
        <v>83</v>
      </c>
      <c r="B245" s="18">
        <f t="shared" si="42"/>
        <v>0</v>
      </c>
      <c r="C245" s="46"/>
      <c r="D245" s="53"/>
      <c r="E245" s="53"/>
      <c r="F245" s="53"/>
      <c r="G245" s="53"/>
      <c r="H245" s="53"/>
      <c r="I245" s="53"/>
      <c r="J245" s="57"/>
      <c r="K245" s="57"/>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53">
        <f t="shared" si="43"/>
        <v>0</v>
      </c>
    </row>
    <row r="246" spans="1:34">
      <c r="A246" s="1744" t="s">
        <v>84</v>
      </c>
      <c r="B246" s="18">
        <f t="shared" si="42"/>
        <v>0</v>
      </c>
      <c r="C246" s="49"/>
      <c r="D246" s="53"/>
      <c r="E246" s="53"/>
      <c r="F246" s="53"/>
      <c r="G246" s="18"/>
      <c r="H246" s="18"/>
      <c r="I246" s="18"/>
      <c r="J246" s="18"/>
      <c r="K246" s="18"/>
      <c r="L246" s="18"/>
      <c r="M246" s="18"/>
      <c r="N246" s="18"/>
      <c r="O246" s="53"/>
      <c r="P246" s="18"/>
      <c r="Q246" s="18"/>
      <c r="R246" s="18"/>
      <c r="S246" s="18"/>
      <c r="T246" s="18"/>
      <c r="U246" s="18"/>
      <c r="V246" s="18"/>
      <c r="W246" s="18"/>
      <c r="X246" s="18"/>
      <c r="Y246" s="18"/>
      <c r="Z246" s="18"/>
      <c r="AA246" s="18"/>
      <c r="AB246" s="18"/>
      <c r="AC246" s="18"/>
      <c r="AD246" s="18"/>
      <c r="AE246" s="53"/>
      <c r="AF246" s="18"/>
      <c r="AG246" s="53"/>
      <c r="AH246" s="53">
        <f t="shared" si="43"/>
        <v>0</v>
      </c>
    </row>
    <row r="247" spans="1:34">
      <c r="A247" s="1744" t="s">
        <v>85</v>
      </c>
      <c r="B247" s="18">
        <f t="shared" si="42"/>
        <v>0</v>
      </c>
      <c r="C247" s="49"/>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53"/>
      <c r="AF247" s="18"/>
      <c r="AG247" s="53"/>
      <c r="AH247" s="53">
        <f t="shared" si="43"/>
        <v>0</v>
      </c>
    </row>
    <row r="248" spans="1:34">
      <c r="A248" s="1744" t="s">
        <v>86</v>
      </c>
      <c r="B248" s="18">
        <f t="shared" si="42"/>
        <v>0</v>
      </c>
      <c r="C248" s="49"/>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53"/>
      <c r="AF248" s="18"/>
      <c r="AG248" s="53"/>
      <c r="AH248" s="53">
        <f t="shared" si="43"/>
        <v>0</v>
      </c>
    </row>
    <row r="249" spans="1:34">
      <c r="A249" s="88" t="s">
        <v>74</v>
      </c>
      <c r="B249" s="89">
        <f>SUM(B237:B248)</f>
        <v>0</v>
      </c>
      <c r="C249" s="46">
        <f>SUM(C237:C247)</f>
        <v>0</v>
      </c>
      <c r="D249" s="53">
        <f>SUM(D237:D247)</f>
        <v>0</v>
      </c>
      <c r="E249" s="53">
        <v>0</v>
      </c>
      <c r="F249" s="53">
        <f t="shared" ref="F249:AC249" si="44">SUM(F237:F247)</f>
        <v>0</v>
      </c>
      <c r="G249" s="53">
        <f t="shared" si="44"/>
        <v>0</v>
      </c>
      <c r="H249" s="53">
        <f t="shared" si="44"/>
        <v>0</v>
      </c>
      <c r="I249" s="53">
        <f t="shared" si="44"/>
        <v>0</v>
      </c>
      <c r="J249" s="53">
        <f t="shared" si="44"/>
        <v>0</v>
      </c>
      <c r="K249" s="53">
        <f t="shared" si="44"/>
        <v>0</v>
      </c>
      <c r="L249" s="53">
        <f t="shared" si="44"/>
        <v>0</v>
      </c>
      <c r="M249" s="53">
        <f t="shared" si="44"/>
        <v>0</v>
      </c>
      <c r="N249" s="53">
        <f t="shared" si="44"/>
        <v>0</v>
      </c>
      <c r="O249" s="53">
        <f t="shared" si="44"/>
        <v>0</v>
      </c>
      <c r="P249" s="53">
        <f t="shared" si="44"/>
        <v>0</v>
      </c>
      <c r="Q249" s="53">
        <f t="shared" si="44"/>
        <v>0</v>
      </c>
      <c r="R249" s="53">
        <f t="shared" si="44"/>
        <v>0</v>
      </c>
      <c r="S249" s="53">
        <f t="shared" si="44"/>
        <v>0</v>
      </c>
      <c r="T249" s="53">
        <f t="shared" si="44"/>
        <v>0</v>
      </c>
      <c r="U249" s="53">
        <f t="shared" si="44"/>
        <v>0</v>
      </c>
      <c r="V249" s="53">
        <f t="shared" si="44"/>
        <v>0</v>
      </c>
      <c r="W249" s="53">
        <f t="shared" si="44"/>
        <v>0</v>
      </c>
      <c r="X249" s="53">
        <f t="shared" si="44"/>
        <v>0</v>
      </c>
      <c r="Y249" s="53">
        <f t="shared" si="44"/>
        <v>0</v>
      </c>
      <c r="Z249" s="53">
        <f t="shared" si="44"/>
        <v>0</v>
      </c>
      <c r="AA249" s="53">
        <f t="shared" si="44"/>
        <v>0</v>
      </c>
      <c r="AB249" s="53">
        <f t="shared" si="44"/>
        <v>0</v>
      </c>
      <c r="AC249" s="53">
        <f t="shared" si="44"/>
        <v>0</v>
      </c>
      <c r="AD249" s="53">
        <v>0</v>
      </c>
      <c r="AE249" s="53">
        <f>SUM(AE237:AE247)</f>
        <v>0</v>
      </c>
      <c r="AF249" s="53">
        <f>SUM(AF237:AF247)</f>
        <v>0</v>
      </c>
      <c r="AG249" s="53">
        <f>SUM(AG237:AG247)</f>
        <v>0</v>
      </c>
      <c r="AH249" s="46">
        <f>SUM(AH237:AH247)</f>
        <v>0</v>
      </c>
    </row>
    <row r="250" spans="1:34" ht="5.0999999999999996" customHeight="1">
      <c r="A250" s="14"/>
      <c r="B250" s="14"/>
      <c r="C250" s="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
    </row>
    <row r="251" spans="1:34">
      <c r="A251" s="3634" t="s">
        <v>108</v>
      </c>
      <c r="B251" s="3635"/>
      <c r="C251" s="3635"/>
      <c r="D251" s="3635"/>
      <c r="E251" s="3635"/>
      <c r="F251" s="3635"/>
      <c r="G251" s="3635"/>
      <c r="H251" s="3636"/>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row>
    <row r="252" spans="1:34">
      <c r="A252" s="5" t="s">
        <v>72</v>
      </c>
      <c r="B252" s="5" t="s">
        <v>73</v>
      </c>
      <c r="C252" s="117">
        <v>1</v>
      </c>
      <c r="D252" s="30">
        <v>2</v>
      </c>
      <c r="E252" s="30">
        <v>3</v>
      </c>
      <c r="F252" s="30">
        <v>4</v>
      </c>
      <c r="G252" s="30">
        <v>5</v>
      </c>
      <c r="H252" s="30">
        <v>6</v>
      </c>
      <c r="I252" s="30">
        <v>7</v>
      </c>
      <c r="J252" s="30">
        <v>8</v>
      </c>
      <c r="K252" s="30">
        <v>9</v>
      </c>
      <c r="L252" s="30">
        <v>10</v>
      </c>
      <c r="M252" s="30">
        <v>11</v>
      </c>
      <c r="N252" s="30">
        <v>12</v>
      </c>
      <c r="O252" s="30">
        <v>13</v>
      </c>
      <c r="P252" s="30">
        <v>14</v>
      </c>
      <c r="Q252" s="30">
        <v>15</v>
      </c>
      <c r="R252" s="30">
        <v>16</v>
      </c>
      <c r="S252" s="30">
        <v>17</v>
      </c>
      <c r="T252" s="30">
        <v>18</v>
      </c>
      <c r="U252" s="30">
        <v>19</v>
      </c>
      <c r="V252" s="30">
        <v>20</v>
      </c>
      <c r="W252" s="30">
        <v>21</v>
      </c>
      <c r="X252" s="30">
        <v>22</v>
      </c>
      <c r="Y252" s="30">
        <v>23</v>
      </c>
      <c r="Z252" s="30">
        <v>24</v>
      </c>
      <c r="AA252" s="30">
        <v>25</v>
      </c>
      <c r="AB252" s="30">
        <v>26</v>
      </c>
      <c r="AC252" s="30">
        <v>27</v>
      </c>
      <c r="AD252" s="30">
        <v>28</v>
      </c>
      <c r="AE252" s="30">
        <v>29</v>
      </c>
      <c r="AF252" s="30">
        <v>30</v>
      </c>
      <c r="AG252" s="30">
        <v>31</v>
      </c>
      <c r="AH252" s="39" t="s">
        <v>74</v>
      </c>
    </row>
    <row r="253" spans="1:34">
      <c r="A253" s="1831" t="s">
        <v>75</v>
      </c>
      <c r="B253" s="18">
        <f t="shared" ref="B253:B264" si="45">+AH253</f>
        <v>0</v>
      </c>
      <c r="C253" s="49"/>
      <c r="D253" s="53"/>
      <c r="E253" s="53"/>
      <c r="F253" s="53"/>
      <c r="G253" s="18"/>
      <c r="H253" s="18"/>
      <c r="I253" s="18"/>
      <c r="J253" s="18"/>
      <c r="K253" s="18"/>
      <c r="L253" s="18"/>
      <c r="M253" s="18"/>
      <c r="N253" s="18"/>
      <c r="O253" s="18"/>
      <c r="P253" s="18"/>
      <c r="Q253" s="53"/>
      <c r="R253" s="18"/>
      <c r="S253" s="18"/>
      <c r="T253" s="18"/>
      <c r="U253" s="18"/>
      <c r="V253" s="53"/>
      <c r="W253" s="53"/>
      <c r="X253" s="18"/>
      <c r="Y253" s="18"/>
      <c r="Z253" s="18"/>
      <c r="AA253" s="18"/>
      <c r="AB253" s="18"/>
      <c r="AC253" s="18"/>
      <c r="AD253" s="53"/>
      <c r="AE253" s="18"/>
      <c r="AF253" s="18"/>
      <c r="AG253" s="18"/>
      <c r="AH253" s="53">
        <f>SUM(C253:AG253)</f>
        <v>0</v>
      </c>
    </row>
    <row r="254" spans="1:34" s="83" customFormat="1">
      <c r="A254" s="1831" t="s">
        <v>76</v>
      </c>
      <c r="B254" s="18">
        <f t="shared" si="45"/>
        <v>0</v>
      </c>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53">
        <f t="shared" ref="AH254:AH264" si="46">SUM(C254:AG254)</f>
        <v>0</v>
      </c>
    </row>
    <row r="255" spans="1:34">
      <c r="A255" s="1831" t="s">
        <v>77</v>
      </c>
      <c r="B255" s="18">
        <f t="shared" si="45"/>
        <v>0</v>
      </c>
      <c r="C255" s="46"/>
      <c r="D255" s="53"/>
      <c r="E255" s="53"/>
      <c r="F255" s="53"/>
      <c r="G255" s="53"/>
      <c r="H255" s="53"/>
      <c r="I255" s="53"/>
      <c r="J255" s="53"/>
      <c r="K255" s="53"/>
      <c r="L255" s="53"/>
      <c r="M255" s="53"/>
      <c r="N255" s="53"/>
      <c r="O255" s="53"/>
      <c r="P255" s="53"/>
      <c r="Q255" s="53"/>
      <c r="R255" s="53"/>
      <c r="S255" s="53"/>
      <c r="T255" s="53"/>
      <c r="U255" s="53"/>
      <c r="V255" s="53"/>
      <c r="W255" s="53"/>
      <c r="X255" s="53"/>
      <c r="Y255" s="53"/>
      <c r="Z255" s="53"/>
      <c r="AA255" s="53"/>
      <c r="AB255" s="53"/>
      <c r="AC255" s="53"/>
      <c r="AD255" s="53"/>
      <c r="AE255" s="53"/>
      <c r="AF255" s="53"/>
      <c r="AG255" s="53"/>
      <c r="AH255" s="53">
        <f t="shared" si="46"/>
        <v>0</v>
      </c>
    </row>
    <row r="256" spans="1:34">
      <c r="A256" s="1831" t="s">
        <v>78</v>
      </c>
      <c r="B256" s="18">
        <f t="shared" si="45"/>
        <v>0</v>
      </c>
      <c r="C256" s="49"/>
      <c r="D256" s="53"/>
      <c r="E256" s="53"/>
      <c r="F256" s="53"/>
      <c r="G256" s="18"/>
      <c r="H256" s="18"/>
      <c r="I256" s="18"/>
      <c r="J256" s="53"/>
      <c r="K256" s="53"/>
      <c r="L256" s="53"/>
      <c r="M256" s="53"/>
      <c r="N256" s="53"/>
      <c r="O256" s="53"/>
      <c r="P256" s="53"/>
      <c r="Q256" s="53"/>
      <c r="R256" s="53"/>
      <c r="S256" s="53"/>
      <c r="T256" s="53"/>
      <c r="U256" s="53"/>
      <c r="V256" s="53"/>
      <c r="W256" s="53"/>
      <c r="X256" s="53"/>
      <c r="Y256" s="53"/>
      <c r="Z256" s="53"/>
      <c r="AA256" s="53"/>
      <c r="AB256" s="53"/>
      <c r="AC256" s="53"/>
      <c r="AD256" s="53"/>
      <c r="AE256" s="53"/>
      <c r="AF256" s="53"/>
      <c r="AG256" s="53"/>
      <c r="AH256" s="53">
        <f t="shared" si="46"/>
        <v>0</v>
      </c>
    </row>
    <row r="257" spans="1:34" s="83" customFormat="1">
      <c r="A257" s="1831" t="s">
        <v>79</v>
      </c>
      <c r="B257" s="18">
        <f t="shared" si="45"/>
        <v>0</v>
      </c>
      <c r="C257" s="18"/>
      <c r="D257" s="18"/>
      <c r="E257" s="18"/>
      <c r="F257" s="18"/>
      <c r="G257" s="18"/>
      <c r="H257" s="18"/>
      <c r="I257" s="18"/>
      <c r="J257" s="53"/>
      <c r="K257" s="53"/>
      <c r="L257" s="53"/>
      <c r="M257" s="53"/>
      <c r="N257" s="53"/>
      <c r="O257" s="53"/>
      <c r="P257" s="53"/>
      <c r="Q257" s="53"/>
      <c r="R257" s="53"/>
      <c r="S257" s="53"/>
      <c r="T257" s="53"/>
      <c r="U257" s="53"/>
      <c r="V257" s="53"/>
      <c r="W257" s="53"/>
      <c r="X257" s="53"/>
      <c r="Y257" s="53"/>
      <c r="Z257" s="53"/>
      <c r="AA257" s="53"/>
      <c r="AB257" s="53"/>
      <c r="AC257" s="53"/>
      <c r="AD257" s="53"/>
      <c r="AE257" s="53"/>
      <c r="AF257" s="53"/>
      <c r="AG257" s="53"/>
      <c r="AH257" s="53">
        <f t="shared" si="46"/>
        <v>0</v>
      </c>
    </row>
    <row r="258" spans="1:34">
      <c r="A258" s="1831" t="s">
        <v>80</v>
      </c>
      <c r="B258" s="18">
        <f t="shared" si="45"/>
        <v>0</v>
      </c>
      <c r="C258" s="46"/>
      <c r="D258" s="53"/>
      <c r="E258" s="53"/>
      <c r="F258" s="53"/>
      <c r="G258" s="53"/>
      <c r="H258" s="53"/>
      <c r="I258" s="53"/>
      <c r="J258" s="53"/>
      <c r="K258" s="53"/>
      <c r="L258" s="53"/>
      <c r="M258" s="53"/>
      <c r="N258" s="53"/>
      <c r="O258" s="53"/>
      <c r="P258" s="53"/>
      <c r="Q258" s="53"/>
      <c r="R258" s="53"/>
      <c r="S258" s="53"/>
      <c r="T258" s="53"/>
      <c r="U258" s="53"/>
      <c r="V258" s="53"/>
      <c r="W258" s="53"/>
      <c r="X258" s="53"/>
      <c r="Y258" s="53"/>
      <c r="Z258" s="53"/>
      <c r="AA258" s="53"/>
      <c r="AB258" s="53"/>
      <c r="AC258" s="53"/>
      <c r="AD258" s="53"/>
      <c r="AE258" s="53"/>
      <c r="AF258" s="53"/>
      <c r="AG258" s="53"/>
      <c r="AH258" s="53">
        <f t="shared" si="46"/>
        <v>0</v>
      </c>
    </row>
    <row r="259" spans="1:34">
      <c r="A259" s="1831" t="s">
        <v>81</v>
      </c>
      <c r="B259" s="18">
        <f t="shared" si="45"/>
        <v>0</v>
      </c>
      <c r="C259" s="49"/>
      <c r="D259" s="53"/>
      <c r="E259" s="53"/>
      <c r="F259" s="53"/>
      <c r="G259" s="18"/>
      <c r="H259" s="18"/>
      <c r="I259" s="18"/>
      <c r="J259" s="57"/>
      <c r="K259" s="57"/>
      <c r="L259" s="53"/>
      <c r="M259" s="53"/>
      <c r="N259" s="18"/>
      <c r="O259" s="18"/>
      <c r="P259" s="18"/>
      <c r="Q259" s="53"/>
      <c r="R259" s="53"/>
      <c r="S259" s="53"/>
      <c r="T259" s="53"/>
      <c r="U259" s="53"/>
      <c r="V259" s="53"/>
      <c r="W259" s="53"/>
      <c r="X259" s="53"/>
      <c r="Y259" s="53"/>
      <c r="Z259" s="53"/>
      <c r="AA259" s="53"/>
      <c r="AB259" s="53"/>
      <c r="AC259" s="53"/>
      <c r="AD259" s="53"/>
      <c r="AE259" s="53"/>
      <c r="AF259" s="53"/>
      <c r="AG259" s="53"/>
      <c r="AH259" s="53">
        <f t="shared" si="46"/>
        <v>0</v>
      </c>
    </row>
    <row r="260" spans="1:34" s="83" customFormat="1">
      <c r="A260" s="1831" t="s">
        <v>82</v>
      </c>
      <c r="B260" s="18">
        <f t="shared" si="45"/>
        <v>0</v>
      </c>
      <c r="C260" s="18"/>
      <c r="D260" s="18"/>
      <c r="E260" s="18"/>
      <c r="F260" s="18"/>
      <c r="G260" s="18"/>
      <c r="H260" s="18"/>
      <c r="I260" s="18"/>
      <c r="J260" s="80"/>
      <c r="K260" s="80"/>
      <c r="L260" s="53"/>
      <c r="M260" s="53"/>
      <c r="N260" s="53"/>
      <c r="O260" s="53"/>
      <c r="P260" s="53"/>
      <c r="Q260" s="53"/>
      <c r="R260" s="53"/>
      <c r="S260" s="53"/>
      <c r="T260" s="53"/>
      <c r="U260" s="53"/>
      <c r="V260" s="53"/>
      <c r="W260" s="53"/>
      <c r="X260" s="53"/>
      <c r="Y260" s="53"/>
      <c r="Z260" s="53"/>
      <c r="AA260" s="53"/>
      <c r="AB260" s="53"/>
      <c r="AC260" s="53"/>
      <c r="AD260" s="53"/>
      <c r="AE260" s="53"/>
      <c r="AF260" s="53"/>
      <c r="AG260" s="53"/>
      <c r="AH260" s="53">
        <f t="shared" si="46"/>
        <v>0</v>
      </c>
    </row>
    <row r="261" spans="1:34">
      <c r="A261" s="1831" t="s">
        <v>83</v>
      </c>
      <c r="B261" s="18">
        <f t="shared" si="45"/>
        <v>0</v>
      </c>
      <c r="C261" s="46"/>
      <c r="D261" s="53"/>
      <c r="E261" s="53"/>
      <c r="F261" s="53"/>
      <c r="G261" s="53"/>
      <c r="H261" s="53"/>
      <c r="I261" s="53"/>
      <c r="J261" s="57"/>
      <c r="K261" s="57"/>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53">
        <f t="shared" si="46"/>
        <v>0</v>
      </c>
    </row>
    <row r="262" spans="1:34">
      <c r="A262" s="1744" t="s">
        <v>84</v>
      </c>
      <c r="B262" s="18">
        <f t="shared" si="45"/>
        <v>0</v>
      </c>
      <c r="C262" s="49"/>
      <c r="D262" s="53"/>
      <c r="E262" s="53"/>
      <c r="F262" s="53"/>
      <c r="G262" s="18"/>
      <c r="H262" s="18"/>
      <c r="I262" s="18"/>
      <c r="J262" s="18"/>
      <c r="K262" s="18"/>
      <c r="L262" s="18"/>
      <c r="M262" s="18"/>
      <c r="N262" s="18"/>
      <c r="O262" s="53"/>
      <c r="P262" s="18"/>
      <c r="Q262" s="18"/>
      <c r="R262" s="18"/>
      <c r="S262" s="18"/>
      <c r="T262" s="18"/>
      <c r="U262" s="18"/>
      <c r="V262" s="18"/>
      <c r="W262" s="18"/>
      <c r="X262" s="18"/>
      <c r="Y262" s="18"/>
      <c r="Z262" s="18"/>
      <c r="AA262" s="18"/>
      <c r="AB262" s="18"/>
      <c r="AC262" s="18"/>
      <c r="AD262" s="18"/>
      <c r="AE262" s="53"/>
      <c r="AF262" s="18"/>
      <c r="AG262" s="53"/>
      <c r="AH262" s="53">
        <f t="shared" si="46"/>
        <v>0</v>
      </c>
    </row>
    <row r="263" spans="1:34">
      <c r="A263" s="1744" t="s">
        <v>85</v>
      </c>
      <c r="B263" s="18">
        <f t="shared" si="45"/>
        <v>0</v>
      </c>
      <c r="C263" s="49"/>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53"/>
      <c r="AF263" s="18"/>
      <c r="AG263" s="53"/>
      <c r="AH263" s="53">
        <f t="shared" si="46"/>
        <v>0</v>
      </c>
    </row>
    <row r="264" spans="1:34">
      <c r="A264" s="1744" t="s">
        <v>86</v>
      </c>
      <c r="B264" s="18">
        <f t="shared" si="45"/>
        <v>0</v>
      </c>
      <c r="C264" s="49"/>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53"/>
      <c r="AF264" s="18"/>
      <c r="AG264" s="53"/>
      <c r="AH264" s="53">
        <f t="shared" si="46"/>
        <v>0</v>
      </c>
    </row>
    <row r="265" spans="1:34">
      <c r="A265" s="88" t="s">
        <v>74</v>
      </c>
      <c r="B265" s="89">
        <f>SUM(B253:B264)</f>
        <v>0</v>
      </c>
      <c r="C265" s="46">
        <f>SUM(C253:C263)</f>
        <v>0</v>
      </c>
      <c r="D265" s="53">
        <f>SUM(D253:D263)</f>
        <v>0</v>
      </c>
      <c r="E265" s="53">
        <v>0</v>
      </c>
      <c r="F265" s="53">
        <f t="shared" ref="F265:AC265" si="47">SUM(F253:F263)</f>
        <v>0</v>
      </c>
      <c r="G265" s="53">
        <f t="shared" si="47"/>
        <v>0</v>
      </c>
      <c r="H265" s="53">
        <f t="shared" si="47"/>
        <v>0</v>
      </c>
      <c r="I265" s="53">
        <f t="shared" si="47"/>
        <v>0</v>
      </c>
      <c r="J265" s="53">
        <f t="shared" si="47"/>
        <v>0</v>
      </c>
      <c r="K265" s="53">
        <f t="shared" si="47"/>
        <v>0</v>
      </c>
      <c r="L265" s="53">
        <f t="shared" si="47"/>
        <v>0</v>
      </c>
      <c r="M265" s="53">
        <f t="shared" si="47"/>
        <v>0</v>
      </c>
      <c r="N265" s="53">
        <f t="shared" si="47"/>
        <v>0</v>
      </c>
      <c r="O265" s="53">
        <f t="shared" si="47"/>
        <v>0</v>
      </c>
      <c r="P265" s="53">
        <f t="shared" si="47"/>
        <v>0</v>
      </c>
      <c r="Q265" s="53">
        <f t="shared" si="47"/>
        <v>0</v>
      </c>
      <c r="R265" s="53">
        <f t="shared" si="47"/>
        <v>0</v>
      </c>
      <c r="S265" s="53">
        <f t="shared" si="47"/>
        <v>0</v>
      </c>
      <c r="T265" s="53">
        <f t="shared" si="47"/>
        <v>0</v>
      </c>
      <c r="U265" s="53">
        <f t="shared" si="47"/>
        <v>0</v>
      </c>
      <c r="V265" s="53">
        <f t="shared" si="47"/>
        <v>0</v>
      </c>
      <c r="W265" s="53">
        <f t="shared" si="47"/>
        <v>0</v>
      </c>
      <c r="X265" s="53">
        <f t="shared" si="47"/>
        <v>0</v>
      </c>
      <c r="Y265" s="53">
        <f t="shared" si="47"/>
        <v>0</v>
      </c>
      <c r="Z265" s="53">
        <f t="shared" si="47"/>
        <v>0</v>
      </c>
      <c r="AA265" s="53">
        <f t="shared" si="47"/>
        <v>0</v>
      </c>
      <c r="AB265" s="53">
        <f t="shared" si="47"/>
        <v>0</v>
      </c>
      <c r="AC265" s="53">
        <f t="shared" si="47"/>
        <v>0</v>
      </c>
      <c r="AD265" s="53">
        <v>0</v>
      </c>
      <c r="AE265" s="53">
        <f>SUM(AE253:AE263)</f>
        <v>0</v>
      </c>
      <c r="AF265" s="53">
        <f>SUM(AF253:AF263)</f>
        <v>0</v>
      </c>
      <c r="AG265" s="53">
        <f>SUM(AG253:AG263)</f>
        <v>0</v>
      </c>
      <c r="AH265" s="46">
        <f>SUM(AH253:AH263)</f>
        <v>0</v>
      </c>
    </row>
    <row r="266" spans="1:34" ht="5.0999999999999996" customHeight="1">
      <c r="A266" s="14"/>
      <c r="B266" s="14"/>
      <c r="C266" s="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
    </row>
    <row r="267" spans="1:34">
      <c r="A267" s="3634" t="s">
        <v>109</v>
      </c>
      <c r="B267" s="3635"/>
      <c r="C267" s="3635"/>
      <c r="D267" s="3635"/>
      <c r="E267" s="3635"/>
      <c r="F267" s="3635"/>
      <c r="G267" s="3635"/>
      <c r="H267" s="3636"/>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row>
    <row r="268" spans="1:34">
      <c r="A268" s="5" t="s">
        <v>72</v>
      </c>
      <c r="B268" s="5" t="s">
        <v>73</v>
      </c>
      <c r="C268" s="117">
        <v>1</v>
      </c>
      <c r="D268" s="30">
        <v>2</v>
      </c>
      <c r="E268" s="30">
        <v>3</v>
      </c>
      <c r="F268" s="30">
        <v>4</v>
      </c>
      <c r="G268" s="30">
        <v>5</v>
      </c>
      <c r="H268" s="30">
        <v>6</v>
      </c>
      <c r="I268" s="30">
        <v>7</v>
      </c>
      <c r="J268" s="30">
        <v>8</v>
      </c>
      <c r="K268" s="30">
        <v>9</v>
      </c>
      <c r="L268" s="30">
        <v>10</v>
      </c>
      <c r="M268" s="30">
        <v>11</v>
      </c>
      <c r="N268" s="30">
        <v>12</v>
      </c>
      <c r="O268" s="30">
        <v>13</v>
      </c>
      <c r="P268" s="30">
        <v>14</v>
      </c>
      <c r="Q268" s="30">
        <v>15</v>
      </c>
      <c r="R268" s="30">
        <v>16</v>
      </c>
      <c r="S268" s="30">
        <v>17</v>
      </c>
      <c r="T268" s="30">
        <v>18</v>
      </c>
      <c r="U268" s="30">
        <v>19</v>
      </c>
      <c r="V268" s="30">
        <v>20</v>
      </c>
      <c r="W268" s="30">
        <v>21</v>
      </c>
      <c r="X268" s="30">
        <v>22</v>
      </c>
      <c r="Y268" s="30">
        <v>23</v>
      </c>
      <c r="Z268" s="30">
        <v>24</v>
      </c>
      <c r="AA268" s="30">
        <v>25</v>
      </c>
      <c r="AB268" s="30">
        <v>26</v>
      </c>
      <c r="AC268" s="30">
        <v>27</v>
      </c>
      <c r="AD268" s="30">
        <v>28</v>
      </c>
      <c r="AE268" s="30">
        <v>29</v>
      </c>
      <c r="AF268" s="30">
        <v>30</v>
      </c>
      <c r="AG268" s="30">
        <v>31</v>
      </c>
      <c r="AH268" s="39" t="s">
        <v>74</v>
      </c>
    </row>
    <row r="269" spans="1:34">
      <c r="A269" s="1831" t="s">
        <v>75</v>
      </c>
      <c r="B269" s="18">
        <f t="shared" ref="B269:B280" si="48">+AH269</f>
        <v>0</v>
      </c>
      <c r="C269" s="49"/>
      <c r="D269" s="53"/>
      <c r="E269" s="53"/>
      <c r="F269" s="53"/>
      <c r="G269" s="18"/>
      <c r="H269" s="18"/>
      <c r="I269" s="18"/>
      <c r="J269" s="18"/>
      <c r="K269" s="18"/>
      <c r="L269" s="18"/>
      <c r="M269" s="18"/>
      <c r="N269" s="18"/>
      <c r="O269" s="18"/>
      <c r="P269" s="18"/>
      <c r="Q269" s="53"/>
      <c r="R269" s="18"/>
      <c r="S269" s="18"/>
      <c r="T269" s="18"/>
      <c r="U269" s="18"/>
      <c r="V269" s="53"/>
      <c r="W269" s="53"/>
      <c r="X269" s="18"/>
      <c r="Y269" s="18"/>
      <c r="Z269" s="18"/>
      <c r="AA269" s="18"/>
      <c r="AB269" s="18"/>
      <c r="AC269" s="18"/>
      <c r="AD269" s="53"/>
      <c r="AE269" s="18"/>
      <c r="AF269" s="18"/>
      <c r="AG269" s="18"/>
      <c r="AH269" s="53">
        <f>SUM(C269:AG269)</f>
        <v>0</v>
      </c>
    </row>
    <row r="270" spans="1:34" s="83" customFormat="1">
      <c r="A270" s="1831" t="s">
        <v>76</v>
      </c>
      <c r="B270" s="18">
        <f t="shared" si="48"/>
        <v>0</v>
      </c>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53">
        <f t="shared" ref="AH270:AH280" si="49">SUM(C270:AG270)</f>
        <v>0</v>
      </c>
    </row>
    <row r="271" spans="1:34">
      <c r="A271" s="1831" t="s">
        <v>77</v>
      </c>
      <c r="B271" s="18">
        <f t="shared" si="48"/>
        <v>0</v>
      </c>
      <c r="C271" s="46"/>
      <c r="D271" s="53"/>
      <c r="E271" s="53"/>
      <c r="F271" s="53"/>
      <c r="G271" s="53"/>
      <c r="H271" s="53"/>
      <c r="I271" s="53"/>
      <c r="J271" s="53"/>
      <c r="K271" s="53"/>
      <c r="L271" s="53"/>
      <c r="M271" s="53"/>
      <c r="N271" s="53"/>
      <c r="O271" s="53"/>
      <c r="P271" s="53"/>
      <c r="Q271" s="53"/>
      <c r="R271" s="53"/>
      <c r="S271" s="53"/>
      <c r="T271" s="53"/>
      <c r="U271" s="53"/>
      <c r="V271" s="53"/>
      <c r="W271" s="53"/>
      <c r="X271" s="53"/>
      <c r="Y271" s="53"/>
      <c r="Z271" s="53"/>
      <c r="AA271" s="53"/>
      <c r="AB271" s="53"/>
      <c r="AC271" s="53"/>
      <c r="AD271" s="53"/>
      <c r="AE271" s="53"/>
      <c r="AF271" s="53"/>
      <c r="AG271" s="53"/>
      <c r="AH271" s="53">
        <f t="shared" si="49"/>
        <v>0</v>
      </c>
    </row>
    <row r="272" spans="1:34">
      <c r="A272" s="1831" t="s">
        <v>78</v>
      </c>
      <c r="B272" s="18">
        <f t="shared" si="48"/>
        <v>0</v>
      </c>
      <c r="C272" s="49"/>
      <c r="D272" s="53"/>
      <c r="E272" s="53"/>
      <c r="F272" s="53"/>
      <c r="G272" s="18"/>
      <c r="H272" s="18"/>
      <c r="I272" s="18"/>
      <c r="J272" s="53"/>
      <c r="K272" s="53"/>
      <c r="L272" s="53"/>
      <c r="M272" s="53"/>
      <c r="N272" s="53"/>
      <c r="O272" s="53"/>
      <c r="P272" s="53"/>
      <c r="Q272" s="53"/>
      <c r="R272" s="53"/>
      <c r="S272" s="53"/>
      <c r="T272" s="53"/>
      <c r="U272" s="53"/>
      <c r="V272" s="53"/>
      <c r="W272" s="53"/>
      <c r="X272" s="53"/>
      <c r="Y272" s="53"/>
      <c r="Z272" s="53"/>
      <c r="AA272" s="53"/>
      <c r="AB272" s="53"/>
      <c r="AC272" s="53"/>
      <c r="AD272" s="53"/>
      <c r="AE272" s="53"/>
      <c r="AF272" s="53"/>
      <c r="AG272" s="53"/>
      <c r="AH272" s="53">
        <f t="shared" si="49"/>
        <v>0</v>
      </c>
    </row>
    <row r="273" spans="1:34" s="83" customFormat="1">
      <c r="A273" s="1831" t="s">
        <v>79</v>
      </c>
      <c r="B273" s="18">
        <f t="shared" si="48"/>
        <v>0</v>
      </c>
      <c r="C273" s="18"/>
      <c r="D273" s="18"/>
      <c r="E273" s="18"/>
      <c r="F273" s="18"/>
      <c r="G273" s="18"/>
      <c r="H273" s="18"/>
      <c r="I273" s="18"/>
      <c r="J273" s="53"/>
      <c r="K273" s="53"/>
      <c r="L273" s="53"/>
      <c r="M273" s="53"/>
      <c r="N273" s="53"/>
      <c r="O273" s="53"/>
      <c r="P273" s="53"/>
      <c r="Q273" s="53"/>
      <c r="R273" s="53"/>
      <c r="S273" s="53"/>
      <c r="T273" s="53"/>
      <c r="U273" s="53"/>
      <c r="V273" s="53"/>
      <c r="W273" s="53"/>
      <c r="X273" s="53"/>
      <c r="Y273" s="53"/>
      <c r="Z273" s="53"/>
      <c r="AA273" s="53"/>
      <c r="AB273" s="53"/>
      <c r="AC273" s="53"/>
      <c r="AD273" s="53"/>
      <c r="AE273" s="53"/>
      <c r="AF273" s="53"/>
      <c r="AG273" s="53"/>
      <c r="AH273" s="53">
        <f t="shared" si="49"/>
        <v>0</v>
      </c>
    </row>
    <row r="274" spans="1:34">
      <c r="A274" s="1831" t="s">
        <v>80</v>
      </c>
      <c r="B274" s="18">
        <f t="shared" si="48"/>
        <v>0</v>
      </c>
      <c r="C274" s="46"/>
      <c r="D274" s="53"/>
      <c r="E274" s="53"/>
      <c r="F274" s="53"/>
      <c r="G274" s="53"/>
      <c r="H274" s="53"/>
      <c r="I274" s="53"/>
      <c r="J274" s="53"/>
      <c r="K274" s="53"/>
      <c r="L274" s="53"/>
      <c r="M274" s="53"/>
      <c r="N274" s="53"/>
      <c r="O274" s="53"/>
      <c r="P274" s="53"/>
      <c r="Q274" s="53"/>
      <c r="R274" s="53"/>
      <c r="S274" s="53"/>
      <c r="T274" s="53"/>
      <c r="U274" s="53"/>
      <c r="V274" s="53"/>
      <c r="W274" s="53"/>
      <c r="X274" s="53"/>
      <c r="Y274" s="53"/>
      <c r="Z274" s="53"/>
      <c r="AA274" s="53"/>
      <c r="AB274" s="53"/>
      <c r="AC274" s="53"/>
      <c r="AD274" s="53"/>
      <c r="AE274" s="53"/>
      <c r="AF274" s="53"/>
      <c r="AG274" s="53"/>
      <c r="AH274" s="53">
        <f t="shared" si="49"/>
        <v>0</v>
      </c>
    </row>
    <row r="275" spans="1:34">
      <c r="A275" s="1831" t="s">
        <v>81</v>
      </c>
      <c r="B275" s="18">
        <f t="shared" si="48"/>
        <v>0</v>
      </c>
      <c r="C275" s="49"/>
      <c r="D275" s="53"/>
      <c r="E275" s="53"/>
      <c r="F275" s="53"/>
      <c r="G275" s="18"/>
      <c r="H275" s="18"/>
      <c r="I275" s="18"/>
      <c r="J275" s="57"/>
      <c r="K275" s="57"/>
      <c r="L275" s="53"/>
      <c r="M275" s="53"/>
      <c r="N275" s="18"/>
      <c r="O275" s="18"/>
      <c r="P275" s="18"/>
      <c r="Q275" s="53"/>
      <c r="R275" s="53"/>
      <c r="S275" s="53"/>
      <c r="T275" s="53"/>
      <c r="U275" s="53"/>
      <c r="V275" s="53"/>
      <c r="W275" s="53"/>
      <c r="X275" s="53"/>
      <c r="Y275" s="53"/>
      <c r="Z275" s="53"/>
      <c r="AA275" s="53"/>
      <c r="AB275" s="53"/>
      <c r="AC275" s="53"/>
      <c r="AD275" s="53"/>
      <c r="AE275" s="53"/>
      <c r="AF275" s="53"/>
      <c r="AG275" s="53"/>
      <c r="AH275" s="53">
        <f t="shared" si="49"/>
        <v>0</v>
      </c>
    </row>
    <row r="276" spans="1:34" s="83" customFormat="1">
      <c r="A276" s="1831" t="s">
        <v>82</v>
      </c>
      <c r="B276" s="18">
        <f t="shared" si="48"/>
        <v>0</v>
      </c>
      <c r="C276" s="18"/>
      <c r="D276" s="18"/>
      <c r="E276" s="18"/>
      <c r="F276" s="18"/>
      <c r="G276" s="18"/>
      <c r="H276" s="18"/>
      <c r="I276" s="18"/>
      <c r="J276" s="80"/>
      <c r="K276" s="80"/>
      <c r="L276" s="53"/>
      <c r="M276" s="53"/>
      <c r="N276" s="53"/>
      <c r="O276" s="53"/>
      <c r="P276" s="53"/>
      <c r="Q276" s="53"/>
      <c r="R276" s="53"/>
      <c r="S276" s="53"/>
      <c r="T276" s="53"/>
      <c r="U276" s="53"/>
      <c r="V276" s="53"/>
      <c r="W276" s="53"/>
      <c r="X276" s="53"/>
      <c r="Y276" s="53"/>
      <c r="Z276" s="53"/>
      <c r="AA276" s="53"/>
      <c r="AB276" s="53"/>
      <c r="AC276" s="53"/>
      <c r="AD276" s="53"/>
      <c r="AE276" s="53"/>
      <c r="AF276" s="53"/>
      <c r="AG276" s="53"/>
      <c r="AH276" s="53">
        <f t="shared" si="49"/>
        <v>0</v>
      </c>
    </row>
    <row r="277" spans="1:34">
      <c r="A277" s="1831" t="s">
        <v>83</v>
      </c>
      <c r="B277" s="18">
        <f t="shared" si="48"/>
        <v>0</v>
      </c>
      <c r="C277" s="46"/>
      <c r="D277" s="53"/>
      <c r="E277" s="53"/>
      <c r="F277" s="53"/>
      <c r="G277" s="53"/>
      <c r="H277" s="53"/>
      <c r="I277" s="53"/>
      <c r="J277" s="57"/>
      <c r="K277" s="57"/>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53">
        <f t="shared" si="49"/>
        <v>0</v>
      </c>
    </row>
    <row r="278" spans="1:34">
      <c r="A278" s="1744" t="s">
        <v>84</v>
      </c>
      <c r="B278" s="18">
        <f t="shared" si="48"/>
        <v>0</v>
      </c>
      <c r="C278" s="49"/>
      <c r="D278" s="53"/>
      <c r="E278" s="53"/>
      <c r="F278" s="53"/>
      <c r="G278" s="18"/>
      <c r="H278" s="18"/>
      <c r="I278" s="18"/>
      <c r="J278" s="18"/>
      <c r="K278" s="18"/>
      <c r="L278" s="18"/>
      <c r="M278" s="18"/>
      <c r="N278" s="18"/>
      <c r="O278" s="53"/>
      <c r="P278" s="18"/>
      <c r="Q278" s="18"/>
      <c r="R278" s="18"/>
      <c r="S278" s="18"/>
      <c r="T278" s="18"/>
      <c r="U278" s="18"/>
      <c r="V278" s="18"/>
      <c r="W278" s="18"/>
      <c r="X278" s="18"/>
      <c r="Y278" s="18"/>
      <c r="Z278" s="18"/>
      <c r="AA278" s="18"/>
      <c r="AB278" s="18"/>
      <c r="AC278" s="18"/>
      <c r="AD278" s="18"/>
      <c r="AE278" s="53"/>
      <c r="AF278" s="18"/>
      <c r="AG278" s="53"/>
      <c r="AH278" s="53">
        <f t="shared" si="49"/>
        <v>0</v>
      </c>
    </row>
    <row r="279" spans="1:34">
      <c r="A279" s="1744" t="s">
        <v>85</v>
      </c>
      <c r="B279" s="18">
        <f t="shared" si="48"/>
        <v>0</v>
      </c>
      <c r="C279" s="49"/>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53"/>
      <c r="AF279" s="18"/>
      <c r="AG279" s="53"/>
      <c r="AH279" s="53">
        <f t="shared" si="49"/>
        <v>0</v>
      </c>
    </row>
    <row r="280" spans="1:34">
      <c r="A280" s="1744" t="s">
        <v>86</v>
      </c>
      <c r="B280" s="18">
        <f t="shared" si="48"/>
        <v>0</v>
      </c>
      <c r="C280" s="49"/>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53"/>
      <c r="AF280" s="18"/>
      <c r="AG280" s="53"/>
      <c r="AH280" s="53">
        <f t="shared" si="49"/>
        <v>0</v>
      </c>
    </row>
    <row r="281" spans="1:34">
      <c r="A281" s="88" t="s">
        <v>74</v>
      </c>
      <c r="B281" s="89">
        <f>SUM(B269:B280)</f>
        <v>0</v>
      </c>
      <c r="C281" s="46">
        <f>SUM(C269:C279)</f>
        <v>0</v>
      </c>
      <c r="D281" s="53">
        <f>SUM(D269:D279)</f>
        <v>0</v>
      </c>
      <c r="E281" s="53">
        <v>0</v>
      </c>
      <c r="F281" s="53">
        <f t="shared" ref="F281:AC281" si="50">SUM(F269:F279)</f>
        <v>0</v>
      </c>
      <c r="G281" s="53">
        <f t="shared" si="50"/>
        <v>0</v>
      </c>
      <c r="H281" s="53">
        <f t="shared" si="50"/>
        <v>0</v>
      </c>
      <c r="I281" s="53">
        <f t="shared" si="50"/>
        <v>0</v>
      </c>
      <c r="J281" s="53">
        <f t="shared" si="50"/>
        <v>0</v>
      </c>
      <c r="K281" s="53">
        <f t="shared" si="50"/>
        <v>0</v>
      </c>
      <c r="L281" s="53">
        <f t="shared" si="50"/>
        <v>0</v>
      </c>
      <c r="M281" s="53">
        <f t="shared" si="50"/>
        <v>0</v>
      </c>
      <c r="N281" s="53">
        <f t="shared" si="50"/>
        <v>0</v>
      </c>
      <c r="O281" s="53">
        <f t="shared" si="50"/>
        <v>0</v>
      </c>
      <c r="P281" s="53">
        <f t="shared" si="50"/>
        <v>0</v>
      </c>
      <c r="Q281" s="53">
        <f t="shared" si="50"/>
        <v>0</v>
      </c>
      <c r="R281" s="53">
        <f t="shared" si="50"/>
        <v>0</v>
      </c>
      <c r="S281" s="53">
        <f t="shared" si="50"/>
        <v>0</v>
      </c>
      <c r="T281" s="53">
        <f t="shared" si="50"/>
        <v>0</v>
      </c>
      <c r="U281" s="53">
        <f t="shared" si="50"/>
        <v>0</v>
      </c>
      <c r="V281" s="53">
        <f t="shared" si="50"/>
        <v>0</v>
      </c>
      <c r="W281" s="53">
        <f t="shared" si="50"/>
        <v>0</v>
      </c>
      <c r="X281" s="53">
        <f t="shared" si="50"/>
        <v>0</v>
      </c>
      <c r="Y281" s="53">
        <f t="shared" si="50"/>
        <v>0</v>
      </c>
      <c r="Z281" s="53">
        <f t="shared" si="50"/>
        <v>0</v>
      </c>
      <c r="AA281" s="53">
        <f t="shared" si="50"/>
        <v>0</v>
      </c>
      <c r="AB281" s="53">
        <f t="shared" si="50"/>
        <v>0</v>
      </c>
      <c r="AC281" s="53">
        <f t="shared" si="50"/>
        <v>0</v>
      </c>
      <c r="AD281" s="53">
        <v>0</v>
      </c>
      <c r="AE281" s="53">
        <f>SUM(AE269:AE279)</f>
        <v>0</v>
      </c>
      <c r="AF281" s="53">
        <f>SUM(AF269:AF279)</f>
        <v>0</v>
      </c>
      <c r="AG281" s="53">
        <f>SUM(AG269:AG279)</f>
        <v>0</v>
      </c>
      <c r="AH281" s="46">
        <f>SUM(AH269:AH279)</f>
        <v>0</v>
      </c>
    </row>
    <row r="282" spans="1:34" ht="17.25" customHeight="1">
      <c r="A282" s="14"/>
      <c r="B282" s="14"/>
      <c r="C282" s="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
    </row>
    <row r="283" spans="1:34">
      <c r="A283" s="3634" t="s">
        <v>125</v>
      </c>
      <c r="B283" s="3635"/>
      <c r="C283" s="3635"/>
      <c r="D283" s="3635"/>
      <c r="E283" s="3635"/>
      <c r="F283" s="3635"/>
      <c r="G283" s="3635"/>
      <c r="H283" s="3636"/>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row>
    <row r="284" spans="1:34">
      <c r="A284" s="5" t="s">
        <v>72</v>
      </c>
      <c r="B284" s="5" t="s">
        <v>73</v>
      </c>
      <c r="C284" s="117">
        <v>1</v>
      </c>
      <c r="D284" s="30">
        <v>2</v>
      </c>
      <c r="E284" s="30">
        <v>3</v>
      </c>
      <c r="F284" s="30">
        <v>4</v>
      </c>
      <c r="G284" s="30">
        <v>5</v>
      </c>
      <c r="H284" s="30">
        <v>6</v>
      </c>
      <c r="I284" s="30">
        <v>7</v>
      </c>
      <c r="J284" s="30">
        <v>8</v>
      </c>
      <c r="K284" s="30">
        <v>9</v>
      </c>
      <c r="L284" s="30">
        <v>10</v>
      </c>
      <c r="M284" s="30">
        <v>11</v>
      </c>
      <c r="N284" s="30">
        <v>12</v>
      </c>
      <c r="O284" s="30">
        <v>13</v>
      </c>
      <c r="P284" s="30">
        <v>14</v>
      </c>
      <c r="Q284" s="30">
        <v>15</v>
      </c>
      <c r="R284" s="30">
        <v>16</v>
      </c>
      <c r="S284" s="30">
        <v>17</v>
      </c>
      <c r="T284" s="30">
        <v>18</v>
      </c>
      <c r="U284" s="30">
        <v>19</v>
      </c>
      <c r="V284" s="30">
        <v>20</v>
      </c>
      <c r="W284" s="30">
        <v>21</v>
      </c>
      <c r="X284" s="30">
        <v>22</v>
      </c>
      <c r="Y284" s="30">
        <v>23</v>
      </c>
      <c r="Z284" s="30">
        <v>24</v>
      </c>
      <c r="AA284" s="30">
        <v>25</v>
      </c>
      <c r="AB284" s="30">
        <v>26</v>
      </c>
      <c r="AC284" s="30">
        <v>27</v>
      </c>
      <c r="AD284" s="30">
        <v>28</v>
      </c>
      <c r="AE284" s="30">
        <v>29</v>
      </c>
      <c r="AF284" s="30">
        <v>30</v>
      </c>
      <c r="AG284" s="30">
        <v>31</v>
      </c>
      <c r="AH284" s="39" t="s">
        <v>74</v>
      </c>
    </row>
    <row r="285" spans="1:34">
      <c r="A285" s="1831" t="s">
        <v>75</v>
      </c>
      <c r="B285" s="18">
        <f t="shared" ref="B285:B296" si="51">+AH285</f>
        <v>0</v>
      </c>
      <c r="C285" s="49"/>
      <c r="D285" s="53"/>
      <c r="E285" s="53"/>
      <c r="F285" s="53"/>
      <c r="G285" s="18"/>
      <c r="H285" s="18"/>
      <c r="I285" s="18"/>
      <c r="J285" s="18"/>
      <c r="K285" s="18"/>
      <c r="L285" s="18"/>
      <c r="M285" s="18"/>
      <c r="N285" s="18"/>
      <c r="O285" s="18"/>
      <c r="P285" s="18"/>
      <c r="Q285" s="53"/>
      <c r="R285" s="18"/>
      <c r="S285" s="18"/>
      <c r="T285" s="18"/>
      <c r="U285" s="18"/>
      <c r="V285" s="53"/>
      <c r="W285" s="53"/>
      <c r="X285" s="18"/>
      <c r="Y285" s="18"/>
      <c r="Z285" s="18"/>
      <c r="AA285" s="18"/>
      <c r="AB285" s="18"/>
      <c r="AC285" s="18"/>
      <c r="AD285" s="53"/>
      <c r="AE285" s="18"/>
      <c r="AF285" s="18"/>
      <c r="AG285" s="18"/>
      <c r="AH285" s="53">
        <f>SUM(C285:AG285)</f>
        <v>0</v>
      </c>
    </row>
    <row r="286" spans="1:34">
      <c r="A286" s="1831" t="s">
        <v>76</v>
      </c>
      <c r="B286" s="18">
        <f t="shared" si="51"/>
        <v>0</v>
      </c>
      <c r="C286" s="49"/>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53">
        <f t="shared" ref="AH286:AH296" si="52">SUM(C286:AG286)</f>
        <v>0</v>
      </c>
    </row>
    <row r="287" spans="1:34">
      <c r="A287" s="1831" t="s">
        <v>77</v>
      </c>
      <c r="B287" s="18">
        <f t="shared" si="51"/>
        <v>0</v>
      </c>
      <c r="C287" s="46"/>
      <c r="D287" s="53"/>
      <c r="E287" s="53"/>
      <c r="F287" s="53"/>
      <c r="G287" s="53"/>
      <c r="H287" s="53"/>
      <c r="I287" s="53"/>
      <c r="J287" s="53"/>
      <c r="K287" s="53"/>
      <c r="L287" s="53"/>
      <c r="M287" s="53"/>
      <c r="N287" s="53"/>
      <c r="O287" s="53"/>
      <c r="P287" s="53"/>
      <c r="Q287" s="53"/>
      <c r="R287" s="53"/>
      <c r="S287" s="53"/>
      <c r="T287" s="53"/>
      <c r="U287" s="53"/>
      <c r="V287" s="53"/>
      <c r="W287" s="53"/>
      <c r="X287" s="53"/>
      <c r="Y287" s="53"/>
      <c r="Z287" s="53"/>
      <c r="AA287" s="53"/>
      <c r="AB287" s="53"/>
      <c r="AC287" s="53"/>
      <c r="AD287" s="53"/>
      <c r="AE287" s="53"/>
      <c r="AF287" s="53"/>
      <c r="AG287" s="53"/>
      <c r="AH287" s="53">
        <f t="shared" si="52"/>
        <v>0</v>
      </c>
    </row>
    <row r="288" spans="1:34">
      <c r="A288" s="1831" t="s">
        <v>78</v>
      </c>
      <c r="B288" s="18">
        <f t="shared" si="51"/>
        <v>0</v>
      </c>
      <c r="C288" s="49"/>
      <c r="D288" s="53"/>
      <c r="E288" s="53"/>
      <c r="F288" s="53"/>
      <c r="G288" s="18"/>
      <c r="H288" s="18"/>
      <c r="I288" s="18"/>
      <c r="J288" s="53"/>
      <c r="K288" s="53"/>
      <c r="L288" s="53"/>
      <c r="M288" s="53"/>
      <c r="N288" s="53"/>
      <c r="O288" s="53"/>
      <c r="P288" s="53"/>
      <c r="Q288" s="53"/>
      <c r="R288" s="53"/>
      <c r="S288" s="53"/>
      <c r="T288" s="53"/>
      <c r="U288" s="53"/>
      <c r="V288" s="53"/>
      <c r="W288" s="53"/>
      <c r="X288" s="53"/>
      <c r="Y288" s="53"/>
      <c r="Z288" s="53"/>
      <c r="AA288" s="53"/>
      <c r="AB288" s="53"/>
      <c r="AC288" s="53"/>
      <c r="AD288" s="53"/>
      <c r="AE288" s="53"/>
      <c r="AF288" s="53"/>
      <c r="AG288" s="53"/>
      <c r="AH288" s="53">
        <f t="shared" si="52"/>
        <v>0</v>
      </c>
    </row>
    <row r="289" spans="1:34">
      <c r="A289" s="1831" t="s">
        <v>79</v>
      </c>
      <c r="B289" s="18">
        <f t="shared" si="51"/>
        <v>0</v>
      </c>
      <c r="C289" s="49"/>
      <c r="D289" s="18"/>
      <c r="E289" s="18"/>
      <c r="F289" s="18"/>
      <c r="G289" s="18"/>
      <c r="H289" s="18"/>
      <c r="I289" s="18"/>
      <c r="J289" s="53"/>
      <c r="K289" s="53"/>
      <c r="L289" s="53"/>
      <c r="M289" s="53"/>
      <c r="N289" s="53"/>
      <c r="O289" s="53"/>
      <c r="P289" s="53"/>
      <c r="Q289" s="53"/>
      <c r="R289" s="53"/>
      <c r="S289" s="53"/>
      <c r="T289" s="53"/>
      <c r="U289" s="53"/>
      <c r="V289" s="53"/>
      <c r="W289" s="53"/>
      <c r="X289" s="53"/>
      <c r="Y289" s="53"/>
      <c r="Z289" s="53"/>
      <c r="AA289" s="53"/>
      <c r="AB289" s="53"/>
      <c r="AC289" s="53"/>
      <c r="AD289" s="53"/>
      <c r="AE289" s="53"/>
      <c r="AF289" s="53"/>
      <c r="AG289" s="53"/>
      <c r="AH289" s="53">
        <f t="shared" si="52"/>
        <v>0</v>
      </c>
    </row>
    <row r="290" spans="1:34">
      <c r="A290" s="1831" t="s">
        <v>80</v>
      </c>
      <c r="B290" s="18">
        <f t="shared" si="51"/>
        <v>0</v>
      </c>
      <c r="C290" s="46"/>
      <c r="D290" s="53"/>
      <c r="E290" s="53"/>
      <c r="F290" s="53"/>
      <c r="G290" s="53"/>
      <c r="H290" s="53"/>
      <c r="I290" s="53"/>
      <c r="J290" s="53"/>
      <c r="K290" s="53"/>
      <c r="L290" s="53"/>
      <c r="M290" s="53"/>
      <c r="N290" s="53"/>
      <c r="O290" s="53"/>
      <c r="P290" s="53"/>
      <c r="Q290" s="53"/>
      <c r="R290" s="53"/>
      <c r="S290" s="53"/>
      <c r="T290" s="53"/>
      <c r="U290" s="53"/>
      <c r="V290" s="53"/>
      <c r="W290" s="53"/>
      <c r="X290" s="53"/>
      <c r="Y290" s="53"/>
      <c r="Z290" s="53"/>
      <c r="AA290" s="53"/>
      <c r="AB290" s="53"/>
      <c r="AC290" s="53"/>
      <c r="AD290" s="53"/>
      <c r="AE290" s="53"/>
      <c r="AF290" s="53"/>
      <c r="AG290" s="53"/>
      <c r="AH290" s="53">
        <f t="shared" si="52"/>
        <v>0</v>
      </c>
    </row>
    <row r="291" spans="1:34">
      <c r="A291" s="1831" t="s">
        <v>81</v>
      </c>
      <c r="B291" s="18">
        <f t="shared" si="51"/>
        <v>0</v>
      </c>
      <c r="C291" s="49"/>
      <c r="D291" s="53"/>
      <c r="E291" s="53"/>
      <c r="F291" s="53"/>
      <c r="G291" s="18"/>
      <c r="H291" s="18"/>
      <c r="I291" s="18"/>
      <c r="J291" s="57"/>
      <c r="K291" s="57"/>
      <c r="L291" s="53"/>
      <c r="M291" s="53"/>
      <c r="N291" s="53"/>
      <c r="O291" s="53"/>
      <c r="P291" s="53"/>
      <c r="Q291" s="53"/>
      <c r="R291" s="53"/>
      <c r="S291" s="53"/>
      <c r="T291" s="53"/>
      <c r="U291" s="53"/>
      <c r="V291" s="53"/>
      <c r="W291" s="53"/>
      <c r="X291" s="53"/>
      <c r="Y291" s="53"/>
      <c r="Z291" s="53"/>
      <c r="AA291" s="53"/>
      <c r="AB291" s="53"/>
      <c r="AC291" s="53"/>
      <c r="AD291" s="53"/>
      <c r="AE291" s="53"/>
      <c r="AF291" s="53"/>
      <c r="AG291" s="53"/>
      <c r="AH291" s="53">
        <f t="shared" si="52"/>
        <v>0</v>
      </c>
    </row>
    <row r="292" spans="1:34">
      <c r="A292" s="1831" t="s">
        <v>82</v>
      </c>
      <c r="B292" s="18">
        <f t="shared" si="51"/>
        <v>0</v>
      </c>
      <c r="C292" s="49"/>
      <c r="D292" s="18"/>
      <c r="E292" s="18"/>
      <c r="F292" s="18"/>
      <c r="G292" s="18"/>
      <c r="H292" s="18"/>
      <c r="I292" s="18"/>
      <c r="J292" s="57"/>
      <c r="K292" s="57"/>
      <c r="L292" s="53"/>
      <c r="M292" s="53"/>
      <c r="N292" s="53"/>
      <c r="O292" s="53"/>
      <c r="P292" s="53"/>
      <c r="Q292" s="53"/>
      <c r="R292" s="53"/>
      <c r="S292" s="53"/>
      <c r="T292" s="53"/>
      <c r="U292" s="53"/>
      <c r="V292" s="53"/>
      <c r="W292" s="53"/>
      <c r="X292" s="53"/>
      <c r="Y292" s="53"/>
      <c r="Z292" s="53"/>
      <c r="AA292" s="53"/>
      <c r="AB292" s="53"/>
      <c r="AC292" s="53"/>
      <c r="AD292" s="53"/>
      <c r="AE292" s="53"/>
      <c r="AF292" s="53"/>
      <c r="AG292" s="53"/>
      <c r="AH292" s="53">
        <f t="shared" si="52"/>
        <v>0</v>
      </c>
    </row>
    <row r="293" spans="1:34">
      <c r="A293" s="1831" t="s">
        <v>83</v>
      </c>
      <c r="B293" s="18">
        <f t="shared" si="51"/>
        <v>0</v>
      </c>
      <c r="C293" s="46"/>
      <c r="D293" s="53"/>
      <c r="E293" s="53"/>
      <c r="F293" s="53"/>
      <c r="G293" s="53"/>
      <c r="H293" s="53"/>
      <c r="I293" s="53"/>
      <c r="J293" s="57"/>
      <c r="K293" s="57"/>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53">
        <f t="shared" si="52"/>
        <v>0</v>
      </c>
    </row>
    <row r="294" spans="1:34">
      <c r="A294" s="1744" t="s">
        <v>84</v>
      </c>
      <c r="B294" s="18">
        <f t="shared" si="51"/>
        <v>0</v>
      </c>
      <c r="C294" s="49"/>
      <c r="D294" s="53"/>
      <c r="E294" s="53"/>
      <c r="F294" s="53"/>
      <c r="G294" s="18"/>
      <c r="H294" s="18"/>
      <c r="I294" s="18"/>
      <c r="J294" s="18"/>
      <c r="K294" s="18"/>
      <c r="L294" s="18"/>
      <c r="M294" s="18"/>
      <c r="N294" s="18"/>
      <c r="O294" s="53"/>
      <c r="P294" s="18"/>
      <c r="Q294" s="18"/>
      <c r="R294" s="18"/>
      <c r="S294" s="18"/>
      <c r="T294" s="18"/>
      <c r="U294" s="18"/>
      <c r="V294" s="18"/>
      <c r="W294" s="18"/>
      <c r="X294" s="18"/>
      <c r="Y294" s="18"/>
      <c r="Z294" s="18"/>
      <c r="AA294" s="18"/>
      <c r="AB294" s="18"/>
      <c r="AC294" s="18"/>
      <c r="AD294" s="18"/>
      <c r="AE294" s="53"/>
      <c r="AF294" s="18"/>
      <c r="AG294" s="53"/>
      <c r="AH294" s="53">
        <f t="shared" si="52"/>
        <v>0</v>
      </c>
    </row>
    <row r="295" spans="1:34">
      <c r="A295" s="1744" t="s">
        <v>85</v>
      </c>
      <c r="B295" s="18">
        <f t="shared" si="51"/>
        <v>0</v>
      </c>
      <c r="C295" s="49"/>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53"/>
      <c r="AF295" s="18"/>
      <c r="AG295" s="53"/>
      <c r="AH295" s="53">
        <f t="shared" si="52"/>
        <v>0</v>
      </c>
    </row>
    <row r="296" spans="1:34">
      <c r="A296" s="1744" t="s">
        <v>86</v>
      </c>
      <c r="B296" s="18">
        <f t="shared" si="51"/>
        <v>0</v>
      </c>
      <c r="C296" s="49"/>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53"/>
      <c r="AF296" s="18"/>
      <c r="AG296" s="53"/>
      <c r="AH296" s="53">
        <f t="shared" si="52"/>
        <v>0</v>
      </c>
    </row>
    <row r="297" spans="1:34">
      <c r="A297" s="88" t="s">
        <v>74</v>
      </c>
      <c r="B297" s="89">
        <f>SUM(B285:B296)</f>
        <v>0</v>
      </c>
      <c r="C297" s="46">
        <f>SUM(C285:C295)</f>
        <v>0</v>
      </c>
      <c r="D297" s="53">
        <f>SUM(D285:D295)</f>
        <v>0</v>
      </c>
      <c r="E297" s="53">
        <v>0</v>
      </c>
      <c r="F297" s="53">
        <f t="shared" ref="F297:AC297" si="53">SUM(F285:F295)</f>
        <v>0</v>
      </c>
      <c r="G297" s="53">
        <f t="shared" si="53"/>
        <v>0</v>
      </c>
      <c r="H297" s="53">
        <f t="shared" si="53"/>
        <v>0</v>
      </c>
      <c r="I297" s="53">
        <f t="shared" si="53"/>
        <v>0</v>
      </c>
      <c r="J297" s="53">
        <f t="shared" si="53"/>
        <v>0</v>
      </c>
      <c r="K297" s="53">
        <f t="shared" si="53"/>
        <v>0</v>
      </c>
      <c r="L297" s="53">
        <f t="shared" si="53"/>
        <v>0</v>
      </c>
      <c r="M297" s="53">
        <f t="shared" si="53"/>
        <v>0</v>
      </c>
      <c r="N297" s="53">
        <f t="shared" si="53"/>
        <v>0</v>
      </c>
      <c r="O297" s="53">
        <f t="shared" si="53"/>
        <v>0</v>
      </c>
      <c r="P297" s="53">
        <f t="shared" si="53"/>
        <v>0</v>
      </c>
      <c r="Q297" s="53">
        <f t="shared" si="53"/>
        <v>0</v>
      </c>
      <c r="R297" s="53">
        <f t="shared" si="53"/>
        <v>0</v>
      </c>
      <c r="S297" s="53">
        <f t="shared" si="53"/>
        <v>0</v>
      </c>
      <c r="T297" s="53">
        <f t="shared" si="53"/>
        <v>0</v>
      </c>
      <c r="U297" s="53">
        <f t="shared" si="53"/>
        <v>0</v>
      </c>
      <c r="V297" s="53">
        <f t="shared" si="53"/>
        <v>0</v>
      </c>
      <c r="W297" s="53">
        <f t="shared" si="53"/>
        <v>0</v>
      </c>
      <c r="X297" s="53">
        <f t="shared" si="53"/>
        <v>0</v>
      </c>
      <c r="Y297" s="53">
        <f t="shared" si="53"/>
        <v>0</v>
      </c>
      <c r="Z297" s="53">
        <f t="shared" si="53"/>
        <v>0</v>
      </c>
      <c r="AA297" s="53">
        <f t="shared" si="53"/>
        <v>0</v>
      </c>
      <c r="AB297" s="53">
        <f t="shared" si="53"/>
        <v>0</v>
      </c>
      <c r="AC297" s="53">
        <f t="shared" si="53"/>
        <v>0</v>
      </c>
      <c r="AD297" s="53">
        <v>0</v>
      </c>
      <c r="AE297" s="53">
        <f>SUM(AE285:AE295)</f>
        <v>0</v>
      </c>
      <c r="AF297" s="53">
        <f>SUM(AF285:AF295)</f>
        <v>0</v>
      </c>
      <c r="AG297" s="53">
        <f>SUM(AG285:AG295)</f>
        <v>0</v>
      </c>
      <c r="AH297" s="46">
        <f>SUM(AH285:AH295)</f>
        <v>0</v>
      </c>
    </row>
    <row r="298" spans="1:34" ht="17.25" customHeight="1">
      <c r="A298" s="14"/>
      <c r="B298" s="14"/>
      <c r="C298" s="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
    </row>
    <row r="299" spans="1:34">
      <c r="A299" s="3634" t="s">
        <v>126</v>
      </c>
      <c r="B299" s="3635"/>
      <c r="C299" s="3635"/>
      <c r="D299" s="3635"/>
      <c r="E299" s="3635"/>
      <c r="F299" s="3635"/>
      <c r="G299" s="3635"/>
      <c r="H299" s="3636"/>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row>
    <row r="300" spans="1:34">
      <c r="A300" s="5" t="s">
        <v>72</v>
      </c>
      <c r="B300" s="5" t="s">
        <v>73</v>
      </c>
      <c r="C300" s="117">
        <v>1</v>
      </c>
      <c r="D300" s="30">
        <v>2</v>
      </c>
      <c r="E300" s="30">
        <v>3</v>
      </c>
      <c r="F300" s="30">
        <v>4</v>
      </c>
      <c r="G300" s="30">
        <v>5</v>
      </c>
      <c r="H300" s="30">
        <v>6</v>
      </c>
      <c r="I300" s="30">
        <v>7</v>
      </c>
      <c r="J300" s="30">
        <v>8</v>
      </c>
      <c r="K300" s="30">
        <v>9</v>
      </c>
      <c r="L300" s="30">
        <v>10</v>
      </c>
      <c r="M300" s="30">
        <v>11</v>
      </c>
      <c r="N300" s="30">
        <v>12</v>
      </c>
      <c r="O300" s="30">
        <v>13</v>
      </c>
      <c r="P300" s="30">
        <v>14</v>
      </c>
      <c r="Q300" s="30">
        <v>15</v>
      </c>
      <c r="R300" s="30">
        <v>16</v>
      </c>
      <c r="S300" s="30">
        <v>17</v>
      </c>
      <c r="T300" s="30">
        <v>18</v>
      </c>
      <c r="U300" s="30">
        <v>19</v>
      </c>
      <c r="V300" s="30">
        <v>20</v>
      </c>
      <c r="W300" s="30">
        <v>21</v>
      </c>
      <c r="X300" s="30">
        <v>22</v>
      </c>
      <c r="Y300" s="30">
        <v>23</v>
      </c>
      <c r="Z300" s="30">
        <v>24</v>
      </c>
      <c r="AA300" s="30">
        <v>25</v>
      </c>
      <c r="AB300" s="30">
        <v>26</v>
      </c>
      <c r="AC300" s="30">
        <v>27</v>
      </c>
      <c r="AD300" s="30">
        <v>28</v>
      </c>
      <c r="AE300" s="30">
        <v>29</v>
      </c>
      <c r="AF300" s="30">
        <v>30</v>
      </c>
      <c r="AG300" s="30">
        <v>31</v>
      </c>
      <c r="AH300" s="39" t="s">
        <v>74</v>
      </c>
    </row>
    <row r="301" spans="1:34">
      <c r="A301" s="1831" t="s">
        <v>75</v>
      </c>
      <c r="B301" s="18">
        <f t="shared" ref="B301:B312" si="54">+AH301</f>
        <v>0</v>
      </c>
      <c r="C301" s="49"/>
      <c r="D301" s="53"/>
      <c r="E301" s="53"/>
      <c r="F301" s="53"/>
      <c r="G301" s="18"/>
      <c r="H301" s="18"/>
      <c r="I301" s="18"/>
      <c r="J301" s="18"/>
      <c r="K301" s="18"/>
      <c r="L301" s="18"/>
      <c r="M301" s="18"/>
      <c r="N301" s="18"/>
      <c r="O301" s="18"/>
      <c r="P301" s="18"/>
      <c r="Q301" s="53"/>
      <c r="R301" s="18"/>
      <c r="S301" s="18"/>
      <c r="T301" s="18"/>
      <c r="U301" s="18"/>
      <c r="V301" s="53"/>
      <c r="W301" s="53"/>
      <c r="X301" s="18"/>
      <c r="Y301" s="18"/>
      <c r="Z301" s="18"/>
      <c r="AA301" s="18"/>
      <c r="AB301" s="18"/>
      <c r="AC301" s="18"/>
      <c r="AD301" s="53"/>
      <c r="AE301" s="18"/>
      <c r="AF301" s="18"/>
      <c r="AG301" s="18"/>
      <c r="AH301" s="53">
        <f>SUM(C301:AG301)</f>
        <v>0</v>
      </c>
    </row>
    <row r="302" spans="1:34">
      <c r="A302" s="1831" t="s">
        <v>76</v>
      </c>
      <c r="B302" s="18">
        <f t="shared" si="54"/>
        <v>0</v>
      </c>
      <c r="C302" s="49"/>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53">
        <f t="shared" ref="AH302:AH312" si="55">SUM(C302:AG302)</f>
        <v>0</v>
      </c>
    </row>
    <row r="303" spans="1:34">
      <c r="A303" s="1831" t="s">
        <v>77</v>
      </c>
      <c r="B303" s="18">
        <f t="shared" si="54"/>
        <v>0</v>
      </c>
      <c r="C303" s="46"/>
      <c r="D303" s="53"/>
      <c r="E303" s="53"/>
      <c r="F303" s="53"/>
      <c r="G303" s="53"/>
      <c r="H303" s="53"/>
      <c r="I303" s="53"/>
      <c r="J303" s="53"/>
      <c r="K303" s="53"/>
      <c r="L303" s="53"/>
      <c r="M303" s="53"/>
      <c r="N303" s="53"/>
      <c r="O303" s="53"/>
      <c r="P303" s="53"/>
      <c r="Q303" s="53"/>
      <c r="R303" s="53"/>
      <c r="S303" s="53"/>
      <c r="T303" s="53"/>
      <c r="U303" s="53"/>
      <c r="V303" s="53"/>
      <c r="W303" s="53"/>
      <c r="X303" s="53"/>
      <c r="Y303" s="53"/>
      <c r="Z303" s="53"/>
      <c r="AA303" s="53"/>
      <c r="AB303" s="53"/>
      <c r="AC303" s="53"/>
      <c r="AD303" s="53"/>
      <c r="AE303" s="53"/>
      <c r="AF303" s="53"/>
      <c r="AG303" s="53"/>
      <c r="AH303" s="53">
        <f t="shared" si="55"/>
        <v>0</v>
      </c>
    </row>
    <row r="304" spans="1:34">
      <c r="A304" s="1831" t="s">
        <v>78</v>
      </c>
      <c r="B304" s="18">
        <f t="shared" si="54"/>
        <v>0</v>
      </c>
      <c r="C304" s="49"/>
      <c r="D304" s="53"/>
      <c r="E304" s="53"/>
      <c r="F304" s="53"/>
      <c r="G304" s="18"/>
      <c r="H304" s="18"/>
      <c r="I304" s="18"/>
      <c r="J304" s="53"/>
      <c r="K304" s="53"/>
      <c r="L304" s="53"/>
      <c r="M304" s="53"/>
      <c r="N304" s="53"/>
      <c r="O304" s="53"/>
      <c r="P304" s="53"/>
      <c r="Q304" s="53"/>
      <c r="R304" s="53"/>
      <c r="S304" s="53"/>
      <c r="T304" s="53"/>
      <c r="U304" s="53"/>
      <c r="V304" s="53"/>
      <c r="W304" s="53"/>
      <c r="X304" s="53"/>
      <c r="Y304" s="53"/>
      <c r="Z304" s="53"/>
      <c r="AA304" s="53"/>
      <c r="AB304" s="53"/>
      <c r="AC304" s="53"/>
      <c r="AD304" s="53"/>
      <c r="AE304" s="53"/>
      <c r="AF304" s="53"/>
      <c r="AG304" s="53"/>
      <c r="AH304" s="53">
        <f t="shared" si="55"/>
        <v>0</v>
      </c>
    </row>
    <row r="305" spans="1:34">
      <c r="A305" s="1831" t="s">
        <v>79</v>
      </c>
      <c r="B305" s="18">
        <f t="shared" si="54"/>
        <v>0</v>
      </c>
      <c r="C305" s="49"/>
      <c r="D305" s="18"/>
      <c r="E305" s="18"/>
      <c r="F305" s="18"/>
      <c r="G305" s="18"/>
      <c r="H305" s="18"/>
      <c r="I305" s="18"/>
      <c r="J305" s="53"/>
      <c r="K305" s="53"/>
      <c r="L305" s="53"/>
      <c r="M305" s="53"/>
      <c r="N305" s="53"/>
      <c r="O305" s="53"/>
      <c r="P305" s="53"/>
      <c r="Q305" s="53"/>
      <c r="R305" s="53"/>
      <c r="S305" s="53"/>
      <c r="T305" s="53"/>
      <c r="U305" s="53"/>
      <c r="V305" s="53"/>
      <c r="W305" s="53"/>
      <c r="X305" s="53"/>
      <c r="Y305" s="53"/>
      <c r="Z305" s="53"/>
      <c r="AA305" s="53"/>
      <c r="AB305" s="53"/>
      <c r="AC305" s="53"/>
      <c r="AD305" s="53"/>
      <c r="AE305" s="53"/>
      <c r="AF305" s="53"/>
      <c r="AG305" s="53"/>
      <c r="AH305" s="53">
        <f t="shared" si="55"/>
        <v>0</v>
      </c>
    </row>
    <row r="306" spans="1:34">
      <c r="A306" s="1831" t="s">
        <v>80</v>
      </c>
      <c r="B306" s="18">
        <f t="shared" si="54"/>
        <v>0</v>
      </c>
      <c r="C306" s="46"/>
      <c r="D306" s="53"/>
      <c r="E306" s="53"/>
      <c r="F306" s="53"/>
      <c r="G306" s="53"/>
      <c r="H306" s="53"/>
      <c r="I306" s="53"/>
      <c r="J306" s="53"/>
      <c r="K306" s="53"/>
      <c r="L306" s="53"/>
      <c r="M306" s="53"/>
      <c r="N306" s="53"/>
      <c r="O306" s="53"/>
      <c r="P306" s="53"/>
      <c r="Q306" s="53"/>
      <c r="R306" s="53"/>
      <c r="S306" s="53"/>
      <c r="T306" s="53"/>
      <c r="U306" s="53"/>
      <c r="V306" s="53"/>
      <c r="W306" s="53"/>
      <c r="X306" s="53"/>
      <c r="Y306" s="53"/>
      <c r="Z306" s="53"/>
      <c r="AA306" s="53"/>
      <c r="AB306" s="53"/>
      <c r="AC306" s="53"/>
      <c r="AD306" s="53"/>
      <c r="AE306" s="53"/>
      <c r="AF306" s="53"/>
      <c r="AG306" s="53"/>
      <c r="AH306" s="53">
        <f t="shared" si="55"/>
        <v>0</v>
      </c>
    </row>
    <row r="307" spans="1:34">
      <c r="A307" s="1831" t="s">
        <v>81</v>
      </c>
      <c r="B307" s="18">
        <f t="shared" si="54"/>
        <v>0</v>
      </c>
      <c r="C307" s="49"/>
      <c r="D307" s="53"/>
      <c r="E307" s="53"/>
      <c r="F307" s="53"/>
      <c r="G307" s="18"/>
      <c r="H307" s="18"/>
      <c r="I307" s="18"/>
      <c r="J307" s="57"/>
      <c r="K307" s="57"/>
      <c r="L307" s="53"/>
      <c r="M307" s="53"/>
      <c r="N307" s="53"/>
      <c r="O307" s="53"/>
      <c r="P307" s="53"/>
      <c r="Q307" s="53"/>
      <c r="R307" s="53"/>
      <c r="S307" s="53"/>
      <c r="T307" s="53"/>
      <c r="U307" s="53"/>
      <c r="V307" s="53"/>
      <c r="W307" s="53"/>
      <c r="X307" s="53"/>
      <c r="Y307" s="53"/>
      <c r="Z307" s="53"/>
      <c r="AA307" s="53"/>
      <c r="AB307" s="53"/>
      <c r="AC307" s="53"/>
      <c r="AD307" s="53"/>
      <c r="AE307" s="53"/>
      <c r="AF307" s="53"/>
      <c r="AG307" s="53"/>
      <c r="AH307" s="53">
        <f t="shared" si="55"/>
        <v>0</v>
      </c>
    </row>
    <row r="308" spans="1:34">
      <c r="A308" s="1831" t="s">
        <v>82</v>
      </c>
      <c r="B308" s="18">
        <f t="shared" si="54"/>
        <v>0</v>
      </c>
      <c r="C308" s="49"/>
      <c r="D308" s="18"/>
      <c r="E308" s="18"/>
      <c r="F308" s="18"/>
      <c r="G308" s="18"/>
      <c r="H308" s="18"/>
      <c r="I308" s="18"/>
      <c r="J308" s="57"/>
      <c r="K308" s="57"/>
      <c r="L308" s="53"/>
      <c r="M308" s="53"/>
      <c r="N308" s="53"/>
      <c r="O308" s="53"/>
      <c r="P308" s="53"/>
      <c r="Q308" s="53"/>
      <c r="R308" s="53"/>
      <c r="S308" s="53"/>
      <c r="T308" s="53"/>
      <c r="U308" s="53"/>
      <c r="V308" s="53"/>
      <c r="W308" s="53"/>
      <c r="X308" s="53"/>
      <c r="Y308" s="53"/>
      <c r="Z308" s="53"/>
      <c r="AA308" s="53"/>
      <c r="AB308" s="53"/>
      <c r="AC308" s="53"/>
      <c r="AD308" s="53"/>
      <c r="AE308" s="53"/>
      <c r="AF308" s="53"/>
      <c r="AG308" s="53"/>
      <c r="AH308" s="53">
        <f t="shared" si="55"/>
        <v>0</v>
      </c>
    </row>
    <row r="309" spans="1:34">
      <c r="A309" s="1831" t="s">
        <v>83</v>
      </c>
      <c r="B309" s="18">
        <f t="shared" si="54"/>
        <v>0</v>
      </c>
      <c r="C309" s="46"/>
      <c r="D309" s="53"/>
      <c r="E309" s="53"/>
      <c r="F309" s="53"/>
      <c r="G309" s="53"/>
      <c r="H309" s="53"/>
      <c r="I309" s="53"/>
      <c r="J309" s="57"/>
      <c r="K309" s="57"/>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53">
        <f t="shared" si="55"/>
        <v>0</v>
      </c>
    </row>
    <row r="310" spans="1:34">
      <c r="A310" s="1744" t="s">
        <v>84</v>
      </c>
      <c r="B310" s="18">
        <f t="shared" si="54"/>
        <v>0</v>
      </c>
      <c r="C310" s="49"/>
      <c r="D310" s="53"/>
      <c r="E310" s="53"/>
      <c r="F310" s="53"/>
      <c r="G310" s="18"/>
      <c r="H310" s="18"/>
      <c r="I310" s="18"/>
      <c r="J310" s="18"/>
      <c r="K310" s="18"/>
      <c r="L310" s="18"/>
      <c r="M310" s="18"/>
      <c r="N310" s="18"/>
      <c r="O310" s="53"/>
      <c r="P310" s="18"/>
      <c r="Q310" s="18"/>
      <c r="R310" s="18"/>
      <c r="S310" s="18"/>
      <c r="T310" s="18"/>
      <c r="U310" s="18"/>
      <c r="V310" s="18"/>
      <c r="W310" s="18"/>
      <c r="X310" s="18"/>
      <c r="Y310" s="18"/>
      <c r="Z310" s="18"/>
      <c r="AA310" s="18"/>
      <c r="AB310" s="18"/>
      <c r="AC310" s="18"/>
      <c r="AD310" s="18"/>
      <c r="AE310" s="53"/>
      <c r="AF310" s="18"/>
      <c r="AG310" s="53"/>
      <c r="AH310" s="53">
        <f t="shared" si="55"/>
        <v>0</v>
      </c>
    </row>
    <row r="311" spans="1:34">
      <c r="A311" s="1744" t="s">
        <v>85</v>
      </c>
      <c r="B311" s="18">
        <f t="shared" si="54"/>
        <v>0</v>
      </c>
      <c r="C311" s="49"/>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53"/>
      <c r="AF311" s="18"/>
      <c r="AG311" s="53"/>
      <c r="AH311" s="53">
        <f t="shared" si="55"/>
        <v>0</v>
      </c>
    </row>
    <row r="312" spans="1:34">
      <c r="A312" s="1744" t="s">
        <v>86</v>
      </c>
      <c r="B312" s="18">
        <f t="shared" si="54"/>
        <v>0</v>
      </c>
      <c r="C312" s="49"/>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53"/>
      <c r="AF312" s="18"/>
      <c r="AG312" s="53"/>
      <c r="AH312" s="53">
        <f t="shared" si="55"/>
        <v>0</v>
      </c>
    </row>
    <row r="313" spans="1:34">
      <c r="A313" s="88" t="s">
        <v>74</v>
      </c>
      <c r="B313" s="89">
        <f>SUM(B301:B312)</f>
        <v>0</v>
      </c>
      <c r="C313" s="46">
        <f>SUM(C301:C311)</f>
        <v>0</v>
      </c>
      <c r="D313" s="53">
        <f>SUM(D301:D311)</f>
        <v>0</v>
      </c>
      <c r="E313" s="53">
        <v>0</v>
      </c>
      <c r="F313" s="53">
        <f t="shared" ref="F313:AC313" si="56">SUM(F301:F311)</f>
        <v>0</v>
      </c>
      <c r="G313" s="53">
        <f t="shared" si="56"/>
        <v>0</v>
      </c>
      <c r="H313" s="53">
        <f t="shared" si="56"/>
        <v>0</v>
      </c>
      <c r="I313" s="53">
        <f t="shared" si="56"/>
        <v>0</v>
      </c>
      <c r="J313" s="53">
        <f t="shared" si="56"/>
        <v>0</v>
      </c>
      <c r="K313" s="53">
        <f t="shared" si="56"/>
        <v>0</v>
      </c>
      <c r="L313" s="53">
        <f t="shared" si="56"/>
        <v>0</v>
      </c>
      <c r="M313" s="53">
        <f t="shared" si="56"/>
        <v>0</v>
      </c>
      <c r="N313" s="53">
        <f t="shared" si="56"/>
        <v>0</v>
      </c>
      <c r="O313" s="53">
        <f t="shared" si="56"/>
        <v>0</v>
      </c>
      <c r="P313" s="53">
        <f t="shared" si="56"/>
        <v>0</v>
      </c>
      <c r="Q313" s="53">
        <f t="shared" si="56"/>
        <v>0</v>
      </c>
      <c r="R313" s="53">
        <f t="shared" si="56"/>
        <v>0</v>
      </c>
      <c r="S313" s="53">
        <f t="shared" si="56"/>
        <v>0</v>
      </c>
      <c r="T313" s="53">
        <f t="shared" si="56"/>
        <v>0</v>
      </c>
      <c r="U313" s="53">
        <f t="shared" si="56"/>
        <v>0</v>
      </c>
      <c r="V313" s="53">
        <f t="shared" si="56"/>
        <v>0</v>
      </c>
      <c r="W313" s="53">
        <f t="shared" si="56"/>
        <v>0</v>
      </c>
      <c r="X313" s="53">
        <f t="shared" si="56"/>
        <v>0</v>
      </c>
      <c r="Y313" s="53">
        <f t="shared" si="56"/>
        <v>0</v>
      </c>
      <c r="Z313" s="53">
        <f t="shared" si="56"/>
        <v>0</v>
      </c>
      <c r="AA313" s="53">
        <f t="shared" si="56"/>
        <v>0</v>
      </c>
      <c r="AB313" s="53">
        <f t="shared" si="56"/>
        <v>0</v>
      </c>
      <c r="AC313" s="53">
        <f t="shared" si="56"/>
        <v>0</v>
      </c>
      <c r="AD313" s="53">
        <v>0</v>
      </c>
      <c r="AE313" s="53">
        <f>SUM(AE301:AE311)</f>
        <v>0</v>
      </c>
      <c r="AF313" s="53">
        <f>SUM(AF301:AF311)</f>
        <v>0</v>
      </c>
      <c r="AG313" s="53">
        <f>SUM(AG301:AG311)</f>
        <v>0</v>
      </c>
      <c r="AH313" s="46">
        <f>SUM(AH301:AH311)</f>
        <v>0</v>
      </c>
    </row>
    <row r="314" spans="1:34" ht="17.25" customHeight="1">
      <c r="A314" s="14"/>
      <c r="B314" s="14"/>
      <c r="C314" s="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
    </row>
    <row r="315" spans="1:34">
      <c r="A315" s="3634" t="s">
        <v>127</v>
      </c>
      <c r="B315" s="3635"/>
      <c r="C315" s="3635"/>
      <c r="D315" s="3635"/>
      <c r="E315" s="3635"/>
      <c r="F315" s="3635"/>
      <c r="G315" s="3635"/>
      <c r="H315" s="3636"/>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row>
    <row r="316" spans="1:34">
      <c r="A316" s="5" t="s">
        <v>72</v>
      </c>
      <c r="B316" s="5" t="s">
        <v>73</v>
      </c>
      <c r="C316" s="117">
        <v>1</v>
      </c>
      <c r="D316" s="30">
        <v>2</v>
      </c>
      <c r="E316" s="30">
        <v>3</v>
      </c>
      <c r="F316" s="30">
        <v>4</v>
      </c>
      <c r="G316" s="30">
        <v>5</v>
      </c>
      <c r="H316" s="30">
        <v>6</v>
      </c>
      <c r="I316" s="30">
        <v>7</v>
      </c>
      <c r="J316" s="30">
        <v>8</v>
      </c>
      <c r="K316" s="30">
        <v>9</v>
      </c>
      <c r="L316" s="30">
        <v>10</v>
      </c>
      <c r="M316" s="30">
        <v>11</v>
      </c>
      <c r="N316" s="30">
        <v>12</v>
      </c>
      <c r="O316" s="30">
        <v>13</v>
      </c>
      <c r="P316" s="30">
        <v>14</v>
      </c>
      <c r="Q316" s="30">
        <v>15</v>
      </c>
      <c r="R316" s="30">
        <v>16</v>
      </c>
      <c r="S316" s="30">
        <v>17</v>
      </c>
      <c r="T316" s="30">
        <v>18</v>
      </c>
      <c r="U316" s="30">
        <v>19</v>
      </c>
      <c r="V316" s="30">
        <v>20</v>
      </c>
      <c r="W316" s="30">
        <v>21</v>
      </c>
      <c r="X316" s="30">
        <v>22</v>
      </c>
      <c r="Y316" s="30">
        <v>23</v>
      </c>
      <c r="Z316" s="30">
        <v>24</v>
      </c>
      <c r="AA316" s="30">
        <v>25</v>
      </c>
      <c r="AB316" s="30">
        <v>26</v>
      </c>
      <c r="AC316" s="30">
        <v>27</v>
      </c>
      <c r="AD316" s="30">
        <v>28</v>
      </c>
      <c r="AE316" s="30">
        <v>29</v>
      </c>
      <c r="AF316" s="30">
        <v>30</v>
      </c>
      <c r="AG316" s="30">
        <v>31</v>
      </c>
      <c r="AH316" s="39" t="s">
        <v>74</v>
      </c>
    </row>
    <row r="317" spans="1:34">
      <c r="A317" s="1831" t="s">
        <v>75</v>
      </c>
      <c r="B317" s="18">
        <f t="shared" ref="B317:B328" si="57">+AH317</f>
        <v>0</v>
      </c>
      <c r="C317" s="49"/>
      <c r="D317" s="53"/>
      <c r="E317" s="53"/>
      <c r="F317" s="53"/>
      <c r="G317" s="18"/>
      <c r="H317" s="18"/>
      <c r="I317" s="18"/>
      <c r="J317" s="18"/>
      <c r="K317" s="18"/>
      <c r="L317" s="18"/>
      <c r="M317" s="18"/>
      <c r="N317" s="18"/>
      <c r="O317" s="18"/>
      <c r="P317" s="18"/>
      <c r="Q317" s="53"/>
      <c r="R317" s="18"/>
      <c r="S317" s="18"/>
      <c r="T317" s="18"/>
      <c r="U317" s="18"/>
      <c r="V317" s="53"/>
      <c r="W317" s="53"/>
      <c r="X317" s="18"/>
      <c r="Y317" s="18"/>
      <c r="Z317" s="18"/>
      <c r="AA317" s="18"/>
      <c r="AB317" s="18"/>
      <c r="AC317" s="18"/>
      <c r="AD317" s="53"/>
      <c r="AE317" s="18"/>
      <c r="AF317" s="18"/>
      <c r="AG317" s="18"/>
      <c r="AH317" s="53">
        <f>SUM(C317:AG317)</f>
        <v>0</v>
      </c>
    </row>
    <row r="318" spans="1:34">
      <c r="A318" s="1831" t="s">
        <v>76</v>
      </c>
      <c r="B318" s="18">
        <f t="shared" si="57"/>
        <v>0</v>
      </c>
      <c r="C318" s="49"/>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53">
        <f t="shared" ref="AH318:AH328" si="58">SUM(C318:AG318)</f>
        <v>0</v>
      </c>
    </row>
    <row r="319" spans="1:34">
      <c r="A319" s="1831" t="s">
        <v>77</v>
      </c>
      <c r="B319" s="18">
        <f t="shared" si="57"/>
        <v>0</v>
      </c>
      <c r="C319" s="46"/>
      <c r="D319" s="53"/>
      <c r="E319" s="53"/>
      <c r="F319" s="53"/>
      <c r="G319" s="53"/>
      <c r="H319" s="53"/>
      <c r="I319" s="53"/>
      <c r="J319" s="53"/>
      <c r="K319" s="53"/>
      <c r="L319" s="53"/>
      <c r="M319" s="53"/>
      <c r="N319" s="53"/>
      <c r="O319" s="53"/>
      <c r="P319" s="53"/>
      <c r="Q319" s="53"/>
      <c r="R319" s="53"/>
      <c r="S319" s="53"/>
      <c r="T319" s="53"/>
      <c r="U319" s="53"/>
      <c r="V319" s="53"/>
      <c r="W319" s="53"/>
      <c r="X319" s="53"/>
      <c r="Y319" s="53"/>
      <c r="Z319" s="53"/>
      <c r="AA319" s="53"/>
      <c r="AB319" s="53"/>
      <c r="AC319" s="53"/>
      <c r="AD319" s="53"/>
      <c r="AE319" s="53"/>
      <c r="AF319" s="53"/>
      <c r="AG319" s="53"/>
      <c r="AH319" s="53">
        <f t="shared" si="58"/>
        <v>0</v>
      </c>
    </row>
    <row r="320" spans="1:34">
      <c r="A320" s="1831" t="s">
        <v>78</v>
      </c>
      <c r="B320" s="18">
        <f t="shared" si="57"/>
        <v>0</v>
      </c>
      <c r="C320" s="49"/>
      <c r="D320" s="53"/>
      <c r="E320" s="53"/>
      <c r="F320" s="53"/>
      <c r="G320" s="18"/>
      <c r="H320" s="18"/>
      <c r="I320" s="18"/>
      <c r="J320" s="53"/>
      <c r="K320" s="53"/>
      <c r="L320" s="53"/>
      <c r="M320" s="53"/>
      <c r="N320" s="53"/>
      <c r="O320" s="53"/>
      <c r="P320" s="53"/>
      <c r="Q320" s="53"/>
      <c r="R320" s="53"/>
      <c r="S320" s="53"/>
      <c r="T320" s="53"/>
      <c r="U320" s="53"/>
      <c r="V320" s="53"/>
      <c r="W320" s="53"/>
      <c r="X320" s="53"/>
      <c r="Y320" s="53"/>
      <c r="Z320" s="53"/>
      <c r="AA320" s="53"/>
      <c r="AB320" s="53"/>
      <c r="AC320" s="53"/>
      <c r="AD320" s="53"/>
      <c r="AE320" s="53"/>
      <c r="AF320" s="53"/>
      <c r="AG320" s="53"/>
      <c r="AH320" s="53">
        <f t="shared" si="58"/>
        <v>0</v>
      </c>
    </row>
    <row r="321" spans="1:34">
      <c r="A321" s="1831" t="s">
        <v>79</v>
      </c>
      <c r="B321" s="18">
        <f t="shared" si="57"/>
        <v>0</v>
      </c>
      <c r="C321" s="49"/>
      <c r="D321" s="18"/>
      <c r="E321" s="18"/>
      <c r="F321" s="18"/>
      <c r="G321" s="18"/>
      <c r="H321" s="18"/>
      <c r="I321" s="18"/>
      <c r="J321" s="53"/>
      <c r="K321" s="53"/>
      <c r="L321" s="53"/>
      <c r="M321" s="53"/>
      <c r="N321" s="53"/>
      <c r="O321" s="53"/>
      <c r="P321" s="53"/>
      <c r="Q321" s="53"/>
      <c r="R321" s="53"/>
      <c r="S321" s="53"/>
      <c r="T321" s="53"/>
      <c r="U321" s="53"/>
      <c r="V321" s="53"/>
      <c r="W321" s="53"/>
      <c r="X321" s="53"/>
      <c r="Y321" s="53"/>
      <c r="Z321" s="53"/>
      <c r="AA321" s="53"/>
      <c r="AB321" s="53"/>
      <c r="AC321" s="53"/>
      <c r="AD321" s="53"/>
      <c r="AE321" s="53"/>
      <c r="AF321" s="53"/>
      <c r="AG321" s="53"/>
      <c r="AH321" s="53">
        <f t="shared" si="58"/>
        <v>0</v>
      </c>
    </row>
    <row r="322" spans="1:34">
      <c r="A322" s="1831" t="s">
        <v>80</v>
      </c>
      <c r="B322" s="18">
        <f t="shared" si="57"/>
        <v>0</v>
      </c>
      <c r="C322" s="46"/>
      <c r="D322" s="53"/>
      <c r="E322" s="53"/>
      <c r="F322" s="53"/>
      <c r="G322" s="53"/>
      <c r="H322" s="53"/>
      <c r="I322" s="53"/>
      <c r="J322" s="53"/>
      <c r="K322" s="53"/>
      <c r="L322" s="53"/>
      <c r="M322" s="53"/>
      <c r="N322" s="53"/>
      <c r="O322" s="53"/>
      <c r="P322" s="53"/>
      <c r="Q322" s="53"/>
      <c r="R322" s="53"/>
      <c r="S322" s="53"/>
      <c r="T322" s="53"/>
      <c r="U322" s="53"/>
      <c r="V322" s="53"/>
      <c r="W322" s="53"/>
      <c r="X322" s="53"/>
      <c r="Y322" s="53"/>
      <c r="Z322" s="53"/>
      <c r="AA322" s="53"/>
      <c r="AB322" s="53"/>
      <c r="AC322" s="53"/>
      <c r="AD322" s="53"/>
      <c r="AE322" s="53"/>
      <c r="AF322" s="53"/>
      <c r="AG322" s="53"/>
      <c r="AH322" s="53">
        <f t="shared" si="58"/>
        <v>0</v>
      </c>
    </row>
    <row r="323" spans="1:34">
      <c r="A323" s="1831" t="s">
        <v>81</v>
      </c>
      <c r="B323" s="18">
        <f t="shared" si="57"/>
        <v>0</v>
      </c>
      <c r="C323" s="49"/>
      <c r="D323" s="53"/>
      <c r="E323" s="53"/>
      <c r="F323" s="53"/>
      <c r="G323" s="18"/>
      <c r="H323" s="18"/>
      <c r="I323" s="18"/>
      <c r="J323" s="57"/>
      <c r="K323" s="57"/>
      <c r="L323" s="53"/>
      <c r="M323" s="53"/>
      <c r="N323" s="53"/>
      <c r="O323" s="53"/>
      <c r="P323" s="53"/>
      <c r="Q323" s="53"/>
      <c r="R323" s="53"/>
      <c r="S323" s="53"/>
      <c r="T323" s="53"/>
      <c r="U323" s="53"/>
      <c r="V323" s="53"/>
      <c r="W323" s="53"/>
      <c r="X323" s="53"/>
      <c r="Y323" s="53"/>
      <c r="Z323" s="53"/>
      <c r="AA323" s="53"/>
      <c r="AB323" s="53"/>
      <c r="AC323" s="53"/>
      <c r="AD323" s="53"/>
      <c r="AE323" s="53"/>
      <c r="AF323" s="53"/>
      <c r="AG323" s="53"/>
      <c r="AH323" s="53">
        <f t="shared" si="58"/>
        <v>0</v>
      </c>
    </row>
    <row r="324" spans="1:34">
      <c r="A324" s="1831" t="s">
        <v>82</v>
      </c>
      <c r="B324" s="18">
        <f t="shared" si="57"/>
        <v>0</v>
      </c>
      <c r="C324" s="49"/>
      <c r="D324" s="18"/>
      <c r="E324" s="18"/>
      <c r="F324" s="18"/>
      <c r="G324" s="18"/>
      <c r="H324" s="18"/>
      <c r="I324" s="18"/>
      <c r="J324" s="57"/>
      <c r="K324" s="57"/>
      <c r="L324" s="53"/>
      <c r="M324" s="53"/>
      <c r="N324" s="53"/>
      <c r="O324" s="53"/>
      <c r="P324" s="53"/>
      <c r="Q324" s="53"/>
      <c r="R324" s="53"/>
      <c r="S324" s="53"/>
      <c r="T324" s="53"/>
      <c r="U324" s="53"/>
      <c r="V324" s="53"/>
      <c r="W324" s="53"/>
      <c r="X324" s="53"/>
      <c r="Y324" s="53"/>
      <c r="Z324" s="53"/>
      <c r="AA324" s="53"/>
      <c r="AB324" s="53"/>
      <c r="AC324" s="53"/>
      <c r="AD324" s="53"/>
      <c r="AE324" s="53"/>
      <c r="AF324" s="53"/>
      <c r="AG324" s="53"/>
      <c r="AH324" s="53">
        <f t="shared" si="58"/>
        <v>0</v>
      </c>
    </row>
    <row r="325" spans="1:34">
      <c r="A325" s="1831" t="s">
        <v>83</v>
      </c>
      <c r="B325" s="18">
        <f t="shared" si="57"/>
        <v>0</v>
      </c>
      <c r="C325" s="46"/>
      <c r="D325" s="53"/>
      <c r="E325" s="53"/>
      <c r="F325" s="53"/>
      <c r="G325" s="53"/>
      <c r="H325" s="53"/>
      <c r="I325" s="53"/>
      <c r="J325" s="57"/>
      <c r="K325" s="57"/>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53">
        <f t="shared" si="58"/>
        <v>0</v>
      </c>
    </row>
    <row r="326" spans="1:34">
      <c r="A326" s="1744" t="s">
        <v>84</v>
      </c>
      <c r="B326" s="18">
        <f t="shared" si="57"/>
        <v>0</v>
      </c>
      <c r="C326" s="49"/>
      <c r="D326" s="53"/>
      <c r="E326" s="53"/>
      <c r="F326" s="53"/>
      <c r="G326" s="18"/>
      <c r="H326" s="18"/>
      <c r="I326" s="18"/>
      <c r="J326" s="18"/>
      <c r="K326" s="18"/>
      <c r="L326" s="18"/>
      <c r="M326" s="18"/>
      <c r="N326" s="18"/>
      <c r="O326" s="53"/>
      <c r="P326" s="18"/>
      <c r="Q326" s="18"/>
      <c r="R326" s="18"/>
      <c r="S326" s="18"/>
      <c r="T326" s="18"/>
      <c r="U326" s="18"/>
      <c r="V326" s="18"/>
      <c r="W326" s="18"/>
      <c r="X326" s="18"/>
      <c r="Y326" s="18"/>
      <c r="Z326" s="18"/>
      <c r="AA326" s="18"/>
      <c r="AB326" s="18"/>
      <c r="AC326" s="18"/>
      <c r="AD326" s="18"/>
      <c r="AE326" s="53"/>
      <c r="AF326" s="18"/>
      <c r="AG326" s="53"/>
      <c r="AH326" s="53">
        <f t="shared" si="58"/>
        <v>0</v>
      </c>
    </row>
    <row r="327" spans="1:34">
      <c r="A327" s="1744" t="s">
        <v>85</v>
      </c>
      <c r="B327" s="18">
        <f t="shared" si="57"/>
        <v>0</v>
      </c>
      <c r="C327" s="49"/>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53"/>
      <c r="AF327" s="18"/>
      <c r="AG327" s="53"/>
      <c r="AH327" s="53">
        <f t="shared" si="58"/>
        <v>0</v>
      </c>
    </row>
    <row r="328" spans="1:34">
      <c r="A328" s="1744" t="s">
        <v>86</v>
      </c>
      <c r="B328" s="18">
        <f t="shared" si="57"/>
        <v>0</v>
      </c>
      <c r="C328" s="49"/>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53"/>
      <c r="AF328" s="18"/>
      <c r="AG328" s="53"/>
      <c r="AH328" s="53">
        <f t="shared" si="58"/>
        <v>0</v>
      </c>
    </row>
    <row r="329" spans="1:34">
      <c r="A329" s="88" t="s">
        <v>74</v>
      </c>
      <c r="B329" s="89">
        <f>SUM(B317:B328)</f>
        <v>0</v>
      </c>
      <c r="C329" s="46">
        <f>SUM(C317:C327)</f>
        <v>0</v>
      </c>
      <c r="D329" s="53">
        <f>SUM(D317:D327)</f>
        <v>0</v>
      </c>
      <c r="E329" s="53">
        <v>0</v>
      </c>
      <c r="F329" s="53">
        <f t="shared" ref="F329:AC329" si="59">SUM(F317:F327)</f>
        <v>0</v>
      </c>
      <c r="G329" s="53">
        <f t="shared" si="59"/>
        <v>0</v>
      </c>
      <c r="H329" s="53">
        <f t="shared" si="59"/>
        <v>0</v>
      </c>
      <c r="I329" s="53">
        <f t="shared" si="59"/>
        <v>0</v>
      </c>
      <c r="J329" s="53">
        <f t="shared" si="59"/>
        <v>0</v>
      </c>
      <c r="K329" s="53">
        <f t="shared" si="59"/>
        <v>0</v>
      </c>
      <c r="L329" s="53">
        <f t="shared" si="59"/>
        <v>0</v>
      </c>
      <c r="M329" s="53">
        <f t="shared" si="59"/>
        <v>0</v>
      </c>
      <c r="N329" s="53">
        <f t="shared" si="59"/>
        <v>0</v>
      </c>
      <c r="O329" s="53">
        <f t="shared" si="59"/>
        <v>0</v>
      </c>
      <c r="P329" s="53">
        <f t="shared" si="59"/>
        <v>0</v>
      </c>
      <c r="Q329" s="53">
        <f t="shared" si="59"/>
        <v>0</v>
      </c>
      <c r="R329" s="53">
        <f t="shared" si="59"/>
        <v>0</v>
      </c>
      <c r="S329" s="53">
        <f t="shared" si="59"/>
        <v>0</v>
      </c>
      <c r="T329" s="53">
        <f t="shared" si="59"/>
        <v>0</v>
      </c>
      <c r="U329" s="53">
        <f t="shared" si="59"/>
        <v>0</v>
      </c>
      <c r="V329" s="53">
        <f t="shared" si="59"/>
        <v>0</v>
      </c>
      <c r="W329" s="53">
        <f t="shared" si="59"/>
        <v>0</v>
      </c>
      <c r="X329" s="53">
        <f t="shared" si="59"/>
        <v>0</v>
      </c>
      <c r="Y329" s="53">
        <f t="shared" si="59"/>
        <v>0</v>
      </c>
      <c r="Z329" s="53">
        <f t="shared" si="59"/>
        <v>0</v>
      </c>
      <c r="AA329" s="53">
        <f t="shared" si="59"/>
        <v>0</v>
      </c>
      <c r="AB329" s="53">
        <f t="shared" si="59"/>
        <v>0</v>
      </c>
      <c r="AC329" s="53">
        <f t="shared" si="59"/>
        <v>0</v>
      </c>
      <c r="AD329" s="53">
        <v>0</v>
      </c>
      <c r="AE329" s="53">
        <f>SUM(AE317:AE327)</f>
        <v>0</v>
      </c>
      <c r="AF329" s="53">
        <f>SUM(AF317:AF327)</f>
        <v>0</v>
      </c>
      <c r="AG329" s="53">
        <f>SUM(AG317:AG327)</f>
        <v>0</v>
      </c>
      <c r="AH329" s="46">
        <f>SUM(AH317:AH327)</f>
        <v>0</v>
      </c>
    </row>
    <row r="330" spans="1:34" ht="17.25" customHeight="1">
      <c r="A330" s="14"/>
      <c r="B330" s="14"/>
      <c r="C330" s="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
    </row>
    <row r="331" spans="1:34">
      <c r="A331" s="3634" t="s">
        <v>129</v>
      </c>
      <c r="B331" s="3635"/>
      <c r="C331" s="3635"/>
      <c r="D331" s="3635"/>
      <c r="E331" s="3635"/>
      <c r="F331" s="3635"/>
      <c r="G331" s="3635"/>
      <c r="H331" s="3636"/>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row>
    <row r="332" spans="1:34">
      <c r="A332" s="5" t="s">
        <v>72</v>
      </c>
      <c r="B332" s="5" t="s">
        <v>73</v>
      </c>
      <c r="C332" s="117">
        <v>1</v>
      </c>
      <c r="D332" s="30">
        <v>2</v>
      </c>
      <c r="E332" s="30">
        <v>3</v>
      </c>
      <c r="F332" s="30">
        <v>4</v>
      </c>
      <c r="G332" s="30">
        <v>5</v>
      </c>
      <c r="H332" s="30">
        <v>6</v>
      </c>
      <c r="I332" s="30">
        <v>7</v>
      </c>
      <c r="J332" s="30">
        <v>8</v>
      </c>
      <c r="K332" s="30">
        <v>9</v>
      </c>
      <c r="L332" s="30">
        <v>10</v>
      </c>
      <c r="M332" s="30">
        <v>11</v>
      </c>
      <c r="N332" s="30">
        <v>12</v>
      </c>
      <c r="O332" s="30">
        <v>13</v>
      </c>
      <c r="P332" s="30">
        <v>14</v>
      </c>
      <c r="Q332" s="30">
        <v>15</v>
      </c>
      <c r="R332" s="30">
        <v>16</v>
      </c>
      <c r="S332" s="30">
        <v>17</v>
      </c>
      <c r="T332" s="30">
        <v>18</v>
      </c>
      <c r="U332" s="30">
        <v>19</v>
      </c>
      <c r="V332" s="30">
        <v>20</v>
      </c>
      <c r="W332" s="30">
        <v>21</v>
      </c>
      <c r="X332" s="30">
        <v>22</v>
      </c>
      <c r="Y332" s="30">
        <v>23</v>
      </c>
      <c r="Z332" s="30">
        <v>24</v>
      </c>
      <c r="AA332" s="30">
        <v>25</v>
      </c>
      <c r="AB332" s="30">
        <v>26</v>
      </c>
      <c r="AC332" s="30">
        <v>27</v>
      </c>
      <c r="AD332" s="30">
        <v>28</v>
      </c>
      <c r="AE332" s="30">
        <v>29</v>
      </c>
      <c r="AF332" s="30">
        <v>30</v>
      </c>
      <c r="AG332" s="30">
        <v>31</v>
      </c>
      <c r="AH332" s="39" t="s">
        <v>74</v>
      </c>
    </row>
    <row r="333" spans="1:34">
      <c r="A333" s="1831" t="s">
        <v>75</v>
      </c>
      <c r="B333" s="18">
        <f t="shared" ref="B333:B344" si="60">+AH333</f>
        <v>0</v>
      </c>
      <c r="C333" s="49"/>
      <c r="D333" s="53"/>
      <c r="E333" s="53"/>
      <c r="F333" s="53"/>
      <c r="G333" s="18"/>
      <c r="H333" s="18"/>
      <c r="I333" s="18"/>
      <c r="J333" s="18"/>
      <c r="K333" s="18"/>
      <c r="L333" s="18"/>
      <c r="M333" s="18"/>
      <c r="N333" s="18"/>
      <c r="O333" s="18"/>
      <c r="P333" s="18"/>
      <c r="Q333" s="53"/>
      <c r="R333" s="18"/>
      <c r="S333" s="18"/>
      <c r="T333" s="18"/>
      <c r="U333" s="18"/>
      <c r="V333" s="53"/>
      <c r="W333" s="53"/>
      <c r="X333" s="18"/>
      <c r="Y333" s="18"/>
      <c r="Z333" s="18"/>
      <c r="AA333" s="18"/>
      <c r="AB333" s="18"/>
      <c r="AC333" s="18"/>
      <c r="AD333" s="53"/>
      <c r="AE333" s="18"/>
      <c r="AF333" s="18"/>
      <c r="AG333" s="18"/>
      <c r="AH333" s="53">
        <f>SUM(C333:AG333)</f>
        <v>0</v>
      </c>
    </row>
    <row r="334" spans="1:34">
      <c r="A334" s="1831" t="s">
        <v>76</v>
      </c>
      <c r="B334" s="18">
        <f t="shared" si="60"/>
        <v>0</v>
      </c>
      <c r="C334" s="49"/>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53">
        <f t="shared" ref="AH334:AH344" si="61">SUM(C334:AG334)</f>
        <v>0</v>
      </c>
    </row>
    <row r="335" spans="1:34">
      <c r="A335" s="1831" t="s">
        <v>77</v>
      </c>
      <c r="B335" s="18">
        <f t="shared" si="60"/>
        <v>0</v>
      </c>
      <c r="C335" s="46"/>
      <c r="D335" s="53"/>
      <c r="E335" s="53"/>
      <c r="F335" s="53"/>
      <c r="G335" s="53"/>
      <c r="H335" s="53"/>
      <c r="I335" s="53"/>
      <c r="J335" s="53"/>
      <c r="K335" s="53"/>
      <c r="L335" s="53"/>
      <c r="M335" s="53"/>
      <c r="N335" s="53"/>
      <c r="O335" s="53"/>
      <c r="P335" s="53"/>
      <c r="Q335" s="53"/>
      <c r="R335" s="53"/>
      <c r="S335" s="53"/>
      <c r="T335" s="53"/>
      <c r="U335" s="53"/>
      <c r="V335" s="53"/>
      <c r="W335" s="53"/>
      <c r="X335" s="53"/>
      <c r="Y335" s="53"/>
      <c r="Z335" s="53"/>
      <c r="AA335" s="53"/>
      <c r="AB335" s="53"/>
      <c r="AC335" s="53"/>
      <c r="AD335" s="53"/>
      <c r="AE335" s="53"/>
      <c r="AF335" s="53"/>
      <c r="AG335" s="53"/>
      <c r="AH335" s="53">
        <f t="shared" si="61"/>
        <v>0</v>
      </c>
    </row>
    <row r="336" spans="1:34">
      <c r="A336" s="1831" t="s">
        <v>78</v>
      </c>
      <c r="B336" s="18">
        <f t="shared" si="60"/>
        <v>0</v>
      </c>
      <c r="C336" s="49"/>
      <c r="D336" s="53"/>
      <c r="E336" s="53"/>
      <c r="F336" s="53"/>
      <c r="G336" s="18"/>
      <c r="H336" s="18"/>
      <c r="I336" s="18"/>
      <c r="J336" s="53"/>
      <c r="K336" s="53"/>
      <c r="L336" s="53"/>
      <c r="M336" s="53"/>
      <c r="N336" s="53"/>
      <c r="O336" s="53"/>
      <c r="P336" s="53"/>
      <c r="Q336" s="53"/>
      <c r="R336" s="53"/>
      <c r="S336" s="53"/>
      <c r="T336" s="53"/>
      <c r="U336" s="53"/>
      <c r="V336" s="53"/>
      <c r="W336" s="53"/>
      <c r="X336" s="53"/>
      <c r="Y336" s="53"/>
      <c r="Z336" s="53"/>
      <c r="AA336" s="53"/>
      <c r="AB336" s="53"/>
      <c r="AC336" s="53"/>
      <c r="AD336" s="53"/>
      <c r="AE336" s="53"/>
      <c r="AF336" s="53"/>
      <c r="AG336" s="53"/>
      <c r="AH336" s="53">
        <f t="shared" si="61"/>
        <v>0</v>
      </c>
    </row>
    <row r="337" spans="1:34">
      <c r="A337" s="1831" t="s">
        <v>79</v>
      </c>
      <c r="B337" s="18">
        <f t="shared" si="60"/>
        <v>0</v>
      </c>
      <c r="C337" s="49"/>
      <c r="D337" s="18"/>
      <c r="E337" s="18"/>
      <c r="F337" s="18"/>
      <c r="G337" s="18"/>
      <c r="H337" s="18"/>
      <c r="I337" s="18"/>
      <c r="J337" s="53"/>
      <c r="K337" s="53"/>
      <c r="L337" s="53"/>
      <c r="M337" s="53"/>
      <c r="N337" s="53"/>
      <c r="O337" s="53"/>
      <c r="P337" s="53"/>
      <c r="Q337" s="53"/>
      <c r="R337" s="53"/>
      <c r="S337" s="53"/>
      <c r="T337" s="53"/>
      <c r="U337" s="53"/>
      <c r="V337" s="53"/>
      <c r="W337" s="53"/>
      <c r="X337" s="53"/>
      <c r="Y337" s="53"/>
      <c r="Z337" s="53"/>
      <c r="AA337" s="53"/>
      <c r="AB337" s="53"/>
      <c r="AC337" s="53"/>
      <c r="AD337" s="53"/>
      <c r="AE337" s="53"/>
      <c r="AF337" s="53"/>
      <c r="AG337" s="53"/>
      <c r="AH337" s="53">
        <f t="shared" si="61"/>
        <v>0</v>
      </c>
    </row>
    <row r="338" spans="1:34">
      <c r="A338" s="1831" t="s">
        <v>80</v>
      </c>
      <c r="B338" s="18">
        <f t="shared" si="60"/>
        <v>0</v>
      </c>
      <c r="C338" s="46"/>
      <c r="D338" s="53"/>
      <c r="E338" s="53"/>
      <c r="F338" s="53"/>
      <c r="G338" s="53"/>
      <c r="H338" s="53"/>
      <c r="I338" s="53"/>
      <c r="J338" s="53"/>
      <c r="K338" s="53"/>
      <c r="L338" s="53"/>
      <c r="M338" s="53"/>
      <c r="N338" s="53"/>
      <c r="O338" s="53"/>
      <c r="P338" s="53"/>
      <c r="Q338" s="53"/>
      <c r="R338" s="53"/>
      <c r="S338" s="53"/>
      <c r="T338" s="53"/>
      <c r="U338" s="53"/>
      <c r="V338" s="53"/>
      <c r="W338" s="53"/>
      <c r="X338" s="53"/>
      <c r="Y338" s="53"/>
      <c r="Z338" s="53"/>
      <c r="AA338" s="53"/>
      <c r="AB338" s="53"/>
      <c r="AC338" s="53"/>
      <c r="AD338" s="53"/>
      <c r="AE338" s="53"/>
      <c r="AF338" s="53"/>
      <c r="AG338" s="53"/>
      <c r="AH338" s="53">
        <f t="shared" si="61"/>
        <v>0</v>
      </c>
    </row>
    <row r="339" spans="1:34">
      <c r="A339" s="1831" t="s">
        <v>81</v>
      </c>
      <c r="B339" s="18">
        <f t="shared" si="60"/>
        <v>0</v>
      </c>
      <c r="C339" s="49"/>
      <c r="D339" s="53"/>
      <c r="E339" s="53"/>
      <c r="F339" s="53"/>
      <c r="G339" s="18"/>
      <c r="H339" s="18"/>
      <c r="I339" s="18"/>
      <c r="J339" s="57"/>
      <c r="K339" s="57"/>
      <c r="L339" s="53"/>
      <c r="M339" s="53"/>
      <c r="N339" s="53"/>
      <c r="O339" s="53"/>
      <c r="P339" s="53"/>
      <c r="Q339" s="53"/>
      <c r="R339" s="53"/>
      <c r="S339" s="53"/>
      <c r="T339" s="53"/>
      <c r="U339" s="53"/>
      <c r="V339" s="53"/>
      <c r="W339" s="53"/>
      <c r="X339" s="53"/>
      <c r="Y339" s="53"/>
      <c r="Z339" s="53"/>
      <c r="AA339" s="53"/>
      <c r="AB339" s="53"/>
      <c r="AC339" s="53"/>
      <c r="AD339" s="53"/>
      <c r="AE339" s="53"/>
      <c r="AF339" s="53"/>
      <c r="AG339" s="53"/>
      <c r="AH339" s="53">
        <f t="shared" si="61"/>
        <v>0</v>
      </c>
    </row>
    <row r="340" spans="1:34">
      <c r="A340" s="1831" t="s">
        <v>82</v>
      </c>
      <c r="B340" s="18">
        <f t="shared" si="60"/>
        <v>0</v>
      </c>
      <c r="C340" s="49"/>
      <c r="D340" s="18"/>
      <c r="E340" s="18"/>
      <c r="F340" s="18"/>
      <c r="G340" s="18"/>
      <c r="H340" s="18"/>
      <c r="I340" s="18"/>
      <c r="J340" s="57"/>
      <c r="K340" s="57"/>
      <c r="L340" s="53"/>
      <c r="M340" s="53"/>
      <c r="N340" s="53"/>
      <c r="O340" s="53"/>
      <c r="P340" s="53"/>
      <c r="Q340" s="53"/>
      <c r="R340" s="53"/>
      <c r="S340" s="53"/>
      <c r="T340" s="53"/>
      <c r="U340" s="53"/>
      <c r="V340" s="53"/>
      <c r="W340" s="53"/>
      <c r="X340" s="53"/>
      <c r="Y340" s="53"/>
      <c r="Z340" s="53"/>
      <c r="AA340" s="53"/>
      <c r="AB340" s="53"/>
      <c r="AC340" s="53"/>
      <c r="AD340" s="53"/>
      <c r="AE340" s="53"/>
      <c r="AF340" s="53"/>
      <c r="AG340" s="53"/>
      <c r="AH340" s="53">
        <f t="shared" si="61"/>
        <v>0</v>
      </c>
    </row>
    <row r="341" spans="1:34">
      <c r="A341" s="1831" t="s">
        <v>83</v>
      </c>
      <c r="B341" s="18">
        <f t="shared" si="60"/>
        <v>0</v>
      </c>
      <c r="C341" s="46"/>
      <c r="D341" s="53"/>
      <c r="E341" s="53"/>
      <c r="F341" s="53"/>
      <c r="G341" s="53"/>
      <c r="H341" s="53"/>
      <c r="I341" s="53"/>
      <c r="J341" s="57"/>
      <c r="K341" s="57"/>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53">
        <f t="shared" si="61"/>
        <v>0</v>
      </c>
    </row>
    <row r="342" spans="1:34">
      <c r="A342" s="1744" t="s">
        <v>84</v>
      </c>
      <c r="B342" s="18">
        <f t="shared" si="60"/>
        <v>0</v>
      </c>
      <c r="C342" s="49"/>
      <c r="D342" s="53"/>
      <c r="E342" s="53"/>
      <c r="F342" s="53"/>
      <c r="G342" s="18"/>
      <c r="H342" s="18"/>
      <c r="I342" s="18"/>
      <c r="J342" s="18"/>
      <c r="K342" s="18"/>
      <c r="L342" s="18"/>
      <c r="M342" s="18"/>
      <c r="N342" s="18"/>
      <c r="O342" s="53"/>
      <c r="P342" s="18"/>
      <c r="Q342" s="18"/>
      <c r="R342" s="18"/>
      <c r="S342" s="18"/>
      <c r="T342" s="18"/>
      <c r="U342" s="18"/>
      <c r="V342" s="18"/>
      <c r="W342" s="18"/>
      <c r="X342" s="18"/>
      <c r="Y342" s="18"/>
      <c r="Z342" s="18"/>
      <c r="AA342" s="18"/>
      <c r="AB342" s="18"/>
      <c r="AC342" s="18"/>
      <c r="AD342" s="18"/>
      <c r="AE342" s="53"/>
      <c r="AF342" s="18"/>
      <c r="AG342" s="53"/>
      <c r="AH342" s="53">
        <f t="shared" si="61"/>
        <v>0</v>
      </c>
    </row>
    <row r="343" spans="1:34">
      <c r="A343" s="1744" t="s">
        <v>85</v>
      </c>
      <c r="B343" s="18">
        <f t="shared" si="60"/>
        <v>0</v>
      </c>
      <c r="C343" s="49"/>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53"/>
      <c r="AF343" s="18"/>
      <c r="AG343" s="53"/>
      <c r="AH343" s="53">
        <f t="shared" si="61"/>
        <v>0</v>
      </c>
    </row>
    <row r="344" spans="1:34">
      <c r="A344" s="1744" t="s">
        <v>86</v>
      </c>
      <c r="B344" s="18">
        <f t="shared" si="60"/>
        <v>0</v>
      </c>
      <c r="C344" s="49"/>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53"/>
      <c r="AF344" s="18"/>
      <c r="AG344" s="53"/>
      <c r="AH344" s="53">
        <f t="shared" si="61"/>
        <v>0</v>
      </c>
    </row>
    <row r="345" spans="1:34">
      <c r="A345" s="88" t="s">
        <v>74</v>
      </c>
      <c r="B345" s="89">
        <f>SUM(B333:B344)</f>
        <v>0</v>
      </c>
      <c r="C345" s="46">
        <f>SUM(C333:C343)</f>
        <v>0</v>
      </c>
      <c r="D345" s="53">
        <f>SUM(D333:D343)</f>
        <v>0</v>
      </c>
      <c r="E345" s="53">
        <v>0</v>
      </c>
      <c r="F345" s="53">
        <f t="shared" ref="F345:AC345" si="62">SUM(F333:F343)</f>
        <v>0</v>
      </c>
      <c r="G345" s="53">
        <f t="shared" si="62"/>
        <v>0</v>
      </c>
      <c r="H345" s="53">
        <f t="shared" si="62"/>
        <v>0</v>
      </c>
      <c r="I345" s="53">
        <f t="shared" si="62"/>
        <v>0</v>
      </c>
      <c r="J345" s="53">
        <f t="shared" si="62"/>
        <v>0</v>
      </c>
      <c r="K345" s="53">
        <f t="shared" si="62"/>
        <v>0</v>
      </c>
      <c r="L345" s="53">
        <f t="shared" si="62"/>
        <v>0</v>
      </c>
      <c r="M345" s="53">
        <f t="shared" si="62"/>
        <v>0</v>
      </c>
      <c r="N345" s="53">
        <f t="shared" si="62"/>
        <v>0</v>
      </c>
      <c r="O345" s="53">
        <f t="shared" si="62"/>
        <v>0</v>
      </c>
      <c r="P345" s="53">
        <f t="shared" si="62"/>
        <v>0</v>
      </c>
      <c r="Q345" s="53">
        <f t="shared" si="62"/>
        <v>0</v>
      </c>
      <c r="R345" s="53">
        <f t="shared" si="62"/>
        <v>0</v>
      </c>
      <c r="S345" s="53">
        <f t="shared" si="62"/>
        <v>0</v>
      </c>
      <c r="T345" s="53">
        <f t="shared" si="62"/>
        <v>0</v>
      </c>
      <c r="U345" s="53">
        <f t="shared" si="62"/>
        <v>0</v>
      </c>
      <c r="V345" s="53">
        <f t="shared" si="62"/>
        <v>0</v>
      </c>
      <c r="W345" s="53">
        <f t="shared" si="62"/>
        <v>0</v>
      </c>
      <c r="X345" s="53">
        <f t="shared" si="62"/>
        <v>0</v>
      </c>
      <c r="Y345" s="53">
        <f t="shared" si="62"/>
        <v>0</v>
      </c>
      <c r="Z345" s="53">
        <f t="shared" si="62"/>
        <v>0</v>
      </c>
      <c r="AA345" s="53">
        <f t="shared" si="62"/>
        <v>0</v>
      </c>
      <c r="AB345" s="53">
        <f t="shared" si="62"/>
        <v>0</v>
      </c>
      <c r="AC345" s="53">
        <f t="shared" si="62"/>
        <v>0</v>
      </c>
      <c r="AD345" s="53">
        <v>0</v>
      </c>
      <c r="AE345" s="53">
        <f>SUM(AE333:AE343)</f>
        <v>0</v>
      </c>
      <c r="AF345" s="53">
        <f>SUM(AF333:AF343)</f>
        <v>0</v>
      </c>
      <c r="AG345" s="53">
        <f>SUM(AG333:AG343)</f>
        <v>0</v>
      </c>
      <c r="AH345" s="46">
        <f>SUM(AH333:AH343)</f>
        <v>0</v>
      </c>
    </row>
    <row r="346" spans="1:34" ht="17.25" customHeight="1">
      <c r="A346" s="14"/>
      <c r="B346" s="14"/>
      <c r="C346" s="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
    </row>
    <row r="347" spans="1:34">
      <c r="A347" s="3569" t="s">
        <v>60</v>
      </c>
      <c r="B347" s="3570"/>
      <c r="C347" s="3570"/>
      <c r="D347" s="3570"/>
      <c r="E347" s="3570"/>
      <c r="F347" s="3570"/>
      <c r="G347" s="3570"/>
      <c r="H347" s="357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row>
    <row r="348" spans="1:34">
      <c r="A348" s="5" t="s">
        <v>72</v>
      </c>
      <c r="B348" s="5" t="s">
        <v>73</v>
      </c>
      <c r="C348" s="117">
        <v>1</v>
      </c>
      <c r="D348" s="30">
        <v>2</v>
      </c>
      <c r="E348" s="30">
        <v>3</v>
      </c>
      <c r="F348" s="30">
        <v>4</v>
      </c>
      <c r="G348" s="30">
        <v>5</v>
      </c>
      <c r="H348" s="30">
        <v>6</v>
      </c>
      <c r="I348" s="30">
        <v>7</v>
      </c>
      <c r="J348" s="30">
        <v>8</v>
      </c>
      <c r="K348" s="30">
        <v>9</v>
      </c>
      <c r="L348" s="30">
        <v>10</v>
      </c>
      <c r="M348" s="30">
        <v>11</v>
      </c>
      <c r="N348" s="30">
        <v>12</v>
      </c>
      <c r="O348" s="30">
        <v>13</v>
      </c>
      <c r="P348" s="30">
        <v>14</v>
      </c>
      <c r="Q348" s="30">
        <v>15</v>
      </c>
      <c r="R348" s="30">
        <v>16</v>
      </c>
      <c r="S348" s="30">
        <v>17</v>
      </c>
      <c r="T348" s="30">
        <v>18</v>
      </c>
      <c r="U348" s="30">
        <v>19</v>
      </c>
      <c r="V348" s="30">
        <v>20</v>
      </c>
      <c r="W348" s="30">
        <v>21</v>
      </c>
      <c r="X348" s="30">
        <v>22</v>
      </c>
      <c r="Y348" s="30">
        <v>23</v>
      </c>
      <c r="Z348" s="30">
        <v>24</v>
      </c>
      <c r="AA348" s="30">
        <v>25</v>
      </c>
      <c r="AB348" s="30">
        <v>26</v>
      </c>
      <c r="AC348" s="30">
        <v>27</v>
      </c>
      <c r="AD348" s="30">
        <v>28</v>
      </c>
      <c r="AE348" s="30">
        <v>29</v>
      </c>
      <c r="AF348" s="30">
        <v>30</v>
      </c>
      <c r="AG348" s="30">
        <v>31</v>
      </c>
      <c r="AH348" s="39" t="s">
        <v>74</v>
      </c>
    </row>
    <row r="349" spans="1:34">
      <c r="A349" s="1831" t="s">
        <v>75</v>
      </c>
      <c r="B349" s="18">
        <f t="shared" ref="B349:B360" si="63">+AH349</f>
        <v>0</v>
      </c>
      <c r="C349" s="49"/>
      <c r="D349" s="53"/>
      <c r="E349" s="53"/>
      <c r="F349" s="53"/>
      <c r="G349" s="18"/>
      <c r="H349" s="18"/>
      <c r="I349" s="18"/>
      <c r="J349" s="18"/>
      <c r="K349" s="18"/>
      <c r="L349" s="18"/>
      <c r="M349" s="18"/>
      <c r="N349" s="18"/>
      <c r="O349" s="18"/>
      <c r="P349" s="18"/>
      <c r="Q349" s="53"/>
      <c r="R349" s="18"/>
      <c r="S349" s="18"/>
      <c r="T349" s="18"/>
      <c r="U349" s="18"/>
      <c r="V349" s="53"/>
      <c r="W349" s="53"/>
      <c r="X349" s="18"/>
      <c r="Y349" s="18"/>
      <c r="Z349" s="18"/>
      <c r="AA349" s="18"/>
      <c r="AB349" s="18"/>
      <c r="AC349" s="18"/>
      <c r="AD349" s="53"/>
      <c r="AE349" s="18"/>
      <c r="AF349" s="18"/>
      <c r="AG349" s="18"/>
      <c r="AH349" s="53">
        <f>SUM(C349:AG349)</f>
        <v>0</v>
      </c>
    </row>
    <row r="350" spans="1:34">
      <c r="A350" s="1831" t="s">
        <v>76</v>
      </c>
      <c r="B350" s="18">
        <f t="shared" si="63"/>
        <v>0</v>
      </c>
      <c r="C350" s="49"/>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53">
        <f t="shared" ref="AH350:AH360" si="64">SUM(C350:AG350)</f>
        <v>0</v>
      </c>
    </row>
    <row r="351" spans="1:34">
      <c r="A351" s="1831" t="s">
        <v>77</v>
      </c>
      <c r="B351" s="18">
        <f t="shared" si="63"/>
        <v>0</v>
      </c>
      <c r="C351" s="46"/>
      <c r="D351" s="53"/>
      <c r="E351" s="53"/>
      <c r="F351" s="53"/>
      <c r="G351" s="53"/>
      <c r="H351" s="53"/>
      <c r="I351" s="53"/>
      <c r="J351" s="53"/>
      <c r="K351" s="53"/>
      <c r="L351" s="53"/>
      <c r="M351" s="53"/>
      <c r="N351" s="53"/>
      <c r="O351" s="53"/>
      <c r="P351" s="53"/>
      <c r="Q351" s="53"/>
      <c r="R351" s="53"/>
      <c r="S351" s="53"/>
      <c r="T351" s="53"/>
      <c r="U351" s="53"/>
      <c r="V351" s="53"/>
      <c r="W351" s="53"/>
      <c r="X351" s="53"/>
      <c r="Y351" s="53"/>
      <c r="Z351" s="53"/>
      <c r="AA351" s="53"/>
      <c r="AB351" s="53"/>
      <c r="AC351" s="53"/>
      <c r="AD351" s="53"/>
      <c r="AE351" s="53"/>
      <c r="AF351" s="53"/>
      <c r="AG351" s="53"/>
      <c r="AH351" s="53">
        <f t="shared" si="64"/>
        <v>0</v>
      </c>
    </row>
    <row r="352" spans="1:34">
      <c r="A352" s="1831" t="s">
        <v>78</v>
      </c>
      <c r="B352" s="18">
        <f t="shared" si="63"/>
        <v>0</v>
      </c>
      <c r="C352" s="49"/>
      <c r="D352" s="53"/>
      <c r="E352" s="53"/>
      <c r="F352" s="53"/>
      <c r="G352" s="18"/>
      <c r="H352" s="18"/>
      <c r="I352" s="18"/>
      <c r="J352" s="53"/>
      <c r="K352" s="53"/>
      <c r="L352" s="53"/>
      <c r="M352" s="53"/>
      <c r="N352" s="53"/>
      <c r="O352" s="53"/>
      <c r="P352" s="53"/>
      <c r="Q352" s="53"/>
      <c r="R352" s="53"/>
      <c r="S352" s="53"/>
      <c r="T352" s="53"/>
      <c r="U352" s="53"/>
      <c r="V352" s="53"/>
      <c r="W352" s="53"/>
      <c r="X352" s="53"/>
      <c r="Y352" s="53"/>
      <c r="Z352" s="53"/>
      <c r="AA352" s="53"/>
      <c r="AB352" s="53"/>
      <c r="AC352" s="53"/>
      <c r="AD352" s="53"/>
      <c r="AE352" s="53"/>
      <c r="AF352" s="53"/>
      <c r="AG352" s="53"/>
      <c r="AH352" s="53">
        <f t="shared" si="64"/>
        <v>0</v>
      </c>
    </row>
    <row r="353" spans="1:34">
      <c r="A353" s="1831" t="s">
        <v>79</v>
      </c>
      <c r="B353" s="18">
        <f t="shared" si="63"/>
        <v>0</v>
      </c>
      <c r="C353" s="49"/>
      <c r="D353" s="18"/>
      <c r="E353" s="18"/>
      <c r="F353" s="18"/>
      <c r="G353" s="18"/>
      <c r="H353" s="18"/>
      <c r="I353" s="18"/>
      <c r="J353" s="53"/>
      <c r="K353" s="53"/>
      <c r="L353" s="53"/>
      <c r="M353" s="53"/>
      <c r="N353" s="53"/>
      <c r="O353" s="53"/>
      <c r="P353" s="53"/>
      <c r="Q353" s="53"/>
      <c r="R353" s="53"/>
      <c r="S353" s="53"/>
      <c r="T353" s="53"/>
      <c r="U353" s="53"/>
      <c r="V353" s="53"/>
      <c r="W353" s="53"/>
      <c r="X353" s="53"/>
      <c r="Y353" s="53"/>
      <c r="Z353" s="53"/>
      <c r="AA353" s="53"/>
      <c r="AB353" s="53"/>
      <c r="AC353" s="53"/>
      <c r="AD353" s="53"/>
      <c r="AE353" s="53"/>
      <c r="AF353" s="53"/>
      <c r="AG353" s="53"/>
      <c r="AH353" s="53">
        <f t="shared" si="64"/>
        <v>0</v>
      </c>
    </row>
    <row r="354" spans="1:34">
      <c r="A354" s="1831" t="s">
        <v>80</v>
      </c>
      <c r="B354" s="18">
        <f t="shared" si="63"/>
        <v>0</v>
      </c>
      <c r="C354" s="46"/>
      <c r="D354" s="53"/>
      <c r="E354" s="53"/>
      <c r="F354" s="53"/>
      <c r="G354" s="53"/>
      <c r="H354" s="53"/>
      <c r="I354" s="53"/>
      <c r="J354" s="53"/>
      <c r="K354" s="53"/>
      <c r="L354" s="53"/>
      <c r="M354" s="53"/>
      <c r="N354" s="53"/>
      <c r="O354" s="53"/>
      <c r="P354" s="53"/>
      <c r="Q354" s="53"/>
      <c r="R354" s="53"/>
      <c r="S354" s="53"/>
      <c r="T354" s="53"/>
      <c r="U354" s="53"/>
      <c r="V354" s="53"/>
      <c r="W354" s="53"/>
      <c r="X354" s="53"/>
      <c r="Y354" s="53"/>
      <c r="Z354" s="53"/>
      <c r="AA354" s="53"/>
      <c r="AB354" s="53"/>
      <c r="AC354" s="53"/>
      <c r="AD354" s="53"/>
      <c r="AE354" s="53"/>
      <c r="AF354" s="53"/>
      <c r="AG354" s="53"/>
      <c r="AH354" s="53">
        <f t="shared" si="64"/>
        <v>0</v>
      </c>
    </row>
    <row r="355" spans="1:34">
      <c r="A355" s="1831" t="s">
        <v>81</v>
      </c>
      <c r="B355" s="18">
        <f t="shared" si="63"/>
        <v>0</v>
      </c>
      <c r="C355" s="49"/>
      <c r="D355" s="53"/>
      <c r="E355" s="53"/>
      <c r="F355" s="53"/>
      <c r="G355" s="18"/>
      <c r="H355" s="18"/>
      <c r="I355" s="18"/>
      <c r="J355" s="57"/>
      <c r="K355" s="57"/>
      <c r="L355" s="53"/>
      <c r="M355" s="53"/>
      <c r="N355" s="53"/>
      <c r="O355" s="53"/>
      <c r="P355" s="53"/>
      <c r="Q355" s="53"/>
      <c r="R355" s="53"/>
      <c r="S355" s="53"/>
      <c r="T355" s="53"/>
      <c r="U355" s="53"/>
      <c r="V355" s="53"/>
      <c r="W355" s="53"/>
      <c r="X355" s="53"/>
      <c r="Y355" s="53"/>
      <c r="Z355" s="53"/>
      <c r="AA355" s="53"/>
      <c r="AB355" s="53"/>
      <c r="AC355" s="53"/>
      <c r="AD355" s="53"/>
      <c r="AE355" s="53"/>
      <c r="AF355" s="53"/>
      <c r="AG355" s="53"/>
      <c r="AH355" s="53">
        <f t="shared" si="64"/>
        <v>0</v>
      </c>
    </row>
    <row r="356" spans="1:34">
      <c r="A356" s="1831" t="s">
        <v>82</v>
      </c>
      <c r="B356" s="18">
        <f t="shared" si="63"/>
        <v>0</v>
      </c>
      <c r="C356" s="49"/>
      <c r="D356" s="18"/>
      <c r="E356" s="18"/>
      <c r="F356" s="18"/>
      <c r="G356" s="18"/>
      <c r="H356" s="18"/>
      <c r="I356" s="18"/>
      <c r="J356" s="57"/>
      <c r="K356" s="57"/>
      <c r="L356" s="53"/>
      <c r="M356" s="53"/>
      <c r="N356" s="53"/>
      <c r="O356" s="53"/>
      <c r="P356" s="53"/>
      <c r="Q356" s="53"/>
      <c r="R356" s="53"/>
      <c r="S356" s="53"/>
      <c r="T356" s="53"/>
      <c r="U356" s="53"/>
      <c r="V356" s="53"/>
      <c r="W356" s="53"/>
      <c r="X356" s="53"/>
      <c r="Y356" s="53"/>
      <c r="Z356" s="53"/>
      <c r="AA356" s="53"/>
      <c r="AB356" s="53"/>
      <c r="AC356" s="53"/>
      <c r="AD356" s="53"/>
      <c r="AE356" s="53"/>
      <c r="AF356" s="53"/>
      <c r="AG356" s="53"/>
      <c r="AH356" s="53">
        <f t="shared" si="64"/>
        <v>0</v>
      </c>
    </row>
    <row r="357" spans="1:34">
      <c r="A357" s="1831" t="s">
        <v>83</v>
      </c>
      <c r="B357" s="18">
        <f t="shared" si="63"/>
        <v>0</v>
      </c>
      <c r="C357" s="46"/>
      <c r="D357" s="53"/>
      <c r="E357" s="53"/>
      <c r="F357" s="53"/>
      <c r="G357" s="53"/>
      <c r="H357" s="53"/>
      <c r="I357" s="53"/>
      <c r="J357" s="57"/>
      <c r="K357" s="57"/>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53">
        <f t="shared" si="64"/>
        <v>0</v>
      </c>
    </row>
    <row r="358" spans="1:34">
      <c r="A358" s="1744" t="s">
        <v>84</v>
      </c>
      <c r="B358" s="18">
        <f t="shared" si="63"/>
        <v>0</v>
      </c>
      <c r="C358" s="49"/>
      <c r="D358" s="53"/>
      <c r="E358" s="53"/>
      <c r="F358" s="53"/>
      <c r="G358" s="18"/>
      <c r="H358" s="18"/>
      <c r="I358" s="18"/>
      <c r="J358" s="18"/>
      <c r="K358" s="18"/>
      <c r="L358" s="18"/>
      <c r="M358" s="18"/>
      <c r="N358" s="18"/>
      <c r="O358" s="53"/>
      <c r="P358" s="18"/>
      <c r="Q358" s="18"/>
      <c r="R358" s="18"/>
      <c r="S358" s="18"/>
      <c r="T358" s="18"/>
      <c r="U358" s="18"/>
      <c r="V358" s="18"/>
      <c r="W358" s="18"/>
      <c r="X358" s="18"/>
      <c r="Y358" s="18"/>
      <c r="Z358" s="18"/>
      <c r="AA358" s="18"/>
      <c r="AB358" s="18"/>
      <c r="AC358" s="18"/>
      <c r="AD358" s="18"/>
      <c r="AE358" s="53"/>
      <c r="AF358" s="18"/>
      <c r="AG358" s="53"/>
      <c r="AH358" s="53">
        <f t="shared" si="64"/>
        <v>0</v>
      </c>
    </row>
    <row r="359" spans="1:34">
      <c r="A359" s="1744" t="s">
        <v>85</v>
      </c>
      <c r="B359" s="18">
        <f t="shared" si="63"/>
        <v>0</v>
      </c>
      <c r="C359" s="49"/>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53"/>
      <c r="AF359" s="18"/>
      <c r="AG359" s="53"/>
      <c r="AH359" s="53">
        <f t="shared" si="64"/>
        <v>0</v>
      </c>
    </row>
    <row r="360" spans="1:34">
      <c r="A360" s="1744" t="s">
        <v>86</v>
      </c>
      <c r="B360" s="18">
        <f t="shared" si="63"/>
        <v>0</v>
      </c>
      <c r="C360" s="49"/>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53"/>
      <c r="AF360" s="18"/>
      <c r="AG360" s="53"/>
      <c r="AH360" s="53">
        <f t="shared" si="64"/>
        <v>0</v>
      </c>
    </row>
    <row r="361" spans="1:34">
      <c r="A361" s="88" t="s">
        <v>74</v>
      </c>
      <c r="B361" s="89">
        <f>SUM(B349:B360)</f>
        <v>0</v>
      </c>
      <c r="C361" s="46">
        <f>SUM(C349:C359)</f>
        <v>0</v>
      </c>
      <c r="D361" s="53">
        <f>SUM(D349:D359)</f>
        <v>0</v>
      </c>
      <c r="E361" s="53">
        <v>0</v>
      </c>
      <c r="F361" s="53">
        <f t="shared" ref="F361:AC361" si="65">SUM(F349:F359)</f>
        <v>0</v>
      </c>
      <c r="G361" s="53">
        <f t="shared" si="65"/>
        <v>0</v>
      </c>
      <c r="H361" s="53">
        <f t="shared" si="65"/>
        <v>0</v>
      </c>
      <c r="I361" s="53">
        <f t="shared" si="65"/>
        <v>0</v>
      </c>
      <c r="J361" s="53">
        <f t="shared" si="65"/>
        <v>0</v>
      </c>
      <c r="K361" s="53">
        <f t="shared" si="65"/>
        <v>0</v>
      </c>
      <c r="L361" s="53">
        <f t="shared" si="65"/>
        <v>0</v>
      </c>
      <c r="M361" s="53">
        <f t="shared" si="65"/>
        <v>0</v>
      </c>
      <c r="N361" s="53">
        <f t="shared" si="65"/>
        <v>0</v>
      </c>
      <c r="O361" s="53">
        <f t="shared" si="65"/>
        <v>0</v>
      </c>
      <c r="P361" s="53">
        <f t="shared" si="65"/>
        <v>0</v>
      </c>
      <c r="Q361" s="53">
        <f t="shared" si="65"/>
        <v>0</v>
      </c>
      <c r="R361" s="53">
        <f t="shared" si="65"/>
        <v>0</v>
      </c>
      <c r="S361" s="53">
        <f t="shared" si="65"/>
        <v>0</v>
      </c>
      <c r="T361" s="53">
        <f t="shared" si="65"/>
        <v>0</v>
      </c>
      <c r="U361" s="53">
        <f t="shared" si="65"/>
        <v>0</v>
      </c>
      <c r="V361" s="53">
        <f t="shared" si="65"/>
        <v>0</v>
      </c>
      <c r="W361" s="53">
        <f t="shared" si="65"/>
        <v>0</v>
      </c>
      <c r="X361" s="53">
        <f t="shared" si="65"/>
        <v>0</v>
      </c>
      <c r="Y361" s="53">
        <f t="shared" si="65"/>
        <v>0</v>
      </c>
      <c r="Z361" s="53">
        <f t="shared" si="65"/>
        <v>0</v>
      </c>
      <c r="AA361" s="53">
        <f t="shared" si="65"/>
        <v>0</v>
      </c>
      <c r="AB361" s="53">
        <f t="shared" si="65"/>
        <v>0</v>
      </c>
      <c r="AC361" s="53">
        <f t="shared" si="65"/>
        <v>0</v>
      </c>
      <c r="AD361" s="53">
        <v>0</v>
      </c>
      <c r="AE361" s="53">
        <f>SUM(AE349:AE359)</f>
        <v>0</v>
      </c>
      <c r="AF361" s="53">
        <f>SUM(AF349:AF359)</f>
        <v>0</v>
      </c>
      <c r="AG361" s="53">
        <f>SUM(AG349:AG359)</f>
        <v>0</v>
      </c>
      <c r="AH361" s="46">
        <f>SUM(AH349:AH359)</f>
        <v>0</v>
      </c>
    </row>
    <row r="362" spans="1:34">
      <c r="A362" s="59"/>
      <c r="B362" s="59"/>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c r="AA362" s="60"/>
      <c r="AB362" s="60"/>
      <c r="AC362" s="60"/>
      <c r="AD362" s="60"/>
      <c r="AE362" s="60"/>
      <c r="AF362" s="60"/>
      <c r="AG362" s="60"/>
      <c r="AH362" s="60"/>
    </row>
    <row r="363" spans="1:34" ht="15" customHeight="1">
      <c r="A363" s="3591" t="s">
        <v>61</v>
      </c>
      <c r="B363" s="3592"/>
      <c r="C363" s="3592"/>
      <c r="D363" s="3592"/>
      <c r="E363" s="3592"/>
      <c r="F363" s="3592"/>
      <c r="G363" s="3592"/>
      <c r="H363" s="3592"/>
      <c r="I363" s="3592"/>
      <c r="J363" s="3592"/>
      <c r="K363" s="3592"/>
      <c r="L363" s="3592"/>
      <c r="M363" s="3592"/>
      <c r="N363" s="3592"/>
      <c r="O363" s="3592"/>
      <c r="P363" s="3592"/>
      <c r="Q363" s="3592"/>
      <c r="R363" s="3593"/>
      <c r="S363" s="11"/>
      <c r="T363" s="11"/>
      <c r="U363" s="11"/>
      <c r="V363" s="11"/>
      <c r="W363" s="11"/>
      <c r="X363" s="11"/>
      <c r="Y363" s="11"/>
      <c r="Z363" s="11"/>
      <c r="AA363" s="11"/>
      <c r="AB363" s="11"/>
      <c r="AC363" s="11"/>
      <c r="AD363" s="11"/>
      <c r="AE363" s="11"/>
      <c r="AF363" s="11"/>
      <c r="AG363" s="11"/>
      <c r="AH363" s="11"/>
    </row>
    <row r="364" spans="1:34" ht="5.0999999999999996" customHeight="1">
      <c r="A364" s="50"/>
      <c r="B364" s="73"/>
      <c r="C364" s="50"/>
      <c r="D364" s="50"/>
      <c r="E364" s="50"/>
      <c r="F364" s="50"/>
      <c r="G364" s="50"/>
      <c r="H364" s="50"/>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row>
    <row r="365" spans="1:34" ht="15" customHeight="1">
      <c r="A365" s="3634" t="s">
        <v>62</v>
      </c>
      <c r="B365" s="3635"/>
      <c r="C365" s="3635"/>
      <c r="D365" s="3635"/>
      <c r="E365" s="3635"/>
      <c r="F365" s="3635"/>
      <c r="G365" s="3635"/>
      <c r="H365" s="3636"/>
    </row>
    <row r="366" spans="1:34" ht="15" customHeight="1">
      <c r="A366" s="5" t="s">
        <v>91</v>
      </c>
      <c r="B366" s="71" t="s">
        <v>73</v>
      </c>
      <c r="C366" s="1249">
        <v>1</v>
      </c>
      <c r="D366" s="30">
        <v>2</v>
      </c>
      <c r="E366" s="30">
        <v>3</v>
      </c>
      <c r="F366" s="30">
        <v>4</v>
      </c>
      <c r="G366" s="30">
        <v>5</v>
      </c>
      <c r="H366" s="30">
        <v>6</v>
      </c>
      <c r="I366" s="30">
        <v>7</v>
      </c>
      <c r="J366" s="30">
        <v>8</v>
      </c>
      <c r="K366" s="30">
        <v>9</v>
      </c>
      <c r="L366" s="30">
        <v>10</v>
      </c>
      <c r="M366" s="30">
        <v>11</v>
      </c>
      <c r="N366" s="30">
        <v>12</v>
      </c>
      <c r="O366" s="30">
        <v>13</v>
      </c>
      <c r="P366" s="30">
        <v>14</v>
      </c>
      <c r="Q366" s="30">
        <v>15</v>
      </c>
      <c r="R366" s="30">
        <v>16</v>
      </c>
      <c r="S366" s="30">
        <v>17</v>
      </c>
      <c r="T366" s="30">
        <v>18</v>
      </c>
      <c r="U366" s="30">
        <v>19</v>
      </c>
      <c r="V366" s="30">
        <v>20</v>
      </c>
      <c r="W366" s="30">
        <v>21</v>
      </c>
      <c r="X366" s="30">
        <v>22</v>
      </c>
      <c r="Y366" s="30">
        <v>23</v>
      </c>
      <c r="Z366" s="30">
        <v>24</v>
      </c>
      <c r="AA366" s="30">
        <v>25</v>
      </c>
      <c r="AB366" s="30">
        <v>26</v>
      </c>
      <c r="AC366" s="30">
        <v>27</v>
      </c>
      <c r="AD366" s="30">
        <v>28</v>
      </c>
      <c r="AE366" s="30">
        <v>29</v>
      </c>
      <c r="AF366" s="30">
        <v>30</v>
      </c>
      <c r="AG366" s="30">
        <v>31</v>
      </c>
      <c r="AH366" s="39" t="s">
        <v>74</v>
      </c>
    </row>
    <row r="367" spans="1:34" ht="15" customHeight="1">
      <c r="A367" s="1831" t="s">
        <v>75</v>
      </c>
      <c r="B367" s="1250">
        <f t="shared" ref="B367:B378" si="66">+AH367</f>
        <v>0</v>
      </c>
      <c r="C367" s="49"/>
      <c r="D367" s="18"/>
      <c r="E367" s="18"/>
      <c r="F367" s="18"/>
      <c r="G367" s="18"/>
      <c r="H367" s="18"/>
      <c r="I367" s="18"/>
      <c r="J367" s="18"/>
      <c r="K367" s="18"/>
      <c r="L367" s="18"/>
      <c r="M367" s="18"/>
      <c r="N367" s="18"/>
      <c r="O367" s="18"/>
      <c r="P367" s="18"/>
      <c r="Q367" s="67"/>
      <c r="R367" s="67"/>
      <c r="S367" s="67"/>
      <c r="T367" s="67"/>
      <c r="U367" s="67"/>
      <c r="V367" s="67"/>
      <c r="W367" s="67"/>
      <c r="X367" s="67"/>
      <c r="Y367" s="67"/>
      <c r="Z367" s="67"/>
      <c r="AA367" s="67"/>
      <c r="AB367" s="67"/>
      <c r="AC367" s="67"/>
      <c r="AD367" s="67"/>
      <c r="AE367" s="67"/>
      <c r="AF367" s="67"/>
      <c r="AG367" s="67"/>
      <c r="AH367" s="53">
        <f>SUM(C367:AG367)</f>
        <v>0</v>
      </c>
    </row>
    <row r="368" spans="1:34" ht="15" customHeight="1">
      <c r="A368" s="1831" t="s">
        <v>76</v>
      </c>
      <c r="B368" s="1250">
        <f t="shared" si="66"/>
        <v>0</v>
      </c>
      <c r="C368" s="49"/>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53">
        <f t="shared" ref="AH368:AH378" si="67">SUM(C368:AG368)</f>
        <v>0</v>
      </c>
    </row>
    <row r="369" spans="1:34" ht="15" customHeight="1">
      <c r="A369" s="1831" t="s">
        <v>77</v>
      </c>
      <c r="B369" s="1250">
        <f t="shared" si="66"/>
        <v>0</v>
      </c>
      <c r="C369" s="49"/>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53">
        <f t="shared" si="67"/>
        <v>0</v>
      </c>
    </row>
    <row r="370" spans="1:34" ht="15" customHeight="1">
      <c r="A370" s="1831" t="s">
        <v>78</v>
      </c>
      <c r="B370" s="1250">
        <f t="shared" si="66"/>
        <v>0</v>
      </c>
      <c r="C370" s="49"/>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53">
        <f t="shared" si="67"/>
        <v>0</v>
      </c>
    </row>
    <row r="371" spans="1:34" ht="15" customHeight="1">
      <c r="A371" s="1831" t="s">
        <v>79</v>
      </c>
      <c r="B371" s="1250">
        <f t="shared" si="66"/>
        <v>0</v>
      </c>
      <c r="C371" s="49"/>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53">
        <f t="shared" si="67"/>
        <v>0</v>
      </c>
    </row>
    <row r="372" spans="1:34" ht="15" customHeight="1">
      <c r="A372" s="1831" t="s">
        <v>80</v>
      </c>
      <c r="B372" s="1250">
        <f t="shared" si="66"/>
        <v>0</v>
      </c>
      <c r="C372" s="49"/>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53">
        <f t="shared" si="67"/>
        <v>0</v>
      </c>
    </row>
    <row r="373" spans="1:34" ht="15" customHeight="1">
      <c r="A373" s="1831" t="s">
        <v>81</v>
      </c>
      <c r="B373" s="1250">
        <f t="shared" si="66"/>
        <v>0</v>
      </c>
      <c r="C373" s="49"/>
      <c r="D373" s="53"/>
      <c r="E373" s="53"/>
      <c r="F373" s="53"/>
      <c r="G373" s="18"/>
      <c r="H373" s="18"/>
      <c r="I373" s="18"/>
      <c r="J373" s="57"/>
      <c r="K373" s="57"/>
      <c r="L373" s="53"/>
      <c r="M373" s="53"/>
      <c r="N373" s="53"/>
      <c r="O373" s="53"/>
      <c r="P373" s="53"/>
      <c r="Q373" s="53"/>
      <c r="R373" s="53"/>
      <c r="S373" s="53"/>
      <c r="T373" s="53"/>
      <c r="U373" s="53"/>
      <c r="V373" s="53"/>
      <c r="W373" s="53"/>
      <c r="X373" s="53"/>
      <c r="Y373" s="53"/>
      <c r="Z373" s="53"/>
      <c r="AA373" s="53"/>
      <c r="AB373" s="53"/>
      <c r="AC373" s="53"/>
      <c r="AD373" s="53"/>
      <c r="AE373" s="53"/>
      <c r="AF373" s="53"/>
      <c r="AG373" s="53"/>
      <c r="AH373" s="53">
        <f t="shared" si="67"/>
        <v>0</v>
      </c>
    </row>
    <row r="374" spans="1:34" ht="15" customHeight="1">
      <c r="A374" s="1831" t="s">
        <v>82</v>
      </c>
      <c r="B374" s="1250">
        <f t="shared" si="66"/>
        <v>0</v>
      </c>
      <c r="C374" s="49"/>
      <c r="D374" s="18"/>
      <c r="E374" s="18"/>
      <c r="F374" s="18"/>
      <c r="G374" s="18"/>
      <c r="H374" s="18"/>
      <c r="I374" s="18"/>
      <c r="J374" s="57"/>
      <c r="K374" s="57"/>
      <c r="L374" s="53"/>
      <c r="M374" s="53"/>
      <c r="N374" s="53"/>
      <c r="O374" s="53"/>
      <c r="P374" s="53"/>
      <c r="Q374" s="53"/>
      <c r="R374" s="53"/>
      <c r="S374" s="53"/>
      <c r="T374" s="53"/>
      <c r="U374" s="53"/>
      <c r="V374" s="53"/>
      <c r="W374" s="53"/>
      <c r="X374" s="53"/>
      <c r="Y374" s="53"/>
      <c r="Z374" s="53"/>
      <c r="AA374" s="53"/>
      <c r="AB374" s="53"/>
      <c r="AC374" s="53"/>
      <c r="AD374" s="53"/>
      <c r="AE374" s="53"/>
      <c r="AF374" s="53"/>
      <c r="AG374" s="53"/>
      <c r="AH374" s="53">
        <f t="shared" si="67"/>
        <v>0</v>
      </c>
    </row>
    <row r="375" spans="1:34" ht="15" customHeight="1">
      <c r="A375" s="1831" t="s">
        <v>83</v>
      </c>
      <c r="B375" s="1250">
        <f t="shared" si="66"/>
        <v>0</v>
      </c>
      <c r="C375" s="46"/>
      <c r="D375" s="53"/>
      <c r="E375" s="53"/>
      <c r="F375" s="53"/>
      <c r="G375" s="53"/>
      <c r="H375" s="53"/>
      <c r="I375" s="53"/>
      <c r="J375" s="57"/>
      <c r="K375" s="57"/>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53">
        <f t="shared" si="67"/>
        <v>0</v>
      </c>
    </row>
    <row r="376" spans="1:34" ht="15" customHeight="1">
      <c r="A376" s="1744" t="s">
        <v>84</v>
      </c>
      <c r="B376" s="28">
        <f t="shared" si="66"/>
        <v>0</v>
      </c>
      <c r="C376" s="49"/>
      <c r="D376" s="53"/>
      <c r="E376" s="118"/>
      <c r="F376" s="53"/>
      <c r="G376" s="18"/>
      <c r="H376" s="18"/>
      <c r="I376" s="18"/>
      <c r="J376" s="18"/>
      <c r="K376" s="18"/>
      <c r="L376" s="18"/>
      <c r="M376" s="18"/>
      <c r="N376" s="18"/>
      <c r="O376" s="53"/>
      <c r="P376" s="18"/>
      <c r="Q376" s="18"/>
      <c r="R376" s="18"/>
      <c r="S376" s="18"/>
      <c r="T376" s="18"/>
      <c r="U376" s="18"/>
      <c r="V376" s="18"/>
      <c r="W376" s="18"/>
      <c r="X376" s="18"/>
      <c r="Y376" s="18"/>
      <c r="Z376" s="18"/>
      <c r="AA376" s="18"/>
      <c r="AB376" s="18"/>
      <c r="AC376" s="18"/>
      <c r="AD376" s="18"/>
      <c r="AE376" s="53"/>
      <c r="AF376" s="18"/>
      <c r="AG376" s="53"/>
      <c r="AH376" s="53">
        <f t="shared" si="67"/>
        <v>0</v>
      </c>
    </row>
    <row r="377" spans="1:34" ht="15" customHeight="1">
      <c r="A377" s="1744" t="s">
        <v>85</v>
      </c>
      <c r="B377" s="28">
        <f t="shared" si="66"/>
        <v>0</v>
      </c>
      <c r="C377" s="49"/>
      <c r="D377" s="18"/>
      <c r="E377" s="18"/>
      <c r="F377" s="18"/>
      <c r="G377" s="11"/>
      <c r="H377" s="18"/>
      <c r="I377" s="18"/>
      <c r="J377" s="18"/>
      <c r="K377" s="18"/>
      <c r="L377" s="18"/>
      <c r="M377" s="18"/>
      <c r="N377" s="18"/>
      <c r="O377" s="18"/>
      <c r="P377" s="18"/>
      <c r="Q377" s="18"/>
      <c r="R377" s="18"/>
      <c r="S377" s="18"/>
      <c r="T377" s="18"/>
      <c r="U377" s="18"/>
      <c r="V377" s="18"/>
      <c r="W377" s="18"/>
      <c r="X377" s="18"/>
      <c r="Y377" s="11"/>
      <c r="Z377" s="18"/>
      <c r="AA377" s="18"/>
      <c r="AB377" s="18"/>
      <c r="AC377" s="18"/>
      <c r="AD377" s="18"/>
      <c r="AE377" s="53"/>
      <c r="AF377" s="18"/>
      <c r="AG377" s="53"/>
      <c r="AH377" s="53">
        <f t="shared" si="67"/>
        <v>0</v>
      </c>
    </row>
    <row r="378" spans="1:34" ht="15" customHeight="1">
      <c r="A378" s="1744" t="s">
        <v>86</v>
      </c>
      <c r="B378" s="28">
        <f t="shared" si="66"/>
        <v>0</v>
      </c>
      <c r="C378" s="49"/>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53"/>
      <c r="AF378" s="18"/>
      <c r="AG378" s="53"/>
      <c r="AH378" s="53">
        <f t="shared" si="67"/>
        <v>0</v>
      </c>
    </row>
    <row r="379" spans="1:34" ht="15" customHeight="1">
      <c r="A379" s="88" t="s">
        <v>74</v>
      </c>
      <c r="B379" s="90">
        <f>SUM(B367:B378)</f>
        <v>0</v>
      </c>
      <c r="C379" s="46">
        <f>SUM(C367:C377)</f>
        <v>0</v>
      </c>
      <c r="D379" s="53">
        <f>SUM(D367:D377)</f>
        <v>0</v>
      </c>
      <c r="E379" s="53">
        <v>0</v>
      </c>
      <c r="F379" s="53">
        <f t="shared" ref="F379:AC379" si="68">SUM(F367:F377)</f>
        <v>0</v>
      </c>
      <c r="G379" s="53">
        <f t="shared" si="68"/>
        <v>0</v>
      </c>
      <c r="H379" s="53">
        <f t="shared" si="68"/>
        <v>0</v>
      </c>
      <c r="I379" s="53">
        <f t="shared" si="68"/>
        <v>0</v>
      </c>
      <c r="J379" s="53">
        <f t="shared" si="68"/>
        <v>0</v>
      </c>
      <c r="K379" s="53">
        <f t="shared" si="68"/>
        <v>0</v>
      </c>
      <c r="L379" s="53">
        <f t="shared" si="68"/>
        <v>0</v>
      </c>
      <c r="M379" s="53">
        <f t="shared" si="68"/>
        <v>0</v>
      </c>
      <c r="N379" s="53">
        <f t="shared" si="68"/>
        <v>0</v>
      </c>
      <c r="O379" s="53">
        <f t="shared" si="68"/>
        <v>0</v>
      </c>
      <c r="P379" s="53">
        <f t="shared" si="68"/>
        <v>0</v>
      </c>
      <c r="Q379" s="53">
        <f t="shared" si="68"/>
        <v>0</v>
      </c>
      <c r="R379" s="53">
        <f t="shared" si="68"/>
        <v>0</v>
      </c>
      <c r="S379" s="53">
        <f t="shared" si="68"/>
        <v>0</v>
      </c>
      <c r="T379" s="53">
        <f t="shared" si="68"/>
        <v>0</v>
      </c>
      <c r="U379" s="53">
        <f t="shared" si="68"/>
        <v>0</v>
      </c>
      <c r="V379" s="53">
        <f t="shared" si="68"/>
        <v>0</v>
      </c>
      <c r="W379" s="53">
        <f t="shared" si="68"/>
        <v>0</v>
      </c>
      <c r="X379" s="53">
        <f t="shared" si="68"/>
        <v>0</v>
      </c>
      <c r="Y379" s="53">
        <f t="shared" si="68"/>
        <v>0</v>
      </c>
      <c r="Z379" s="53">
        <f t="shared" si="68"/>
        <v>0</v>
      </c>
      <c r="AA379" s="53">
        <f t="shared" si="68"/>
        <v>0</v>
      </c>
      <c r="AB379" s="53">
        <f t="shared" si="68"/>
        <v>0</v>
      </c>
      <c r="AC379" s="53">
        <f t="shared" si="68"/>
        <v>0</v>
      </c>
      <c r="AD379" s="53">
        <v>0</v>
      </c>
      <c r="AE379" s="53">
        <f>SUM(AE367:AE377)</f>
        <v>0</v>
      </c>
      <c r="AF379" s="53">
        <f>SUM(AF367:AF377)</f>
        <v>0</v>
      </c>
      <c r="AG379" s="53">
        <f>SUM(AG367:AG377)</f>
        <v>0</v>
      </c>
      <c r="AH379" s="46">
        <f>SUM(AH367:AH378)</f>
        <v>0</v>
      </c>
    </row>
    <row r="380" spans="1:34" ht="15.75" customHeight="1">
      <c r="A380" s="14"/>
      <c r="B380" s="70"/>
      <c r="C380" s="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row>
    <row r="381" spans="1:34" ht="15.75" customHeight="1">
      <c r="A381" s="3634" t="s">
        <v>594</v>
      </c>
      <c r="B381" s="3635"/>
      <c r="C381" s="3635"/>
      <c r="D381" s="3635"/>
      <c r="E381" s="3635"/>
      <c r="F381" s="3635"/>
      <c r="G381" s="3635"/>
      <c r="H381" s="3636"/>
    </row>
    <row r="382" spans="1:34" ht="15.75" customHeight="1">
      <c r="A382" s="5" t="s">
        <v>91</v>
      </c>
      <c r="B382" s="71" t="s">
        <v>73</v>
      </c>
      <c r="C382" s="1249">
        <v>1</v>
      </c>
      <c r="D382" s="30">
        <v>2</v>
      </c>
      <c r="E382" s="30">
        <v>3</v>
      </c>
      <c r="F382" s="30">
        <v>4</v>
      </c>
      <c r="G382" s="30">
        <v>5</v>
      </c>
      <c r="H382" s="30">
        <v>6</v>
      </c>
      <c r="I382" s="30">
        <v>7</v>
      </c>
      <c r="J382" s="30">
        <v>8</v>
      </c>
      <c r="K382" s="30">
        <v>9</v>
      </c>
      <c r="L382" s="30">
        <v>10</v>
      </c>
      <c r="M382" s="30">
        <v>11</v>
      </c>
      <c r="N382" s="30">
        <v>12</v>
      </c>
      <c r="O382" s="30">
        <v>13</v>
      </c>
      <c r="P382" s="30">
        <v>14</v>
      </c>
      <c r="Q382" s="30">
        <v>15</v>
      </c>
      <c r="R382" s="30">
        <v>16</v>
      </c>
      <c r="S382" s="30">
        <v>17</v>
      </c>
      <c r="T382" s="30">
        <v>18</v>
      </c>
      <c r="U382" s="30">
        <v>19</v>
      </c>
      <c r="V382" s="30">
        <v>20</v>
      </c>
      <c r="W382" s="30">
        <v>21</v>
      </c>
      <c r="X382" s="30">
        <v>22</v>
      </c>
      <c r="Y382" s="30">
        <v>23</v>
      </c>
      <c r="Z382" s="30">
        <v>24</v>
      </c>
      <c r="AA382" s="30">
        <v>25</v>
      </c>
      <c r="AB382" s="30">
        <v>26</v>
      </c>
      <c r="AC382" s="30">
        <v>27</v>
      </c>
      <c r="AD382" s="30">
        <v>28</v>
      </c>
      <c r="AE382" s="30">
        <v>29</v>
      </c>
      <c r="AF382" s="30">
        <v>30</v>
      </c>
      <c r="AG382" s="30">
        <v>31</v>
      </c>
      <c r="AH382" s="39" t="s">
        <v>74</v>
      </c>
    </row>
    <row r="383" spans="1:34" ht="15.75" customHeight="1">
      <c r="A383" s="1831" t="s">
        <v>75</v>
      </c>
      <c r="B383" s="1250">
        <f t="shared" ref="B383:B394" si="69">+AH383</f>
        <v>0</v>
      </c>
      <c r="C383" s="49"/>
      <c r="D383" s="18"/>
      <c r="E383" s="18"/>
      <c r="F383" s="18"/>
      <c r="G383" s="18"/>
      <c r="H383" s="18"/>
      <c r="I383" s="18"/>
      <c r="J383" s="18"/>
      <c r="K383" s="18"/>
      <c r="L383" s="18"/>
      <c r="M383" s="18"/>
      <c r="N383" s="18"/>
      <c r="O383" s="18"/>
      <c r="P383" s="18"/>
      <c r="Q383" s="67"/>
      <c r="R383" s="67"/>
      <c r="S383" s="67"/>
      <c r="T383" s="67"/>
      <c r="U383" s="67"/>
      <c r="V383" s="67"/>
      <c r="W383" s="67"/>
      <c r="X383" s="67"/>
      <c r="Y383" s="67"/>
      <c r="Z383" s="67"/>
      <c r="AA383" s="67"/>
      <c r="AB383" s="67"/>
      <c r="AC383" s="67"/>
      <c r="AD383" s="67"/>
      <c r="AE383" s="67"/>
      <c r="AF383" s="67"/>
      <c r="AG383" s="67"/>
      <c r="AH383" s="53">
        <f>SUM(C383:AG383)</f>
        <v>0</v>
      </c>
    </row>
    <row r="384" spans="1:34" ht="15.75" customHeight="1">
      <c r="A384" s="1831" t="s">
        <v>76</v>
      </c>
      <c r="B384" s="1250">
        <f t="shared" si="69"/>
        <v>16</v>
      </c>
      <c r="C384" s="49"/>
      <c r="D384" s="18"/>
      <c r="E384" s="18"/>
      <c r="F384" s="18"/>
      <c r="G384" s="18"/>
      <c r="H384" s="18"/>
      <c r="I384" s="18"/>
      <c r="J384" s="18"/>
      <c r="K384" s="18"/>
      <c r="L384" s="18"/>
      <c r="M384" s="18"/>
      <c r="N384" s="18"/>
      <c r="O384" s="3458">
        <v>15</v>
      </c>
      <c r="P384" s="3458">
        <v>1</v>
      </c>
      <c r="Q384" s="18"/>
      <c r="R384" s="18"/>
      <c r="S384" s="18"/>
      <c r="T384" s="18"/>
      <c r="U384" s="18"/>
      <c r="V384" s="18"/>
      <c r="W384" s="18"/>
      <c r="X384" s="18"/>
      <c r="Y384" s="18"/>
      <c r="Z384" s="18"/>
      <c r="AA384" s="18"/>
      <c r="AB384" s="18"/>
      <c r="AC384" s="18"/>
      <c r="AD384" s="18"/>
      <c r="AE384" s="18"/>
      <c r="AF384" s="18"/>
      <c r="AG384" s="18"/>
      <c r="AH384" s="53">
        <f t="shared" ref="AH384:AH394" si="70">SUM(C384:AG384)</f>
        <v>16</v>
      </c>
    </row>
    <row r="385" spans="1:37" ht="15.75" customHeight="1">
      <c r="A385" s="1831" t="s">
        <v>77</v>
      </c>
      <c r="B385" s="1250">
        <f t="shared" si="69"/>
        <v>43.88</v>
      </c>
      <c r="C385" s="49"/>
      <c r="D385" s="3458">
        <v>10.6</v>
      </c>
      <c r="E385" s="3458">
        <f>21.22+12.06</f>
        <v>33.28</v>
      </c>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53">
        <f t="shared" si="70"/>
        <v>43.88</v>
      </c>
    </row>
    <row r="386" spans="1:37" ht="15.75" customHeight="1">
      <c r="A386" s="1831" t="s">
        <v>78</v>
      </c>
      <c r="B386" s="1250">
        <f t="shared" si="69"/>
        <v>0</v>
      </c>
      <c r="C386" s="49"/>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53">
        <f t="shared" si="70"/>
        <v>0</v>
      </c>
    </row>
    <row r="387" spans="1:37" ht="15.75" customHeight="1">
      <c r="A387" s="1831" t="s">
        <v>79</v>
      </c>
      <c r="B387" s="1250">
        <f t="shared" si="69"/>
        <v>0</v>
      </c>
      <c r="C387" s="49"/>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53">
        <f t="shared" si="70"/>
        <v>0</v>
      </c>
    </row>
    <row r="388" spans="1:37" ht="15.75" customHeight="1">
      <c r="A388" s="1831" t="s">
        <v>80</v>
      </c>
      <c r="B388" s="1250">
        <f t="shared" si="69"/>
        <v>0</v>
      </c>
      <c r="C388" s="49"/>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53">
        <f t="shared" si="70"/>
        <v>0</v>
      </c>
    </row>
    <row r="389" spans="1:37" ht="15.75" customHeight="1">
      <c r="A389" s="1831" t="s">
        <v>81</v>
      </c>
      <c r="B389" s="1250">
        <f t="shared" si="69"/>
        <v>0</v>
      </c>
      <c r="C389" s="49"/>
      <c r="D389" s="53"/>
      <c r="E389" s="53"/>
      <c r="F389" s="53"/>
      <c r="G389" s="18"/>
      <c r="H389" s="18"/>
      <c r="I389" s="18"/>
      <c r="J389" s="57"/>
      <c r="K389" s="57"/>
      <c r="L389" s="53"/>
      <c r="M389" s="53"/>
      <c r="N389" s="53"/>
      <c r="O389" s="53"/>
      <c r="P389" s="53"/>
      <c r="Q389" s="53"/>
      <c r="R389" s="53"/>
      <c r="S389" s="53"/>
      <c r="T389" s="53"/>
      <c r="U389" s="53"/>
      <c r="V389" s="53"/>
      <c r="W389" s="53"/>
      <c r="X389" s="53"/>
      <c r="Y389" s="53"/>
      <c r="Z389" s="53"/>
      <c r="AA389" s="53"/>
      <c r="AB389" s="53"/>
      <c r="AC389" s="53"/>
      <c r="AD389" s="53"/>
      <c r="AE389" s="53"/>
      <c r="AF389" s="53"/>
      <c r="AG389" s="53"/>
      <c r="AH389" s="53">
        <f t="shared" si="70"/>
        <v>0</v>
      </c>
    </row>
    <row r="390" spans="1:37" ht="15.75" customHeight="1">
      <c r="A390" s="1831" t="s">
        <v>82</v>
      </c>
      <c r="B390" s="1250">
        <f t="shared" si="69"/>
        <v>0</v>
      </c>
      <c r="C390" s="49"/>
      <c r="D390" s="18"/>
      <c r="E390" s="18"/>
      <c r="F390" s="18"/>
      <c r="G390" s="18"/>
      <c r="H390" s="18"/>
      <c r="I390" s="18"/>
      <c r="J390" s="57"/>
      <c r="K390" s="57"/>
      <c r="L390" s="53"/>
      <c r="M390" s="53"/>
      <c r="N390" s="53"/>
      <c r="O390" s="53"/>
      <c r="P390" s="53"/>
      <c r="Q390" s="53"/>
      <c r="R390" s="53"/>
      <c r="S390" s="53"/>
      <c r="T390" s="53"/>
      <c r="U390" s="53"/>
      <c r="V390" s="53"/>
      <c r="W390" s="53"/>
      <c r="X390" s="53"/>
      <c r="Y390" s="53"/>
      <c r="Z390" s="53"/>
      <c r="AA390" s="53"/>
      <c r="AB390" s="53"/>
      <c r="AC390" s="53"/>
      <c r="AD390" s="53"/>
      <c r="AE390" s="53"/>
      <c r="AF390" s="53"/>
      <c r="AG390" s="53"/>
      <c r="AH390" s="53">
        <f t="shared" si="70"/>
        <v>0</v>
      </c>
    </row>
    <row r="391" spans="1:37" ht="15.75" customHeight="1">
      <c r="A391" s="1831" t="s">
        <v>83</v>
      </c>
      <c r="B391" s="1250">
        <f t="shared" si="69"/>
        <v>0</v>
      </c>
      <c r="C391" s="46"/>
      <c r="D391" s="53"/>
      <c r="E391" s="53"/>
      <c r="F391" s="53"/>
      <c r="G391" s="53"/>
      <c r="H391" s="53"/>
      <c r="I391" s="53"/>
      <c r="J391" s="57"/>
      <c r="K391" s="57"/>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53">
        <f t="shared" si="70"/>
        <v>0</v>
      </c>
    </row>
    <row r="392" spans="1:37" ht="15.75" customHeight="1">
      <c r="A392" s="1744" t="s">
        <v>84</v>
      </c>
      <c r="B392" s="28">
        <f t="shared" si="69"/>
        <v>0</v>
      </c>
      <c r="C392" s="49"/>
      <c r="D392" s="53"/>
      <c r="E392" s="118"/>
      <c r="F392" s="53"/>
      <c r="G392" s="18"/>
      <c r="H392" s="18"/>
      <c r="I392" s="18"/>
      <c r="J392" s="18"/>
      <c r="K392" s="18"/>
      <c r="L392" s="18"/>
      <c r="M392" s="18"/>
      <c r="N392" s="18"/>
      <c r="O392" s="53"/>
      <c r="P392" s="18"/>
      <c r="Q392" s="18"/>
      <c r="R392" s="18"/>
      <c r="S392" s="18"/>
      <c r="T392" s="18"/>
      <c r="U392" s="18"/>
      <c r="V392" s="18"/>
      <c r="W392" s="18"/>
      <c r="X392" s="18"/>
      <c r="Y392" s="18"/>
      <c r="Z392" s="18"/>
      <c r="AA392" s="18"/>
      <c r="AB392" s="18"/>
      <c r="AC392" s="18"/>
      <c r="AD392" s="18"/>
      <c r="AE392" s="53"/>
      <c r="AF392" s="18"/>
      <c r="AG392" s="53"/>
      <c r="AH392" s="53">
        <f t="shared" si="70"/>
        <v>0</v>
      </c>
    </row>
    <row r="393" spans="1:37" ht="15.75" customHeight="1">
      <c r="A393" s="1744" t="s">
        <v>85</v>
      </c>
      <c r="B393" s="28">
        <f t="shared" si="69"/>
        <v>0</v>
      </c>
      <c r="C393" s="49"/>
      <c r="D393" s="18"/>
      <c r="E393" s="18"/>
      <c r="F393" s="18"/>
      <c r="G393" s="11"/>
      <c r="H393" s="18"/>
      <c r="I393" s="18"/>
      <c r="J393" s="18"/>
      <c r="K393" s="18"/>
      <c r="L393" s="18"/>
      <c r="M393" s="18"/>
      <c r="N393" s="18"/>
      <c r="O393" s="18"/>
      <c r="P393" s="18"/>
      <c r="Q393" s="18"/>
      <c r="R393" s="18"/>
      <c r="S393" s="18"/>
      <c r="T393" s="18"/>
      <c r="U393" s="18"/>
      <c r="V393" s="18"/>
      <c r="W393" s="18"/>
      <c r="X393" s="18"/>
      <c r="Y393" s="11"/>
      <c r="Z393" s="18"/>
      <c r="AA393" s="18"/>
      <c r="AB393" s="18"/>
      <c r="AC393" s="18"/>
      <c r="AD393" s="18"/>
      <c r="AE393" s="53"/>
      <c r="AF393" s="18"/>
      <c r="AG393" s="53"/>
      <c r="AH393" s="53">
        <f t="shared" si="70"/>
        <v>0</v>
      </c>
    </row>
    <row r="394" spans="1:37" ht="15.75" customHeight="1">
      <c r="A394" s="1744" t="s">
        <v>86</v>
      </c>
      <c r="B394" s="28">
        <f t="shared" si="69"/>
        <v>2.59</v>
      </c>
      <c r="C394" s="49"/>
      <c r="D394" s="18"/>
      <c r="E394" s="18"/>
      <c r="F394" s="18"/>
      <c r="G394" s="18"/>
      <c r="H394" s="18"/>
      <c r="I394" s="18"/>
      <c r="J394" s="18"/>
      <c r="K394" s="3458">
        <v>2.59</v>
      </c>
      <c r="L394" s="18"/>
      <c r="M394" s="18"/>
      <c r="N394" s="18"/>
      <c r="O394" s="18"/>
      <c r="P394" s="18"/>
      <c r="Q394" s="18"/>
      <c r="R394" s="18"/>
      <c r="S394" s="18"/>
      <c r="T394" s="18"/>
      <c r="U394" s="18"/>
      <c r="V394" s="18"/>
      <c r="W394" s="18"/>
      <c r="X394" s="18"/>
      <c r="Y394" s="18"/>
      <c r="Z394" s="18"/>
      <c r="AA394" s="18"/>
      <c r="AB394" s="18"/>
      <c r="AC394" s="18"/>
      <c r="AD394" s="18"/>
      <c r="AE394" s="53"/>
      <c r="AF394" s="18"/>
      <c r="AG394" s="53"/>
      <c r="AH394" s="53">
        <f t="shared" si="70"/>
        <v>2.59</v>
      </c>
      <c r="AJ394" s="18">
        <v>2.59</v>
      </c>
      <c r="AK394" s="1311" t="s">
        <v>1286</v>
      </c>
    </row>
    <row r="395" spans="1:37" ht="15.75" customHeight="1">
      <c r="A395" s="88" t="s">
        <v>74</v>
      </c>
      <c r="B395" s="90">
        <f>SUM(B383:B394)</f>
        <v>62.47</v>
      </c>
      <c r="C395" s="46">
        <f>SUM(C383:C393)</f>
        <v>0</v>
      </c>
      <c r="D395" s="53">
        <f>SUM(D383:D393)</f>
        <v>10.6</v>
      </c>
      <c r="E395" s="53">
        <v>0</v>
      </c>
      <c r="F395" s="53">
        <f t="shared" ref="F395:AC395" si="71">SUM(F383:F393)</f>
        <v>0</v>
      </c>
      <c r="G395" s="53">
        <f t="shared" si="71"/>
        <v>0</v>
      </c>
      <c r="H395" s="53">
        <f t="shared" si="71"/>
        <v>0</v>
      </c>
      <c r="I395" s="53">
        <f t="shared" si="71"/>
        <v>0</v>
      </c>
      <c r="J395" s="53">
        <f t="shared" si="71"/>
        <v>0</v>
      </c>
      <c r="K395" s="53">
        <f t="shared" si="71"/>
        <v>0</v>
      </c>
      <c r="L395" s="53">
        <f t="shared" si="71"/>
        <v>0</v>
      </c>
      <c r="M395" s="53">
        <f t="shared" si="71"/>
        <v>0</v>
      </c>
      <c r="N395" s="53">
        <f t="shared" si="71"/>
        <v>0</v>
      </c>
      <c r="O395" s="53">
        <f t="shared" si="71"/>
        <v>15</v>
      </c>
      <c r="P395" s="53">
        <f t="shared" si="71"/>
        <v>1</v>
      </c>
      <c r="Q395" s="53">
        <f t="shared" si="71"/>
        <v>0</v>
      </c>
      <c r="R395" s="53">
        <f t="shared" si="71"/>
        <v>0</v>
      </c>
      <c r="S395" s="53">
        <f t="shared" si="71"/>
        <v>0</v>
      </c>
      <c r="T395" s="53">
        <f t="shared" si="71"/>
        <v>0</v>
      </c>
      <c r="U395" s="53">
        <f t="shared" si="71"/>
        <v>0</v>
      </c>
      <c r="V395" s="53">
        <f t="shared" si="71"/>
        <v>0</v>
      </c>
      <c r="W395" s="53">
        <f t="shared" si="71"/>
        <v>0</v>
      </c>
      <c r="X395" s="53">
        <f t="shared" si="71"/>
        <v>0</v>
      </c>
      <c r="Y395" s="53">
        <f t="shared" si="71"/>
        <v>0</v>
      </c>
      <c r="Z395" s="53">
        <f t="shared" si="71"/>
        <v>0</v>
      </c>
      <c r="AA395" s="53">
        <f t="shared" si="71"/>
        <v>0</v>
      </c>
      <c r="AB395" s="53">
        <f t="shared" si="71"/>
        <v>0</v>
      </c>
      <c r="AC395" s="53">
        <f t="shared" si="71"/>
        <v>0</v>
      </c>
      <c r="AD395" s="53">
        <v>0</v>
      </c>
      <c r="AE395" s="53">
        <f>SUM(AE383:AE393)</f>
        <v>0</v>
      </c>
      <c r="AF395" s="53">
        <f>SUM(AF383:AF393)</f>
        <v>0</v>
      </c>
      <c r="AG395" s="53">
        <f>SUM(AG383:AG393)</f>
        <v>0</v>
      </c>
      <c r="AH395" s="46">
        <f>SUM(AH383:AH394)</f>
        <v>62.47</v>
      </c>
    </row>
    <row r="396" spans="1:37" ht="15.75" customHeight="1">
      <c r="A396" s="14"/>
      <c r="B396" s="70"/>
      <c r="C396" s="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row>
    <row r="397" spans="1:37" ht="15" customHeight="1">
      <c r="A397" s="3642" t="s">
        <v>526</v>
      </c>
      <c r="B397" s="3643"/>
      <c r="C397" s="3643"/>
      <c r="D397" s="3643"/>
      <c r="E397" s="3643"/>
      <c r="F397" s="3643"/>
      <c r="G397" s="3643"/>
      <c r="H397" s="3643"/>
      <c r="I397" s="3643"/>
      <c r="J397" s="3643"/>
    </row>
    <row r="398" spans="1:37" ht="15" customHeight="1">
      <c r="A398" s="5" t="s">
        <v>91</v>
      </c>
      <c r="B398" s="71" t="s">
        <v>73</v>
      </c>
      <c r="C398" s="1249">
        <v>1</v>
      </c>
      <c r="D398" s="30">
        <v>2</v>
      </c>
      <c r="E398" s="30">
        <v>3</v>
      </c>
      <c r="F398" s="30">
        <v>4</v>
      </c>
      <c r="G398" s="30">
        <v>5</v>
      </c>
      <c r="H398" s="30">
        <v>6</v>
      </c>
      <c r="I398" s="30">
        <v>7</v>
      </c>
      <c r="J398" s="30">
        <v>8</v>
      </c>
      <c r="K398" s="30">
        <v>9</v>
      </c>
      <c r="L398" s="30">
        <v>10</v>
      </c>
      <c r="M398" s="30">
        <v>11</v>
      </c>
      <c r="N398" s="30">
        <v>12</v>
      </c>
      <c r="O398" s="30">
        <v>13</v>
      </c>
      <c r="P398" s="30">
        <v>14</v>
      </c>
      <c r="Q398" s="30">
        <v>15</v>
      </c>
      <c r="R398" s="30">
        <v>16</v>
      </c>
      <c r="S398" s="30">
        <v>17</v>
      </c>
      <c r="T398" s="30">
        <v>18</v>
      </c>
      <c r="U398" s="30">
        <v>19</v>
      </c>
      <c r="V398" s="30">
        <v>20</v>
      </c>
      <c r="W398" s="30">
        <v>21</v>
      </c>
      <c r="X398" s="30">
        <v>22</v>
      </c>
      <c r="Y398" s="30">
        <v>23</v>
      </c>
      <c r="Z398" s="30">
        <v>24</v>
      </c>
      <c r="AA398" s="30">
        <v>25</v>
      </c>
      <c r="AB398" s="30">
        <v>26</v>
      </c>
      <c r="AC398" s="30">
        <v>27</v>
      </c>
      <c r="AD398" s="30">
        <v>28</v>
      </c>
      <c r="AE398" s="30">
        <v>29</v>
      </c>
      <c r="AF398" s="30">
        <v>30</v>
      </c>
      <c r="AG398" s="30">
        <v>31</v>
      </c>
      <c r="AH398" s="39" t="s">
        <v>74</v>
      </c>
    </row>
    <row r="399" spans="1:37" s="115" customFormat="1" ht="15" customHeight="1">
      <c r="A399" s="1831" t="s">
        <v>75</v>
      </c>
      <c r="B399" s="1250">
        <f t="shared" ref="B399:B410" si="72">+AH399</f>
        <v>0</v>
      </c>
      <c r="C399" s="112"/>
      <c r="D399" s="112"/>
      <c r="E399" s="112"/>
      <c r="F399" s="112"/>
      <c r="G399" s="112"/>
      <c r="H399" s="112"/>
      <c r="I399" s="112"/>
      <c r="J399" s="112"/>
      <c r="K399" s="112"/>
      <c r="L399" s="112"/>
      <c r="M399" s="112"/>
      <c r="N399" s="112"/>
      <c r="O399" s="112"/>
      <c r="P399" s="112"/>
      <c r="Q399" s="112"/>
      <c r="R399" s="112"/>
      <c r="S399" s="112"/>
      <c r="T399" s="112"/>
      <c r="U399" s="112"/>
      <c r="V399" s="112"/>
      <c r="W399" s="112"/>
      <c r="X399" s="112"/>
      <c r="Y399" s="112"/>
      <c r="Z399" s="112"/>
      <c r="AA399" s="112"/>
      <c r="AB399" s="112"/>
      <c r="AC399" s="112"/>
      <c r="AD399" s="112"/>
      <c r="AE399" s="112"/>
      <c r="AF399" s="112"/>
      <c r="AG399" s="112"/>
      <c r="AH399" s="118">
        <f>SUM(C399:AG399)</f>
        <v>0</v>
      </c>
      <c r="AI399" s="157"/>
    </row>
    <row r="400" spans="1:37" ht="15" customHeight="1">
      <c r="A400" s="1831" t="s">
        <v>76</v>
      </c>
      <c r="B400" s="1250">
        <f t="shared" si="72"/>
        <v>0</v>
      </c>
      <c r="C400" s="49"/>
      <c r="D400" s="49"/>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53">
        <f>SUM(C400:AG400)</f>
        <v>0</v>
      </c>
    </row>
    <row r="401" spans="1:34" s="115" customFormat="1" ht="15" customHeight="1">
      <c r="A401" s="1831" t="s">
        <v>77</v>
      </c>
      <c r="B401" s="1250">
        <f t="shared" si="72"/>
        <v>0</v>
      </c>
      <c r="C401" s="112"/>
      <c r="D401" s="112"/>
      <c r="E401" s="112"/>
      <c r="F401" s="112"/>
      <c r="G401" s="112"/>
      <c r="H401" s="112"/>
      <c r="I401" s="112"/>
      <c r="J401" s="112"/>
      <c r="K401" s="112"/>
      <c r="L401" s="112"/>
      <c r="M401" s="112"/>
      <c r="N401" s="112"/>
      <c r="O401" s="112"/>
      <c r="P401" s="112"/>
      <c r="Q401" s="112"/>
      <c r="R401" s="112"/>
      <c r="S401" s="112"/>
      <c r="T401" s="112"/>
      <c r="U401" s="112"/>
      <c r="V401" s="112"/>
      <c r="W401" s="112"/>
      <c r="X401" s="112"/>
      <c r="Y401" s="112"/>
      <c r="Z401" s="112"/>
      <c r="AA401" s="112"/>
      <c r="AB401" s="112"/>
      <c r="AC401" s="112"/>
      <c r="AD401" s="112"/>
      <c r="AE401" s="112"/>
      <c r="AF401" s="112"/>
      <c r="AG401" s="112"/>
      <c r="AH401" s="118">
        <f>SUM(C401:AG401)</f>
        <v>0</v>
      </c>
    </row>
    <row r="402" spans="1:34" ht="15" customHeight="1">
      <c r="A402" s="1831" t="s">
        <v>78</v>
      </c>
      <c r="B402" s="1250">
        <f t="shared" si="72"/>
        <v>0</v>
      </c>
      <c r="C402" s="49"/>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53">
        <f t="shared" ref="AH402:AH410" si="73">SUM(C402:AG402)</f>
        <v>0</v>
      </c>
    </row>
    <row r="403" spans="1:34" ht="15" customHeight="1">
      <c r="A403" s="1831" t="s">
        <v>79</v>
      </c>
      <c r="B403" s="1250">
        <f t="shared" si="72"/>
        <v>0</v>
      </c>
      <c r="C403" s="49"/>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53">
        <f t="shared" si="73"/>
        <v>0</v>
      </c>
    </row>
    <row r="404" spans="1:34" ht="15" customHeight="1">
      <c r="A404" s="1831" t="s">
        <v>80</v>
      </c>
      <c r="B404" s="1250">
        <f t="shared" si="72"/>
        <v>0</v>
      </c>
      <c r="C404" s="49"/>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53">
        <f t="shared" si="73"/>
        <v>0</v>
      </c>
    </row>
    <row r="405" spans="1:34" ht="15" customHeight="1">
      <c r="A405" s="1831" t="s">
        <v>81</v>
      </c>
      <c r="B405" s="1250">
        <f t="shared" si="72"/>
        <v>0</v>
      </c>
      <c r="C405" s="49"/>
      <c r="D405" s="18"/>
      <c r="E405" s="18"/>
      <c r="F405" s="18"/>
      <c r="G405" s="18"/>
      <c r="H405" s="18"/>
      <c r="I405" s="18"/>
      <c r="J405" s="49"/>
      <c r="K405" s="49"/>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53">
        <f t="shared" si="73"/>
        <v>0</v>
      </c>
    </row>
    <row r="406" spans="1:34" ht="15" customHeight="1">
      <c r="A406" s="1831" t="s">
        <v>82</v>
      </c>
      <c r="B406" s="1250">
        <f t="shared" si="72"/>
        <v>0</v>
      </c>
      <c r="C406" s="49"/>
      <c r="D406" s="18"/>
      <c r="E406" s="18"/>
      <c r="F406" s="18"/>
      <c r="G406" s="18"/>
      <c r="H406" s="18"/>
      <c r="I406" s="18"/>
      <c r="J406" s="49"/>
      <c r="K406" s="49"/>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53">
        <f t="shared" si="73"/>
        <v>0</v>
      </c>
    </row>
    <row r="407" spans="1:34" ht="15" customHeight="1">
      <c r="A407" s="1831" t="s">
        <v>83</v>
      </c>
      <c r="B407" s="1250">
        <f t="shared" si="72"/>
        <v>0</v>
      </c>
      <c r="C407" s="49"/>
      <c r="D407" s="18"/>
      <c r="E407" s="18"/>
      <c r="F407" s="18"/>
      <c r="G407" s="18"/>
      <c r="H407" s="18"/>
      <c r="I407" s="18"/>
      <c r="J407" s="49"/>
      <c r="K407" s="49"/>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53">
        <f t="shared" si="73"/>
        <v>0</v>
      </c>
    </row>
    <row r="408" spans="1:34" ht="15" customHeight="1">
      <c r="A408" s="1744" t="s">
        <v>84</v>
      </c>
      <c r="B408" s="28">
        <f t="shared" si="72"/>
        <v>0</v>
      </c>
      <c r="C408" s="49"/>
      <c r="D408" s="18"/>
      <c r="E408" s="18"/>
      <c r="F408" s="18"/>
      <c r="G408" s="18"/>
      <c r="H408" s="18"/>
      <c r="I408" s="18"/>
      <c r="J408" s="49"/>
      <c r="K408" s="49"/>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53">
        <f t="shared" si="73"/>
        <v>0</v>
      </c>
    </row>
    <row r="409" spans="1:34" ht="15" customHeight="1">
      <c r="A409" s="1744" t="s">
        <v>85</v>
      </c>
      <c r="B409" s="28">
        <f t="shared" si="72"/>
        <v>0</v>
      </c>
      <c r="C409" s="49"/>
      <c r="D409" s="18"/>
      <c r="E409" s="18"/>
      <c r="F409" s="18"/>
      <c r="G409" s="18"/>
      <c r="H409" s="18"/>
      <c r="I409" s="18"/>
      <c r="J409" s="49"/>
      <c r="K409" s="49"/>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53">
        <f t="shared" si="73"/>
        <v>0</v>
      </c>
    </row>
    <row r="410" spans="1:34" ht="15" customHeight="1">
      <c r="A410" s="1744" t="s">
        <v>86</v>
      </c>
      <c r="B410" s="28">
        <f t="shared" si="72"/>
        <v>5</v>
      </c>
      <c r="C410" s="49"/>
      <c r="D410" s="18"/>
      <c r="E410" s="18"/>
      <c r="F410" s="18"/>
      <c r="G410" s="18"/>
      <c r="H410" s="18"/>
      <c r="I410" s="18"/>
      <c r="J410" s="18"/>
      <c r="K410" s="18"/>
      <c r="L410" s="18"/>
      <c r="M410" s="18"/>
      <c r="N410" s="18"/>
      <c r="O410" s="18"/>
      <c r="P410" s="18"/>
      <c r="Q410" s="18"/>
      <c r="R410" s="18"/>
      <c r="S410" s="18"/>
      <c r="T410" s="18"/>
      <c r="U410" s="18"/>
      <c r="V410" s="18">
        <v>5</v>
      </c>
      <c r="W410" s="18"/>
      <c r="X410" s="18"/>
      <c r="Y410" s="18"/>
      <c r="Z410" s="18"/>
      <c r="AA410" s="18"/>
      <c r="AB410" s="18"/>
      <c r="AC410" s="18"/>
      <c r="AD410" s="18"/>
      <c r="AE410" s="53"/>
      <c r="AF410" s="18"/>
      <c r="AG410" s="53"/>
      <c r="AH410" s="53">
        <f t="shared" si="73"/>
        <v>5</v>
      </c>
    </row>
    <row r="411" spans="1:34" ht="15" customHeight="1">
      <c r="A411" s="88" t="s">
        <v>74</v>
      </c>
      <c r="B411" s="91">
        <f>SUM(B399:B410)</f>
        <v>5</v>
      </c>
      <c r="C411" s="46">
        <f>SUM(C399:C409)</f>
        <v>0</v>
      </c>
      <c r="D411" s="53">
        <f>SUM(D399:D409)</f>
        <v>0</v>
      </c>
      <c r="E411" s="53">
        <v>0</v>
      </c>
      <c r="F411" s="53">
        <f t="shared" ref="F411:AC411" si="74">SUM(F399:F409)</f>
        <v>0</v>
      </c>
      <c r="G411" s="53">
        <f t="shared" si="74"/>
        <v>0</v>
      </c>
      <c r="H411" s="53">
        <f t="shared" si="74"/>
        <v>0</v>
      </c>
      <c r="I411" s="53">
        <f t="shared" si="74"/>
        <v>0</v>
      </c>
      <c r="J411" s="53">
        <f t="shared" si="74"/>
        <v>0</v>
      </c>
      <c r="K411" s="53">
        <f t="shared" si="74"/>
        <v>0</v>
      </c>
      <c r="L411" s="53">
        <f t="shared" si="74"/>
        <v>0</v>
      </c>
      <c r="M411" s="53">
        <f t="shared" si="74"/>
        <v>0</v>
      </c>
      <c r="N411" s="53">
        <f t="shared" si="74"/>
        <v>0</v>
      </c>
      <c r="O411" s="53">
        <f t="shared" si="74"/>
        <v>0</v>
      </c>
      <c r="P411" s="53">
        <f t="shared" si="74"/>
        <v>0</v>
      </c>
      <c r="Q411" s="53">
        <f t="shared" si="74"/>
        <v>0</v>
      </c>
      <c r="R411" s="53">
        <f t="shared" si="74"/>
        <v>0</v>
      </c>
      <c r="S411" s="53">
        <f t="shared" si="74"/>
        <v>0</v>
      </c>
      <c r="T411" s="53">
        <f t="shared" si="74"/>
        <v>0</v>
      </c>
      <c r="U411" s="53">
        <f t="shared" si="74"/>
        <v>0</v>
      </c>
      <c r="V411" s="53">
        <f t="shared" si="74"/>
        <v>0</v>
      </c>
      <c r="W411" s="53">
        <f t="shared" si="74"/>
        <v>0</v>
      </c>
      <c r="X411" s="53">
        <f t="shared" si="74"/>
        <v>0</v>
      </c>
      <c r="Y411" s="53">
        <f t="shared" si="74"/>
        <v>0</v>
      </c>
      <c r="Z411" s="53">
        <f t="shared" si="74"/>
        <v>0</v>
      </c>
      <c r="AA411" s="53">
        <f t="shared" si="74"/>
        <v>0</v>
      </c>
      <c r="AB411" s="53">
        <f t="shared" si="74"/>
        <v>0</v>
      </c>
      <c r="AC411" s="53">
        <f t="shared" si="74"/>
        <v>0</v>
      </c>
      <c r="AD411" s="53">
        <v>0</v>
      </c>
      <c r="AE411" s="53">
        <f>SUM(AE399:AE409)</f>
        <v>0</v>
      </c>
      <c r="AF411" s="53">
        <f>SUM(AF399:AF409)</f>
        <v>0</v>
      </c>
      <c r="AG411" s="53">
        <f>SUM(AG399:AG409)</f>
        <v>0</v>
      </c>
      <c r="AH411" s="46">
        <f>SUM(AH399:AH410)</f>
        <v>5</v>
      </c>
    </row>
    <row r="412" spans="1:34" ht="15" customHeight="1">
      <c r="A412" s="1918"/>
      <c r="B412" s="1928"/>
      <c r="C412" s="1923"/>
      <c r="D412" s="1923"/>
      <c r="E412" s="1923"/>
      <c r="F412" s="1923"/>
      <c r="G412" s="1923"/>
      <c r="H412" s="52"/>
      <c r="I412" s="52"/>
      <c r="J412" s="52"/>
      <c r="K412" s="52"/>
      <c r="L412" s="52"/>
      <c r="M412" s="52"/>
      <c r="N412" s="52"/>
      <c r="O412" s="52"/>
      <c r="P412" s="52"/>
      <c r="Q412" s="52"/>
      <c r="R412" s="52"/>
      <c r="S412" s="52"/>
      <c r="T412" s="52"/>
      <c r="U412" s="52"/>
      <c r="V412" s="52"/>
      <c r="W412" s="52"/>
      <c r="X412" s="52"/>
      <c r="Y412" s="52"/>
      <c r="Z412" s="52"/>
      <c r="AA412" s="52"/>
      <c r="AB412" s="52"/>
      <c r="AC412" s="52"/>
      <c r="AD412" s="52"/>
      <c r="AE412" s="52"/>
      <c r="AF412" s="52"/>
      <c r="AG412" s="52"/>
      <c r="AH412" s="13"/>
    </row>
    <row r="413" spans="1:34" ht="15" customHeight="1">
      <c r="A413" s="3634" t="s">
        <v>598</v>
      </c>
      <c r="B413" s="3635"/>
      <c r="C413" s="3635"/>
      <c r="D413" s="3635"/>
      <c r="E413" s="3635"/>
      <c r="F413" s="3635"/>
      <c r="G413" s="3635"/>
      <c r="H413" s="3636"/>
    </row>
    <row r="414" spans="1:34" ht="15" customHeight="1">
      <c r="A414" s="5" t="s">
        <v>91</v>
      </c>
      <c r="B414" s="71" t="s">
        <v>73</v>
      </c>
      <c r="C414" s="1249">
        <v>1</v>
      </c>
      <c r="D414" s="30">
        <v>2</v>
      </c>
      <c r="E414" s="30">
        <v>3</v>
      </c>
      <c r="F414" s="30">
        <v>4</v>
      </c>
      <c r="G414" s="30">
        <v>5</v>
      </c>
      <c r="H414" s="30">
        <v>6</v>
      </c>
      <c r="I414" s="30">
        <v>7</v>
      </c>
      <c r="J414" s="30">
        <v>8</v>
      </c>
      <c r="K414" s="30">
        <v>9</v>
      </c>
      <c r="L414" s="30">
        <v>10</v>
      </c>
      <c r="M414" s="30">
        <v>11</v>
      </c>
      <c r="N414" s="30">
        <v>12</v>
      </c>
      <c r="O414" s="30">
        <v>13</v>
      </c>
      <c r="P414" s="30">
        <v>14</v>
      </c>
      <c r="Q414" s="30">
        <v>15</v>
      </c>
      <c r="R414" s="30">
        <v>16</v>
      </c>
      <c r="S414" s="30">
        <v>17</v>
      </c>
      <c r="T414" s="30">
        <v>18</v>
      </c>
      <c r="U414" s="30">
        <v>19</v>
      </c>
      <c r="V414" s="30">
        <v>20</v>
      </c>
      <c r="W414" s="30">
        <v>21</v>
      </c>
      <c r="X414" s="30">
        <v>22</v>
      </c>
      <c r="Y414" s="30">
        <v>23</v>
      </c>
      <c r="Z414" s="30">
        <v>24</v>
      </c>
      <c r="AA414" s="30">
        <v>25</v>
      </c>
      <c r="AB414" s="30">
        <v>26</v>
      </c>
      <c r="AC414" s="30">
        <v>27</v>
      </c>
      <c r="AD414" s="30">
        <v>28</v>
      </c>
      <c r="AE414" s="30">
        <v>29</v>
      </c>
      <c r="AF414" s="30">
        <v>30</v>
      </c>
      <c r="AG414" s="30">
        <v>31</v>
      </c>
      <c r="AH414" s="39" t="s">
        <v>74</v>
      </c>
    </row>
    <row r="415" spans="1:34" ht="15" customHeight="1">
      <c r="A415" s="1831" t="s">
        <v>75</v>
      </c>
      <c r="B415" s="1250">
        <f t="shared" ref="B415:B426" si="75">+AH415</f>
        <v>0</v>
      </c>
      <c r="C415" s="112"/>
      <c r="D415" s="112"/>
      <c r="E415" s="112"/>
      <c r="F415" s="112"/>
      <c r="G415" s="112"/>
      <c r="H415" s="112"/>
      <c r="I415" s="112"/>
      <c r="J415" s="112"/>
      <c r="K415" s="112"/>
      <c r="L415" s="112"/>
      <c r="M415" s="112"/>
      <c r="N415" s="112"/>
      <c r="O415" s="112"/>
      <c r="P415" s="112"/>
      <c r="Q415" s="112"/>
      <c r="R415" s="112"/>
      <c r="S415" s="112"/>
      <c r="T415" s="112"/>
      <c r="U415" s="112"/>
      <c r="V415" s="112"/>
      <c r="W415" s="112"/>
      <c r="X415" s="112"/>
      <c r="Y415" s="112"/>
      <c r="Z415" s="112"/>
      <c r="AA415" s="112"/>
      <c r="AB415" s="112"/>
      <c r="AC415" s="112"/>
      <c r="AD415" s="112"/>
      <c r="AE415" s="112"/>
      <c r="AF415" s="112"/>
      <c r="AG415" s="112"/>
      <c r="AH415" s="118">
        <f>SUM(C415:AG415)</f>
        <v>0</v>
      </c>
    </row>
    <row r="416" spans="1:34" ht="15" customHeight="1">
      <c r="A416" s="1831" t="s">
        <v>76</v>
      </c>
      <c r="B416" s="1250">
        <f t="shared" si="75"/>
        <v>11.958</v>
      </c>
      <c r="C416" s="49"/>
      <c r="D416" s="49"/>
      <c r="E416" s="18"/>
      <c r="F416" s="18"/>
      <c r="G416" s="18"/>
      <c r="H416" s="18"/>
      <c r="I416" s="18"/>
      <c r="J416" s="18"/>
      <c r="K416" s="18"/>
      <c r="L416" s="18"/>
      <c r="M416" s="18"/>
      <c r="N416" s="18"/>
      <c r="O416" s="18"/>
      <c r="P416" s="18">
        <v>11.958</v>
      </c>
      <c r="Q416" s="18"/>
      <c r="R416" s="18"/>
      <c r="S416" s="18"/>
      <c r="T416" s="18"/>
      <c r="U416" s="18"/>
      <c r="V416" s="18"/>
      <c r="W416" s="18"/>
      <c r="X416" s="18"/>
      <c r="Y416" s="18"/>
      <c r="Z416" s="18"/>
      <c r="AA416" s="18"/>
      <c r="AB416" s="18"/>
      <c r="AC416" s="18"/>
      <c r="AD416" s="18"/>
      <c r="AE416" s="18"/>
      <c r="AF416" s="18"/>
      <c r="AG416" s="18"/>
      <c r="AH416" s="53">
        <f>SUM(C416:AG416)</f>
        <v>11.958</v>
      </c>
    </row>
    <row r="417" spans="1:34" ht="15" customHeight="1">
      <c r="A417" s="1831" t="s">
        <v>77</v>
      </c>
      <c r="B417" s="1250">
        <f t="shared" si="75"/>
        <v>1</v>
      </c>
      <c r="C417" s="112"/>
      <c r="D417" s="112"/>
      <c r="E417" s="112"/>
      <c r="F417" s="112"/>
      <c r="G417" s="112"/>
      <c r="H417" s="112"/>
      <c r="I417" s="112"/>
      <c r="J417" s="112"/>
      <c r="K417" s="112"/>
      <c r="L417" s="112"/>
      <c r="M417" s="112"/>
      <c r="N417" s="112"/>
      <c r="O417" s="112"/>
      <c r="P417" s="112"/>
      <c r="Q417" s="112"/>
      <c r="R417" s="112"/>
      <c r="S417" s="112"/>
      <c r="T417" s="112">
        <v>1</v>
      </c>
      <c r="U417" s="112"/>
      <c r="V417" s="112"/>
      <c r="W417" s="112"/>
      <c r="X417" s="112"/>
      <c r="Y417" s="112"/>
      <c r="Z417" s="112"/>
      <c r="AA417" s="112"/>
      <c r="AB417" s="112"/>
      <c r="AC417" s="112"/>
      <c r="AD417" s="112"/>
      <c r="AE417" s="112"/>
      <c r="AF417" s="112"/>
      <c r="AG417" s="112"/>
      <c r="AH417" s="118">
        <f>SUM(C417:AG417)</f>
        <v>1</v>
      </c>
    </row>
    <row r="418" spans="1:34" ht="15" customHeight="1">
      <c r="A418" s="1831" t="s">
        <v>78</v>
      </c>
      <c r="B418" s="1250">
        <f t="shared" si="75"/>
        <v>0</v>
      </c>
      <c r="C418" s="49"/>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53">
        <f t="shared" ref="AH418:AH426" si="76">SUM(C418:AG418)</f>
        <v>0</v>
      </c>
    </row>
    <row r="419" spans="1:34" ht="15" customHeight="1">
      <c r="A419" s="1831" t="s">
        <v>79</v>
      </c>
      <c r="B419" s="1250">
        <f t="shared" si="75"/>
        <v>0</v>
      </c>
      <c r="C419" s="49"/>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53">
        <f t="shared" si="76"/>
        <v>0</v>
      </c>
    </row>
    <row r="420" spans="1:34" ht="15" customHeight="1">
      <c r="A420" s="1831" t="s">
        <v>80</v>
      </c>
      <c r="B420" s="1250">
        <f t="shared" si="75"/>
        <v>0</v>
      </c>
      <c r="C420" s="49"/>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53">
        <f t="shared" si="76"/>
        <v>0</v>
      </c>
    </row>
    <row r="421" spans="1:34" ht="15" customHeight="1">
      <c r="A421" s="1831" t="s">
        <v>81</v>
      </c>
      <c r="B421" s="1250">
        <f t="shared" si="75"/>
        <v>0</v>
      </c>
      <c r="C421" s="49"/>
      <c r="D421" s="18"/>
      <c r="E421" s="18"/>
      <c r="F421" s="18"/>
      <c r="G421" s="18"/>
      <c r="H421" s="18"/>
      <c r="I421" s="18"/>
      <c r="J421" s="49"/>
      <c r="K421" s="49"/>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53">
        <f t="shared" si="76"/>
        <v>0</v>
      </c>
    </row>
    <row r="422" spans="1:34" ht="15" customHeight="1">
      <c r="A422" s="1831" t="s">
        <v>82</v>
      </c>
      <c r="B422" s="1250">
        <f t="shared" si="75"/>
        <v>0</v>
      </c>
      <c r="C422" s="49"/>
      <c r="D422" s="18"/>
      <c r="E422" s="18"/>
      <c r="F422" s="18"/>
      <c r="G422" s="18"/>
      <c r="H422" s="18"/>
      <c r="I422" s="18"/>
      <c r="J422" s="49"/>
      <c r="K422" s="49"/>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53">
        <f t="shared" si="76"/>
        <v>0</v>
      </c>
    </row>
    <row r="423" spans="1:34" ht="15" customHeight="1">
      <c r="A423" s="1831" t="s">
        <v>83</v>
      </c>
      <c r="B423" s="1250">
        <f t="shared" si="75"/>
        <v>0</v>
      </c>
      <c r="C423" s="49"/>
      <c r="D423" s="18"/>
      <c r="E423" s="18"/>
      <c r="F423" s="18"/>
      <c r="G423" s="18"/>
      <c r="H423" s="18"/>
      <c r="I423" s="18"/>
      <c r="J423" s="49"/>
      <c r="K423" s="49"/>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53">
        <f t="shared" si="76"/>
        <v>0</v>
      </c>
    </row>
    <row r="424" spans="1:34" ht="15" customHeight="1">
      <c r="A424" s="1744" t="s">
        <v>84</v>
      </c>
      <c r="B424" s="28">
        <f t="shared" si="75"/>
        <v>0</v>
      </c>
      <c r="C424" s="49"/>
      <c r="D424" s="18"/>
      <c r="E424" s="18"/>
      <c r="F424" s="18"/>
      <c r="G424" s="18"/>
      <c r="H424" s="18"/>
      <c r="I424" s="18"/>
      <c r="J424" s="49"/>
      <c r="K424" s="49"/>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53">
        <f t="shared" si="76"/>
        <v>0</v>
      </c>
    </row>
    <row r="425" spans="1:34" ht="15" customHeight="1">
      <c r="A425" s="1744" t="s">
        <v>85</v>
      </c>
      <c r="B425" s="28">
        <f t="shared" si="75"/>
        <v>0</v>
      </c>
      <c r="C425" s="49"/>
      <c r="D425" s="18"/>
      <c r="E425" s="18"/>
      <c r="F425" s="18"/>
      <c r="G425" s="18"/>
      <c r="H425" s="18"/>
      <c r="I425" s="18"/>
      <c r="J425" s="49"/>
      <c r="K425" s="49"/>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53">
        <f t="shared" si="76"/>
        <v>0</v>
      </c>
    </row>
    <row r="426" spans="1:34" ht="15" customHeight="1">
      <c r="A426" s="1744" t="s">
        <v>86</v>
      </c>
      <c r="B426" s="28">
        <f t="shared" si="75"/>
        <v>2</v>
      </c>
      <c r="C426" s="49"/>
      <c r="D426" s="18"/>
      <c r="E426" s="18"/>
      <c r="F426" s="18"/>
      <c r="G426" s="18"/>
      <c r="H426" s="18"/>
      <c r="I426" s="18"/>
      <c r="J426" s="18"/>
      <c r="K426" s="18"/>
      <c r="L426" s="18"/>
      <c r="M426" s="18"/>
      <c r="N426" s="18"/>
      <c r="O426" s="18"/>
      <c r="P426" s="18"/>
      <c r="Q426" s="18"/>
      <c r="R426" s="18"/>
      <c r="S426" s="18"/>
      <c r="T426" s="18">
        <v>2</v>
      </c>
      <c r="U426" s="18"/>
      <c r="V426" s="18"/>
      <c r="W426" s="18"/>
      <c r="X426" s="18"/>
      <c r="Y426" s="18"/>
      <c r="Z426" s="18"/>
      <c r="AA426" s="18"/>
      <c r="AB426" s="18"/>
      <c r="AC426" s="18"/>
      <c r="AD426" s="18"/>
      <c r="AE426" s="53"/>
      <c r="AF426" s="18"/>
      <c r="AG426" s="53"/>
      <c r="AH426" s="53">
        <f t="shared" si="76"/>
        <v>2</v>
      </c>
    </row>
    <row r="427" spans="1:34" ht="15" customHeight="1">
      <c r="A427" s="88" t="s">
        <v>74</v>
      </c>
      <c r="B427" s="91">
        <f>SUM(B415:B426)</f>
        <v>14.958</v>
      </c>
      <c r="C427" s="46">
        <f>SUM(C415:C425)</f>
        <v>0</v>
      </c>
      <c r="D427" s="53">
        <f>SUM(D415:D425)</f>
        <v>0</v>
      </c>
      <c r="E427" s="53">
        <v>0</v>
      </c>
      <c r="F427" s="53">
        <f t="shared" ref="F427:AC427" si="77">SUM(F415:F425)</f>
        <v>0</v>
      </c>
      <c r="G427" s="53">
        <f t="shared" si="77"/>
        <v>0</v>
      </c>
      <c r="H427" s="53">
        <f t="shared" si="77"/>
        <v>0</v>
      </c>
      <c r="I427" s="53">
        <f t="shared" si="77"/>
        <v>0</v>
      </c>
      <c r="J427" s="53">
        <f t="shared" si="77"/>
        <v>0</v>
      </c>
      <c r="K427" s="53">
        <f t="shared" si="77"/>
        <v>0</v>
      </c>
      <c r="L427" s="53">
        <f t="shared" si="77"/>
        <v>0</v>
      </c>
      <c r="M427" s="53">
        <f t="shared" si="77"/>
        <v>0</v>
      </c>
      <c r="N427" s="53">
        <f t="shared" si="77"/>
        <v>0</v>
      </c>
      <c r="O427" s="53">
        <f t="shared" si="77"/>
        <v>0</v>
      </c>
      <c r="P427" s="53">
        <f t="shared" si="77"/>
        <v>11.958</v>
      </c>
      <c r="Q427" s="53">
        <f t="shared" si="77"/>
        <v>0</v>
      </c>
      <c r="R427" s="53">
        <f t="shared" si="77"/>
        <v>0</v>
      </c>
      <c r="S427" s="53">
        <f t="shared" si="77"/>
        <v>0</v>
      </c>
      <c r="T427" s="53">
        <f t="shared" si="77"/>
        <v>1</v>
      </c>
      <c r="U427" s="53">
        <f t="shared" si="77"/>
        <v>0</v>
      </c>
      <c r="V427" s="53">
        <f t="shared" si="77"/>
        <v>0</v>
      </c>
      <c r="W427" s="53">
        <f t="shared" si="77"/>
        <v>0</v>
      </c>
      <c r="X427" s="53">
        <f t="shared" si="77"/>
        <v>0</v>
      </c>
      <c r="Y427" s="53">
        <f t="shared" si="77"/>
        <v>0</v>
      </c>
      <c r="Z427" s="53">
        <f t="shared" si="77"/>
        <v>0</v>
      </c>
      <c r="AA427" s="53">
        <f t="shared" si="77"/>
        <v>0</v>
      </c>
      <c r="AB427" s="53">
        <f t="shared" si="77"/>
        <v>0</v>
      </c>
      <c r="AC427" s="53">
        <f t="shared" si="77"/>
        <v>0</v>
      </c>
      <c r="AD427" s="53">
        <v>0</v>
      </c>
      <c r="AE427" s="53">
        <f>SUM(AE415:AE425)</f>
        <v>0</v>
      </c>
      <c r="AF427" s="53">
        <f>SUM(AF415:AF425)</f>
        <v>0</v>
      </c>
      <c r="AG427" s="53">
        <f>SUM(AG415:AG425)</f>
        <v>0</v>
      </c>
      <c r="AH427" s="46">
        <f>SUM(AH415:AH426)</f>
        <v>14.958</v>
      </c>
    </row>
    <row r="428" spans="1:34">
      <c r="A428" s="1781"/>
      <c r="B428" s="1929"/>
      <c r="C428" s="1433"/>
      <c r="D428" s="1433"/>
      <c r="E428" s="1433"/>
      <c r="F428" s="1433"/>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row>
    <row r="429" spans="1:34">
      <c r="A429" s="3634" t="s">
        <v>63</v>
      </c>
      <c r="B429" s="3635"/>
      <c r="C429" s="3635"/>
      <c r="D429" s="3635"/>
      <c r="E429" s="3635"/>
      <c r="F429" s="3635"/>
      <c r="G429" s="3635"/>
      <c r="H429" s="3636"/>
      <c r="I429" s="960"/>
      <c r="J429" s="960"/>
      <c r="K429" s="960"/>
    </row>
    <row r="430" spans="1:34">
      <c r="A430" s="5" t="s">
        <v>91</v>
      </c>
      <c r="B430" s="71" t="s">
        <v>73</v>
      </c>
      <c r="C430" s="1249">
        <v>1</v>
      </c>
      <c r="D430" s="30">
        <v>2</v>
      </c>
      <c r="E430" s="30">
        <v>3</v>
      </c>
      <c r="F430" s="30">
        <v>4</v>
      </c>
      <c r="G430" s="30">
        <v>5</v>
      </c>
      <c r="H430" s="30">
        <v>6</v>
      </c>
      <c r="I430" s="30">
        <v>7</v>
      </c>
      <c r="J430" s="30">
        <v>8</v>
      </c>
      <c r="K430" s="30">
        <v>9</v>
      </c>
      <c r="L430" s="30">
        <v>10</v>
      </c>
      <c r="M430" s="30">
        <v>11</v>
      </c>
      <c r="N430" s="30">
        <v>12</v>
      </c>
      <c r="O430" s="30">
        <v>13</v>
      </c>
      <c r="P430" s="30">
        <v>14</v>
      </c>
      <c r="Q430" s="30">
        <v>15</v>
      </c>
      <c r="R430" s="30">
        <v>16</v>
      </c>
      <c r="S430" s="30">
        <v>17</v>
      </c>
      <c r="T430" s="30">
        <v>18</v>
      </c>
      <c r="U430" s="30">
        <v>19</v>
      </c>
      <c r="V430" s="30">
        <v>20</v>
      </c>
      <c r="W430" s="30">
        <v>21</v>
      </c>
      <c r="X430" s="30">
        <v>22</v>
      </c>
      <c r="Y430" s="30">
        <v>23</v>
      </c>
      <c r="Z430" s="30">
        <v>24</v>
      </c>
      <c r="AA430" s="30">
        <v>25</v>
      </c>
      <c r="AB430" s="30">
        <v>26</v>
      </c>
      <c r="AC430" s="30">
        <v>27</v>
      </c>
      <c r="AD430" s="30">
        <v>28</v>
      </c>
      <c r="AE430" s="30">
        <v>29</v>
      </c>
      <c r="AF430" s="30">
        <v>30</v>
      </c>
      <c r="AG430" s="30">
        <v>31</v>
      </c>
      <c r="AH430" s="39" t="s">
        <v>74</v>
      </c>
    </row>
    <row r="431" spans="1:34">
      <c r="A431" s="1831" t="s">
        <v>75</v>
      </c>
      <c r="B431" s="1250">
        <f t="shared" ref="B431:B442" si="78">+AH431</f>
        <v>0</v>
      </c>
      <c r="C431" s="49"/>
      <c r="D431" s="49"/>
      <c r="E431" s="49"/>
      <c r="F431" s="49"/>
      <c r="G431" s="49"/>
      <c r="H431" s="49"/>
      <c r="I431" s="49"/>
      <c r="J431" s="49"/>
      <c r="K431" s="49"/>
      <c r="L431" s="49"/>
      <c r="M431" s="49"/>
      <c r="N431" s="49"/>
      <c r="O431" s="49"/>
      <c r="P431" s="49"/>
      <c r="Q431" s="49"/>
      <c r="R431" s="49"/>
      <c r="S431" s="49"/>
      <c r="T431" s="49"/>
      <c r="U431" s="49"/>
      <c r="V431" s="49"/>
      <c r="W431" s="49"/>
      <c r="X431" s="49"/>
      <c r="Y431" s="49"/>
      <c r="Z431" s="49"/>
      <c r="AA431" s="49"/>
      <c r="AB431" s="49"/>
      <c r="AC431" s="49"/>
      <c r="AD431" s="49"/>
      <c r="AE431" s="49"/>
      <c r="AF431" s="49"/>
      <c r="AG431" s="49"/>
      <c r="AH431" s="53">
        <f>SUM(C431:AG431)</f>
        <v>0</v>
      </c>
    </row>
    <row r="432" spans="1:34">
      <c r="A432" s="1831" t="s">
        <v>76</v>
      </c>
      <c r="B432" s="1250">
        <f t="shared" si="78"/>
        <v>0</v>
      </c>
      <c r="C432" s="49"/>
      <c r="D432" s="49"/>
      <c r="E432" s="49"/>
      <c r="F432" s="49"/>
      <c r="G432" s="49"/>
      <c r="H432" s="49"/>
      <c r="I432" s="49"/>
      <c r="J432" s="49"/>
      <c r="K432" s="49"/>
      <c r="L432" s="49"/>
      <c r="M432" s="49"/>
      <c r="N432" s="49"/>
      <c r="O432" s="49"/>
      <c r="P432" s="49"/>
      <c r="Q432" s="49"/>
      <c r="R432" s="49"/>
      <c r="S432" s="49"/>
      <c r="T432" s="49"/>
      <c r="U432" s="49"/>
      <c r="V432" s="49"/>
      <c r="W432" s="164"/>
      <c r="X432" s="49"/>
      <c r="Y432" s="49"/>
      <c r="Z432" s="49"/>
      <c r="AA432" s="49"/>
      <c r="AB432" s="49"/>
      <c r="AC432" s="49"/>
      <c r="AD432" s="49"/>
      <c r="AE432" s="49"/>
      <c r="AF432" s="49"/>
      <c r="AG432" s="49"/>
      <c r="AH432" s="53">
        <f t="shared" ref="AH432:AH442" si="79">SUM(C432:AG432)</f>
        <v>0</v>
      </c>
    </row>
    <row r="433" spans="1:34">
      <c r="A433" s="1831" t="s">
        <v>77</v>
      </c>
      <c r="B433" s="1250">
        <f t="shared" si="78"/>
        <v>0</v>
      </c>
      <c r="C433" s="49"/>
      <c r="D433" s="49"/>
      <c r="E433" s="49"/>
      <c r="F433" s="49"/>
      <c r="G433" s="49"/>
      <c r="H433" s="49"/>
      <c r="I433" s="49"/>
      <c r="J433" s="49"/>
      <c r="K433" s="49"/>
      <c r="L433" s="49"/>
      <c r="M433" s="49"/>
      <c r="N433" s="49"/>
      <c r="O433" s="49"/>
      <c r="P433" s="49"/>
      <c r="Q433" s="49"/>
      <c r="R433" s="49"/>
      <c r="S433" s="49"/>
      <c r="T433" s="49"/>
      <c r="U433" s="49"/>
      <c r="V433" s="49"/>
      <c r="W433" s="49"/>
      <c r="X433" s="49"/>
      <c r="Y433" s="49"/>
      <c r="Z433" s="49"/>
      <c r="AA433" s="49"/>
      <c r="AB433" s="49"/>
      <c r="AC433" s="49"/>
      <c r="AD433" s="49"/>
      <c r="AE433" s="49"/>
      <c r="AF433" s="49"/>
      <c r="AG433" s="49"/>
      <c r="AH433" s="53">
        <f t="shared" si="79"/>
        <v>0</v>
      </c>
    </row>
    <row r="434" spans="1:34" ht="15" customHeight="1">
      <c r="A434" s="1831" t="s">
        <v>78</v>
      </c>
      <c r="B434" s="1250">
        <f t="shared" si="78"/>
        <v>0</v>
      </c>
      <c r="C434" s="49"/>
      <c r="D434" s="49"/>
      <c r="E434" s="49"/>
      <c r="F434" s="49"/>
      <c r="G434" s="49"/>
      <c r="H434" s="49"/>
      <c r="I434" s="49"/>
      <c r="J434" s="49"/>
      <c r="K434" s="49"/>
      <c r="L434" s="49"/>
      <c r="M434" s="49"/>
      <c r="N434" s="49"/>
      <c r="O434" s="49"/>
      <c r="P434" s="49"/>
      <c r="Q434" s="49"/>
      <c r="R434" s="49"/>
      <c r="S434" s="49"/>
      <c r="T434" s="49"/>
      <c r="U434" s="49"/>
      <c r="V434" s="49"/>
      <c r="W434" s="49"/>
      <c r="X434" s="49"/>
      <c r="Y434" s="49"/>
      <c r="Z434" s="49"/>
      <c r="AA434" s="49"/>
      <c r="AB434" s="49"/>
      <c r="AC434" s="49"/>
      <c r="AD434" s="49"/>
      <c r="AE434" s="49"/>
      <c r="AF434" s="49"/>
      <c r="AG434" s="49"/>
      <c r="AH434" s="53">
        <f t="shared" si="79"/>
        <v>0</v>
      </c>
    </row>
    <row r="435" spans="1:34" ht="15" customHeight="1">
      <c r="A435" s="1831" t="s">
        <v>79</v>
      </c>
      <c r="B435" s="1250">
        <f t="shared" si="78"/>
        <v>0</v>
      </c>
      <c r="C435" s="49"/>
      <c r="D435" s="49"/>
      <c r="E435" s="49"/>
      <c r="F435" s="49"/>
      <c r="G435" s="49"/>
      <c r="H435" s="49"/>
      <c r="I435" s="49"/>
      <c r="J435" s="49"/>
      <c r="K435" s="49"/>
      <c r="L435" s="49"/>
      <c r="M435" s="49"/>
      <c r="N435" s="49"/>
      <c r="O435" s="49"/>
      <c r="P435" s="49"/>
      <c r="Q435" s="49"/>
      <c r="R435" s="49"/>
      <c r="S435" s="49"/>
      <c r="T435" s="49"/>
      <c r="U435" s="49"/>
      <c r="V435" s="49"/>
      <c r="W435" s="49"/>
      <c r="X435" s="49"/>
      <c r="Y435" s="49"/>
      <c r="Z435" s="49"/>
      <c r="AA435" s="49"/>
      <c r="AB435" s="49"/>
      <c r="AC435" s="49"/>
      <c r="AD435" s="49"/>
      <c r="AE435" s="49"/>
      <c r="AF435" s="49"/>
      <c r="AG435" s="49"/>
      <c r="AH435" s="53">
        <f t="shared" si="79"/>
        <v>0</v>
      </c>
    </row>
    <row r="436" spans="1:34" ht="15" customHeight="1">
      <c r="A436" s="1831" t="s">
        <v>80</v>
      </c>
      <c r="B436" s="1250">
        <f t="shared" si="78"/>
        <v>0</v>
      </c>
      <c r="C436" s="49"/>
      <c r="D436" s="49"/>
      <c r="E436" s="49"/>
      <c r="F436" s="49"/>
      <c r="G436" s="49"/>
      <c r="H436" s="49"/>
      <c r="I436" s="49"/>
      <c r="J436" s="49"/>
      <c r="K436" s="49"/>
      <c r="L436" s="49"/>
      <c r="M436" s="49"/>
      <c r="N436" s="49"/>
      <c r="O436" s="49"/>
      <c r="P436" s="49"/>
      <c r="Q436" s="49"/>
      <c r="R436" s="49"/>
      <c r="S436" s="49"/>
      <c r="T436" s="49"/>
      <c r="U436" s="49"/>
      <c r="V436" s="49"/>
      <c r="W436" s="49"/>
      <c r="X436" s="49"/>
      <c r="Y436" s="49"/>
      <c r="Z436" s="49"/>
      <c r="AA436" s="49"/>
      <c r="AB436" s="49"/>
      <c r="AC436" s="49"/>
      <c r="AD436" s="49"/>
      <c r="AE436" s="49"/>
      <c r="AF436" s="49"/>
      <c r="AG436" s="49"/>
      <c r="AH436" s="53">
        <f t="shared" si="79"/>
        <v>0</v>
      </c>
    </row>
    <row r="437" spans="1:34" ht="15" customHeight="1">
      <c r="A437" s="1831" t="s">
        <v>81</v>
      </c>
      <c r="B437" s="1250">
        <f t="shared" si="78"/>
        <v>0</v>
      </c>
      <c r="C437" s="49"/>
      <c r="D437" s="18"/>
      <c r="E437" s="18"/>
      <c r="F437" s="18"/>
      <c r="G437" s="18"/>
      <c r="H437" s="18"/>
      <c r="I437" s="18"/>
      <c r="J437" s="49"/>
      <c r="K437" s="49"/>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53">
        <f t="shared" si="79"/>
        <v>0</v>
      </c>
    </row>
    <row r="438" spans="1:34" ht="15" customHeight="1">
      <c r="A438" s="1831" t="s">
        <v>82</v>
      </c>
      <c r="B438" s="1250">
        <f t="shared" si="78"/>
        <v>0</v>
      </c>
      <c r="C438" s="49"/>
      <c r="D438" s="18"/>
      <c r="E438" s="18"/>
      <c r="F438" s="18"/>
      <c r="G438" s="18"/>
      <c r="H438" s="18"/>
      <c r="I438" s="18"/>
      <c r="J438" s="49"/>
      <c r="K438" s="49"/>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53">
        <f t="shared" si="79"/>
        <v>0</v>
      </c>
    </row>
    <row r="439" spans="1:34" ht="15" customHeight="1">
      <c r="A439" s="1831" t="s">
        <v>83</v>
      </c>
      <c r="B439" s="1250">
        <f t="shared" si="78"/>
        <v>0</v>
      </c>
      <c r="C439" s="49"/>
      <c r="D439" s="18"/>
      <c r="E439" s="18"/>
      <c r="F439" s="18"/>
      <c r="G439" s="18"/>
      <c r="H439" s="18"/>
      <c r="I439" s="18"/>
      <c r="J439" s="49"/>
      <c r="K439" s="49"/>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53">
        <f t="shared" si="79"/>
        <v>0</v>
      </c>
    </row>
    <row r="440" spans="1:34" ht="15" customHeight="1">
      <c r="A440" s="1744" t="s">
        <v>84</v>
      </c>
      <c r="B440" s="1250">
        <f t="shared" si="78"/>
        <v>0</v>
      </c>
      <c r="C440" s="49"/>
      <c r="D440" s="18"/>
      <c r="E440" s="18"/>
      <c r="F440" s="18"/>
      <c r="G440" s="18"/>
      <c r="H440" s="18"/>
      <c r="I440" s="18"/>
      <c r="J440" s="49"/>
      <c r="K440" s="49"/>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53">
        <f t="shared" si="79"/>
        <v>0</v>
      </c>
    </row>
    <row r="441" spans="1:34" ht="15" customHeight="1">
      <c r="A441" s="1744" t="s">
        <v>85</v>
      </c>
      <c r="B441" s="28">
        <f t="shared" si="78"/>
        <v>0</v>
      </c>
      <c r="C441" s="49"/>
      <c r="D441" s="18"/>
      <c r="E441" s="18"/>
      <c r="F441" s="18"/>
      <c r="G441" s="18"/>
      <c r="H441" s="18"/>
      <c r="I441" s="18"/>
      <c r="J441" s="49"/>
      <c r="K441" s="49"/>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53">
        <f t="shared" si="79"/>
        <v>0</v>
      </c>
    </row>
    <row r="442" spans="1:34" ht="15" customHeight="1">
      <c r="A442" s="1744" t="s">
        <v>86</v>
      </c>
      <c r="B442" s="28">
        <f t="shared" si="78"/>
        <v>0</v>
      </c>
      <c r="C442" s="49"/>
      <c r="D442" s="18"/>
      <c r="E442" s="18"/>
      <c r="F442" s="18"/>
      <c r="G442" s="18"/>
      <c r="H442" s="18"/>
      <c r="I442" s="18"/>
      <c r="J442" s="49"/>
      <c r="K442" s="49"/>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53">
        <f t="shared" si="79"/>
        <v>0</v>
      </c>
    </row>
    <row r="443" spans="1:34" ht="15" customHeight="1">
      <c r="A443" s="88" t="s">
        <v>74</v>
      </c>
      <c r="B443" s="90">
        <f>SUM(B431:B442)</f>
        <v>0</v>
      </c>
      <c r="C443" s="46">
        <f>SUM(C431:C441)</f>
        <v>0</v>
      </c>
      <c r="D443" s="53">
        <f>SUM(D431:D441)</f>
        <v>0</v>
      </c>
      <c r="E443" s="53">
        <v>0</v>
      </c>
      <c r="F443" s="53">
        <f t="shared" ref="F443:AC443" si="80">SUM(F431:F441)</f>
        <v>0</v>
      </c>
      <c r="G443" s="53">
        <f t="shared" si="80"/>
        <v>0</v>
      </c>
      <c r="H443" s="53">
        <f t="shared" si="80"/>
        <v>0</v>
      </c>
      <c r="I443" s="53">
        <f t="shared" si="80"/>
        <v>0</v>
      </c>
      <c r="J443" s="53">
        <f t="shared" si="80"/>
        <v>0</v>
      </c>
      <c r="K443" s="53">
        <f t="shared" si="80"/>
        <v>0</v>
      </c>
      <c r="L443" s="53">
        <f t="shared" si="80"/>
        <v>0</v>
      </c>
      <c r="M443" s="53">
        <f t="shared" si="80"/>
        <v>0</v>
      </c>
      <c r="N443" s="53">
        <f t="shared" si="80"/>
        <v>0</v>
      </c>
      <c r="O443" s="53">
        <f t="shared" si="80"/>
        <v>0</v>
      </c>
      <c r="P443" s="53">
        <f t="shared" si="80"/>
        <v>0</v>
      </c>
      <c r="Q443" s="53">
        <f t="shared" si="80"/>
        <v>0</v>
      </c>
      <c r="R443" s="53">
        <f t="shared" si="80"/>
        <v>0</v>
      </c>
      <c r="S443" s="53">
        <f t="shared" si="80"/>
        <v>0</v>
      </c>
      <c r="T443" s="53">
        <f t="shared" si="80"/>
        <v>0</v>
      </c>
      <c r="U443" s="53">
        <f t="shared" si="80"/>
        <v>0</v>
      </c>
      <c r="V443" s="53">
        <f t="shared" si="80"/>
        <v>0</v>
      </c>
      <c r="W443" s="53">
        <f t="shared" si="80"/>
        <v>0</v>
      </c>
      <c r="X443" s="53">
        <f t="shared" si="80"/>
        <v>0</v>
      </c>
      <c r="Y443" s="53">
        <f t="shared" si="80"/>
        <v>0</v>
      </c>
      <c r="Z443" s="53">
        <f t="shared" si="80"/>
        <v>0</v>
      </c>
      <c r="AA443" s="53">
        <f t="shared" si="80"/>
        <v>0</v>
      </c>
      <c r="AB443" s="53">
        <f t="shared" si="80"/>
        <v>0</v>
      </c>
      <c r="AC443" s="53">
        <f t="shared" si="80"/>
        <v>0</v>
      </c>
      <c r="AD443" s="53">
        <v>0</v>
      </c>
      <c r="AE443" s="53">
        <f>SUM(AE431:AE441)</f>
        <v>0</v>
      </c>
      <c r="AF443" s="53">
        <f>SUM(AF431:AF441)</f>
        <v>0</v>
      </c>
      <c r="AG443" s="53">
        <f>SUM(AG431:AG441)</f>
        <v>0</v>
      </c>
      <c r="AH443" s="46">
        <f>SUM(AH431:AH442)</f>
        <v>0</v>
      </c>
    </row>
    <row r="444" spans="1:34" ht="5.0999999999999996" customHeight="1">
      <c r="A444" s="14"/>
      <c r="B444" s="70"/>
      <c r="C444" s="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row>
    <row r="445" spans="1:34" ht="15" customHeight="1">
      <c r="A445" s="3634" t="s">
        <v>64</v>
      </c>
      <c r="B445" s="3635"/>
      <c r="C445" s="3635"/>
      <c r="D445" s="3635"/>
      <c r="E445" s="3635"/>
      <c r="F445" s="3635"/>
      <c r="G445" s="3635"/>
      <c r="H445" s="3636"/>
      <c r="I445" s="960"/>
    </row>
    <row r="446" spans="1:34" ht="15" customHeight="1">
      <c r="A446" s="5" t="s">
        <v>91</v>
      </c>
      <c r="B446" s="71" t="s">
        <v>73</v>
      </c>
      <c r="C446" s="1249">
        <v>1</v>
      </c>
      <c r="D446" s="30">
        <v>2</v>
      </c>
      <c r="E446" s="30">
        <v>3</v>
      </c>
      <c r="F446" s="30">
        <v>4</v>
      </c>
      <c r="G446" s="30">
        <v>5</v>
      </c>
      <c r="H446" s="30">
        <v>6</v>
      </c>
      <c r="I446" s="30">
        <v>7</v>
      </c>
      <c r="J446" s="30">
        <v>8</v>
      </c>
      <c r="K446" s="30">
        <v>9</v>
      </c>
      <c r="L446" s="30">
        <v>10</v>
      </c>
      <c r="M446" s="30">
        <v>11</v>
      </c>
      <c r="N446" s="30">
        <v>12</v>
      </c>
      <c r="O446" s="30">
        <v>13</v>
      </c>
      <c r="P446" s="30">
        <v>14</v>
      </c>
      <c r="Q446" s="30">
        <v>15</v>
      </c>
      <c r="R446" s="30">
        <v>16</v>
      </c>
      <c r="S446" s="30">
        <v>17</v>
      </c>
      <c r="T446" s="30">
        <v>18</v>
      </c>
      <c r="U446" s="30">
        <v>19</v>
      </c>
      <c r="V446" s="30">
        <v>20</v>
      </c>
      <c r="W446" s="30">
        <v>21</v>
      </c>
      <c r="X446" s="30">
        <v>22</v>
      </c>
      <c r="Y446" s="30">
        <v>23</v>
      </c>
      <c r="Z446" s="30">
        <v>24</v>
      </c>
      <c r="AA446" s="30">
        <v>25</v>
      </c>
      <c r="AB446" s="30">
        <v>26</v>
      </c>
      <c r="AC446" s="30">
        <v>27</v>
      </c>
      <c r="AD446" s="30">
        <v>28</v>
      </c>
      <c r="AE446" s="30">
        <v>29</v>
      </c>
      <c r="AF446" s="30">
        <v>30</v>
      </c>
      <c r="AG446" s="30">
        <v>31</v>
      </c>
      <c r="AH446" s="39" t="s">
        <v>74</v>
      </c>
    </row>
    <row r="447" spans="1:34" ht="15" customHeight="1">
      <c r="A447" s="1831" t="s">
        <v>75</v>
      </c>
      <c r="B447" s="1250">
        <f t="shared" ref="B447:B458" si="81">+AH447</f>
        <v>0</v>
      </c>
      <c r="C447" s="49"/>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53">
        <f>SUM(C447:AG447)</f>
        <v>0</v>
      </c>
    </row>
    <row r="448" spans="1:34" ht="15" customHeight="1">
      <c r="A448" s="1831" t="s">
        <v>76</v>
      </c>
      <c r="B448" s="1250">
        <f t="shared" si="81"/>
        <v>0</v>
      </c>
      <c r="C448" s="49"/>
      <c r="D448" s="18"/>
      <c r="E448" s="18"/>
      <c r="F448" s="18"/>
      <c r="G448" s="18"/>
      <c r="H448" s="18"/>
      <c r="I448" s="18"/>
      <c r="J448" s="18"/>
      <c r="K448" s="18"/>
      <c r="L448" s="18"/>
      <c r="M448" s="18"/>
      <c r="N448" s="18"/>
      <c r="O448" s="18"/>
      <c r="P448" s="18"/>
      <c r="Q448" s="18"/>
      <c r="R448" s="18"/>
      <c r="S448" s="18"/>
      <c r="T448" s="18"/>
      <c r="U448" s="18"/>
      <c r="V448" s="49"/>
      <c r="W448" s="18"/>
      <c r="X448" s="18"/>
      <c r="Y448" s="18"/>
      <c r="Z448" s="18"/>
      <c r="AA448" s="18"/>
      <c r="AB448" s="18"/>
      <c r="AC448" s="18"/>
      <c r="AD448" s="18"/>
      <c r="AE448" s="18"/>
      <c r="AF448" s="18"/>
      <c r="AG448" s="18"/>
      <c r="AH448" s="53">
        <f t="shared" ref="AH448:AH458" si="82">SUM(C448:AG448)</f>
        <v>0</v>
      </c>
    </row>
    <row r="449" spans="1:34" ht="15" customHeight="1">
      <c r="A449" s="1831" t="s">
        <v>77</v>
      </c>
      <c r="B449" s="1250">
        <f t="shared" si="81"/>
        <v>0</v>
      </c>
      <c r="C449" s="49"/>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53">
        <f t="shared" si="82"/>
        <v>0</v>
      </c>
    </row>
    <row r="450" spans="1:34" ht="15" customHeight="1">
      <c r="A450" s="1831" t="s">
        <v>78</v>
      </c>
      <c r="B450" s="1250">
        <f t="shared" si="81"/>
        <v>0</v>
      </c>
      <c r="C450" s="49"/>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53">
        <f t="shared" si="82"/>
        <v>0</v>
      </c>
    </row>
    <row r="451" spans="1:34" ht="15" customHeight="1">
      <c r="A451" s="1831" t="s">
        <v>79</v>
      </c>
      <c r="B451" s="1250">
        <f t="shared" si="81"/>
        <v>0</v>
      </c>
      <c r="C451" s="49"/>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53">
        <f t="shared" si="82"/>
        <v>0</v>
      </c>
    </row>
    <row r="452" spans="1:34" ht="15" customHeight="1">
      <c r="A452" s="1831" t="s">
        <v>80</v>
      </c>
      <c r="B452" s="1250">
        <f t="shared" si="81"/>
        <v>0</v>
      </c>
      <c r="C452" s="49"/>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53">
        <f t="shared" si="82"/>
        <v>0</v>
      </c>
    </row>
    <row r="453" spans="1:34" ht="15" customHeight="1">
      <c r="A453" s="1831" t="s">
        <v>81</v>
      </c>
      <c r="B453" s="1250">
        <f t="shared" si="81"/>
        <v>0</v>
      </c>
      <c r="C453" s="49"/>
      <c r="D453" s="18"/>
      <c r="E453" s="18"/>
      <c r="F453" s="18"/>
      <c r="G453" s="18"/>
      <c r="H453" s="18"/>
      <c r="I453" s="18"/>
      <c r="J453" s="49"/>
      <c r="K453" s="49"/>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53">
        <f t="shared" si="82"/>
        <v>0</v>
      </c>
    </row>
    <row r="454" spans="1:34" ht="15" customHeight="1">
      <c r="A454" s="1831" t="s">
        <v>82</v>
      </c>
      <c r="B454" s="1250">
        <f t="shared" si="81"/>
        <v>0</v>
      </c>
      <c r="C454" s="49"/>
      <c r="D454" s="18"/>
      <c r="E454" s="18"/>
      <c r="F454" s="18"/>
      <c r="G454" s="18"/>
      <c r="H454" s="18"/>
      <c r="I454" s="18"/>
      <c r="J454" s="49"/>
      <c r="K454" s="49"/>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53">
        <f t="shared" si="82"/>
        <v>0</v>
      </c>
    </row>
    <row r="455" spans="1:34" ht="15" customHeight="1">
      <c r="A455" s="1831" t="s">
        <v>83</v>
      </c>
      <c r="B455" s="1250">
        <f t="shared" si="81"/>
        <v>0</v>
      </c>
      <c r="C455" s="49"/>
      <c r="D455" s="18"/>
      <c r="E455" s="18"/>
      <c r="F455" s="18"/>
      <c r="G455" s="18"/>
      <c r="H455" s="18"/>
      <c r="I455" s="18"/>
      <c r="J455" s="49"/>
      <c r="K455" s="49"/>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53">
        <f t="shared" si="82"/>
        <v>0</v>
      </c>
    </row>
    <row r="456" spans="1:34" ht="15" customHeight="1">
      <c r="A456" s="1744" t="s">
        <v>84</v>
      </c>
      <c r="B456" s="28">
        <f t="shared" si="81"/>
        <v>0</v>
      </c>
      <c r="C456" s="49"/>
      <c r="D456" s="18"/>
      <c r="E456" s="18"/>
      <c r="F456" s="18"/>
      <c r="G456" s="18"/>
      <c r="H456" s="18"/>
      <c r="I456" s="18"/>
      <c r="J456" s="49"/>
      <c r="K456" s="49"/>
      <c r="L456" s="18"/>
      <c r="M456" s="18"/>
      <c r="N456" s="18"/>
      <c r="O456" s="18"/>
      <c r="P456" s="18"/>
      <c r="Q456" s="18"/>
      <c r="R456" s="18"/>
      <c r="S456" s="18"/>
      <c r="T456" s="18"/>
      <c r="U456" s="18"/>
      <c r="V456" s="18"/>
      <c r="W456" s="18"/>
      <c r="X456" s="18"/>
      <c r="Y456" s="18"/>
      <c r="Z456" s="18"/>
      <c r="AA456" s="18"/>
      <c r="AB456" s="18"/>
      <c r="AC456" s="18"/>
      <c r="AD456" s="18"/>
      <c r="AE456" s="18"/>
      <c r="AF456" s="18"/>
      <c r="AG456" s="53"/>
      <c r="AH456" s="53">
        <f t="shared" si="82"/>
        <v>0</v>
      </c>
    </row>
    <row r="457" spans="1:34" ht="15" customHeight="1">
      <c r="A457" s="1744" t="s">
        <v>85</v>
      </c>
      <c r="B457" s="28">
        <f t="shared" si="81"/>
        <v>0</v>
      </c>
      <c r="C457" s="49"/>
      <c r="D457" s="18"/>
      <c r="E457" s="18"/>
      <c r="F457" s="18"/>
      <c r="G457" s="18"/>
      <c r="H457" s="18"/>
      <c r="I457" s="18"/>
      <c r="J457" s="49"/>
      <c r="K457" s="49"/>
      <c r="L457" s="18"/>
      <c r="M457" s="18"/>
      <c r="N457" s="18"/>
      <c r="O457" s="18"/>
      <c r="P457" s="18"/>
      <c r="Q457" s="18"/>
      <c r="R457" s="18"/>
      <c r="S457" s="18"/>
      <c r="T457" s="18"/>
      <c r="U457" s="18"/>
      <c r="V457" s="18"/>
      <c r="W457" s="18"/>
      <c r="X457" s="18"/>
      <c r="Y457" s="18"/>
      <c r="Z457" s="18"/>
      <c r="AA457" s="18"/>
      <c r="AB457" s="18"/>
      <c r="AC457" s="18"/>
      <c r="AD457" s="18"/>
      <c r="AE457" s="18"/>
      <c r="AF457" s="18"/>
      <c r="AG457" s="53"/>
      <c r="AH457" s="53">
        <f t="shared" si="82"/>
        <v>0</v>
      </c>
    </row>
    <row r="458" spans="1:34" ht="15" customHeight="1">
      <c r="A458" s="1744" t="s">
        <v>86</v>
      </c>
      <c r="B458" s="28">
        <f t="shared" si="81"/>
        <v>7.3570000000000002</v>
      </c>
      <c r="C458" s="49"/>
      <c r="D458" s="49"/>
      <c r="E458" s="49"/>
      <c r="F458" s="49"/>
      <c r="G458" s="49">
        <v>1.2</v>
      </c>
      <c r="H458" s="49"/>
      <c r="I458" s="49"/>
      <c r="J458" s="49"/>
      <c r="K458" s="49"/>
      <c r="L458" s="49"/>
      <c r="M458" s="49"/>
      <c r="N458" s="49">
        <v>6.157</v>
      </c>
      <c r="O458" s="18"/>
      <c r="P458" s="18"/>
      <c r="Q458" s="18"/>
      <c r="R458" s="18"/>
      <c r="S458" s="18"/>
      <c r="T458" s="18"/>
      <c r="U458" s="18"/>
      <c r="V458" s="18"/>
      <c r="W458" s="18"/>
      <c r="X458" s="18"/>
      <c r="Y458" s="18"/>
      <c r="Z458" s="18"/>
      <c r="AA458" s="18"/>
      <c r="AB458" s="18"/>
      <c r="AC458" s="18"/>
      <c r="AD458" s="18"/>
      <c r="AE458" s="53"/>
      <c r="AF458" s="18"/>
      <c r="AG458" s="53"/>
      <c r="AH458" s="53">
        <f t="shared" si="82"/>
        <v>7.3570000000000002</v>
      </c>
    </row>
    <row r="459" spans="1:34" ht="15" customHeight="1">
      <c r="A459" s="88" t="s">
        <v>74</v>
      </c>
      <c r="B459" s="90">
        <f>SUM(B447:B458)</f>
        <v>7.3570000000000002</v>
      </c>
      <c r="C459" s="46">
        <f>SUM(C447:C457)</f>
        <v>0</v>
      </c>
      <c r="D459" s="53">
        <f>SUM(D447:D457)</f>
        <v>0</v>
      </c>
      <c r="E459" s="53">
        <v>0</v>
      </c>
      <c r="F459" s="53">
        <f t="shared" ref="F459:AC459" si="83">SUM(F447:F457)</f>
        <v>0</v>
      </c>
      <c r="G459" s="53">
        <f t="shared" si="83"/>
        <v>0</v>
      </c>
      <c r="H459" s="53">
        <f t="shared" si="83"/>
        <v>0</v>
      </c>
      <c r="I459" s="53">
        <f t="shared" si="83"/>
        <v>0</v>
      </c>
      <c r="J459" s="53">
        <f t="shared" si="83"/>
        <v>0</v>
      </c>
      <c r="K459" s="53">
        <f t="shared" si="83"/>
        <v>0</v>
      </c>
      <c r="L459" s="53">
        <f t="shared" si="83"/>
        <v>0</v>
      </c>
      <c r="M459" s="53">
        <f t="shared" si="83"/>
        <v>0</v>
      </c>
      <c r="N459" s="53">
        <f t="shared" si="83"/>
        <v>0</v>
      </c>
      <c r="O459" s="53">
        <f t="shared" si="83"/>
        <v>0</v>
      </c>
      <c r="P459" s="53">
        <f t="shared" si="83"/>
        <v>0</v>
      </c>
      <c r="Q459" s="53">
        <f t="shared" si="83"/>
        <v>0</v>
      </c>
      <c r="R459" s="53">
        <f t="shared" si="83"/>
        <v>0</v>
      </c>
      <c r="S459" s="53">
        <f t="shared" si="83"/>
        <v>0</v>
      </c>
      <c r="T459" s="53">
        <f t="shared" si="83"/>
        <v>0</v>
      </c>
      <c r="U459" s="53">
        <f t="shared" si="83"/>
        <v>0</v>
      </c>
      <c r="V459" s="53">
        <f t="shared" si="83"/>
        <v>0</v>
      </c>
      <c r="W459" s="53">
        <f t="shared" si="83"/>
        <v>0</v>
      </c>
      <c r="X459" s="53">
        <f t="shared" si="83"/>
        <v>0</v>
      </c>
      <c r="Y459" s="53">
        <f t="shared" si="83"/>
        <v>0</v>
      </c>
      <c r="Z459" s="53">
        <f t="shared" si="83"/>
        <v>0</v>
      </c>
      <c r="AA459" s="53">
        <f t="shared" si="83"/>
        <v>0</v>
      </c>
      <c r="AB459" s="53">
        <f t="shared" si="83"/>
        <v>0</v>
      </c>
      <c r="AC459" s="53">
        <f t="shared" si="83"/>
        <v>0</v>
      </c>
      <c r="AD459" s="53">
        <v>0</v>
      </c>
      <c r="AE459" s="53">
        <f>SUM(AE447:AE457)</f>
        <v>0</v>
      </c>
      <c r="AF459" s="53">
        <f>SUM(AF447:AF457)</f>
        <v>0</v>
      </c>
      <c r="AG459" s="53">
        <f>SUM(AG447:AG457)</f>
        <v>0</v>
      </c>
      <c r="AH459" s="46">
        <f>SUM(AH447:AH458)</f>
        <v>7.3570000000000002</v>
      </c>
    </row>
    <row r="460" spans="1:34" ht="5.0999999999999996" customHeight="1">
      <c r="A460" s="14"/>
      <c r="B460" s="14"/>
      <c r="C460" s="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
    </row>
    <row r="461" spans="1:34">
      <c r="A461" s="3634" t="s">
        <v>530</v>
      </c>
      <c r="B461" s="3635"/>
      <c r="C461" s="3635"/>
      <c r="D461" s="3635"/>
      <c r="E461" s="3635"/>
      <c r="F461" s="3635"/>
      <c r="G461" s="3635"/>
      <c r="H461" s="3636"/>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row>
    <row r="462" spans="1:34">
      <c r="A462" s="5" t="s">
        <v>91</v>
      </c>
      <c r="B462" s="5" t="s">
        <v>73</v>
      </c>
      <c r="C462" s="1249">
        <v>1</v>
      </c>
      <c r="D462" s="30">
        <v>2</v>
      </c>
      <c r="E462" s="30">
        <v>3</v>
      </c>
      <c r="F462" s="30">
        <v>4</v>
      </c>
      <c r="G462" s="30">
        <v>5</v>
      </c>
      <c r="H462" s="30">
        <v>6</v>
      </c>
      <c r="I462" s="30">
        <v>7</v>
      </c>
      <c r="J462" s="30">
        <v>8</v>
      </c>
      <c r="K462" s="30">
        <v>9</v>
      </c>
      <c r="L462" s="30">
        <v>10</v>
      </c>
      <c r="M462" s="30">
        <v>11</v>
      </c>
      <c r="N462" s="30">
        <v>12</v>
      </c>
      <c r="O462" s="30">
        <v>13</v>
      </c>
      <c r="P462" s="30">
        <v>14</v>
      </c>
      <c r="Q462" s="30">
        <v>15</v>
      </c>
      <c r="R462" s="30">
        <v>16</v>
      </c>
      <c r="S462" s="30">
        <v>17</v>
      </c>
      <c r="T462" s="30">
        <v>18</v>
      </c>
      <c r="U462" s="30">
        <v>19</v>
      </c>
      <c r="V462" s="30">
        <v>20</v>
      </c>
      <c r="W462" s="30">
        <v>21</v>
      </c>
      <c r="X462" s="30">
        <v>22</v>
      </c>
      <c r="Y462" s="30">
        <v>23</v>
      </c>
      <c r="Z462" s="30">
        <v>24</v>
      </c>
      <c r="AA462" s="30">
        <v>25</v>
      </c>
      <c r="AB462" s="30">
        <v>26</v>
      </c>
      <c r="AC462" s="30">
        <v>27</v>
      </c>
      <c r="AD462" s="30">
        <v>28</v>
      </c>
      <c r="AE462" s="30">
        <v>29</v>
      </c>
      <c r="AF462" s="30">
        <v>30</v>
      </c>
      <c r="AG462" s="30">
        <v>31</v>
      </c>
      <c r="AH462" s="39" t="s">
        <v>74</v>
      </c>
    </row>
    <row r="463" spans="1:34">
      <c r="A463" s="1831" t="s">
        <v>75</v>
      </c>
      <c r="B463" s="1287">
        <f t="shared" ref="B463:B474" si="84">+AH463</f>
        <v>0</v>
      </c>
      <c r="C463" s="49"/>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53">
        <f>SUM(C463:AG463)</f>
        <v>0</v>
      </c>
    </row>
    <row r="464" spans="1:34">
      <c r="A464" s="1831" t="s">
        <v>76</v>
      </c>
      <c r="B464" s="1287">
        <f t="shared" si="84"/>
        <v>0</v>
      </c>
      <c r="C464" s="49"/>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53">
        <f t="shared" ref="AH464:AH474" si="85">SUM(C464:AG464)</f>
        <v>0</v>
      </c>
    </row>
    <row r="465" spans="1:34">
      <c r="A465" s="1831" t="s">
        <v>77</v>
      </c>
      <c r="B465" s="1287">
        <f t="shared" si="84"/>
        <v>0</v>
      </c>
      <c r="C465" s="49"/>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53">
        <f t="shared" si="85"/>
        <v>0</v>
      </c>
    </row>
    <row r="466" spans="1:34">
      <c r="A466" s="1831" t="s">
        <v>78</v>
      </c>
      <c r="B466" s="1287">
        <f t="shared" si="84"/>
        <v>0</v>
      </c>
      <c r="C466" s="49"/>
      <c r="D466" s="18"/>
      <c r="E466" s="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53">
        <f t="shared" si="85"/>
        <v>0</v>
      </c>
    </row>
    <row r="467" spans="1:34">
      <c r="A467" s="1831" t="s">
        <v>79</v>
      </c>
      <c r="B467" s="1287">
        <f t="shared" si="84"/>
        <v>0</v>
      </c>
      <c r="C467" s="49"/>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53">
        <f t="shared" si="85"/>
        <v>0</v>
      </c>
    </row>
    <row r="468" spans="1:34">
      <c r="A468" s="1831" t="s">
        <v>80</v>
      </c>
      <c r="B468" s="1287">
        <f t="shared" si="84"/>
        <v>0</v>
      </c>
      <c r="C468" s="49"/>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53">
        <f t="shared" si="85"/>
        <v>0</v>
      </c>
    </row>
    <row r="469" spans="1:34">
      <c r="A469" s="1831" t="s">
        <v>81</v>
      </c>
      <c r="B469" s="1287">
        <f t="shared" si="84"/>
        <v>0</v>
      </c>
      <c r="C469" s="49"/>
      <c r="D469" s="18"/>
      <c r="E469" s="18"/>
      <c r="F469" s="18"/>
      <c r="G469" s="18"/>
      <c r="H469" s="18"/>
      <c r="I469" s="18"/>
      <c r="J469" s="49"/>
      <c r="K469" s="49"/>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53">
        <f t="shared" si="85"/>
        <v>0</v>
      </c>
    </row>
    <row r="470" spans="1:34">
      <c r="A470" s="1831" t="s">
        <v>82</v>
      </c>
      <c r="B470" s="1287">
        <f t="shared" si="84"/>
        <v>0</v>
      </c>
      <c r="C470" s="49"/>
      <c r="D470" s="18"/>
      <c r="E470" s="18"/>
      <c r="F470" s="18"/>
      <c r="G470" s="18"/>
      <c r="H470" s="18"/>
      <c r="I470" s="18"/>
      <c r="J470" s="49"/>
      <c r="K470" s="49"/>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53">
        <f t="shared" si="85"/>
        <v>0</v>
      </c>
    </row>
    <row r="471" spans="1:34">
      <c r="A471" s="1831" t="s">
        <v>83</v>
      </c>
      <c r="B471" s="1287">
        <f t="shared" si="84"/>
        <v>0</v>
      </c>
      <c r="C471" s="49"/>
      <c r="D471" s="18"/>
      <c r="E471" s="18"/>
      <c r="F471" s="18"/>
      <c r="G471" s="18"/>
      <c r="H471" s="18"/>
      <c r="I471" s="18"/>
      <c r="J471" s="49"/>
      <c r="K471" s="49"/>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53">
        <f t="shared" si="85"/>
        <v>0</v>
      </c>
    </row>
    <row r="472" spans="1:34">
      <c r="A472" s="1744" t="s">
        <v>84</v>
      </c>
      <c r="B472" s="18">
        <f t="shared" si="84"/>
        <v>0</v>
      </c>
      <c r="C472" s="49"/>
      <c r="D472" s="53"/>
      <c r="E472" s="53"/>
      <c r="F472" s="53"/>
      <c r="G472" s="18"/>
      <c r="H472" s="18"/>
      <c r="I472" s="18"/>
      <c r="J472" s="18"/>
      <c r="K472" s="18"/>
      <c r="L472" s="18"/>
      <c r="M472" s="18"/>
      <c r="N472" s="18"/>
      <c r="O472" s="53"/>
      <c r="P472" s="18"/>
      <c r="Q472" s="18"/>
      <c r="R472" s="18"/>
      <c r="S472" s="18"/>
      <c r="T472" s="18"/>
      <c r="U472" s="18"/>
      <c r="V472" s="18"/>
      <c r="W472" s="18"/>
      <c r="X472" s="18"/>
      <c r="Y472" s="18"/>
      <c r="Z472" s="18"/>
      <c r="AA472" s="18"/>
      <c r="AB472" s="18"/>
      <c r="AC472" s="18"/>
      <c r="AD472" s="18"/>
      <c r="AE472" s="53"/>
      <c r="AF472" s="18"/>
      <c r="AG472" s="53"/>
      <c r="AH472" s="53">
        <f t="shared" si="85"/>
        <v>0</v>
      </c>
    </row>
    <row r="473" spans="1:34">
      <c r="A473" s="1744" t="s">
        <v>85</v>
      </c>
      <c r="B473" s="18">
        <f t="shared" si="84"/>
        <v>0</v>
      </c>
      <c r="C473" s="49"/>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49"/>
      <c r="AF473" s="18"/>
      <c r="AG473" s="18"/>
      <c r="AH473" s="53">
        <f t="shared" si="85"/>
        <v>0</v>
      </c>
    </row>
    <row r="474" spans="1:34">
      <c r="A474" s="1744" t="s">
        <v>86</v>
      </c>
      <c r="B474" s="18">
        <f t="shared" si="84"/>
        <v>0</v>
      </c>
      <c r="C474" s="49"/>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49"/>
      <c r="AF474" s="18"/>
      <c r="AG474" s="18"/>
      <c r="AH474" s="53">
        <f t="shared" si="85"/>
        <v>0</v>
      </c>
    </row>
    <row r="475" spans="1:34">
      <c r="A475" s="88" t="s">
        <v>74</v>
      </c>
      <c r="B475" s="89">
        <f>SUM(B463:B474)</f>
        <v>0</v>
      </c>
      <c r="C475" s="46">
        <f>SUM(C463:C473)</f>
        <v>0</v>
      </c>
      <c r="D475" s="53">
        <f>SUM(D463:D473)</f>
        <v>0</v>
      </c>
      <c r="E475" s="53">
        <v>0</v>
      </c>
      <c r="F475" s="53">
        <f t="shared" ref="F475:AC475" si="86">SUM(F463:F473)</f>
        <v>0</v>
      </c>
      <c r="G475" s="53">
        <f t="shared" si="86"/>
        <v>0</v>
      </c>
      <c r="H475" s="53">
        <f t="shared" si="86"/>
        <v>0</v>
      </c>
      <c r="I475" s="53">
        <f t="shared" si="86"/>
        <v>0</v>
      </c>
      <c r="J475" s="53">
        <f t="shared" si="86"/>
        <v>0</v>
      </c>
      <c r="K475" s="53">
        <f t="shared" si="86"/>
        <v>0</v>
      </c>
      <c r="L475" s="53">
        <f t="shared" si="86"/>
        <v>0</v>
      </c>
      <c r="M475" s="53">
        <f t="shared" si="86"/>
        <v>0</v>
      </c>
      <c r="N475" s="53">
        <f t="shared" si="86"/>
        <v>0</v>
      </c>
      <c r="O475" s="53">
        <f t="shared" si="86"/>
        <v>0</v>
      </c>
      <c r="P475" s="53">
        <f t="shared" si="86"/>
        <v>0</v>
      </c>
      <c r="Q475" s="53">
        <f t="shared" si="86"/>
        <v>0</v>
      </c>
      <c r="R475" s="53">
        <f t="shared" si="86"/>
        <v>0</v>
      </c>
      <c r="S475" s="53">
        <f t="shared" si="86"/>
        <v>0</v>
      </c>
      <c r="T475" s="53">
        <f t="shared" si="86"/>
        <v>0</v>
      </c>
      <c r="U475" s="53">
        <f t="shared" si="86"/>
        <v>0</v>
      </c>
      <c r="V475" s="53">
        <f t="shared" si="86"/>
        <v>0</v>
      </c>
      <c r="W475" s="53">
        <f t="shared" si="86"/>
        <v>0</v>
      </c>
      <c r="X475" s="53">
        <f t="shared" si="86"/>
        <v>0</v>
      </c>
      <c r="Y475" s="53">
        <f t="shared" si="86"/>
        <v>0</v>
      </c>
      <c r="Z475" s="53">
        <f t="shared" si="86"/>
        <v>0</v>
      </c>
      <c r="AA475" s="53">
        <f t="shared" si="86"/>
        <v>0</v>
      </c>
      <c r="AB475" s="53">
        <f t="shared" si="86"/>
        <v>0</v>
      </c>
      <c r="AC475" s="53">
        <f t="shared" si="86"/>
        <v>0</v>
      </c>
      <c r="AD475" s="53">
        <v>0</v>
      </c>
      <c r="AE475" s="53">
        <f>SUM(AE463:AE473)</f>
        <v>0</v>
      </c>
      <c r="AF475" s="53">
        <f>SUM(AF463:AF473)</f>
        <v>0</v>
      </c>
      <c r="AG475" s="53">
        <f>SUM(AG463:AG473)</f>
        <v>0</v>
      </c>
      <c r="AH475" s="46">
        <f>SUM(AH463:AH473)</f>
        <v>0</v>
      </c>
    </row>
    <row r="476" spans="1:34" ht="5.0999999999999996" customHeight="1">
      <c r="A476" s="14"/>
      <c r="B476" s="14"/>
      <c r="C476" s="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
    </row>
    <row r="477" spans="1:34" ht="15" customHeight="1">
      <c r="A477" s="3585" t="s">
        <v>60</v>
      </c>
      <c r="B477" s="3586"/>
      <c r="C477" s="3586"/>
      <c r="D477" s="3586"/>
      <c r="E477" s="3586"/>
      <c r="F477" s="3586"/>
      <c r="G477" s="3586"/>
      <c r="H477" s="3587"/>
    </row>
    <row r="478" spans="1:34" ht="15" customHeight="1">
      <c r="A478" s="5" t="s">
        <v>91</v>
      </c>
      <c r="B478" s="71" t="s">
        <v>73</v>
      </c>
      <c r="C478" s="1249">
        <v>1</v>
      </c>
      <c r="D478" s="30">
        <v>2</v>
      </c>
      <c r="E478" s="30">
        <v>3</v>
      </c>
      <c r="F478" s="30">
        <v>4</v>
      </c>
      <c r="G478" s="30">
        <v>5</v>
      </c>
      <c r="H478" s="30">
        <v>6</v>
      </c>
      <c r="I478" s="30">
        <v>7</v>
      </c>
      <c r="J478" s="30">
        <v>8</v>
      </c>
      <c r="K478" s="30">
        <v>9</v>
      </c>
      <c r="L478" s="30">
        <v>10</v>
      </c>
      <c r="M478" s="30">
        <v>11</v>
      </c>
      <c r="N478" s="30">
        <v>12</v>
      </c>
      <c r="O478" s="30">
        <v>13</v>
      </c>
      <c r="P478" s="30">
        <v>14</v>
      </c>
      <c r="Q478" s="30">
        <v>15</v>
      </c>
      <c r="R478" s="30">
        <v>16</v>
      </c>
      <c r="S478" s="30">
        <v>17</v>
      </c>
      <c r="T478" s="30">
        <v>18</v>
      </c>
      <c r="U478" s="30">
        <v>19</v>
      </c>
      <c r="V478" s="30">
        <v>20</v>
      </c>
      <c r="W478" s="30">
        <v>21</v>
      </c>
      <c r="X478" s="30">
        <v>22</v>
      </c>
      <c r="Y478" s="30">
        <v>23</v>
      </c>
      <c r="Z478" s="30">
        <v>24</v>
      </c>
      <c r="AA478" s="30">
        <v>25</v>
      </c>
      <c r="AB478" s="30">
        <v>26</v>
      </c>
      <c r="AC478" s="30">
        <v>27</v>
      </c>
      <c r="AD478" s="30">
        <v>28</v>
      </c>
      <c r="AE478" s="30">
        <v>29</v>
      </c>
      <c r="AF478" s="30">
        <v>30</v>
      </c>
      <c r="AG478" s="30">
        <v>31</v>
      </c>
      <c r="AH478" s="39" t="s">
        <v>74</v>
      </c>
    </row>
    <row r="479" spans="1:34" ht="15" customHeight="1">
      <c r="A479" s="1831" t="s">
        <v>75</v>
      </c>
      <c r="B479" s="1250">
        <f t="shared" ref="B479:B490" si="87">+AH479</f>
        <v>0</v>
      </c>
      <c r="C479" s="49"/>
      <c r="D479" s="53"/>
      <c r="E479" s="53"/>
      <c r="F479" s="53"/>
      <c r="G479" s="18"/>
      <c r="H479" s="18"/>
      <c r="I479" s="18"/>
      <c r="J479" s="18"/>
      <c r="K479" s="18"/>
      <c r="L479" s="18"/>
      <c r="M479" s="18"/>
      <c r="N479" s="18"/>
      <c r="O479" s="18"/>
      <c r="P479" s="18"/>
      <c r="Q479" s="53"/>
      <c r="R479" s="18"/>
      <c r="S479" s="18"/>
      <c r="T479" s="18"/>
      <c r="U479" s="18"/>
      <c r="V479" s="53"/>
      <c r="W479" s="53"/>
      <c r="X479" s="18"/>
      <c r="Y479" s="18"/>
      <c r="Z479" s="18"/>
      <c r="AA479" s="18"/>
      <c r="AB479" s="18"/>
      <c r="AC479" s="18"/>
      <c r="AD479" s="53"/>
      <c r="AE479" s="18"/>
      <c r="AF479" s="18"/>
      <c r="AG479" s="18"/>
      <c r="AH479" s="53">
        <f>SUM(C479:AG479)</f>
        <v>0</v>
      </c>
    </row>
    <row r="480" spans="1:34" ht="15" customHeight="1">
      <c r="A480" s="1831" t="s">
        <v>76</v>
      </c>
      <c r="B480" s="1250">
        <f t="shared" si="87"/>
        <v>0</v>
      </c>
      <c r="C480" s="49"/>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53">
        <f t="shared" ref="AH480:AH490" si="88">SUM(C480:AG480)</f>
        <v>0</v>
      </c>
    </row>
    <row r="481" spans="1:34" ht="15" customHeight="1">
      <c r="A481" s="1831" t="s">
        <v>77</v>
      </c>
      <c r="B481" s="1250">
        <f t="shared" si="87"/>
        <v>29.44</v>
      </c>
      <c r="C481" s="46"/>
      <c r="D481" s="53"/>
      <c r="E481" s="53">
        <v>29.44</v>
      </c>
      <c r="F481" s="53"/>
      <c r="G481" s="53"/>
      <c r="H481" s="53"/>
      <c r="I481" s="53"/>
      <c r="J481" s="53"/>
      <c r="K481" s="53"/>
      <c r="L481" s="53"/>
      <c r="M481" s="53"/>
      <c r="N481" s="53"/>
      <c r="O481" s="53"/>
      <c r="P481" s="53"/>
      <c r="Q481" s="53"/>
      <c r="R481" s="53"/>
      <c r="S481" s="53"/>
      <c r="T481" s="53"/>
      <c r="U481" s="53"/>
      <c r="V481" s="53"/>
      <c r="W481" s="53"/>
      <c r="X481" s="53"/>
      <c r="Y481" s="53"/>
      <c r="Z481" s="53"/>
      <c r="AA481" s="53"/>
      <c r="AB481" s="53"/>
      <c r="AC481" s="53"/>
      <c r="AD481" s="53"/>
      <c r="AE481" s="53"/>
      <c r="AF481" s="53"/>
      <c r="AG481" s="53"/>
      <c r="AH481" s="53">
        <f t="shared" si="88"/>
        <v>29.44</v>
      </c>
    </row>
    <row r="482" spans="1:34" ht="15" customHeight="1">
      <c r="A482" s="1831" t="s">
        <v>78</v>
      </c>
      <c r="B482" s="1250">
        <f t="shared" si="87"/>
        <v>0.02</v>
      </c>
      <c r="C482" s="49"/>
      <c r="D482" s="53"/>
      <c r="E482" s="53"/>
      <c r="F482" s="53"/>
      <c r="G482" s="18"/>
      <c r="H482" s="18"/>
      <c r="I482" s="18"/>
      <c r="J482" s="53"/>
      <c r="K482" s="53"/>
      <c r="L482" s="3378">
        <v>0.02</v>
      </c>
      <c r="M482" s="53"/>
      <c r="N482" s="53"/>
      <c r="O482" s="53"/>
      <c r="P482" s="53"/>
      <c r="Q482" s="53"/>
      <c r="R482" s="53"/>
      <c r="S482" s="53"/>
      <c r="T482" s="53"/>
      <c r="U482" s="53"/>
      <c r="V482" s="53"/>
      <c r="W482" s="53"/>
      <c r="X482" s="53"/>
      <c r="Y482" s="53"/>
      <c r="Z482" s="53"/>
      <c r="AA482" s="53"/>
      <c r="AB482" s="53"/>
      <c r="AC482" s="53"/>
      <c r="AD482" s="53"/>
      <c r="AE482" s="53"/>
      <c r="AF482" s="53"/>
      <c r="AG482" s="53"/>
      <c r="AH482" s="53">
        <f t="shared" si="88"/>
        <v>0.02</v>
      </c>
    </row>
    <row r="483" spans="1:34" ht="15" customHeight="1">
      <c r="A483" s="1831" t="s">
        <v>79</v>
      </c>
      <c r="B483" s="1250">
        <f t="shared" si="87"/>
        <v>0</v>
      </c>
      <c r="C483" s="49"/>
      <c r="D483" s="18"/>
      <c r="E483" s="18"/>
      <c r="F483" s="18"/>
      <c r="G483" s="18"/>
      <c r="H483" s="18"/>
      <c r="I483" s="18"/>
      <c r="J483" s="53"/>
      <c r="K483" s="53"/>
      <c r="L483" s="53"/>
      <c r="M483" s="53"/>
      <c r="N483" s="53"/>
      <c r="O483" s="53"/>
      <c r="P483" s="53"/>
      <c r="Q483" s="53"/>
      <c r="R483" s="53"/>
      <c r="S483" s="53"/>
      <c r="T483" s="53"/>
      <c r="U483" s="53"/>
      <c r="V483" s="53"/>
      <c r="W483" s="53"/>
      <c r="X483" s="53"/>
      <c r="Y483" s="53"/>
      <c r="Z483" s="53"/>
      <c r="AA483" s="53"/>
      <c r="AB483" s="53"/>
      <c r="AC483" s="53"/>
      <c r="AD483" s="53"/>
      <c r="AE483" s="53"/>
      <c r="AF483" s="53"/>
      <c r="AG483" s="53"/>
      <c r="AH483" s="53">
        <f t="shared" si="88"/>
        <v>0</v>
      </c>
    </row>
    <row r="484" spans="1:34" ht="15" customHeight="1">
      <c r="A484" s="1831" t="s">
        <v>80</v>
      </c>
      <c r="B484" s="1250">
        <f t="shared" si="87"/>
        <v>0</v>
      </c>
      <c r="C484" s="46"/>
      <c r="D484" s="53"/>
      <c r="E484" s="53"/>
      <c r="F484" s="53"/>
      <c r="G484" s="53"/>
      <c r="H484" s="53"/>
      <c r="I484" s="53"/>
      <c r="J484" s="53"/>
      <c r="K484" s="53"/>
      <c r="L484" s="53"/>
      <c r="M484" s="53"/>
      <c r="N484" s="53"/>
      <c r="O484" s="53"/>
      <c r="P484" s="53"/>
      <c r="Q484" s="53"/>
      <c r="R484" s="53"/>
      <c r="S484" s="53"/>
      <c r="T484" s="53"/>
      <c r="U484" s="53"/>
      <c r="V484" s="53"/>
      <c r="W484" s="53"/>
      <c r="X484" s="53"/>
      <c r="Y484" s="53"/>
      <c r="Z484" s="53"/>
      <c r="AA484" s="53"/>
      <c r="AB484" s="53"/>
      <c r="AC484" s="53"/>
      <c r="AD484" s="53"/>
      <c r="AE484" s="53"/>
      <c r="AF484" s="53"/>
      <c r="AG484" s="53"/>
      <c r="AH484" s="53">
        <f t="shared" si="88"/>
        <v>0</v>
      </c>
    </row>
    <row r="485" spans="1:34" ht="15" customHeight="1">
      <c r="A485" s="1831" t="s">
        <v>81</v>
      </c>
      <c r="B485" s="1250">
        <f t="shared" si="87"/>
        <v>0</v>
      </c>
      <c r="C485" s="49"/>
      <c r="D485" s="53"/>
      <c r="E485" s="53"/>
      <c r="F485" s="53"/>
      <c r="G485" s="18"/>
      <c r="H485" s="18"/>
      <c r="I485" s="18"/>
      <c r="J485" s="57"/>
      <c r="K485" s="57"/>
      <c r="L485" s="53"/>
      <c r="M485" s="53"/>
      <c r="N485" s="53"/>
      <c r="O485" s="53"/>
      <c r="P485" s="53"/>
      <c r="Q485" s="53"/>
      <c r="R485" s="53"/>
      <c r="S485" s="53"/>
      <c r="T485" s="53"/>
      <c r="U485" s="53"/>
      <c r="V485" s="53"/>
      <c r="W485" s="53"/>
      <c r="X485" s="53"/>
      <c r="Y485" s="53"/>
      <c r="Z485" s="53"/>
      <c r="AA485" s="53"/>
      <c r="AB485" s="53"/>
      <c r="AC485" s="53"/>
      <c r="AD485" s="53"/>
      <c r="AE485" s="53"/>
      <c r="AF485" s="53"/>
      <c r="AG485" s="53"/>
      <c r="AH485" s="53">
        <f t="shared" si="88"/>
        <v>0</v>
      </c>
    </row>
    <row r="486" spans="1:34" ht="15" customHeight="1">
      <c r="A486" s="1831" t="s">
        <v>82</v>
      </c>
      <c r="B486" s="1250">
        <f t="shared" si="87"/>
        <v>0</v>
      </c>
      <c r="C486" s="49"/>
      <c r="D486" s="18"/>
      <c r="E486" s="18"/>
      <c r="F486" s="18"/>
      <c r="G486" s="18"/>
      <c r="H486" s="18"/>
      <c r="I486" s="18"/>
      <c r="J486" s="57"/>
      <c r="K486" s="57"/>
      <c r="L486" s="53"/>
      <c r="M486" s="53"/>
      <c r="N486" s="53"/>
      <c r="O486" s="53"/>
      <c r="P486" s="53"/>
      <c r="Q486" s="53"/>
      <c r="R486" s="53"/>
      <c r="S486" s="53"/>
      <c r="T486" s="53"/>
      <c r="U486" s="53"/>
      <c r="V486" s="53"/>
      <c r="W486" s="53"/>
      <c r="X486" s="53"/>
      <c r="Y486" s="53"/>
      <c r="Z486" s="53"/>
      <c r="AA486" s="53"/>
      <c r="AB486" s="53"/>
      <c r="AC486" s="53"/>
      <c r="AD486" s="53"/>
      <c r="AE486" s="53"/>
      <c r="AF486" s="53"/>
      <c r="AG486" s="53"/>
      <c r="AH486" s="53">
        <f t="shared" si="88"/>
        <v>0</v>
      </c>
    </row>
    <row r="487" spans="1:34" ht="15" customHeight="1">
      <c r="A487" s="1831" t="s">
        <v>83</v>
      </c>
      <c r="B487" s="1250">
        <f t="shared" si="87"/>
        <v>0</v>
      </c>
      <c r="C487" s="46"/>
      <c r="D487" s="53"/>
      <c r="E487" s="53"/>
      <c r="F487" s="53"/>
      <c r="G487" s="53"/>
      <c r="H487" s="53"/>
      <c r="I487" s="53"/>
      <c r="J487" s="57"/>
      <c r="K487" s="57"/>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53">
        <f t="shared" si="88"/>
        <v>0</v>
      </c>
    </row>
    <row r="488" spans="1:34" ht="15" customHeight="1">
      <c r="A488" s="1744" t="s">
        <v>84</v>
      </c>
      <c r="B488" s="119">
        <f t="shared" si="87"/>
        <v>0</v>
      </c>
      <c r="C488" s="49"/>
      <c r="D488" s="53"/>
      <c r="E488" s="53"/>
      <c r="F488" s="53"/>
      <c r="G488" s="18"/>
      <c r="H488" s="18"/>
      <c r="I488" s="18"/>
      <c r="J488" s="18"/>
      <c r="K488" s="18"/>
      <c r="L488" s="18"/>
      <c r="M488" s="18"/>
      <c r="N488" s="18"/>
      <c r="O488" s="53"/>
      <c r="P488" s="18"/>
      <c r="Q488" s="18"/>
      <c r="R488" s="18"/>
      <c r="S488" s="18"/>
      <c r="T488" s="18"/>
      <c r="U488" s="18"/>
      <c r="V488" s="18"/>
      <c r="W488" s="18"/>
      <c r="X488" s="18"/>
      <c r="Y488" s="18"/>
      <c r="Z488" s="18"/>
      <c r="AA488" s="18"/>
      <c r="AB488" s="18"/>
      <c r="AC488" s="18"/>
      <c r="AD488" s="18"/>
      <c r="AE488" s="53"/>
      <c r="AF488" s="18"/>
      <c r="AG488" s="53"/>
      <c r="AH488" s="53">
        <f t="shared" si="88"/>
        <v>0</v>
      </c>
    </row>
    <row r="489" spans="1:34" ht="15" customHeight="1">
      <c r="A489" s="1744" t="s">
        <v>85</v>
      </c>
      <c r="B489" s="28">
        <f t="shared" si="87"/>
        <v>0.8</v>
      </c>
      <c r="C489" s="49"/>
      <c r="D489" s="18"/>
      <c r="E489" s="18"/>
      <c r="F489" s="18"/>
      <c r="G489" s="18"/>
      <c r="H489" s="18"/>
      <c r="I489" s="18"/>
      <c r="J489" s="18"/>
      <c r="K489" s="18"/>
      <c r="L489" s="18"/>
      <c r="M489" s="18"/>
      <c r="N489" s="18"/>
      <c r="O489" s="18"/>
      <c r="P489" s="18">
        <v>0.8</v>
      </c>
      <c r="Q489" s="18"/>
      <c r="R489" s="18"/>
      <c r="S489" s="18"/>
      <c r="T489" s="18"/>
      <c r="U489" s="18"/>
      <c r="V489" s="18"/>
      <c r="W489" s="18"/>
      <c r="X489" s="18"/>
      <c r="Y489" s="18"/>
      <c r="Z489" s="18"/>
      <c r="AA489" s="18"/>
      <c r="AB489" s="18"/>
      <c r="AC489" s="18"/>
      <c r="AD489" s="18"/>
      <c r="AE489" s="53"/>
      <c r="AF489" s="18"/>
      <c r="AG489" s="53"/>
      <c r="AH489" s="53">
        <f t="shared" si="88"/>
        <v>0.8</v>
      </c>
    </row>
    <row r="490" spans="1:34" ht="15" customHeight="1">
      <c r="A490" s="1744" t="s">
        <v>86</v>
      </c>
      <c r="B490" s="28">
        <f t="shared" si="87"/>
        <v>5.5</v>
      </c>
      <c r="C490" s="49"/>
      <c r="D490" s="18"/>
      <c r="E490" s="18"/>
      <c r="F490" s="18"/>
      <c r="G490" s="18"/>
      <c r="H490" s="18"/>
      <c r="I490" s="18"/>
      <c r="J490" s="18"/>
      <c r="K490" s="18"/>
      <c r="L490" s="18">
        <v>5</v>
      </c>
      <c r="M490" s="18"/>
      <c r="N490" s="18"/>
      <c r="O490" s="18"/>
      <c r="P490" s="18"/>
      <c r="Q490" s="18"/>
      <c r="R490" s="18"/>
      <c r="S490" s="18"/>
      <c r="T490" s="18"/>
      <c r="U490" s="18"/>
      <c r="V490" s="18"/>
      <c r="W490" s="18"/>
      <c r="X490" s="18"/>
      <c r="Y490" s="18"/>
      <c r="Z490" s="18"/>
      <c r="AA490" s="18"/>
      <c r="AB490" s="18"/>
      <c r="AC490" s="18"/>
      <c r="AD490" s="18"/>
      <c r="AE490" s="53">
        <v>0.5</v>
      </c>
      <c r="AF490" s="18"/>
      <c r="AG490" s="53"/>
      <c r="AH490" s="53">
        <f t="shared" si="88"/>
        <v>5.5</v>
      </c>
    </row>
    <row r="491" spans="1:34" ht="15" customHeight="1">
      <c r="A491" s="88" t="s">
        <v>74</v>
      </c>
      <c r="B491" s="90">
        <f>SUM(B479:B490)</f>
        <v>35.760000000000005</v>
      </c>
      <c r="C491" s="46">
        <f>SUM(C479:C489)</f>
        <v>0</v>
      </c>
      <c r="D491" s="53">
        <f>SUM(D479:D489)</f>
        <v>0</v>
      </c>
      <c r="E491" s="53">
        <v>0</v>
      </c>
      <c r="F491" s="53">
        <f t="shared" ref="F491:AC491" si="89">SUM(F479:F489)</f>
        <v>0</v>
      </c>
      <c r="G491" s="53">
        <f t="shared" si="89"/>
        <v>0</v>
      </c>
      <c r="H491" s="53">
        <f t="shared" si="89"/>
        <v>0</v>
      </c>
      <c r="I491" s="53">
        <f t="shared" si="89"/>
        <v>0</v>
      </c>
      <c r="J491" s="53">
        <f t="shared" si="89"/>
        <v>0</v>
      </c>
      <c r="K491" s="53">
        <f t="shared" si="89"/>
        <v>0</v>
      </c>
      <c r="L491" s="53">
        <f t="shared" si="89"/>
        <v>0.02</v>
      </c>
      <c r="M491" s="53">
        <f t="shared" si="89"/>
        <v>0</v>
      </c>
      <c r="N491" s="53">
        <f t="shared" si="89"/>
        <v>0</v>
      </c>
      <c r="O491" s="53">
        <f t="shared" si="89"/>
        <v>0</v>
      </c>
      <c r="P491" s="53">
        <f t="shared" si="89"/>
        <v>0.8</v>
      </c>
      <c r="Q491" s="53">
        <f t="shared" si="89"/>
        <v>0</v>
      </c>
      <c r="R491" s="53">
        <f t="shared" si="89"/>
        <v>0</v>
      </c>
      <c r="S491" s="53">
        <f t="shared" si="89"/>
        <v>0</v>
      </c>
      <c r="T491" s="53">
        <f t="shared" si="89"/>
        <v>0</v>
      </c>
      <c r="U491" s="53">
        <f t="shared" si="89"/>
        <v>0</v>
      </c>
      <c r="V491" s="53">
        <f t="shared" si="89"/>
        <v>0</v>
      </c>
      <c r="W491" s="53">
        <f t="shared" si="89"/>
        <v>0</v>
      </c>
      <c r="X491" s="53">
        <f t="shared" si="89"/>
        <v>0</v>
      </c>
      <c r="Y491" s="53">
        <f t="shared" si="89"/>
        <v>0</v>
      </c>
      <c r="Z491" s="53">
        <f t="shared" si="89"/>
        <v>0</v>
      </c>
      <c r="AA491" s="53">
        <f t="shared" si="89"/>
        <v>0</v>
      </c>
      <c r="AB491" s="53">
        <f t="shared" si="89"/>
        <v>0</v>
      </c>
      <c r="AC491" s="53">
        <f t="shared" si="89"/>
        <v>0</v>
      </c>
      <c r="AD491" s="53">
        <v>0</v>
      </c>
      <c r="AE491" s="53">
        <f>SUM(AE479:AE489)</f>
        <v>0</v>
      </c>
      <c r="AF491" s="53">
        <f>SUM(AF479:AF489)</f>
        <v>0</v>
      </c>
      <c r="AG491" s="53">
        <f>SUM(AG479:AG489)</f>
        <v>0</v>
      </c>
      <c r="AH491" s="46">
        <f>SUM(AH479:AH490)</f>
        <v>35.760000000000005</v>
      </c>
    </row>
    <row r="492" spans="1:34" ht="5.0999999999999996" customHeight="1">
      <c r="A492" s="14"/>
      <c r="B492" s="14"/>
      <c r="C492" s="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
    </row>
    <row r="493" spans="1:34">
      <c r="A493" s="3634" t="s">
        <v>99</v>
      </c>
      <c r="B493" s="3635"/>
      <c r="C493" s="3635"/>
      <c r="D493" s="3635"/>
      <c r="E493" s="3635"/>
      <c r="F493" s="3635"/>
      <c r="G493" s="3635"/>
      <c r="H493" s="3636"/>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row>
    <row r="494" spans="1:34">
      <c r="A494" s="5" t="s">
        <v>72</v>
      </c>
      <c r="B494" s="5" t="s">
        <v>73</v>
      </c>
      <c r="C494" s="1249">
        <v>1</v>
      </c>
      <c r="D494" s="30">
        <v>2</v>
      </c>
      <c r="E494" s="30">
        <v>3</v>
      </c>
      <c r="F494" s="30">
        <v>4</v>
      </c>
      <c r="G494" s="30">
        <v>5</v>
      </c>
      <c r="H494" s="30">
        <v>6</v>
      </c>
      <c r="I494" s="30">
        <v>7</v>
      </c>
      <c r="J494" s="30">
        <v>8</v>
      </c>
      <c r="K494" s="30">
        <v>9</v>
      </c>
      <c r="L494" s="30">
        <v>10</v>
      </c>
      <c r="M494" s="30">
        <v>11</v>
      </c>
      <c r="N494" s="30">
        <v>12</v>
      </c>
      <c r="O494" s="30">
        <v>13</v>
      </c>
      <c r="P494" s="30">
        <v>14</v>
      </c>
      <c r="Q494" s="30">
        <v>15</v>
      </c>
      <c r="R494" s="30">
        <v>16</v>
      </c>
      <c r="S494" s="30">
        <v>17</v>
      </c>
      <c r="T494" s="30">
        <v>18</v>
      </c>
      <c r="U494" s="30">
        <v>19</v>
      </c>
      <c r="V494" s="30">
        <v>20</v>
      </c>
      <c r="W494" s="30">
        <v>21</v>
      </c>
      <c r="X494" s="30">
        <v>22</v>
      </c>
      <c r="Y494" s="30">
        <v>23</v>
      </c>
      <c r="Z494" s="30">
        <v>24</v>
      </c>
      <c r="AA494" s="30">
        <v>25</v>
      </c>
      <c r="AB494" s="30">
        <v>26</v>
      </c>
      <c r="AC494" s="30">
        <v>27</v>
      </c>
      <c r="AD494" s="30">
        <v>28</v>
      </c>
      <c r="AE494" s="30">
        <v>29</v>
      </c>
      <c r="AF494" s="30">
        <v>30</v>
      </c>
      <c r="AG494" s="30">
        <v>31</v>
      </c>
      <c r="AH494" s="39" t="s">
        <v>74</v>
      </c>
    </row>
    <row r="495" spans="1:34">
      <c r="A495" s="1831" t="s">
        <v>75</v>
      </c>
      <c r="B495" s="1287">
        <f t="shared" ref="B495:B506" si="90">+AH495</f>
        <v>0</v>
      </c>
      <c r="C495" s="49"/>
      <c r="D495" s="53"/>
      <c r="E495" s="53"/>
      <c r="F495" s="53"/>
      <c r="G495" s="18"/>
      <c r="H495" s="18"/>
      <c r="I495" s="18"/>
      <c r="J495" s="18"/>
      <c r="K495" s="18"/>
      <c r="L495" s="18"/>
      <c r="M495" s="18"/>
      <c r="N495" s="18"/>
      <c r="O495" s="18"/>
      <c r="P495" s="18"/>
      <c r="Q495" s="53"/>
      <c r="R495" s="18"/>
      <c r="S495" s="18"/>
      <c r="T495" s="18"/>
      <c r="U495" s="18"/>
      <c r="V495" s="53"/>
      <c r="W495" s="53"/>
      <c r="X495" s="18"/>
      <c r="Y495" s="18"/>
      <c r="Z495" s="18"/>
      <c r="AA495" s="18"/>
      <c r="AB495" s="18"/>
      <c r="AC495" s="18"/>
      <c r="AD495" s="53"/>
      <c r="AE495" s="18"/>
      <c r="AF495" s="18"/>
      <c r="AG495" s="18"/>
      <c r="AH495" s="53">
        <f>SUM(C495:AG495)</f>
        <v>0</v>
      </c>
    </row>
    <row r="496" spans="1:34">
      <c r="A496" s="1831" t="s">
        <v>76</v>
      </c>
      <c r="B496" s="1287">
        <f t="shared" si="90"/>
        <v>0</v>
      </c>
      <c r="C496" s="49"/>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53">
        <f t="shared" ref="AH496:AH506" si="91">SUM(C496:AG496)</f>
        <v>0</v>
      </c>
    </row>
    <row r="497" spans="1:34">
      <c r="A497" s="1831" t="s">
        <v>77</v>
      </c>
      <c r="B497" s="1287">
        <f t="shared" si="90"/>
        <v>0</v>
      </c>
      <c r="C497" s="46"/>
      <c r="D497" s="53"/>
      <c r="E497" s="53"/>
      <c r="F497" s="53"/>
      <c r="G497" s="53"/>
      <c r="H497" s="53"/>
      <c r="I497" s="53"/>
      <c r="J497" s="53"/>
      <c r="K497" s="53"/>
      <c r="L497" s="53"/>
      <c r="M497" s="53"/>
      <c r="N497" s="53"/>
      <c r="O497" s="53"/>
      <c r="P497" s="53"/>
      <c r="Q497" s="53"/>
      <c r="R497" s="53"/>
      <c r="S497" s="53"/>
      <c r="T497" s="53"/>
      <c r="U497" s="53"/>
      <c r="V497" s="53"/>
      <c r="W497" s="53"/>
      <c r="X497" s="53"/>
      <c r="Y497" s="53"/>
      <c r="Z497" s="53"/>
      <c r="AA497" s="53"/>
      <c r="AB497" s="53"/>
      <c r="AC497" s="53"/>
      <c r="AD497" s="53"/>
      <c r="AE497" s="53"/>
      <c r="AF497" s="53"/>
      <c r="AG497" s="53"/>
      <c r="AH497" s="53">
        <f t="shared" si="91"/>
        <v>0</v>
      </c>
    </row>
    <row r="498" spans="1:34">
      <c r="A498" s="1831" t="s">
        <v>78</v>
      </c>
      <c r="B498" s="1287">
        <f t="shared" si="90"/>
        <v>0</v>
      </c>
      <c r="C498" s="49"/>
      <c r="D498" s="53"/>
      <c r="E498" s="53"/>
      <c r="F498" s="53"/>
      <c r="G498" s="18"/>
      <c r="H498" s="18"/>
      <c r="I498" s="18"/>
      <c r="J498" s="53"/>
      <c r="K498" s="53"/>
      <c r="L498" s="53"/>
      <c r="M498" s="53"/>
      <c r="N498" s="53"/>
      <c r="O498" s="53"/>
      <c r="P498" s="53"/>
      <c r="Q498" s="53"/>
      <c r="R498" s="53"/>
      <c r="S498" s="53"/>
      <c r="T498" s="53"/>
      <c r="U498" s="53"/>
      <c r="V498" s="53"/>
      <c r="W498" s="53"/>
      <c r="X498" s="53"/>
      <c r="Y498" s="53"/>
      <c r="Z498" s="53"/>
      <c r="AA498" s="53"/>
      <c r="AB498" s="53"/>
      <c r="AC498" s="53"/>
      <c r="AD498" s="53"/>
      <c r="AE498" s="53"/>
      <c r="AF498" s="53"/>
      <c r="AG498" s="53"/>
      <c r="AH498" s="53">
        <f t="shared" si="91"/>
        <v>0</v>
      </c>
    </row>
    <row r="499" spans="1:34">
      <c r="A499" s="1831" t="s">
        <v>79</v>
      </c>
      <c r="B499" s="1287">
        <f t="shared" si="90"/>
        <v>0</v>
      </c>
      <c r="C499" s="49"/>
      <c r="D499" s="18"/>
      <c r="E499" s="18"/>
      <c r="F499" s="18"/>
      <c r="G499" s="18"/>
      <c r="H499" s="18"/>
      <c r="I499" s="18"/>
      <c r="J499" s="53"/>
      <c r="K499" s="53"/>
      <c r="L499" s="53"/>
      <c r="M499" s="53"/>
      <c r="N499" s="53"/>
      <c r="O499" s="53"/>
      <c r="P499" s="53"/>
      <c r="Q499" s="53"/>
      <c r="R499" s="53"/>
      <c r="S499" s="53"/>
      <c r="T499" s="53"/>
      <c r="U499" s="53"/>
      <c r="V499" s="53"/>
      <c r="W499" s="53"/>
      <c r="X499" s="53"/>
      <c r="Y499" s="53"/>
      <c r="Z499" s="53"/>
      <c r="AA499" s="53"/>
      <c r="AB499" s="53"/>
      <c r="AC499" s="53"/>
      <c r="AD499" s="53"/>
      <c r="AE499" s="53"/>
      <c r="AF499" s="53"/>
      <c r="AG499" s="53"/>
      <c r="AH499" s="53">
        <f t="shared" si="91"/>
        <v>0</v>
      </c>
    </row>
    <row r="500" spans="1:34">
      <c r="A500" s="1831" t="s">
        <v>80</v>
      </c>
      <c r="B500" s="1287">
        <f t="shared" si="90"/>
        <v>0</v>
      </c>
      <c r="C500" s="46"/>
      <c r="D500" s="53"/>
      <c r="E500" s="53"/>
      <c r="F500" s="53"/>
      <c r="G500" s="53"/>
      <c r="H500" s="53"/>
      <c r="I500" s="53"/>
      <c r="J500" s="53"/>
      <c r="K500" s="53"/>
      <c r="L500" s="53"/>
      <c r="M500" s="53"/>
      <c r="N500" s="53"/>
      <c r="O500" s="53"/>
      <c r="P500" s="53"/>
      <c r="Q500" s="53"/>
      <c r="R500" s="53"/>
      <c r="S500" s="53"/>
      <c r="T500" s="53"/>
      <c r="U500" s="53"/>
      <c r="V500" s="53"/>
      <c r="W500" s="53"/>
      <c r="X500" s="53"/>
      <c r="Y500" s="53"/>
      <c r="Z500" s="53"/>
      <c r="AA500" s="53"/>
      <c r="AB500" s="53"/>
      <c r="AC500" s="53"/>
      <c r="AD500" s="53"/>
      <c r="AE500" s="53"/>
      <c r="AF500" s="53"/>
      <c r="AG500" s="53"/>
      <c r="AH500" s="53">
        <f t="shared" si="91"/>
        <v>0</v>
      </c>
    </row>
    <row r="501" spans="1:34">
      <c r="A501" s="1831" t="s">
        <v>81</v>
      </c>
      <c r="B501" s="1287">
        <f t="shared" si="90"/>
        <v>0</v>
      </c>
      <c r="C501" s="49"/>
      <c r="D501" s="53"/>
      <c r="E501" s="53"/>
      <c r="F501" s="53"/>
      <c r="G501" s="18"/>
      <c r="H501" s="18"/>
      <c r="I501" s="18"/>
      <c r="J501" s="57"/>
      <c r="K501" s="57"/>
      <c r="L501" s="53"/>
      <c r="M501" s="53"/>
      <c r="N501" s="53"/>
      <c r="O501" s="53"/>
      <c r="P501" s="53"/>
      <c r="Q501" s="53"/>
      <c r="R501" s="53"/>
      <c r="S501" s="53"/>
      <c r="T501" s="53"/>
      <c r="U501" s="53"/>
      <c r="V501" s="53"/>
      <c r="W501" s="53"/>
      <c r="X501" s="53"/>
      <c r="Y501" s="53"/>
      <c r="Z501" s="53"/>
      <c r="AA501" s="53"/>
      <c r="AB501" s="53"/>
      <c r="AC501" s="53"/>
      <c r="AD501" s="53"/>
      <c r="AE501" s="53"/>
      <c r="AF501" s="53"/>
      <c r="AG501" s="53"/>
      <c r="AH501" s="53">
        <f t="shared" si="91"/>
        <v>0</v>
      </c>
    </row>
    <row r="502" spans="1:34">
      <c r="A502" s="1831" t="s">
        <v>82</v>
      </c>
      <c r="B502" s="1287">
        <f t="shared" si="90"/>
        <v>0</v>
      </c>
      <c r="C502" s="49"/>
      <c r="D502" s="18"/>
      <c r="E502" s="18"/>
      <c r="F502" s="18"/>
      <c r="G502" s="18"/>
      <c r="H502" s="18"/>
      <c r="I502" s="18"/>
      <c r="J502" s="57"/>
      <c r="K502" s="57"/>
      <c r="L502" s="53"/>
      <c r="M502" s="53"/>
      <c r="N502" s="53"/>
      <c r="O502" s="53"/>
      <c r="P502" s="53"/>
      <c r="Q502" s="53"/>
      <c r="R502" s="53"/>
      <c r="S502" s="53"/>
      <c r="T502" s="53"/>
      <c r="U502" s="53"/>
      <c r="V502" s="53"/>
      <c r="W502" s="53"/>
      <c r="X502" s="53"/>
      <c r="Y502" s="53"/>
      <c r="Z502" s="53"/>
      <c r="AA502" s="53"/>
      <c r="AB502" s="53"/>
      <c r="AC502" s="53"/>
      <c r="AD502" s="53"/>
      <c r="AE502" s="53"/>
      <c r="AF502" s="53"/>
      <c r="AG502" s="53"/>
      <c r="AH502" s="53">
        <f t="shared" si="91"/>
        <v>0</v>
      </c>
    </row>
    <row r="503" spans="1:34">
      <c r="A503" s="1831" t="s">
        <v>83</v>
      </c>
      <c r="B503" s="1287">
        <f t="shared" si="90"/>
        <v>0</v>
      </c>
      <c r="C503" s="46"/>
      <c r="D503" s="53"/>
      <c r="E503" s="53"/>
      <c r="F503" s="53"/>
      <c r="G503" s="53"/>
      <c r="H503" s="53"/>
      <c r="I503" s="53"/>
      <c r="J503" s="57"/>
      <c r="K503" s="57"/>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53">
        <f t="shared" si="91"/>
        <v>0</v>
      </c>
    </row>
    <row r="504" spans="1:34">
      <c r="A504" s="1744" t="s">
        <v>84</v>
      </c>
      <c r="B504" s="1287">
        <f t="shared" si="90"/>
        <v>0</v>
      </c>
      <c r="C504" s="49"/>
      <c r="D504" s="53"/>
      <c r="E504" s="53"/>
      <c r="F504" s="53"/>
      <c r="G504" s="18"/>
      <c r="H504" s="18"/>
      <c r="I504" s="18"/>
      <c r="J504" s="18"/>
      <c r="K504" s="18"/>
      <c r="L504" s="18"/>
      <c r="M504" s="18"/>
      <c r="N504" s="18"/>
      <c r="O504" s="53"/>
      <c r="P504" s="18"/>
      <c r="Q504" s="18"/>
      <c r="R504" s="18"/>
      <c r="S504" s="18"/>
      <c r="T504" s="18"/>
      <c r="U504" s="18"/>
      <c r="V504" s="18"/>
      <c r="W504" s="18"/>
      <c r="X504" s="18"/>
      <c r="Y504" s="18"/>
      <c r="Z504" s="18"/>
      <c r="AA504" s="18"/>
      <c r="AB504" s="18"/>
      <c r="AC504" s="18"/>
      <c r="AD504" s="18"/>
      <c r="AE504" s="53"/>
      <c r="AF504" s="18"/>
      <c r="AG504" s="53"/>
      <c r="AH504" s="53">
        <f t="shared" si="91"/>
        <v>0</v>
      </c>
    </row>
    <row r="505" spans="1:34">
      <c r="A505" s="1744" t="s">
        <v>85</v>
      </c>
      <c r="B505" s="18">
        <f t="shared" si="90"/>
        <v>0</v>
      </c>
      <c r="C505" s="49"/>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53"/>
      <c r="AF505" s="18"/>
      <c r="AG505" s="53"/>
      <c r="AH505" s="53">
        <f t="shared" si="91"/>
        <v>0</v>
      </c>
    </row>
    <row r="506" spans="1:34">
      <c r="A506" s="1744" t="s">
        <v>86</v>
      </c>
      <c r="B506" s="18">
        <f t="shared" si="90"/>
        <v>0</v>
      </c>
      <c r="C506" s="49"/>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53"/>
      <c r="AF506" s="18"/>
      <c r="AG506" s="53"/>
      <c r="AH506" s="53">
        <f t="shared" si="91"/>
        <v>0</v>
      </c>
    </row>
    <row r="507" spans="1:34">
      <c r="A507" s="88" t="s">
        <v>74</v>
      </c>
      <c r="B507" s="89">
        <f>SUM(B495:B506)</f>
        <v>0</v>
      </c>
      <c r="C507" s="46">
        <f>SUM(C495:C505)</f>
        <v>0</v>
      </c>
      <c r="D507" s="53">
        <f>SUM(D495:D505)</f>
        <v>0</v>
      </c>
      <c r="E507" s="53">
        <v>0</v>
      </c>
      <c r="F507" s="53">
        <f t="shared" ref="F507:AC507" si="92">SUM(F495:F505)</f>
        <v>0</v>
      </c>
      <c r="G507" s="53">
        <f t="shared" si="92"/>
        <v>0</v>
      </c>
      <c r="H507" s="53">
        <f t="shared" si="92"/>
        <v>0</v>
      </c>
      <c r="I507" s="53">
        <f t="shared" si="92"/>
        <v>0</v>
      </c>
      <c r="J507" s="53">
        <f t="shared" si="92"/>
        <v>0</v>
      </c>
      <c r="K507" s="53">
        <f t="shared" si="92"/>
        <v>0</v>
      </c>
      <c r="L507" s="53">
        <f t="shared" si="92"/>
        <v>0</v>
      </c>
      <c r="M507" s="53">
        <f t="shared" si="92"/>
        <v>0</v>
      </c>
      <c r="N507" s="53">
        <f t="shared" si="92"/>
        <v>0</v>
      </c>
      <c r="O507" s="53">
        <f t="shared" si="92"/>
        <v>0</v>
      </c>
      <c r="P507" s="53">
        <f t="shared" si="92"/>
        <v>0</v>
      </c>
      <c r="Q507" s="53">
        <f t="shared" si="92"/>
        <v>0</v>
      </c>
      <c r="R507" s="53">
        <f t="shared" si="92"/>
        <v>0</v>
      </c>
      <c r="S507" s="53">
        <f t="shared" si="92"/>
        <v>0</v>
      </c>
      <c r="T507" s="53">
        <f t="shared" si="92"/>
        <v>0</v>
      </c>
      <c r="U507" s="53">
        <f t="shared" si="92"/>
        <v>0</v>
      </c>
      <c r="V507" s="53">
        <f t="shared" si="92"/>
        <v>0</v>
      </c>
      <c r="W507" s="53">
        <f t="shared" si="92"/>
        <v>0</v>
      </c>
      <c r="X507" s="53">
        <f t="shared" si="92"/>
        <v>0</v>
      </c>
      <c r="Y507" s="53">
        <f t="shared" si="92"/>
        <v>0</v>
      </c>
      <c r="Z507" s="53">
        <f t="shared" si="92"/>
        <v>0</v>
      </c>
      <c r="AA507" s="53">
        <f t="shared" si="92"/>
        <v>0</v>
      </c>
      <c r="AB507" s="53">
        <f t="shared" si="92"/>
        <v>0</v>
      </c>
      <c r="AC507" s="53">
        <f t="shared" si="92"/>
        <v>0</v>
      </c>
      <c r="AD507" s="53">
        <v>0</v>
      </c>
      <c r="AE507" s="53">
        <f>SUM(AE495:AE505)</f>
        <v>0</v>
      </c>
      <c r="AF507" s="53">
        <f>SUM(AF495:AF505)</f>
        <v>0</v>
      </c>
      <c r="AG507" s="53">
        <f>SUM(AG495:AG505)</f>
        <v>0</v>
      </c>
      <c r="AH507" s="46">
        <f>SUM(AH495:AH505)</f>
        <v>0</v>
      </c>
    </row>
    <row r="508" spans="1:34" ht="5.0999999999999996" customHeight="1">
      <c r="A508" s="14"/>
      <c r="B508" s="14"/>
      <c r="C508" s="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
    </row>
    <row r="509" spans="1:34">
      <c r="A509" s="3634" t="s">
        <v>100</v>
      </c>
      <c r="B509" s="3635"/>
      <c r="C509" s="3635"/>
      <c r="D509" s="3635"/>
      <c r="E509" s="3635"/>
      <c r="F509" s="3635"/>
      <c r="G509" s="3635"/>
      <c r="H509" s="3636"/>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row>
    <row r="510" spans="1:34">
      <c r="A510" s="5" t="s">
        <v>72</v>
      </c>
      <c r="B510" s="5" t="s">
        <v>73</v>
      </c>
      <c r="C510" s="1249">
        <v>1</v>
      </c>
      <c r="D510" s="30">
        <v>2</v>
      </c>
      <c r="E510" s="30">
        <v>3</v>
      </c>
      <c r="F510" s="30">
        <v>4</v>
      </c>
      <c r="G510" s="30">
        <v>5</v>
      </c>
      <c r="H510" s="30">
        <v>6</v>
      </c>
      <c r="I510" s="30">
        <v>7</v>
      </c>
      <c r="J510" s="30">
        <v>8</v>
      </c>
      <c r="K510" s="30">
        <v>9</v>
      </c>
      <c r="L510" s="30">
        <v>10</v>
      </c>
      <c r="M510" s="30">
        <v>11</v>
      </c>
      <c r="N510" s="30">
        <v>12</v>
      </c>
      <c r="O510" s="30">
        <v>13</v>
      </c>
      <c r="P510" s="30">
        <v>14</v>
      </c>
      <c r="Q510" s="30">
        <v>15</v>
      </c>
      <c r="R510" s="30">
        <v>16</v>
      </c>
      <c r="S510" s="30">
        <v>17</v>
      </c>
      <c r="T510" s="30">
        <v>18</v>
      </c>
      <c r="U510" s="30">
        <v>19</v>
      </c>
      <c r="V510" s="30">
        <v>20</v>
      </c>
      <c r="W510" s="30">
        <v>21</v>
      </c>
      <c r="X510" s="30">
        <v>22</v>
      </c>
      <c r="Y510" s="30">
        <v>23</v>
      </c>
      <c r="Z510" s="30">
        <v>24</v>
      </c>
      <c r="AA510" s="30">
        <v>25</v>
      </c>
      <c r="AB510" s="30">
        <v>26</v>
      </c>
      <c r="AC510" s="30">
        <v>27</v>
      </c>
      <c r="AD510" s="30">
        <v>28</v>
      </c>
      <c r="AE510" s="30">
        <v>29</v>
      </c>
      <c r="AF510" s="30">
        <v>30</v>
      </c>
      <c r="AG510" s="30">
        <v>31</v>
      </c>
      <c r="AH510" s="39" t="s">
        <v>74</v>
      </c>
    </row>
    <row r="511" spans="1:34">
      <c r="A511" s="1831" t="s">
        <v>75</v>
      </c>
      <c r="B511" s="1287">
        <f t="shared" ref="B511:B522" si="93">+AH511</f>
        <v>0</v>
      </c>
      <c r="C511" s="49"/>
      <c r="D511" s="53"/>
      <c r="E511" s="53"/>
      <c r="F511" s="53"/>
      <c r="G511" s="18"/>
      <c r="H511" s="18"/>
      <c r="I511" s="18"/>
      <c r="J511" s="18"/>
      <c r="K511" s="18"/>
      <c r="L511" s="18"/>
      <c r="M511" s="18"/>
      <c r="N511" s="18"/>
      <c r="O511" s="18"/>
      <c r="P511" s="18"/>
      <c r="Q511" s="53"/>
      <c r="R511" s="18"/>
      <c r="S511" s="18"/>
      <c r="T511" s="18"/>
      <c r="U511" s="18"/>
      <c r="V511" s="53"/>
      <c r="W511" s="53"/>
      <c r="X511" s="18"/>
      <c r="Y511" s="18"/>
      <c r="Z511" s="18"/>
      <c r="AA511" s="18"/>
      <c r="AB511" s="18"/>
      <c r="AC511" s="18"/>
      <c r="AD511" s="53"/>
      <c r="AE511" s="18"/>
      <c r="AF511" s="18"/>
      <c r="AG511" s="18"/>
      <c r="AH511" s="53">
        <f>SUM(C511:AG511)</f>
        <v>0</v>
      </c>
    </row>
    <row r="512" spans="1:34">
      <c r="A512" s="1831" t="s">
        <v>76</v>
      </c>
      <c r="B512" s="1287">
        <f t="shared" si="93"/>
        <v>0</v>
      </c>
      <c r="C512" s="49"/>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53">
        <f t="shared" ref="AH512:AH522" si="94">SUM(C512:AG512)</f>
        <v>0</v>
      </c>
    </row>
    <row r="513" spans="1:34">
      <c r="A513" s="1831" t="s">
        <v>77</v>
      </c>
      <c r="B513" s="1287">
        <f t="shared" si="93"/>
        <v>0</v>
      </c>
      <c r="C513" s="46"/>
      <c r="D513" s="53"/>
      <c r="E513" s="53"/>
      <c r="F513" s="53"/>
      <c r="G513" s="53"/>
      <c r="H513" s="53"/>
      <c r="I513" s="53"/>
      <c r="J513" s="53"/>
      <c r="K513" s="53"/>
      <c r="L513" s="53"/>
      <c r="M513" s="53"/>
      <c r="N513" s="53"/>
      <c r="O513" s="53"/>
      <c r="P513" s="53"/>
      <c r="Q513" s="53"/>
      <c r="R513" s="53"/>
      <c r="S513" s="53"/>
      <c r="T513" s="53"/>
      <c r="U513" s="53"/>
      <c r="V513" s="53"/>
      <c r="W513" s="53"/>
      <c r="X513" s="53"/>
      <c r="Y513" s="53"/>
      <c r="Z513" s="53"/>
      <c r="AA513" s="53"/>
      <c r="AB513" s="53"/>
      <c r="AC513" s="53"/>
      <c r="AD513" s="53"/>
      <c r="AE513" s="53"/>
      <c r="AF513" s="53"/>
      <c r="AG513" s="53"/>
      <c r="AH513" s="53">
        <f t="shared" si="94"/>
        <v>0</v>
      </c>
    </row>
    <row r="514" spans="1:34">
      <c r="A514" s="1831" t="s">
        <v>78</v>
      </c>
      <c r="B514" s="1287">
        <f t="shared" si="93"/>
        <v>0</v>
      </c>
      <c r="C514" s="49"/>
      <c r="D514" s="53"/>
      <c r="E514" s="53"/>
      <c r="F514" s="53"/>
      <c r="G514" s="18"/>
      <c r="H514" s="18"/>
      <c r="I514" s="18"/>
      <c r="J514" s="53"/>
      <c r="K514" s="53"/>
      <c r="L514" s="53"/>
      <c r="M514" s="53"/>
      <c r="N514" s="53"/>
      <c r="O514" s="53"/>
      <c r="P514" s="53"/>
      <c r="Q514" s="53"/>
      <c r="R514" s="53"/>
      <c r="S514" s="53"/>
      <c r="T514" s="53"/>
      <c r="U514" s="53"/>
      <c r="V514" s="53"/>
      <c r="W514" s="53"/>
      <c r="X514" s="53"/>
      <c r="Y514" s="53"/>
      <c r="Z514" s="53"/>
      <c r="AA514" s="53"/>
      <c r="AB514" s="53"/>
      <c r="AC514" s="53"/>
      <c r="AD514" s="53"/>
      <c r="AE514" s="53"/>
      <c r="AF514" s="53"/>
      <c r="AG514" s="53"/>
      <c r="AH514" s="53">
        <f t="shared" si="94"/>
        <v>0</v>
      </c>
    </row>
    <row r="515" spans="1:34">
      <c r="A515" s="1831" t="s">
        <v>79</v>
      </c>
      <c r="B515" s="1287">
        <f t="shared" si="93"/>
        <v>0</v>
      </c>
      <c r="C515" s="49"/>
      <c r="D515" s="18"/>
      <c r="E515" s="18"/>
      <c r="F515" s="18"/>
      <c r="G515" s="18"/>
      <c r="H515" s="18"/>
      <c r="I515" s="18"/>
      <c r="J515" s="53"/>
      <c r="K515" s="53"/>
      <c r="L515" s="53"/>
      <c r="M515" s="53"/>
      <c r="N515" s="53"/>
      <c r="O515" s="53"/>
      <c r="P515" s="53"/>
      <c r="Q515" s="53"/>
      <c r="R515" s="53"/>
      <c r="S515" s="53"/>
      <c r="T515" s="53"/>
      <c r="U515" s="53"/>
      <c r="V515" s="53"/>
      <c r="W515" s="53"/>
      <c r="X515" s="53"/>
      <c r="Y515" s="53"/>
      <c r="Z515" s="53"/>
      <c r="AA515" s="53"/>
      <c r="AB515" s="53"/>
      <c r="AC515" s="53"/>
      <c r="AD515" s="53"/>
      <c r="AE515" s="53"/>
      <c r="AF515" s="53"/>
      <c r="AG515" s="53"/>
      <c r="AH515" s="53">
        <f t="shared" si="94"/>
        <v>0</v>
      </c>
    </row>
    <row r="516" spans="1:34">
      <c r="A516" s="1831" t="s">
        <v>80</v>
      </c>
      <c r="B516" s="1287">
        <f t="shared" si="93"/>
        <v>0</v>
      </c>
      <c r="C516" s="46"/>
      <c r="D516" s="53"/>
      <c r="E516" s="53"/>
      <c r="F516" s="53"/>
      <c r="G516" s="53"/>
      <c r="H516" s="53"/>
      <c r="I516" s="53"/>
      <c r="J516" s="53"/>
      <c r="K516" s="53"/>
      <c r="L516" s="53"/>
      <c r="M516" s="53"/>
      <c r="N516" s="53"/>
      <c r="O516" s="53"/>
      <c r="P516" s="53"/>
      <c r="Q516" s="53"/>
      <c r="R516" s="53"/>
      <c r="S516" s="53"/>
      <c r="T516" s="53"/>
      <c r="U516" s="53"/>
      <c r="V516" s="53"/>
      <c r="W516" s="53"/>
      <c r="X516" s="53"/>
      <c r="Y516" s="53"/>
      <c r="Z516" s="53"/>
      <c r="AA516" s="53"/>
      <c r="AB516" s="53"/>
      <c r="AC516" s="53"/>
      <c r="AD516" s="53"/>
      <c r="AE516" s="53"/>
      <c r="AF516" s="53"/>
      <c r="AG516" s="53"/>
      <c r="AH516" s="53">
        <f t="shared" si="94"/>
        <v>0</v>
      </c>
    </row>
    <row r="517" spans="1:34">
      <c r="A517" s="1831" t="s">
        <v>81</v>
      </c>
      <c r="B517" s="1287">
        <f t="shared" si="93"/>
        <v>0</v>
      </c>
      <c r="C517" s="49"/>
      <c r="D517" s="53"/>
      <c r="E517" s="53"/>
      <c r="F517" s="53"/>
      <c r="G517" s="18"/>
      <c r="H517" s="18"/>
      <c r="I517" s="18"/>
      <c r="J517" s="57"/>
      <c r="K517" s="57"/>
      <c r="L517" s="53"/>
      <c r="M517" s="53"/>
      <c r="N517" s="53"/>
      <c r="O517" s="53"/>
      <c r="P517" s="53"/>
      <c r="Q517" s="53"/>
      <c r="R517" s="53"/>
      <c r="S517" s="53"/>
      <c r="T517" s="53"/>
      <c r="U517" s="53"/>
      <c r="V517" s="53"/>
      <c r="W517" s="53"/>
      <c r="X517" s="53"/>
      <c r="Y517" s="53"/>
      <c r="Z517" s="53"/>
      <c r="AA517" s="53"/>
      <c r="AB517" s="53"/>
      <c r="AC517" s="53"/>
      <c r="AD517" s="53"/>
      <c r="AE517" s="53"/>
      <c r="AF517" s="53"/>
      <c r="AG517" s="53"/>
      <c r="AH517" s="53">
        <f t="shared" si="94"/>
        <v>0</v>
      </c>
    </row>
    <row r="518" spans="1:34">
      <c r="A518" s="1831" t="s">
        <v>82</v>
      </c>
      <c r="B518" s="1287">
        <f t="shared" si="93"/>
        <v>0</v>
      </c>
      <c r="C518" s="49"/>
      <c r="D518" s="18"/>
      <c r="E518" s="18"/>
      <c r="F518" s="18"/>
      <c r="G518" s="18"/>
      <c r="H518" s="18"/>
      <c r="I518" s="18"/>
      <c r="J518" s="57"/>
      <c r="K518" s="57"/>
      <c r="L518" s="53"/>
      <c r="M518" s="53"/>
      <c r="N518" s="53"/>
      <c r="O518" s="53"/>
      <c r="P518" s="53"/>
      <c r="Q518" s="53"/>
      <c r="R518" s="53"/>
      <c r="S518" s="53"/>
      <c r="T518" s="53"/>
      <c r="U518" s="53"/>
      <c r="V518" s="53"/>
      <c r="W518" s="53"/>
      <c r="X518" s="53"/>
      <c r="Y518" s="53"/>
      <c r="Z518" s="53"/>
      <c r="AA518" s="53"/>
      <c r="AB518" s="53"/>
      <c r="AC518" s="53"/>
      <c r="AD518" s="53"/>
      <c r="AE518" s="53"/>
      <c r="AF518" s="53"/>
      <c r="AG518" s="53"/>
      <c r="AH518" s="53">
        <f t="shared" si="94"/>
        <v>0</v>
      </c>
    </row>
    <row r="519" spans="1:34">
      <c r="A519" s="1831" t="s">
        <v>83</v>
      </c>
      <c r="B519" s="1287">
        <f t="shared" si="93"/>
        <v>0</v>
      </c>
      <c r="C519" s="46"/>
      <c r="D519" s="53"/>
      <c r="E519" s="53"/>
      <c r="F519" s="53"/>
      <c r="G519" s="53"/>
      <c r="H519" s="53"/>
      <c r="I519" s="53"/>
      <c r="J519" s="57"/>
      <c r="K519" s="57"/>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53">
        <f t="shared" si="94"/>
        <v>0</v>
      </c>
    </row>
    <row r="520" spans="1:34">
      <c r="A520" s="1744" t="s">
        <v>84</v>
      </c>
      <c r="B520" s="18">
        <f t="shared" si="93"/>
        <v>0</v>
      </c>
      <c r="C520" s="49"/>
      <c r="D520" s="53"/>
      <c r="E520" s="53"/>
      <c r="F520" s="53"/>
      <c r="G520" s="18"/>
      <c r="H520" s="18"/>
      <c r="I520" s="18"/>
      <c r="J520" s="18"/>
      <c r="K520" s="18"/>
      <c r="L520" s="18"/>
      <c r="M520" s="18"/>
      <c r="N520" s="18"/>
      <c r="O520" s="53"/>
      <c r="P520" s="18"/>
      <c r="Q520" s="18"/>
      <c r="R520" s="18"/>
      <c r="S520" s="18"/>
      <c r="T520" s="18"/>
      <c r="U520" s="18"/>
      <c r="V520" s="18"/>
      <c r="W520" s="18"/>
      <c r="X520" s="18"/>
      <c r="Y520" s="18"/>
      <c r="Z520" s="18"/>
      <c r="AA520" s="18"/>
      <c r="AB520" s="18"/>
      <c r="AC520" s="18"/>
      <c r="AD520" s="18"/>
      <c r="AE520" s="53"/>
      <c r="AF520" s="18"/>
      <c r="AG520" s="53"/>
      <c r="AH520" s="53">
        <f t="shared" si="94"/>
        <v>0</v>
      </c>
    </row>
    <row r="521" spans="1:34">
      <c r="A521" s="1744" t="s">
        <v>85</v>
      </c>
      <c r="B521" s="18">
        <f t="shared" si="93"/>
        <v>0</v>
      </c>
      <c r="C521" s="49"/>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53"/>
      <c r="AF521" s="18"/>
      <c r="AG521" s="53"/>
      <c r="AH521" s="53">
        <f t="shared" si="94"/>
        <v>0</v>
      </c>
    </row>
    <row r="522" spans="1:34">
      <c r="A522" s="1744" t="s">
        <v>86</v>
      </c>
      <c r="B522" s="18">
        <f t="shared" si="93"/>
        <v>0</v>
      </c>
      <c r="C522" s="49"/>
      <c r="D522" s="18"/>
      <c r="E522" s="18"/>
      <c r="F522" s="18"/>
      <c r="G522" s="18"/>
      <c r="H522" s="18"/>
      <c r="I522" s="18"/>
      <c r="J522" s="18"/>
      <c r="K522" s="18"/>
      <c r="L522" s="18"/>
      <c r="M522" s="18"/>
      <c r="O522" s="18"/>
      <c r="P522" s="18"/>
      <c r="Q522" s="18"/>
      <c r="R522" s="18"/>
      <c r="S522" s="18"/>
      <c r="T522" s="18"/>
      <c r="U522" s="18"/>
      <c r="V522" s="18"/>
      <c r="W522" s="18"/>
      <c r="X522" s="18"/>
      <c r="Y522" s="18"/>
      <c r="Z522" s="18"/>
      <c r="AA522" s="18"/>
      <c r="AB522" s="18"/>
      <c r="AC522" s="18"/>
      <c r="AD522" s="18"/>
      <c r="AE522" s="53"/>
      <c r="AF522" s="18"/>
      <c r="AG522" s="53"/>
      <c r="AH522" s="53">
        <f t="shared" si="94"/>
        <v>0</v>
      </c>
    </row>
    <row r="523" spans="1:34">
      <c r="A523" s="88" t="s">
        <v>74</v>
      </c>
      <c r="B523" s="89">
        <f>SUM(B511:B522)</f>
        <v>0</v>
      </c>
      <c r="C523" s="46">
        <f>SUM(C511:C521)</f>
        <v>0</v>
      </c>
      <c r="D523" s="53">
        <f>SUM(D511:D521)</f>
        <v>0</v>
      </c>
      <c r="E523" s="53">
        <v>0</v>
      </c>
      <c r="F523" s="53">
        <f t="shared" ref="F523:AC523" si="95">SUM(F511:F521)</f>
        <v>0</v>
      </c>
      <c r="G523" s="53">
        <f t="shared" si="95"/>
        <v>0</v>
      </c>
      <c r="H523" s="53">
        <f t="shared" si="95"/>
        <v>0</v>
      </c>
      <c r="I523" s="53">
        <f t="shared" si="95"/>
        <v>0</v>
      </c>
      <c r="J523" s="53">
        <f t="shared" si="95"/>
        <v>0</v>
      </c>
      <c r="K523" s="53">
        <f t="shared" si="95"/>
        <v>0</v>
      </c>
      <c r="L523" s="53">
        <f t="shared" si="95"/>
        <v>0</v>
      </c>
      <c r="M523" s="53">
        <f t="shared" si="95"/>
        <v>0</v>
      </c>
      <c r="N523" s="53">
        <f t="shared" si="95"/>
        <v>0</v>
      </c>
      <c r="O523" s="53">
        <f t="shared" si="95"/>
        <v>0</v>
      </c>
      <c r="P523" s="53">
        <f t="shared" si="95"/>
        <v>0</v>
      </c>
      <c r="Q523" s="53">
        <f t="shared" si="95"/>
        <v>0</v>
      </c>
      <c r="R523" s="53">
        <f t="shared" si="95"/>
        <v>0</v>
      </c>
      <c r="S523" s="53">
        <f t="shared" si="95"/>
        <v>0</v>
      </c>
      <c r="T523" s="53">
        <f t="shared" si="95"/>
        <v>0</v>
      </c>
      <c r="U523" s="53">
        <f t="shared" si="95"/>
        <v>0</v>
      </c>
      <c r="V523" s="53">
        <f t="shared" si="95"/>
        <v>0</v>
      </c>
      <c r="W523" s="53">
        <f t="shared" si="95"/>
        <v>0</v>
      </c>
      <c r="X523" s="53">
        <f t="shared" si="95"/>
        <v>0</v>
      </c>
      <c r="Y523" s="53">
        <f t="shared" si="95"/>
        <v>0</v>
      </c>
      <c r="Z523" s="53">
        <f t="shared" si="95"/>
        <v>0</v>
      </c>
      <c r="AA523" s="53">
        <f t="shared" si="95"/>
        <v>0</v>
      </c>
      <c r="AB523" s="53">
        <f t="shared" si="95"/>
        <v>0</v>
      </c>
      <c r="AC523" s="53">
        <f t="shared" si="95"/>
        <v>0</v>
      </c>
      <c r="AD523" s="53">
        <v>0</v>
      </c>
      <c r="AE523" s="53">
        <f>SUM(AE511:AE521)</f>
        <v>0</v>
      </c>
      <c r="AF523" s="53">
        <f>SUM(AF511:AF521)</f>
        <v>0</v>
      </c>
      <c r="AG523" s="53">
        <f>SUM(AG511:AG521)</f>
        <v>0</v>
      </c>
      <c r="AH523" s="46">
        <f>SUM(AH511:AH521)</f>
        <v>0</v>
      </c>
    </row>
    <row r="525" spans="1:34" ht="15" customHeight="1">
      <c r="A525" s="3634" t="s">
        <v>123</v>
      </c>
      <c r="B525" s="3635"/>
      <c r="C525" s="3635"/>
      <c r="D525" s="3635"/>
      <c r="E525" s="3635"/>
      <c r="F525" s="3635"/>
      <c r="G525" s="3635"/>
      <c r="H525" s="3636"/>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row>
    <row r="526" spans="1:34" ht="15" customHeight="1">
      <c r="A526" s="5" t="s">
        <v>72</v>
      </c>
      <c r="B526" s="5" t="s">
        <v>73</v>
      </c>
      <c r="C526" s="1495">
        <v>1</v>
      </c>
      <c r="D526" s="30">
        <v>2</v>
      </c>
      <c r="E526" s="30">
        <v>3</v>
      </c>
      <c r="F526" s="30">
        <v>4</v>
      </c>
      <c r="G526" s="30">
        <v>5</v>
      </c>
      <c r="H526" s="30">
        <v>6</v>
      </c>
      <c r="I526" s="30">
        <v>7</v>
      </c>
      <c r="J526" s="30">
        <v>8</v>
      </c>
      <c r="K526" s="30">
        <v>9</v>
      </c>
      <c r="L526" s="30">
        <v>10</v>
      </c>
      <c r="M526" s="30">
        <v>11</v>
      </c>
      <c r="N526" s="30">
        <v>12</v>
      </c>
      <c r="O526" s="30">
        <v>13</v>
      </c>
      <c r="P526" s="30">
        <v>14</v>
      </c>
      <c r="Q526" s="30">
        <v>15</v>
      </c>
      <c r="R526" s="30">
        <v>16</v>
      </c>
      <c r="S526" s="30">
        <v>17</v>
      </c>
      <c r="T526" s="30">
        <v>18</v>
      </c>
      <c r="U526" s="30">
        <v>19</v>
      </c>
      <c r="V526" s="30">
        <v>20</v>
      </c>
      <c r="W526" s="30">
        <v>21</v>
      </c>
      <c r="X526" s="30">
        <v>22</v>
      </c>
      <c r="Y526" s="30">
        <v>23</v>
      </c>
      <c r="Z526" s="30">
        <v>24</v>
      </c>
      <c r="AA526" s="30">
        <v>25</v>
      </c>
      <c r="AB526" s="30">
        <v>26</v>
      </c>
      <c r="AC526" s="30">
        <v>27</v>
      </c>
      <c r="AD526" s="30">
        <v>28</v>
      </c>
      <c r="AE526" s="30">
        <v>29</v>
      </c>
      <c r="AF526" s="30">
        <v>30</v>
      </c>
      <c r="AG526" s="30">
        <v>31</v>
      </c>
      <c r="AH526" s="39" t="s">
        <v>74</v>
      </c>
    </row>
    <row r="527" spans="1:34" ht="15" customHeight="1">
      <c r="A527" s="1831" t="s">
        <v>75</v>
      </c>
      <c r="B527" s="1287">
        <f t="shared" ref="B527:B538" si="96">+AH527</f>
        <v>0</v>
      </c>
      <c r="C527" s="49"/>
      <c r="D527" s="53"/>
      <c r="E527" s="53"/>
      <c r="F527" s="53"/>
      <c r="G527" s="18"/>
      <c r="H527" s="18"/>
      <c r="I527" s="18"/>
      <c r="J527" s="18"/>
      <c r="K527" s="18"/>
      <c r="L527" s="18"/>
      <c r="M527" s="18"/>
      <c r="N527" s="18"/>
      <c r="O527" s="18"/>
      <c r="P527" s="18"/>
      <c r="Q527" s="53"/>
      <c r="R527" s="18"/>
      <c r="S527" s="18"/>
      <c r="T527" s="18"/>
      <c r="U527" s="18"/>
      <c r="V527" s="53"/>
      <c r="W527" s="53"/>
      <c r="X527" s="18"/>
      <c r="Y527" s="18"/>
      <c r="Z527" s="18"/>
      <c r="AA527" s="18"/>
      <c r="AB527" s="18"/>
      <c r="AC527" s="18"/>
      <c r="AD527" s="53"/>
      <c r="AE527" s="18"/>
      <c r="AF527" s="18"/>
      <c r="AG527" s="18"/>
      <c r="AH527" s="53">
        <f>SUM(C527:AG527)</f>
        <v>0</v>
      </c>
    </row>
    <row r="528" spans="1:34" ht="15" customHeight="1">
      <c r="A528" s="1831" t="s">
        <v>76</v>
      </c>
      <c r="B528" s="1287">
        <f t="shared" si="96"/>
        <v>0</v>
      </c>
      <c r="C528" s="49"/>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53">
        <f t="shared" ref="AH528:AH538" si="97">SUM(C528:AG528)</f>
        <v>0</v>
      </c>
    </row>
    <row r="529" spans="1:34" ht="15" customHeight="1">
      <c r="A529" s="1831" t="s">
        <v>77</v>
      </c>
      <c r="B529" s="1287">
        <f t="shared" si="96"/>
        <v>14</v>
      </c>
      <c r="C529" s="46"/>
      <c r="D529" s="53">
        <v>14</v>
      </c>
      <c r="E529" s="53"/>
      <c r="F529" s="53"/>
      <c r="G529" s="53"/>
      <c r="H529" s="53"/>
      <c r="I529" s="53"/>
      <c r="J529" s="53"/>
      <c r="K529" s="53"/>
      <c r="L529" s="53"/>
      <c r="M529" s="53"/>
      <c r="N529" s="53"/>
      <c r="O529" s="53"/>
      <c r="P529" s="53"/>
      <c r="Q529" s="53"/>
      <c r="R529" s="53"/>
      <c r="S529" s="53"/>
      <c r="T529" s="53"/>
      <c r="U529" s="53"/>
      <c r="V529" s="53"/>
      <c r="W529" s="53"/>
      <c r="X529" s="53"/>
      <c r="Y529" s="53"/>
      <c r="Z529" s="53"/>
      <c r="AA529" s="53"/>
      <c r="AB529" s="53"/>
      <c r="AC529" s="53"/>
      <c r="AD529" s="53"/>
      <c r="AE529" s="53"/>
      <c r="AF529" s="53"/>
      <c r="AG529" s="53"/>
      <c r="AH529" s="53">
        <f t="shared" si="97"/>
        <v>14</v>
      </c>
    </row>
    <row r="530" spans="1:34" ht="15" customHeight="1">
      <c r="A530" s="1831" t="s">
        <v>78</v>
      </c>
      <c r="B530" s="1287">
        <f t="shared" si="96"/>
        <v>0</v>
      </c>
      <c r="C530" s="49"/>
      <c r="D530" s="118"/>
      <c r="E530" s="118"/>
      <c r="F530" s="118"/>
      <c r="G530" s="112"/>
      <c r="H530" s="112"/>
      <c r="I530" s="112"/>
      <c r="J530" s="118"/>
      <c r="K530" s="118"/>
      <c r="L530" s="118"/>
      <c r="M530" s="118"/>
      <c r="N530" s="118"/>
      <c r="O530" s="118"/>
      <c r="P530" s="53"/>
      <c r="Q530" s="53"/>
      <c r="R530" s="53"/>
      <c r="S530" s="53"/>
      <c r="T530" s="53"/>
      <c r="U530" s="53"/>
      <c r="V530" s="53"/>
      <c r="W530" s="53"/>
      <c r="X530" s="53"/>
      <c r="Y530" s="53"/>
      <c r="Z530" s="53"/>
      <c r="AA530" s="53"/>
      <c r="AB530" s="53"/>
      <c r="AC530" s="53"/>
      <c r="AD530" s="53"/>
      <c r="AE530" s="53"/>
      <c r="AF530" s="53"/>
      <c r="AG530" s="53"/>
      <c r="AH530" s="53">
        <f t="shared" si="97"/>
        <v>0</v>
      </c>
    </row>
    <row r="531" spans="1:34" ht="15" customHeight="1">
      <c r="A531" s="1831" t="s">
        <v>79</v>
      </c>
      <c r="B531" s="1287">
        <f t="shared" si="96"/>
        <v>0</v>
      </c>
      <c r="C531" s="49"/>
      <c r="D531" s="18"/>
      <c r="E531" s="18"/>
      <c r="F531" s="18"/>
      <c r="G531" s="18"/>
      <c r="H531" s="18"/>
      <c r="I531" s="18"/>
      <c r="J531" s="53"/>
      <c r="K531" s="53"/>
      <c r="L531" s="53"/>
      <c r="M531" s="53"/>
      <c r="N531" s="53"/>
      <c r="O531" s="53"/>
      <c r="P531" s="53"/>
      <c r="Q531" s="53"/>
      <c r="R531" s="53"/>
      <c r="S531" s="53"/>
      <c r="T531" s="53"/>
      <c r="U531" s="53"/>
      <c r="V531" s="53"/>
      <c r="W531" s="53"/>
      <c r="X531" s="53"/>
      <c r="Y531" s="53"/>
      <c r="Z531" s="53"/>
      <c r="AA531" s="53"/>
      <c r="AB531" s="53"/>
      <c r="AC531" s="53"/>
      <c r="AD531" s="53"/>
      <c r="AE531" s="53"/>
      <c r="AF531" s="53"/>
      <c r="AG531" s="53"/>
      <c r="AH531" s="53">
        <f t="shared" si="97"/>
        <v>0</v>
      </c>
    </row>
    <row r="532" spans="1:34" ht="15" customHeight="1">
      <c r="A532" s="1831" t="s">
        <v>80</v>
      </c>
      <c r="B532" s="1287">
        <f t="shared" si="96"/>
        <v>0</v>
      </c>
      <c r="C532" s="46"/>
      <c r="D532" s="53"/>
      <c r="E532" s="53"/>
      <c r="F532" s="53"/>
      <c r="G532" s="53"/>
      <c r="H532" s="53"/>
      <c r="I532" s="53"/>
      <c r="J532" s="53"/>
      <c r="K532" s="53"/>
      <c r="L532" s="53"/>
      <c r="M532" s="53"/>
      <c r="N532" s="53"/>
      <c r="O532" s="53"/>
      <c r="P532" s="53"/>
      <c r="Q532" s="53"/>
      <c r="R532" s="53"/>
      <c r="S532" s="53"/>
      <c r="T532" s="53"/>
      <c r="U532" s="53"/>
      <c r="V532" s="53"/>
      <c r="W532" s="53"/>
      <c r="X532" s="53"/>
      <c r="Y532" s="53"/>
      <c r="Z532" s="53"/>
      <c r="AA532" s="53"/>
      <c r="AB532" s="53"/>
      <c r="AC532" s="53"/>
      <c r="AD532" s="53"/>
      <c r="AE532" s="53"/>
      <c r="AF532" s="53"/>
      <c r="AG532" s="53"/>
      <c r="AH532" s="53">
        <f t="shared" si="97"/>
        <v>0</v>
      </c>
    </row>
    <row r="533" spans="1:34" ht="15" customHeight="1">
      <c r="A533" s="1831" t="s">
        <v>81</v>
      </c>
      <c r="B533" s="1287">
        <f t="shared" si="96"/>
        <v>0</v>
      </c>
      <c r="C533" s="49"/>
      <c r="D533" s="53"/>
      <c r="E533" s="53"/>
      <c r="F533" s="53"/>
      <c r="G533" s="18"/>
      <c r="H533" s="18"/>
      <c r="I533" s="18"/>
      <c r="J533" s="57"/>
      <c r="K533" s="57"/>
      <c r="L533" s="53"/>
      <c r="M533" s="53"/>
      <c r="N533" s="53"/>
      <c r="O533" s="53"/>
      <c r="P533" s="53"/>
      <c r="Q533" s="53"/>
      <c r="R533" s="53"/>
      <c r="S533" s="53"/>
      <c r="T533" s="53"/>
      <c r="U533" s="53"/>
      <c r="V533" s="53"/>
      <c r="W533" s="53"/>
      <c r="X533" s="53"/>
      <c r="Y533" s="53"/>
      <c r="Z533" s="53"/>
      <c r="AA533" s="53"/>
      <c r="AB533" s="53"/>
      <c r="AC533" s="53"/>
      <c r="AD533" s="53"/>
      <c r="AE533" s="53"/>
      <c r="AF533" s="53"/>
      <c r="AG533" s="53"/>
      <c r="AH533" s="53">
        <f t="shared" si="97"/>
        <v>0</v>
      </c>
    </row>
    <row r="534" spans="1:34" ht="15" customHeight="1">
      <c r="A534" s="1831" t="s">
        <v>82</v>
      </c>
      <c r="B534" s="1287">
        <f t="shared" si="96"/>
        <v>0</v>
      </c>
      <c r="C534" s="49"/>
      <c r="D534" s="18"/>
      <c r="E534" s="18"/>
      <c r="F534" s="18"/>
      <c r="G534" s="18"/>
      <c r="H534" s="18"/>
      <c r="I534" s="18"/>
      <c r="J534" s="57"/>
      <c r="K534" s="57"/>
      <c r="L534" s="53"/>
      <c r="M534" s="53"/>
      <c r="N534" s="53"/>
      <c r="O534" s="53"/>
      <c r="P534" s="53"/>
      <c r="Q534" s="53"/>
      <c r="R534" s="53"/>
      <c r="S534" s="53"/>
      <c r="T534" s="53"/>
      <c r="U534" s="53"/>
      <c r="V534" s="53"/>
      <c r="W534" s="53"/>
      <c r="X534" s="53"/>
      <c r="Y534" s="53"/>
      <c r="Z534" s="53"/>
      <c r="AA534" s="53"/>
      <c r="AB534" s="53"/>
      <c r="AC534" s="53"/>
      <c r="AD534" s="53"/>
      <c r="AE534" s="53"/>
      <c r="AF534" s="53"/>
      <c r="AG534" s="53"/>
      <c r="AH534" s="53">
        <f t="shared" si="97"/>
        <v>0</v>
      </c>
    </row>
    <row r="535" spans="1:34" ht="15" customHeight="1">
      <c r="A535" s="1831" t="s">
        <v>83</v>
      </c>
      <c r="B535" s="1287">
        <f t="shared" si="96"/>
        <v>0</v>
      </c>
      <c r="C535" s="46"/>
      <c r="D535" s="53"/>
      <c r="E535" s="53"/>
      <c r="F535" s="53"/>
      <c r="G535" s="53"/>
      <c r="H535" s="53"/>
      <c r="I535" s="53"/>
      <c r="J535" s="57"/>
      <c r="K535" s="57"/>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53">
        <f t="shared" si="97"/>
        <v>0</v>
      </c>
    </row>
    <row r="536" spans="1:34" ht="15" customHeight="1">
      <c r="A536" s="1744" t="s">
        <v>84</v>
      </c>
      <c r="B536" s="1287">
        <f t="shared" si="96"/>
        <v>0</v>
      </c>
      <c r="C536" s="49"/>
      <c r="D536" s="53"/>
      <c r="E536" s="53"/>
      <c r="F536" s="53"/>
      <c r="G536" s="18"/>
      <c r="H536" s="18"/>
      <c r="I536" s="18"/>
      <c r="J536" s="18"/>
      <c r="K536" s="18"/>
      <c r="L536" s="18"/>
      <c r="M536" s="18"/>
      <c r="N536" s="18"/>
      <c r="O536" s="53"/>
      <c r="P536" s="18"/>
      <c r="Q536" s="18"/>
      <c r="R536" s="18"/>
      <c r="S536" s="18"/>
      <c r="T536" s="18"/>
      <c r="U536" s="18"/>
      <c r="V536" s="18"/>
      <c r="W536" s="18"/>
      <c r="X536" s="18"/>
      <c r="Y536" s="18"/>
      <c r="Z536" s="18"/>
      <c r="AA536" s="18"/>
      <c r="AB536" s="18"/>
      <c r="AC536" s="18"/>
      <c r="AD536" s="18"/>
      <c r="AE536" s="53"/>
      <c r="AF536" s="18"/>
      <c r="AG536" s="53"/>
      <c r="AH536" s="53">
        <f t="shared" si="97"/>
        <v>0</v>
      </c>
    </row>
    <row r="537" spans="1:34" ht="15" customHeight="1">
      <c r="A537" s="1744" t="s">
        <v>85</v>
      </c>
      <c r="B537" s="1287">
        <f t="shared" si="96"/>
        <v>0</v>
      </c>
      <c r="C537" s="49"/>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53"/>
      <c r="AF537" s="18"/>
      <c r="AG537" s="53"/>
      <c r="AH537" s="53">
        <f t="shared" si="97"/>
        <v>0</v>
      </c>
    </row>
    <row r="538" spans="1:34" ht="15" customHeight="1">
      <c r="A538" s="1744" t="s">
        <v>86</v>
      </c>
      <c r="B538" s="1287">
        <f t="shared" si="96"/>
        <v>210.3</v>
      </c>
      <c r="C538" s="49"/>
      <c r="D538" s="18"/>
      <c r="E538" s="18"/>
      <c r="F538" s="18">
        <v>7</v>
      </c>
      <c r="G538" s="18"/>
      <c r="H538" s="18"/>
      <c r="I538" s="18"/>
      <c r="J538" s="18"/>
      <c r="K538" s="18"/>
      <c r="L538" s="18"/>
      <c r="M538" s="18"/>
      <c r="N538" s="18"/>
      <c r="O538" s="18">
        <v>7</v>
      </c>
      <c r="P538" s="18">
        <v>12</v>
      </c>
      <c r="Q538" s="18">
        <v>9</v>
      </c>
      <c r="R538" s="18"/>
      <c r="S538" s="18">
        <f>15+12</f>
        <v>27</v>
      </c>
      <c r="T538" s="18"/>
      <c r="U538" s="18"/>
      <c r="V538" s="18">
        <v>17</v>
      </c>
      <c r="W538" s="18"/>
      <c r="X538" s="18">
        <v>19.5</v>
      </c>
      <c r="Y538" s="18">
        <v>15</v>
      </c>
      <c r="Z538" s="18"/>
      <c r="AA538" s="18">
        <v>12.6</v>
      </c>
      <c r="AB538" s="18"/>
      <c r="AC538" s="18"/>
      <c r="AD538" s="18"/>
      <c r="AE538" s="53">
        <v>45</v>
      </c>
      <c r="AF538" s="18">
        <v>39.200000000000003</v>
      </c>
      <c r="AG538" s="53"/>
      <c r="AH538" s="53">
        <f t="shared" si="97"/>
        <v>210.3</v>
      </c>
    </row>
    <row r="539" spans="1:34" ht="15" customHeight="1">
      <c r="A539" s="88" t="s">
        <v>74</v>
      </c>
      <c r="B539" s="89">
        <f>SUM(B527:B538)</f>
        <v>224.3</v>
      </c>
      <c r="C539" s="46">
        <f>SUM(C527:C537)</f>
        <v>0</v>
      </c>
      <c r="D539" s="53">
        <f>SUM(D527:D537)</f>
        <v>14</v>
      </c>
      <c r="E539" s="53">
        <v>0</v>
      </c>
      <c r="F539" s="53">
        <f t="shared" ref="F539:AC539" si="98">SUM(F527:F537)</f>
        <v>0</v>
      </c>
      <c r="G539" s="53">
        <f t="shared" si="98"/>
        <v>0</v>
      </c>
      <c r="H539" s="53">
        <f t="shared" si="98"/>
        <v>0</v>
      </c>
      <c r="I539" s="53">
        <f t="shared" si="98"/>
        <v>0</v>
      </c>
      <c r="J539" s="53">
        <f t="shared" si="98"/>
        <v>0</v>
      </c>
      <c r="K539" s="53">
        <f t="shared" si="98"/>
        <v>0</v>
      </c>
      <c r="L539" s="53">
        <f t="shared" si="98"/>
        <v>0</v>
      </c>
      <c r="M539" s="53">
        <f t="shared" si="98"/>
        <v>0</v>
      </c>
      <c r="N539" s="53">
        <f t="shared" si="98"/>
        <v>0</v>
      </c>
      <c r="O539" s="53">
        <f t="shared" si="98"/>
        <v>0</v>
      </c>
      <c r="P539" s="53">
        <f t="shared" si="98"/>
        <v>0</v>
      </c>
      <c r="Q539" s="53">
        <f t="shared" si="98"/>
        <v>0</v>
      </c>
      <c r="R539" s="53">
        <f t="shared" si="98"/>
        <v>0</v>
      </c>
      <c r="S539" s="53">
        <f t="shared" si="98"/>
        <v>0</v>
      </c>
      <c r="T539" s="53">
        <f t="shared" si="98"/>
        <v>0</v>
      </c>
      <c r="U539" s="53">
        <f t="shared" si="98"/>
        <v>0</v>
      </c>
      <c r="V539" s="53">
        <f t="shared" si="98"/>
        <v>0</v>
      </c>
      <c r="W539" s="53">
        <f t="shared" si="98"/>
        <v>0</v>
      </c>
      <c r="X539" s="53">
        <f t="shared" si="98"/>
        <v>0</v>
      </c>
      <c r="Y539" s="53">
        <f t="shared" si="98"/>
        <v>0</v>
      </c>
      <c r="Z539" s="53">
        <f t="shared" si="98"/>
        <v>0</v>
      </c>
      <c r="AA539" s="53">
        <f t="shared" si="98"/>
        <v>0</v>
      </c>
      <c r="AB539" s="53">
        <f t="shared" si="98"/>
        <v>0</v>
      </c>
      <c r="AC539" s="53">
        <f t="shared" si="98"/>
        <v>0</v>
      </c>
      <c r="AD539" s="53">
        <v>0</v>
      </c>
      <c r="AE539" s="53">
        <f>SUM(AE527:AE537)</f>
        <v>0</v>
      </c>
      <c r="AF539" s="53">
        <f>SUM(AF527:AF537)</f>
        <v>0</v>
      </c>
      <c r="AG539" s="53">
        <f>SUM(AG527:AG537)</f>
        <v>0</v>
      </c>
      <c r="AH539" s="46">
        <f>SUM(AH527:AH537)</f>
        <v>14</v>
      </c>
    </row>
  </sheetData>
  <mergeCells count="39">
    <mergeCell ref="A525:H525"/>
    <mergeCell ref="A363:R363"/>
    <mergeCell ref="A283:H283"/>
    <mergeCell ref="A203:H203"/>
    <mergeCell ref="A331:H331"/>
    <mergeCell ref="A235:H235"/>
    <mergeCell ref="A251:H251"/>
    <mergeCell ref="A397:J397"/>
    <mergeCell ref="A347:H347"/>
    <mergeCell ref="A219:H219"/>
    <mergeCell ref="A267:H267"/>
    <mergeCell ref="A171:H171"/>
    <mergeCell ref="A187:H187"/>
    <mergeCell ref="A299:H299"/>
    <mergeCell ref="A315:H315"/>
    <mergeCell ref="A2:T2"/>
    <mergeCell ref="A55:R55"/>
    <mergeCell ref="A73:H73"/>
    <mergeCell ref="A91:H91"/>
    <mergeCell ref="A89:R89"/>
    <mergeCell ref="A39:H39"/>
    <mergeCell ref="A5:R5"/>
    <mergeCell ref="A57:M57"/>
    <mergeCell ref="U4:AB4"/>
    <mergeCell ref="A509:H509"/>
    <mergeCell ref="A477:H477"/>
    <mergeCell ref="A365:H365"/>
    <mergeCell ref="A461:H461"/>
    <mergeCell ref="A445:H445"/>
    <mergeCell ref="A493:H493"/>
    <mergeCell ref="A429:H429"/>
    <mergeCell ref="A107:H107"/>
    <mergeCell ref="A7:H7"/>
    <mergeCell ref="A23:H23"/>
    <mergeCell ref="A155:H155"/>
    <mergeCell ref="A123:H123"/>
    <mergeCell ref="A381:H381"/>
    <mergeCell ref="A413:H413"/>
    <mergeCell ref="A139:H139"/>
  </mergeCells>
  <phoneticPr fontId="0" type="noConversion"/>
  <pageMargins left="0.75" right="0.75" top="1" bottom="1" header="0" footer="0"/>
  <pageSetup paperSize="9" orientation="portrait" r:id="rId1"/>
  <headerFooter alignWithMargins="0"/>
  <legacyDrawing r:id="rId2"/>
  <oleObjects>
    <oleObject progId="MSPhotoEd.3" shapeId="15361" r:id="rId3"/>
  </oleObjects>
</worksheet>
</file>

<file path=xl/worksheets/sheet12.xml><?xml version="1.0" encoding="utf-8"?>
<worksheet xmlns="http://schemas.openxmlformats.org/spreadsheetml/2006/main" xmlns:r="http://schemas.openxmlformats.org/officeDocument/2006/relationships">
  <sheetPr>
    <tabColor theme="6" tint="-0.499984740745262"/>
  </sheetPr>
  <dimension ref="A2:AH179"/>
  <sheetViews>
    <sheetView workbookViewId="0"/>
  </sheetViews>
  <sheetFormatPr baseColWidth="10" defaultRowHeight="11.25"/>
  <cols>
    <col min="1" max="1" width="12.5703125" style="167" customWidth="1"/>
    <col min="2" max="2" width="10.42578125" style="700" bestFit="1" customWidth="1"/>
    <col min="3" max="3" width="6.5703125" style="167" bestFit="1" customWidth="1"/>
    <col min="4" max="4" width="5.7109375" style="167" bestFit="1" customWidth="1"/>
    <col min="5" max="5" width="5.5703125" style="167" bestFit="1" customWidth="1"/>
    <col min="6" max="7" width="6.140625" style="167" bestFit="1" customWidth="1"/>
    <col min="8" max="9" width="5.5703125" style="167" bestFit="1" customWidth="1"/>
    <col min="10" max="10" width="6.5703125" style="167" bestFit="1" customWidth="1"/>
    <col min="11" max="11" width="6.140625" style="167" customWidth="1"/>
    <col min="12" max="12" width="5.5703125" style="167" bestFit="1" customWidth="1"/>
    <col min="13" max="13" width="5.7109375" style="167" bestFit="1" customWidth="1"/>
    <col min="14" max="14" width="5.5703125" style="167" bestFit="1" customWidth="1"/>
    <col min="15" max="15" width="6" style="167" customWidth="1"/>
    <col min="16" max="16" width="5.5703125" style="167" bestFit="1" customWidth="1"/>
    <col min="17" max="17" width="5.85546875" style="167" customWidth="1"/>
    <col min="18" max="18" width="7" style="167" bestFit="1" customWidth="1"/>
    <col min="19" max="19" width="6.140625" style="167" bestFit="1" customWidth="1"/>
    <col min="20" max="24" width="7.5703125" style="167" customWidth="1"/>
    <col min="25" max="33" width="9.5703125" style="167" customWidth="1"/>
    <col min="34" max="16384" width="11.42578125" style="167"/>
  </cols>
  <sheetData>
    <row r="2" spans="1:34" ht="12.75">
      <c r="A2" s="3605" t="s">
        <v>569</v>
      </c>
      <c r="B2" s="3606"/>
      <c r="C2" s="3606"/>
      <c r="D2" s="3606"/>
      <c r="E2" s="3606"/>
      <c r="F2" s="3606"/>
      <c r="G2" s="3606"/>
      <c r="H2" s="3606"/>
      <c r="I2" s="3606"/>
      <c r="J2" s="3606"/>
      <c r="K2" s="3606"/>
      <c r="L2" s="3606"/>
      <c r="M2" s="3606"/>
      <c r="N2" s="3606"/>
      <c r="O2" s="3606"/>
      <c r="P2" s="3606"/>
      <c r="Q2" s="3606"/>
      <c r="R2" s="3606"/>
      <c r="S2" s="3606"/>
      <c r="T2" s="3607"/>
      <c r="U2" s="64"/>
      <c r="V2" s="64"/>
      <c r="W2" s="64"/>
      <c r="X2" s="64"/>
      <c r="Y2" s="64"/>
      <c r="Z2" s="64"/>
      <c r="AA2" s="64"/>
      <c r="AB2" s="64"/>
      <c r="AC2" s="64"/>
      <c r="AD2" s="64"/>
      <c r="AE2" s="64"/>
      <c r="AF2" s="64"/>
      <c r="AG2" s="64"/>
      <c r="AH2" s="177"/>
    </row>
    <row r="3" spans="1:34" s="660" customFormat="1" ht="12.75">
      <c r="A3" s="656"/>
      <c r="B3" s="657"/>
      <c r="C3" s="656"/>
      <c r="D3" s="656"/>
      <c r="E3" s="656"/>
      <c r="F3" s="656"/>
      <c r="G3" s="656"/>
      <c r="H3" s="656"/>
      <c r="I3" s="656"/>
      <c r="J3" s="656"/>
      <c r="K3" s="656"/>
      <c r="L3" s="656"/>
      <c r="M3" s="656"/>
      <c r="N3" s="656"/>
      <c r="O3" s="656"/>
      <c r="P3" s="656"/>
      <c r="Q3" s="656"/>
      <c r="R3" s="656"/>
      <c r="S3" s="656"/>
      <c r="T3" s="656"/>
      <c r="U3" s="64"/>
      <c r="V3" s="64"/>
      <c r="W3" s="64"/>
      <c r="X3" s="64"/>
      <c r="Y3" s="64"/>
      <c r="Z3" s="64"/>
      <c r="AA3" s="64"/>
      <c r="AB3" s="64"/>
      <c r="AC3" s="64"/>
      <c r="AD3" s="64"/>
      <c r="AE3" s="64"/>
      <c r="AF3" s="64"/>
      <c r="AG3" s="64"/>
      <c r="AH3" s="64"/>
    </row>
    <row r="4" spans="1:34" ht="12.75">
      <c r="A4" s="177"/>
      <c r="B4" s="661"/>
      <c r="C4" s="177"/>
      <c r="D4" s="64"/>
      <c r="E4" s="64"/>
      <c r="F4" s="64"/>
      <c r="G4" s="64"/>
      <c r="H4" s="64"/>
      <c r="I4" s="64"/>
      <c r="J4" s="64"/>
      <c r="K4" s="64"/>
      <c r="L4" s="176"/>
      <c r="M4" s="64"/>
      <c r="N4" s="64"/>
      <c r="O4" s="64"/>
      <c r="P4" s="64"/>
      <c r="Q4" s="64"/>
      <c r="R4" s="64"/>
      <c r="S4" s="64"/>
      <c r="T4" s="64"/>
      <c r="U4" s="64"/>
      <c r="V4" s="64"/>
      <c r="W4" s="64"/>
      <c r="X4" s="64"/>
      <c r="Y4" s="64"/>
      <c r="Z4" s="64"/>
      <c r="AA4" s="64"/>
      <c r="AB4" s="64"/>
      <c r="AC4" s="64"/>
      <c r="AD4" s="64"/>
      <c r="AE4" s="64"/>
      <c r="AF4" s="64"/>
      <c r="AG4" s="64"/>
      <c r="AH4" s="177"/>
    </row>
    <row r="5" spans="1:34" ht="12.75">
      <c r="A5" s="3605" t="s">
        <v>71</v>
      </c>
      <c r="B5" s="3606"/>
      <c r="C5" s="3607"/>
      <c r="D5" s="64"/>
      <c r="E5" s="64"/>
      <c r="F5" s="64"/>
      <c r="G5" s="64"/>
      <c r="H5" s="64"/>
      <c r="I5" s="64"/>
      <c r="J5" s="64"/>
      <c r="K5" s="3135"/>
      <c r="L5" s="3135"/>
      <c r="M5" s="176"/>
      <c r="N5" s="64"/>
      <c r="O5" s="64"/>
      <c r="P5" s="64"/>
      <c r="Q5" s="64" t="s">
        <v>130</v>
      </c>
      <c r="R5" s="64"/>
      <c r="S5" s="64"/>
      <c r="T5" s="64"/>
      <c r="U5" s="64"/>
      <c r="V5" s="64"/>
      <c r="W5" s="64"/>
      <c r="X5" s="64"/>
      <c r="Y5" s="64"/>
      <c r="Z5" s="64"/>
      <c r="AA5" s="64"/>
      <c r="AB5" s="64"/>
      <c r="AC5" s="64"/>
      <c r="AD5" s="64"/>
      <c r="AE5" s="64"/>
      <c r="AF5" s="64"/>
      <c r="AG5" s="64"/>
      <c r="AH5" s="177"/>
    </row>
    <row r="6" spans="1:34" ht="12.75">
      <c r="A6" s="178" t="s">
        <v>72</v>
      </c>
      <c r="B6" s="189" t="s">
        <v>73</v>
      </c>
      <c r="C6" s="178">
        <v>1</v>
      </c>
      <c r="D6" s="179">
        <v>2</v>
      </c>
      <c r="E6" s="179">
        <v>3</v>
      </c>
      <c r="F6" s="179">
        <v>4</v>
      </c>
      <c r="G6" s="179">
        <v>5</v>
      </c>
      <c r="H6" s="179">
        <v>6</v>
      </c>
      <c r="I6" s="179">
        <v>7</v>
      </c>
      <c r="J6" s="179">
        <v>8</v>
      </c>
      <c r="K6" s="179">
        <v>9</v>
      </c>
      <c r="L6" s="179">
        <v>10</v>
      </c>
      <c r="M6" s="179">
        <v>11</v>
      </c>
      <c r="N6" s="179">
        <v>12</v>
      </c>
      <c r="O6" s="179">
        <v>13</v>
      </c>
      <c r="P6" s="179">
        <v>14</v>
      </c>
      <c r="Q6" s="179">
        <v>15</v>
      </c>
      <c r="R6" s="179">
        <v>16</v>
      </c>
      <c r="S6" s="179">
        <v>17</v>
      </c>
      <c r="T6" s="179">
        <v>18</v>
      </c>
      <c r="U6" s="179">
        <v>19</v>
      </c>
      <c r="V6" s="179">
        <v>20</v>
      </c>
      <c r="W6" s="179">
        <v>21</v>
      </c>
      <c r="X6" s="179">
        <v>22</v>
      </c>
      <c r="Y6" s="179">
        <v>23</v>
      </c>
      <c r="Z6" s="179">
        <v>24</v>
      </c>
      <c r="AA6" s="179">
        <v>25</v>
      </c>
      <c r="AB6" s="179">
        <v>26</v>
      </c>
      <c r="AC6" s="179">
        <v>27</v>
      </c>
      <c r="AD6" s="179">
        <v>28</v>
      </c>
      <c r="AE6" s="179">
        <v>29</v>
      </c>
      <c r="AF6" s="179">
        <v>30</v>
      </c>
      <c r="AG6" s="179">
        <v>31</v>
      </c>
      <c r="AH6" s="891" t="s">
        <v>74</v>
      </c>
    </row>
    <row r="7" spans="1:34" ht="12.75">
      <c r="A7" s="1999" t="s">
        <v>75</v>
      </c>
      <c r="B7" s="2411">
        <f t="shared" ref="B7:B18" si="0">+AH7</f>
        <v>0.25</v>
      </c>
      <c r="C7" s="1145">
        <v>0</v>
      </c>
      <c r="D7" s="1145">
        <v>0</v>
      </c>
      <c r="E7" s="1145">
        <v>0</v>
      </c>
      <c r="F7" s="1145">
        <v>0</v>
      </c>
      <c r="G7" s="1145">
        <v>0</v>
      </c>
      <c r="H7" s="1145">
        <v>0</v>
      </c>
      <c r="I7" s="1145">
        <v>0</v>
      </c>
      <c r="J7" s="1145">
        <v>0</v>
      </c>
      <c r="K7" s="3134">
        <v>0.2</v>
      </c>
      <c r="L7" s="1145">
        <v>0</v>
      </c>
      <c r="M7" s="1145">
        <v>0</v>
      </c>
      <c r="N7" s="1145">
        <v>0</v>
      </c>
      <c r="O7" s="1145">
        <v>0</v>
      </c>
      <c r="P7" s="1145">
        <v>0</v>
      </c>
      <c r="Q7" s="1145">
        <v>0</v>
      </c>
      <c r="R7" s="1145">
        <v>0</v>
      </c>
      <c r="S7" s="1145">
        <v>0</v>
      </c>
      <c r="T7" s="1145">
        <v>0</v>
      </c>
      <c r="U7" s="1145">
        <v>0</v>
      </c>
      <c r="V7" s="1145">
        <v>0.05</v>
      </c>
      <c r="W7" s="1145">
        <v>0</v>
      </c>
      <c r="X7" s="1145">
        <v>0</v>
      </c>
      <c r="Y7" s="1145">
        <v>0</v>
      </c>
      <c r="Z7" s="1145">
        <v>0</v>
      </c>
      <c r="AA7" s="1145">
        <v>0</v>
      </c>
      <c r="AB7" s="1145">
        <v>0</v>
      </c>
      <c r="AC7" s="1145">
        <v>0</v>
      </c>
      <c r="AD7" s="1145">
        <v>0</v>
      </c>
      <c r="AE7" s="1145">
        <v>0</v>
      </c>
      <c r="AF7" s="1145">
        <v>0</v>
      </c>
      <c r="AG7" s="1145">
        <v>0</v>
      </c>
      <c r="AH7" s="187">
        <f t="shared" ref="AH7:AH16" si="1">SUM(C7:AG7)</f>
        <v>0.25</v>
      </c>
    </row>
    <row r="8" spans="1:34" ht="12.75">
      <c r="A8" s="1999" t="s">
        <v>76</v>
      </c>
      <c r="B8" s="190">
        <f t="shared" si="0"/>
        <v>0.13</v>
      </c>
      <c r="C8" s="1145">
        <v>0</v>
      </c>
      <c r="D8" s="1145">
        <v>0</v>
      </c>
      <c r="E8" s="1145">
        <v>0</v>
      </c>
      <c r="F8" s="1145">
        <v>0</v>
      </c>
      <c r="G8" s="1145">
        <v>0</v>
      </c>
      <c r="H8" s="1145">
        <v>0</v>
      </c>
      <c r="I8" s="1145">
        <v>0</v>
      </c>
      <c r="J8" s="1145">
        <v>0</v>
      </c>
      <c r="K8" s="1145">
        <v>0</v>
      </c>
      <c r="L8" s="1145">
        <v>0.05</v>
      </c>
      <c r="M8" s="1145">
        <v>0</v>
      </c>
      <c r="N8" s="1145">
        <v>0</v>
      </c>
      <c r="O8" s="1145">
        <v>0</v>
      </c>
      <c r="P8" s="1145">
        <v>0</v>
      </c>
      <c r="Q8" s="1145">
        <v>0</v>
      </c>
      <c r="R8" s="1145">
        <v>0</v>
      </c>
      <c r="S8" s="1145">
        <v>0</v>
      </c>
      <c r="T8" s="1145">
        <v>0</v>
      </c>
      <c r="U8" s="1145">
        <v>0</v>
      </c>
      <c r="V8" s="1145">
        <v>0</v>
      </c>
      <c r="W8" s="1145">
        <v>0</v>
      </c>
      <c r="X8" s="1145">
        <v>0</v>
      </c>
      <c r="Y8" s="1145">
        <v>0</v>
      </c>
      <c r="Z8" s="1145">
        <v>0</v>
      </c>
      <c r="AA8" s="1145">
        <v>0</v>
      </c>
      <c r="AB8" s="1145">
        <v>0</v>
      </c>
      <c r="AC8" s="1145">
        <v>0</v>
      </c>
      <c r="AD8" s="1145">
        <v>0.08</v>
      </c>
      <c r="AE8" s="1145">
        <v>0</v>
      </c>
      <c r="AF8" s="1145">
        <v>0</v>
      </c>
      <c r="AG8" s="1145">
        <v>0</v>
      </c>
      <c r="AH8" s="187">
        <f t="shared" si="1"/>
        <v>0.13</v>
      </c>
    </row>
    <row r="9" spans="1:34" ht="12.75">
      <c r="A9" s="1999" t="s">
        <v>77</v>
      </c>
      <c r="B9" s="190">
        <f t="shared" si="0"/>
        <v>0</v>
      </c>
      <c r="C9" s="1145">
        <v>0</v>
      </c>
      <c r="D9" s="1145">
        <v>0</v>
      </c>
      <c r="E9" s="1145">
        <v>0</v>
      </c>
      <c r="F9" s="1145">
        <v>0</v>
      </c>
      <c r="G9" s="1145">
        <v>0</v>
      </c>
      <c r="H9" s="1145">
        <v>0</v>
      </c>
      <c r="I9" s="1145">
        <v>0</v>
      </c>
      <c r="J9" s="1145">
        <v>0</v>
      </c>
      <c r="K9" s="1145">
        <v>0</v>
      </c>
      <c r="L9" s="1145">
        <v>0</v>
      </c>
      <c r="M9" s="1145">
        <v>0</v>
      </c>
      <c r="N9" s="1145">
        <v>0</v>
      </c>
      <c r="O9" s="1145">
        <v>0</v>
      </c>
      <c r="P9" s="1145">
        <v>0</v>
      </c>
      <c r="Q9" s="1145">
        <v>0</v>
      </c>
      <c r="R9" s="1145">
        <v>0</v>
      </c>
      <c r="S9" s="1145">
        <v>0</v>
      </c>
      <c r="T9" s="1145">
        <v>0</v>
      </c>
      <c r="U9" s="1145">
        <v>0</v>
      </c>
      <c r="V9" s="1145">
        <v>0</v>
      </c>
      <c r="W9" s="1145">
        <v>0</v>
      </c>
      <c r="X9" s="1145">
        <v>0</v>
      </c>
      <c r="Y9" s="1145">
        <v>0</v>
      </c>
      <c r="Z9" s="1145">
        <v>0</v>
      </c>
      <c r="AA9" s="1145">
        <v>0</v>
      </c>
      <c r="AB9" s="1145">
        <v>0</v>
      </c>
      <c r="AC9" s="1145">
        <v>0</v>
      </c>
      <c r="AD9" s="1145">
        <v>0</v>
      </c>
      <c r="AE9" s="1145">
        <v>0</v>
      </c>
      <c r="AF9" s="1145">
        <v>0</v>
      </c>
      <c r="AG9" s="1145">
        <v>0</v>
      </c>
      <c r="AH9" s="187">
        <f t="shared" si="1"/>
        <v>0</v>
      </c>
    </row>
    <row r="10" spans="1:34" ht="12.75">
      <c r="A10" s="1999" t="s">
        <v>78</v>
      </c>
      <c r="B10" s="190">
        <f t="shared" si="0"/>
        <v>2.5999999999999999E-2</v>
      </c>
      <c r="C10" s="1145">
        <v>0</v>
      </c>
      <c r="D10" s="1145">
        <v>0</v>
      </c>
      <c r="E10" s="1145">
        <v>0</v>
      </c>
      <c r="F10" s="1145">
        <v>0</v>
      </c>
      <c r="G10" s="1145">
        <v>0</v>
      </c>
      <c r="H10" s="1145">
        <v>0</v>
      </c>
      <c r="I10" s="1145">
        <v>0</v>
      </c>
      <c r="J10" s="1145">
        <v>0</v>
      </c>
      <c r="K10" s="1145">
        <v>0</v>
      </c>
      <c r="L10" s="1145">
        <v>0</v>
      </c>
      <c r="M10" s="1145">
        <v>0</v>
      </c>
      <c r="N10" s="1145">
        <v>0</v>
      </c>
      <c r="O10" s="1145">
        <v>0</v>
      </c>
      <c r="P10" s="1145">
        <v>0</v>
      </c>
      <c r="Q10" s="1145">
        <v>0</v>
      </c>
      <c r="R10" s="1145">
        <v>0</v>
      </c>
      <c r="S10" s="1145">
        <v>0</v>
      </c>
      <c r="T10" s="1145">
        <v>0</v>
      </c>
      <c r="U10" s="1145">
        <v>0</v>
      </c>
      <c r="V10" s="1145">
        <v>0</v>
      </c>
      <c r="W10" s="1145">
        <v>0</v>
      </c>
      <c r="X10" s="1145">
        <v>0</v>
      </c>
      <c r="Y10" s="1145">
        <v>0</v>
      </c>
      <c r="Z10" s="1145">
        <v>0</v>
      </c>
      <c r="AA10" s="1145">
        <v>0</v>
      </c>
      <c r="AB10" s="1145">
        <v>0</v>
      </c>
      <c r="AC10" s="1145">
        <v>0</v>
      </c>
      <c r="AD10" s="1145">
        <v>2.5999999999999999E-2</v>
      </c>
      <c r="AE10" s="1145">
        <v>0</v>
      </c>
      <c r="AF10" s="1145">
        <v>0</v>
      </c>
      <c r="AG10" s="1145">
        <v>0</v>
      </c>
      <c r="AH10" s="187">
        <f t="shared" si="1"/>
        <v>2.5999999999999999E-2</v>
      </c>
    </row>
    <row r="11" spans="1:34" ht="12.75">
      <c r="A11" s="1999" t="s">
        <v>79</v>
      </c>
      <c r="B11" s="190">
        <f t="shared" si="0"/>
        <v>0.45</v>
      </c>
      <c r="C11" s="1145">
        <v>0</v>
      </c>
      <c r="D11" s="1145">
        <v>0</v>
      </c>
      <c r="E11" s="1145">
        <v>0</v>
      </c>
      <c r="F11" s="1145">
        <v>0</v>
      </c>
      <c r="G11" s="1145">
        <v>0</v>
      </c>
      <c r="H11" s="1145">
        <v>0</v>
      </c>
      <c r="I11" s="1145">
        <v>0</v>
      </c>
      <c r="J11" s="1145">
        <v>0</v>
      </c>
      <c r="K11" s="1145">
        <v>0</v>
      </c>
      <c r="L11" s="1145">
        <v>0</v>
      </c>
      <c r="M11" s="1145">
        <v>0</v>
      </c>
      <c r="N11" s="1145">
        <v>0</v>
      </c>
      <c r="O11" s="1145">
        <v>0</v>
      </c>
      <c r="P11" s="1145">
        <v>0</v>
      </c>
      <c r="Q11" s="1145">
        <v>0</v>
      </c>
      <c r="R11" s="1145">
        <v>0</v>
      </c>
      <c r="S11" s="1145">
        <v>0</v>
      </c>
      <c r="T11" s="1145">
        <v>0.4</v>
      </c>
      <c r="U11" s="1145">
        <v>0</v>
      </c>
      <c r="V11" s="1145">
        <v>0</v>
      </c>
      <c r="W11" s="1145">
        <v>0</v>
      </c>
      <c r="X11" s="1145">
        <v>0</v>
      </c>
      <c r="Y11" s="1145">
        <v>0</v>
      </c>
      <c r="Z11" s="1145">
        <v>0</v>
      </c>
      <c r="AA11" s="1145">
        <v>0</v>
      </c>
      <c r="AB11" s="1145">
        <v>0</v>
      </c>
      <c r="AC11" s="1145">
        <v>0</v>
      </c>
      <c r="AD11" s="1145">
        <v>0.05</v>
      </c>
      <c r="AE11" s="1145">
        <v>0</v>
      </c>
      <c r="AF11" s="1145">
        <v>0</v>
      </c>
      <c r="AG11" s="1145">
        <v>0</v>
      </c>
      <c r="AH11" s="187">
        <f t="shared" si="1"/>
        <v>0.45</v>
      </c>
    </row>
    <row r="12" spans="1:34" ht="12.75">
      <c r="A12" s="1999" t="s">
        <v>80</v>
      </c>
      <c r="B12" s="190">
        <f t="shared" si="0"/>
        <v>0</v>
      </c>
      <c r="C12" s="1145">
        <v>0</v>
      </c>
      <c r="D12" s="1145">
        <v>0</v>
      </c>
      <c r="E12" s="1145">
        <v>0</v>
      </c>
      <c r="F12" s="1145">
        <v>0</v>
      </c>
      <c r="G12" s="1145">
        <v>0</v>
      </c>
      <c r="H12" s="1145">
        <v>0</v>
      </c>
      <c r="I12" s="1145">
        <v>0</v>
      </c>
      <c r="J12" s="1145">
        <v>0</v>
      </c>
      <c r="K12" s="1145">
        <v>0</v>
      </c>
      <c r="L12" s="1145">
        <v>0</v>
      </c>
      <c r="M12" s="1145">
        <v>0</v>
      </c>
      <c r="N12" s="1145">
        <v>0</v>
      </c>
      <c r="O12" s="1145">
        <v>0</v>
      </c>
      <c r="P12" s="1145">
        <v>0</v>
      </c>
      <c r="Q12" s="1145">
        <v>0</v>
      </c>
      <c r="R12" s="1145">
        <v>0</v>
      </c>
      <c r="S12" s="1145">
        <v>0</v>
      </c>
      <c r="T12" s="1145">
        <v>0</v>
      </c>
      <c r="U12" s="1145">
        <v>0</v>
      </c>
      <c r="V12" s="1145">
        <v>0</v>
      </c>
      <c r="W12" s="1145">
        <v>0</v>
      </c>
      <c r="X12" s="1145">
        <v>0</v>
      </c>
      <c r="Y12" s="1145">
        <v>0</v>
      </c>
      <c r="Z12" s="1145">
        <v>0</v>
      </c>
      <c r="AA12" s="1145">
        <v>0</v>
      </c>
      <c r="AB12" s="1145">
        <v>0</v>
      </c>
      <c r="AC12" s="1145">
        <v>0</v>
      </c>
      <c r="AD12" s="1145">
        <v>0</v>
      </c>
      <c r="AE12" s="1145">
        <v>0</v>
      </c>
      <c r="AF12" s="1145">
        <v>0</v>
      </c>
      <c r="AG12" s="1145">
        <v>0</v>
      </c>
      <c r="AH12" s="187">
        <f t="shared" si="1"/>
        <v>0</v>
      </c>
    </row>
    <row r="13" spans="1:34" ht="12.75">
      <c r="A13" s="1999" t="s">
        <v>81</v>
      </c>
      <c r="B13" s="190">
        <f t="shared" si="0"/>
        <v>0</v>
      </c>
      <c r="C13" s="1145">
        <v>0</v>
      </c>
      <c r="D13" s="1145">
        <v>0</v>
      </c>
      <c r="E13" s="1145">
        <v>0</v>
      </c>
      <c r="F13" s="1145">
        <v>0</v>
      </c>
      <c r="G13" s="1145">
        <v>0</v>
      </c>
      <c r="H13" s="1145">
        <v>0</v>
      </c>
      <c r="I13" s="1145">
        <v>0</v>
      </c>
      <c r="J13" s="1145">
        <v>0</v>
      </c>
      <c r="K13" s="1145">
        <v>0</v>
      </c>
      <c r="L13" s="1145">
        <v>0</v>
      </c>
      <c r="M13" s="1145">
        <v>0</v>
      </c>
      <c r="N13" s="1145">
        <v>0</v>
      </c>
      <c r="O13" s="1145">
        <v>0</v>
      </c>
      <c r="P13" s="1145">
        <v>0</v>
      </c>
      <c r="Q13" s="1145">
        <v>0</v>
      </c>
      <c r="R13" s="1145">
        <v>0</v>
      </c>
      <c r="S13" s="1145">
        <v>0</v>
      </c>
      <c r="T13" s="1145">
        <v>0</v>
      </c>
      <c r="U13" s="1145">
        <v>0</v>
      </c>
      <c r="V13" s="1145">
        <v>0</v>
      </c>
      <c r="W13" s="1145">
        <v>0</v>
      </c>
      <c r="X13" s="1145">
        <v>0</v>
      </c>
      <c r="Y13" s="1145">
        <v>0</v>
      </c>
      <c r="Z13" s="1145">
        <v>0</v>
      </c>
      <c r="AA13" s="1145">
        <v>0</v>
      </c>
      <c r="AB13" s="1145">
        <v>0</v>
      </c>
      <c r="AC13" s="1145">
        <v>0</v>
      </c>
      <c r="AD13" s="1145">
        <v>0</v>
      </c>
      <c r="AE13" s="1145">
        <v>0</v>
      </c>
      <c r="AF13" s="1145">
        <v>0</v>
      </c>
      <c r="AG13" s="1145">
        <v>0</v>
      </c>
      <c r="AH13" s="187">
        <f t="shared" si="1"/>
        <v>0</v>
      </c>
    </row>
    <row r="14" spans="1:34" ht="12.75">
      <c r="A14" s="1999" t="s">
        <v>82</v>
      </c>
      <c r="B14" s="190">
        <f t="shared" si="0"/>
        <v>0</v>
      </c>
      <c r="C14" s="1145">
        <v>0</v>
      </c>
      <c r="D14" s="1221">
        <v>0</v>
      </c>
      <c r="E14" s="1145">
        <v>0</v>
      </c>
      <c r="F14" s="1145">
        <v>0</v>
      </c>
      <c r="G14" s="1145">
        <v>0</v>
      </c>
      <c r="H14" s="1145">
        <v>0</v>
      </c>
      <c r="I14" s="1145">
        <v>0</v>
      </c>
      <c r="J14" s="1145">
        <v>0</v>
      </c>
      <c r="K14" s="1145">
        <v>0</v>
      </c>
      <c r="L14" s="1145">
        <v>0</v>
      </c>
      <c r="M14" s="1145">
        <v>0</v>
      </c>
      <c r="N14" s="1145">
        <v>0</v>
      </c>
      <c r="O14" s="1145">
        <v>0</v>
      </c>
      <c r="P14" s="1145">
        <v>0</v>
      </c>
      <c r="Q14" s="1145">
        <v>0</v>
      </c>
      <c r="R14" s="1145">
        <v>0</v>
      </c>
      <c r="S14" s="1145">
        <v>0</v>
      </c>
      <c r="T14" s="1145">
        <v>0</v>
      </c>
      <c r="U14" s="1145">
        <v>0</v>
      </c>
      <c r="V14" s="1145">
        <v>0</v>
      </c>
      <c r="W14" s="1145">
        <v>0</v>
      </c>
      <c r="X14" s="1145">
        <v>0</v>
      </c>
      <c r="Y14" s="1145">
        <v>0</v>
      </c>
      <c r="Z14" s="1145">
        <v>0</v>
      </c>
      <c r="AA14" s="1145">
        <v>0</v>
      </c>
      <c r="AB14" s="1145">
        <v>0</v>
      </c>
      <c r="AC14" s="1145">
        <v>0</v>
      </c>
      <c r="AD14" s="1145">
        <v>0</v>
      </c>
      <c r="AE14" s="1145">
        <v>0</v>
      </c>
      <c r="AF14" s="1145">
        <v>0</v>
      </c>
      <c r="AG14" s="1145">
        <v>0</v>
      </c>
      <c r="AH14" s="187">
        <f t="shared" si="1"/>
        <v>0</v>
      </c>
    </row>
    <row r="15" spans="1:34" ht="12.75">
      <c r="A15" s="1999" t="s">
        <v>83</v>
      </c>
      <c r="B15" s="190">
        <f t="shared" si="0"/>
        <v>0</v>
      </c>
      <c r="C15" s="1145">
        <v>0</v>
      </c>
      <c r="D15" s="1145">
        <v>0</v>
      </c>
      <c r="E15" s="1145">
        <v>0</v>
      </c>
      <c r="F15" s="1145">
        <v>0</v>
      </c>
      <c r="G15" s="1145">
        <v>0</v>
      </c>
      <c r="H15" s="1145">
        <v>0</v>
      </c>
      <c r="I15" s="1145">
        <v>0</v>
      </c>
      <c r="J15" s="1145">
        <v>0</v>
      </c>
      <c r="K15" s="1145">
        <v>0</v>
      </c>
      <c r="L15" s="1145">
        <v>0</v>
      </c>
      <c r="M15" s="1145">
        <v>0</v>
      </c>
      <c r="N15" s="1145">
        <v>0</v>
      </c>
      <c r="O15" s="1145">
        <v>0</v>
      </c>
      <c r="P15" s="1145">
        <v>0</v>
      </c>
      <c r="Q15" s="1145">
        <v>0</v>
      </c>
      <c r="R15" s="1145">
        <v>0</v>
      </c>
      <c r="S15" s="1145">
        <v>0</v>
      </c>
      <c r="T15" s="1145">
        <v>0</v>
      </c>
      <c r="U15" s="1145">
        <v>0</v>
      </c>
      <c r="V15" s="1145">
        <v>0</v>
      </c>
      <c r="W15" s="1145">
        <v>0</v>
      </c>
      <c r="X15" s="1145">
        <v>0</v>
      </c>
      <c r="Y15" s="1145">
        <v>0</v>
      </c>
      <c r="Z15" s="1145">
        <v>0</v>
      </c>
      <c r="AA15" s="1145">
        <v>0</v>
      </c>
      <c r="AB15" s="1145">
        <v>0</v>
      </c>
      <c r="AC15" s="1145">
        <v>0</v>
      </c>
      <c r="AD15" s="1145">
        <v>0</v>
      </c>
      <c r="AE15" s="1145">
        <v>0</v>
      </c>
      <c r="AF15" s="1145">
        <v>0</v>
      </c>
      <c r="AG15" s="1145">
        <v>0</v>
      </c>
      <c r="AH15" s="187">
        <f t="shared" si="1"/>
        <v>0</v>
      </c>
    </row>
    <row r="16" spans="1:34" ht="12.75">
      <c r="A16" s="1740" t="s">
        <v>84</v>
      </c>
      <c r="B16" s="190">
        <f t="shared" si="0"/>
        <v>5.7059999999999995</v>
      </c>
      <c r="C16" s="1145">
        <v>0</v>
      </c>
      <c r="D16" s="1145">
        <v>0</v>
      </c>
      <c r="E16" s="1145">
        <v>0</v>
      </c>
      <c r="F16" s="1145">
        <v>0</v>
      </c>
      <c r="G16" s="1145">
        <v>0</v>
      </c>
      <c r="H16" s="1145">
        <v>0</v>
      </c>
      <c r="I16" s="1145">
        <v>0</v>
      </c>
      <c r="J16" s="1145">
        <v>0</v>
      </c>
      <c r="K16" s="1145">
        <v>0</v>
      </c>
      <c r="L16" s="1145">
        <v>0</v>
      </c>
      <c r="M16" s="1145">
        <v>0</v>
      </c>
      <c r="N16" s="1145">
        <v>0</v>
      </c>
      <c r="O16" s="1145">
        <v>0</v>
      </c>
      <c r="P16" s="1145">
        <v>0</v>
      </c>
      <c r="Q16" s="1145">
        <v>0</v>
      </c>
      <c r="R16" s="1145">
        <v>0.05</v>
      </c>
      <c r="S16" s="1145">
        <v>0</v>
      </c>
      <c r="T16" s="1145">
        <v>0.48699999999999999</v>
      </c>
      <c r="U16" s="1145">
        <v>0</v>
      </c>
      <c r="V16" s="1145">
        <v>0</v>
      </c>
      <c r="W16" s="1145">
        <v>0</v>
      </c>
      <c r="X16" s="1145">
        <v>0</v>
      </c>
      <c r="Y16" s="1145">
        <v>0</v>
      </c>
      <c r="Z16" s="1145">
        <v>0</v>
      </c>
      <c r="AA16" s="1145">
        <v>4.05</v>
      </c>
      <c r="AB16" s="1145">
        <v>0</v>
      </c>
      <c r="AC16" s="1145">
        <v>0</v>
      </c>
      <c r="AD16" s="1145">
        <v>1.119</v>
      </c>
      <c r="AE16" s="1145">
        <v>0</v>
      </c>
      <c r="AF16" s="1145">
        <v>0</v>
      </c>
      <c r="AG16" s="1145">
        <v>0</v>
      </c>
      <c r="AH16" s="187">
        <f t="shared" si="1"/>
        <v>5.7059999999999995</v>
      </c>
    </row>
    <row r="17" spans="1:34" ht="12.75">
      <c r="A17" s="1740" t="s">
        <v>85</v>
      </c>
      <c r="B17" s="190">
        <f t="shared" si="0"/>
        <v>0.58599999999999997</v>
      </c>
      <c r="C17" s="1145">
        <v>0</v>
      </c>
      <c r="D17" s="1145">
        <v>0</v>
      </c>
      <c r="E17" s="1145">
        <v>0</v>
      </c>
      <c r="F17" s="1145">
        <v>0</v>
      </c>
      <c r="G17" s="1145">
        <v>0</v>
      </c>
      <c r="H17" s="1145">
        <v>0</v>
      </c>
      <c r="I17" s="1145">
        <v>0</v>
      </c>
      <c r="J17" s="1145">
        <v>0</v>
      </c>
      <c r="K17" s="1145">
        <v>0</v>
      </c>
      <c r="L17" s="1145">
        <v>0</v>
      </c>
      <c r="M17" s="1145">
        <v>0</v>
      </c>
      <c r="N17" s="1145">
        <v>0</v>
      </c>
      <c r="O17" s="1145">
        <v>0</v>
      </c>
      <c r="P17" s="1145">
        <v>0</v>
      </c>
      <c r="Q17" s="1145">
        <v>0</v>
      </c>
      <c r="R17" s="1145">
        <v>0.58599999999999997</v>
      </c>
      <c r="S17" s="1145">
        <v>0</v>
      </c>
      <c r="T17" s="1145">
        <v>0</v>
      </c>
      <c r="U17" s="1145">
        <v>0</v>
      </c>
      <c r="V17" s="1145">
        <v>0</v>
      </c>
      <c r="W17" s="1145">
        <v>0</v>
      </c>
      <c r="X17" s="1145">
        <v>0</v>
      </c>
      <c r="Y17" s="1145">
        <v>0</v>
      </c>
      <c r="Z17" s="1145">
        <v>0</v>
      </c>
      <c r="AA17" s="1145">
        <v>0</v>
      </c>
      <c r="AB17" s="1145">
        <v>0</v>
      </c>
      <c r="AC17" s="1145">
        <v>0</v>
      </c>
      <c r="AD17" s="1145">
        <v>0</v>
      </c>
      <c r="AE17" s="1145">
        <v>0</v>
      </c>
      <c r="AF17" s="1145">
        <v>0</v>
      </c>
      <c r="AG17" s="1145">
        <v>0</v>
      </c>
      <c r="AH17" s="187">
        <f>SUM(C17:AG17)</f>
        <v>0.58599999999999997</v>
      </c>
    </row>
    <row r="18" spans="1:34" ht="12.75">
      <c r="A18" s="1740" t="s">
        <v>86</v>
      </c>
      <c r="B18" s="190">
        <f t="shared" si="0"/>
        <v>0</v>
      </c>
      <c r="C18" s="1145">
        <v>0</v>
      </c>
      <c r="D18" s="1145">
        <v>0</v>
      </c>
      <c r="E18" s="1145">
        <v>0</v>
      </c>
      <c r="F18" s="1145">
        <v>0</v>
      </c>
      <c r="G18" s="1145">
        <v>0</v>
      </c>
      <c r="H18" s="1145">
        <v>0</v>
      </c>
      <c r="I18" s="1145">
        <v>0</v>
      </c>
      <c r="J18" s="1145">
        <v>0</v>
      </c>
      <c r="K18" s="1145">
        <v>0</v>
      </c>
      <c r="L18" s="1145">
        <v>0</v>
      </c>
      <c r="M18" s="1145">
        <v>0</v>
      </c>
      <c r="N18" s="1145">
        <v>0</v>
      </c>
      <c r="O18" s="1145">
        <v>0</v>
      </c>
      <c r="P18" s="1145">
        <v>0</v>
      </c>
      <c r="Q18" s="1145">
        <v>0</v>
      </c>
      <c r="R18" s="1145">
        <v>0</v>
      </c>
      <c r="S18" s="1145">
        <v>0</v>
      </c>
      <c r="T18" s="1145">
        <v>0</v>
      </c>
      <c r="U18" s="1145">
        <v>0</v>
      </c>
      <c r="V18" s="1145">
        <v>0</v>
      </c>
      <c r="W18" s="1145">
        <v>0</v>
      </c>
      <c r="X18" s="1145">
        <v>0</v>
      </c>
      <c r="Y18" s="1145">
        <v>0</v>
      </c>
      <c r="Z18" s="1145">
        <v>0</v>
      </c>
      <c r="AA18" s="1145">
        <v>0</v>
      </c>
      <c r="AB18" s="1145">
        <v>0</v>
      </c>
      <c r="AC18" s="1145">
        <v>0</v>
      </c>
      <c r="AD18" s="1145">
        <v>0</v>
      </c>
      <c r="AE18" s="1145">
        <v>0</v>
      </c>
      <c r="AF18" s="1145">
        <v>0</v>
      </c>
      <c r="AG18" s="1145">
        <v>0</v>
      </c>
      <c r="AH18" s="187">
        <f>SUM(C18:AG18)</f>
        <v>0</v>
      </c>
    </row>
    <row r="19" spans="1:34" ht="12.75">
      <c r="A19" s="665" t="s">
        <v>74</v>
      </c>
      <c r="B19" s="1317">
        <f>SUM(B7:B18)</f>
        <v>7.1479999999999997</v>
      </c>
      <c r="C19" s="187"/>
      <c r="D19" s="187"/>
      <c r="E19" s="187"/>
      <c r="F19" s="187"/>
      <c r="G19" s="187"/>
      <c r="H19" s="187"/>
      <c r="I19" s="187"/>
      <c r="J19" s="187"/>
      <c r="K19" s="187"/>
      <c r="L19" s="187"/>
      <c r="M19" s="187"/>
      <c r="N19" s="187"/>
      <c r="O19" s="187"/>
      <c r="P19" s="187"/>
      <c r="Q19" s="187"/>
      <c r="R19" s="187"/>
      <c r="S19" s="187"/>
      <c r="T19" s="187"/>
      <c r="U19" s="187"/>
      <c r="V19" s="187"/>
      <c r="W19" s="187"/>
      <c r="X19" s="187"/>
      <c r="Y19" s="187"/>
      <c r="Z19" s="187"/>
      <c r="AA19" s="187"/>
      <c r="AB19" s="187"/>
      <c r="AC19" s="187"/>
      <c r="AD19" s="187"/>
      <c r="AE19" s="187"/>
      <c r="AF19" s="187"/>
      <c r="AG19" s="187"/>
      <c r="AH19" s="187">
        <f>SUM(AH7:AH18)</f>
        <v>7.1479999999999997</v>
      </c>
    </row>
    <row r="20" spans="1:34" ht="12.75">
      <c r="A20" s="177"/>
      <c r="B20" s="661"/>
      <c r="C20" s="177"/>
      <c r="D20" s="64"/>
      <c r="E20" s="64"/>
      <c r="F20" s="64"/>
      <c r="G20" s="64"/>
      <c r="H20" s="64"/>
      <c r="I20" s="64"/>
      <c r="J20" s="64"/>
      <c r="K20" s="64"/>
      <c r="L20" s="176"/>
      <c r="M20" s="64"/>
      <c r="N20" s="64"/>
      <c r="O20" s="64"/>
      <c r="P20" s="64"/>
      <c r="Q20" s="64"/>
      <c r="R20" s="64"/>
      <c r="S20" s="64"/>
      <c r="T20" s="64"/>
      <c r="U20" s="64"/>
      <c r="V20" s="64"/>
      <c r="W20" s="64"/>
      <c r="X20" s="64"/>
      <c r="Y20" s="64"/>
      <c r="Z20" s="64"/>
      <c r="AA20" s="64"/>
      <c r="AB20" s="64"/>
      <c r="AC20" s="64"/>
      <c r="AD20" s="64"/>
      <c r="AE20" s="64"/>
      <c r="AF20" s="64"/>
      <c r="AG20" s="64"/>
      <c r="AH20" s="177"/>
    </row>
    <row r="21" spans="1:34" ht="13.5">
      <c r="A21" s="3605" t="s">
        <v>87</v>
      </c>
      <c r="B21" s="3606"/>
      <c r="C21" s="3607"/>
      <c r="D21" s="64"/>
      <c r="E21" s="64"/>
      <c r="F21" s="64"/>
      <c r="G21" s="64"/>
      <c r="H21" s="64"/>
      <c r="I21" s="64"/>
      <c r="J21" s="1393"/>
      <c r="K21" s="64"/>
      <c r="L21" s="64"/>
      <c r="M21" s="176"/>
      <c r="N21" s="64"/>
      <c r="O21" s="64"/>
      <c r="P21" s="64"/>
      <c r="Q21" s="64"/>
      <c r="R21" s="64"/>
      <c r="S21" s="64"/>
      <c r="T21" s="64"/>
      <c r="U21" s="64"/>
      <c r="V21" s="64"/>
      <c r="W21" s="64"/>
      <c r="X21" s="64"/>
      <c r="Y21" s="64"/>
      <c r="Z21" s="64"/>
      <c r="AA21" s="64"/>
      <c r="AB21" s="64"/>
      <c r="AC21" s="64"/>
      <c r="AD21" s="64"/>
      <c r="AE21" s="64"/>
      <c r="AF21" s="64"/>
      <c r="AG21" s="64"/>
      <c r="AH21" s="177"/>
    </row>
    <row r="22" spans="1:34" ht="12.75">
      <c r="A22" s="178" t="s">
        <v>72</v>
      </c>
      <c r="B22" s="190" t="s">
        <v>73</v>
      </c>
      <c r="C22" s="178">
        <v>1</v>
      </c>
      <c r="D22" s="179">
        <v>2</v>
      </c>
      <c r="E22" s="179">
        <v>3</v>
      </c>
      <c r="F22" s="179">
        <v>4</v>
      </c>
      <c r="G22" s="179">
        <v>5</v>
      </c>
      <c r="H22" s="179">
        <v>6</v>
      </c>
      <c r="I22" s="179">
        <v>7</v>
      </c>
      <c r="J22" s="179">
        <v>8</v>
      </c>
      <c r="K22" s="179">
        <v>9</v>
      </c>
      <c r="L22" s="179">
        <v>10</v>
      </c>
      <c r="M22" s="179">
        <v>11</v>
      </c>
      <c r="N22" s="179">
        <v>12</v>
      </c>
      <c r="O22" s="179">
        <v>13</v>
      </c>
      <c r="P22" s="179">
        <v>14</v>
      </c>
      <c r="Q22" s="179">
        <v>15</v>
      </c>
      <c r="R22" s="179">
        <v>16</v>
      </c>
      <c r="S22" s="179">
        <v>17</v>
      </c>
      <c r="T22" s="179">
        <v>18</v>
      </c>
      <c r="U22" s="179">
        <v>19</v>
      </c>
      <c r="V22" s="179">
        <v>20</v>
      </c>
      <c r="W22" s="179">
        <v>21</v>
      </c>
      <c r="X22" s="179">
        <v>22</v>
      </c>
      <c r="Y22" s="179">
        <v>23</v>
      </c>
      <c r="Z22" s="179">
        <v>24</v>
      </c>
      <c r="AA22" s="179">
        <v>25</v>
      </c>
      <c r="AB22" s="179">
        <v>26</v>
      </c>
      <c r="AC22" s="179">
        <v>27</v>
      </c>
      <c r="AD22" s="179">
        <v>28</v>
      </c>
      <c r="AE22" s="179">
        <v>29</v>
      </c>
      <c r="AF22" s="179">
        <v>30</v>
      </c>
      <c r="AG22" s="179">
        <v>31</v>
      </c>
      <c r="AH22" s="891" t="s">
        <v>74</v>
      </c>
    </row>
    <row r="23" spans="1:34" ht="12.75">
      <c r="A23" s="1999" t="s">
        <v>75</v>
      </c>
      <c r="B23" s="190">
        <f t="shared" ref="B23:B34" si="2">+AH23</f>
        <v>5.21</v>
      </c>
      <c r="C23" s="185"/>
      <c r="D23" s="185"/>
      <c r="E23" s="185"/>
      <c r="F23" s="185"/>
      <c r="G23" s="185"/>
      <c r="H23" s="185"/>
      <c r="I23" s="185"/>
      <c r="J23" s="185"/>
      <c r="K23" s="185"/>
      <c r="L23" s="185">
        <v>0.1</v>
      </c>
      <c r="M23" s="185"/>
      <c r="N23" s="185">
        <v>6.9000000000000006E-2</v>
      </c>
      <c r="O23" s="185"/>
      <c r="P23" s="185"/>
      <c r="Q23" s="185"/>
      <c r="R23" s="185"/>
      <c r="S23" s="185"/>
      <c r="T23" s="185"/>
      <c r="U23" s="185">
        <v>0.01</v>
      </c>
      <c r="V23" s="185">
        <v>0.5</v>
      </c>
      <c r="W23" s="185"/>
      <c r="X23" s="185">
        <v>2.5000000000000001E-2</v>
      </c>
      <c r="Y23" s="185"/>
      <c r="Z23" s="185">
        <v>0.12</v>
      </c>
      <c r="AA23" s="185">
        <v>0.13</v>
      </c>
      <c r="AB23" s="185">
        <v>0.04</v>
      </c>
      <c r="AC23" s="185"/>
      <c r="AD23" s="185"/>
      <c r="AE23" s="185">
        <v>0.46700000000000003</v>
      </c>
      <c r="AF23" s="185">
        <v>0.96299999999999997</v>
      </c>
      <c r="AG23" s="185">
        <v>2.786</v>
      </c>
      <c r="AH23" s="187">
        <f>SUM(C23:AG23)</f>
        <v>5.21</v>
      </c>
    </row>
    <row r="24" spans="1:34" ht="12.75">
      <c r="A24" s="1999" t="s">
        <v>76</v>
      </c>
      <c r="B24" s="190">
        <f t="shared" si="2"/>
        <v>6.9979999999999993</v>
      </c>
      <c r="C24" s="185">
        <v>0.04</v>
      </c>
      <c r="D24" s="1223">
        <v>0.4</v>
      </c>
      <c r="E24" s="1223">
        <v>0.25</v>
      </c>
      <c r="F24" s="1223">
        <v>0.42</v>
      </c>
      <c r="G24" s="1223">
        <v>0.5</v>
      </c>
      <c r="H24" s="1223">
        <v>0.05</v>
      </c>
      <c r="I24" s="1223">
        <v>0.06</v>
      </c>
      <c r="J24" s="1223">
        <v>0.3</v>
      </c>
      <c r="K24" s="1223">
        <v>0.03</v>
      </c>
      <c r="L24" s="1223"/>
      <c r="M24" s="1223">
        <v>0.1</v>
      </c>
      <c r="N24" s="1223"/>
      <c r="O24" s="1223">
        <v>2.7</v>
      </c>
      <c r="P24" s="1223">
        <v>0.2</v>
      </c>
      <c r="Q24" s="1223"/>
      <c r="R24" s="1223">
        <v>0.27</v>
      </c>
      <c r="S24" s="1223"/>
      <c r="T24" s="1223"/>
      <c r="U24" s="1223">
        <v>0.2</v>
      </c>
      <c r="V24" s="1223"/>
      <c r="W24" s="1223"/>
      <c r="X24" s="1223"/>
      <c r="Y24" s="185">
        <v>0.3</v>
      </c>
      <c r="Z24" s="185">
        <v>0.02</v>
      </c>
      <c r="AA24" s="185">
        <v>0.25</v>
      </c>
      <c r="AB24" s="185">
        <v>8.2000000000000003E-2</v>
      </c>
      <c r="AC24" s="185">
        <v>0.1</v>
      </c>
      <c r="AD24" s="185">
        <v>0.72599999999999998</v>
      </c>
      <c r="AE24" s="185"/>
      <c r="AF24" s="185"/>
      <c r="AG24" s="185"/>
      <c r="AH24" s="187">
        <f t="shared" ref="AH24:AH34" si="3">SUM(C24:AG24)</f>
        <v>6.9979999999999993</v>
      </c>
    </row>
    <row r="25" spans="1:34" ht="12.75">
      <c r="A25" s="1999" t="s">
        <v>77</v>
      </c>
      <c r="B25" s="190">
        <f t="shared" si="2"/>
        <v>6.6920000000000002</v>
      </c>
      <c r="C25" s="185">
        <v>0.03</v>
      </c>
      <c r="D25" s="185"/>
      <c r="E25" s="185"/>
      <c r="F25" s="185">
        <v>0.3</v>
      </c>
      <c r="G25" s="185">
        <v>3.2000000000000001E-2</v>
      </c>
      <c r="H25" s="185"/>
      <c r="I25" s="185"/>
      <c r="J25" s="185">
        <v>3.06</v>
      </c>
      <c r="K25" s="185">
        <v>0.1</v>
      </c>
      <c r="L25" s="185">
        <v>0.3</v>
      </c>
      <c r="M25" s="185"/>
      <c r="N25" s="185">
        <v>0.1</v>
      </c>
      <c r="O25" s="185"/>
      <c r="P25" s="185"/>
      <c r="Q25" s="185">
        <v>1.2</v>
      </c>
      <c r="R25" s="185">
        <v>0.6</v>
      </c>
      <c r="S25" s="185"/>
      <c r="T25" s="185"/>
      <c r="U25" s="185"/>
      <c r="V25" s="185"/>
      <c r="W25" s="185">
        <v>0.2</v>
      </c>
      <c r="X25" s="185"/>
      <c r="Y25" s="185"/>
      <c r="Z25" s="185"/>
      <c r="AA25" s="185"/>
      <c r="AB25" s="185"/>
      <c r="AC25" s="185">
        <v>0.2</v>
      </c>
      <c r="AD25" s="185">
        <v>0.04</v>
      </c>
      <c r="AE25" s="185"/>
      <c r="AF25" s="167">
        <v>7.0000000000000007E-2</v>
      </c>
      <c r="AG25" s="185">
        <v>0.46</v>
      </c>
      <c r="AH25" s="187">
        <f t="shared" si="3"/>
        <v>6.6920000000000002</v>
      </c>
    </row>
    <row r="26" spans="1:34" ht="12.75">
      <c r="A26" s="1999" t="s">
        <v>78</v>
      </c>
      <c r="B26" s="190">
        <f t="shared" si="2"/>
        <v>6.5029999999999992</v>
      </c>
      <c r="C26" s="185">
        <v>0.41</v>
      </c>
      <c r="D26" s="185">
        <v>0.05</v>
      </c>
      <c r="E26" s="185"/>
      <c r="F26" s="185">
        <v>0.15</v>
      </c>
      <c r="G26" s="185"/>
      <c r="H26" s="185"/>
      <c r="I26" s="185"/>
      <c r="J26" s="185">
        <v>0.158</v>
      </c>
      <c r="K26" s="185">
        <v>0.5</v>
      </c>
      <c r="L26" s="185"/>
      <c r="M26" s="185">
        <v>0.5</v>
      </c>
      <c r="N26" s="185"/>
      <c r="O26" s="185">
        <v>0.12</v>
      </c>
      <c r="P26" s="185"/>
      <c r="Q26" s="185">
        <v>0.06</v>
      </c>
      <c r="R26" s="185">
        <v>0.5</v>
      </c>
      <c r="S26" s="185"/>
      <c r="T26" s="185"/>
      <c r="U26" s="185">
        <v>1.7999999999999999E-2</v>
      </c>
      <c r="V26" s="185"/>
      <c r="W26" s="185">
        <v>7.0000000000000007E-2</v>
      </c>
      <c r="X26" s="185"/>
      <c r="Y26" s="185"/>
      <c r="Z26" s="185"/>
      <c r="AA26" s="185"/>
      <c r="AB26" s="185">
        <v>0.02</v>
      </c>
      <c r="AC26" s="185">
        <v>0.3</v>
      </c>
      <c r="AD26" s="185">
        <v>0.24299999999999999</v>
      </c>
      <c r="AE26" s="185">
        <v>0.05</v>
      </c>
      <c r="AF26" s="185">
        <v>3.3540000000000001</v>
      </c>
      <c r="AG26" s="185"/>
      <c r="AH26" s="187">
        <f t="shared" si="3"/>
        <v>6.5029999999999992</v>
      </c>
    </row>
    <row r="27" spans="1:34" ht="12.75">
      <c r="A27" s="1999" t="s">
        <v>79</v>
      </c>
      <c r="B27" s="190">
        <f t="shared" si="2"/>
        <v>8.1959999999999997</v>
      </c>
      <c r="C27" s="185"/>
      <c r="D27" s="185"/>
      <c r="E27" s="185"/>
      <c r="F27" s="185">
        <v>0.03</v>
      </c>
      <c r="G27" s="185"/>
      <c r="H27" s="185"/>
      <c r="I27" s="185"/>
      <c r="J27" s="185"/>
      <c r="K27" s="185"/>
      <c r="L27" s="185">
        <v>7.2000000000000008E-2</v>
      </c>
      <c r="M27" s="185">
        <v>0.1</v>
      </c>
      <c r="N27" s="185">
        <v>0.5</v>
      </c>
      <c r="O27" s="185">
        <v>0.09</v>
      </c>
      <c r="P27" s="185"/>
      <c r="Q27" s="185"/>
      <c r="R27" s="185">
        <v>0.39</v>
      </c>
      <c r="S27" s="185">
        <v>0.49</v>
      </c>
      <c r="T27" s="185">
        <v>1.9E-2</v>
      </c>
      <c r="U27" s="185"/>
      <c r="V27" s="185"/>
      <c r="W27" s="185"/>
      <c r="X27" s="185">
        <v>2.8200000000000003</v>
      </c>
      <c r="Y27" s="185">
        <v>1.4999999999999999E-2</v>
      </c>
      <c r="Z27" s="185">
        <v>0.15</v>
      </c>
      <c r="AA27" s="185"/>
      <c r="AB27" s="185"/>
      <c r="AC27" s="185">
        <v>2.8000000000000001E-2</v>
      </c>
      <c r="AD27" s="185"/>
      <c r="AE27" s="185"/>
      <c r="AF27" s="185">
        <v>2.88</v>
      </c>
      <c r="AG27" s="185">
        <v>0.61199999999999999</v>
      </c>
      <c r="AH27" s="187">
        <f t="shared" si="3"/>
        <v>8.1959999999999997</v>
      </c>
    </row>
    <row r="28" spans="1:34" ht="12.75">
      <c r="A28" s="1999" t="s">
        <v>80</v>
      </c>
      <c r="B28" s="190">
        <f t="shared" si="2"/>
        <v>11.119</v>
      </c>
      <c r="C28" s="185">
        <v>6.83</v>
      </c>
      <c r="D28" s="185"/>
      <c r="E28" s="185"/>
      <c r="F28" s="185"/>
      <c r="G28" s="185"/>
      <c r="H28" s="185"/>
      <c r="I28" s="185"/>
      <c r="J28" s="185"/>
      <c r="K28" s="185"/>
      <c r="L28" s="185">
        <v>3.2109999999999999</v>
      </c>
      <c r="M28" s="185"/>
      <c r="N28" s="185"/>
      <c r="O28" s="185">
        <v>2E-3</v>
      </c>
      <c r="P28" s="185">
        <v>0.182</v>
      </c>
      <c r="Q28" s="185"/>
      <c r="R28" s="185"/>
      <c r="S28" s="185"/>
      <c r="T28" s="185"/>
      <c r="U28" s="185"/>
      <c r="V28" s="185"/>
      <c r="W28" s="185"/>
      <c r="X28" s="185"/>
      <c r="Y28" s="185">
        <v>0.03</v>
      </c>
      <c r="Z28" s="185"/>
      <c r="AA28" s="185"/>
      <c r="AB28" s="185"/>
      <c r="AC28" s="185"/>
      <c r="AD28" s="185">
        <v>0.03</v>
      </c>
      <c r="AE28" s="185"/>
      <c r="AF28" s="185">
        <v>0.83399999999999996</v>
      </c>
      <c r="AG28" s="185"/>
      <c r="AH28" s="187">
        <f t="shared" si="3"/>
        <v>11.119</v>
      </c>
    </row>
    <row r="29" spans="1:34" ht="12.75">
      <c r="A29" s="1999" t="s">
        <v>81</v>
      </c>
      <c r="B29" s="190">
        <f t="shared" si="2"/>
        <v>4.9050000000000002</v>
      </c>
      <c r="C29" s="185"/>
      <c r="D29" s="185"/>
      <c r="E29" s="185"/>
      <c r="F29" s="185"/>
      <c r="G29" s="185"/>
      <c r="H29" s="185"/>
      <c r="I29" s="185"/>
      <c r="J29" s="185"/>
      <c r="K29" s="185">
        <v>0.1</v>
      </c>
      <c r="L29" s="185"/>
      <c r="M29" s="185"/>
      <c r="N29" s="185">
        <v>1.3</v>
      </c>
      <c r="O29" s="185"/>
      <c r="P29" s="185">
        <v>2.1000000000000001E-2</v>
      </c>
      <c r="Q29" s="185"/>
      <c r="R29" s="185"/>
      <c r="S29" s="185"/>
      <c r="T29" s="185"/>
      <c r="U29" s="185"/>
      <c r="V29" s="185">
        <v>0.03</v>
      </c>
      <c r="W29" s="185"/>
      <c r="X29" s="185">
        <v>1.9E-2</v>
      </c>
      <c r="Y29" s="185"/>
      <c r="Z29" s="185"/>
      <c r="AA29" s="185"/>
      <c r="AB29" s="185"/>
      <c r="AC29" s="185">
        <v>0.43</v>
      </c>
      <c r="AD29" s="185"/>
      <c r="AE29" s="185"/>
      <c r="AF29" s="185"/>
      <c r="AG29" s="185">
        <v>3.0050000000000003</v>
      </c>
      <c r="AH29" s="187">
        <f t="shared" si="3"/>
        <v>4.9050000000000002</v>
      </c>
    </row>
    <row r="30" spans="1:34" ht="12.75">
      <c r="A30" s="1999" t="s">
        <v>82</v>
      </c>
      <c r="B30" s="190">
        <f t="shared" si="2"/>
        <v>5.6749999999999989</v>
      </c>
      <c r="C30" s="185"/>
      <c r="D30" s="185">
        <v>0.14000000000000001</v>
      </c>
      <c r="E30" s="185"/>
      <c r="F30" s="185"/>
      <c r="G30" s="185"/>
      <c r="H30" s="185"/>
      <c r="I30" s="185">
        <v>1.29</v>
      </c>
      <c r="J30" s="185"/>
      <c r="K30" s="185">
        <v>1.615</v>
      </c>
      <c r="L30" s="185"/>
      <c r="M30" s="185"/>
      <c r="N30" s="185"/>
      <c r="O30" s="185"/>
      <c r="P30" s="185"/>
      <c r="Q30" s="185"/>
      <c r="R30" s="185">
        <v>0.02</v>
      </c>
      <c r="S30" s="185"/>
      <c r="T30" s="185"/>
      <c r="U30" s="185"/>
      <c r="V30" s="185"/>
      <c r="W30" s="185">
        <v>0.3</v>
      </c>
      <c r="X30" s="185"/>
      <c r="Y30" s="185"/>
      <c r="Z30" s="185"/>
      <c r="AA30" s="185"/>
      <c r="AB30" s="185"/>
      <c r="AC30" s="185">
        <v>1.7999999999999999E-2</v>
      </c>
      <c r="AD30" s="185"/>
      <c r="AE30" s="185"/>
      <c r="AF30" s="185">
        <v>0.1</v>
      </c>
      <c r="AG30" s="185">
        <v>2.1919999999999997</v>
      </c>
      <c r="AH30" s="187">
        <f t="shared" si="3"/>
        <v>5.6749999999999989</v>
      </c>
    </row>
    <row r="31" spans="1:34" ht="12.75">
      <c r="A31" s="1999" t="s">
        <v>83</v>
      </c>
      <c r="B31" s="190">
        <f t="shared" si="2"/>
        <v>15.941999999999997</v>
      </c>
      <c r="C31" s="185"/>
      <c r="D31" s="185"/>
      <c r="E31" s="185"/>
      <c r="F31" s="185"/>
      <c r="G31" s="185">
        <v>0.12</v>
      </c>
      <c r="H31" s="185">
        <v>1.036</v>
      </c>
      <c r="I31" s="185"/>
      <c r="J31" s="185"/>
      <c r="K31" s="185">
        <v>0.14000000000000001</v>
      </c>
      <c r="L31" s="185">
        <v>5.01</v>
      </c>
      <c r="M31" s="185">
        <v>5.42</v>
      </c>
      <c r="N31" s="185" t="s">
        <v>1163</v>
      </c>
      <c r="O31" s="185"/>
      <c r="P31" s="185">
        <v>0.05</v>
      </c>
      <c r="Q31" s="185"/>
      <c r="R31" s="185"/>
      <c r="S31" s="185">
        <v>0.6</v>
      </c>
      <c r="T31" s="185"/>
      <c r="U31" s="185"/>
      <c r="V31" s="185"/>
      <c r="W31" s="185"/>
      <c r="X31" s="185"/>
      <c r="Y31" s="185">
        <v>0.02</v>
      </c>
      <c r="Z31" s="185"/>
      <c r="AA31" s="185">
        <v>2.8</v>
      </c>
      <c r="AB31" s="185">
        <v>0.03</v>
      </c>
      <c r="AC31" s="185">
        <v>0.35</v>
      </c>
      <c r="AD31" s="185">
        <v>3.7999999999999999E-2</v>
      </c>
      <c r="AE31" s="185"/>
      <c r="AF31" s="185">
        <v>0.32800000000000001</v>
      </c>
      <c r="AG31" s="185"/>
      <c r="AH31" s="187">
        <f t="shared" si="3"/>
        <v>15.941999999999997</v>
      </c>
    </row>
    <row r="32" spans="1:34" ht="12.75">
      <c r="A32" s="1999" t="s">
        <v>84</v>
      </c>
      <c r="B32" s="190">
        <f t="shared" si="2"/>
        <v>18.381</v>
      </c>
      <c r="C32" s="185"/>
      <c r="D32" s="185">
        <v>4.6099999999999994</v>
      </c>
      <c r="E32" s="185">
        <v>2.1999999999999999E-2</v>
      </c>
      <c r="F32" s="185"/>
      <c r="G32" s="185">
        <v>1.26</v>
      </c>
      <c r="H32" s="185"/>
      <c r="I32" s="185" t="s">
        <v>1167</v>
      </c>
      <c r="J32" s="185">
        <v>0.23200000000000001</v>
      </c>
      <c r="K32" s="185">
        <v>2.702</v>
      </c>
      <c r="L32" s="185">
        <v>2.57</v>
      </c>
      <c r="M32" s="185">
        <v>0.2</v>
      </c>
      <c r="N32" s="185"/>
      <c r="O32" s="185">
        <v>2.8000000000000001E-2</v>
      </c>
      <c r="P32" s="185"/>
      <c r="Q32" s="185"/>
      <c r="R32" s="891"/>
      <c r="S32" s="891">
        <v>1.23</v>
      </c>
      <c r="T32" s="891">
        <v>4.01</v>
      </c>
      <c r="U32" s="891">
        <v>0.19</v>
      </c>
      <c r="V32" s="891"/>
      <c r="W32" s="891"/>
      <c r="X32" s="891">
        <v>2.9000000000000001E-2</v>
      </c>
      <c r="Y32" s="891"/>
      <c r="Z32" s="891"/>
      <c r="AA32" s="891">
        <v>5.7000000000000002E-2</v>
      </c>
      <c r="AB32" s="891"/>
      <c r="AC32" s="891"/>
      <c r="AD32" s="891">
        <v>0.3</v>
      </c>
      <c r="AE32" s="891"/>
      <c r="AF32" s="891">
        <v>0.36</v>
      </c>
      <c r="AG32" s="891">
        <v>0.58099999999999996</v>
      </c>
      <c r="AH32" s="187">
        <f t="shared" si="3"/>
        <v>18.381</v>
      </c>
    </row>
    <row r="33" spans="1:34" ht="12.75">
      <c r="A33" s="1740" t="s">
        <v>85</v>
      </c>
      <c r="B33" s="190">
        <f t="shared" si="2"/>
        <v>3.7230000000000003</v>
      </c>
      <c r="C33" s="185"/>
      <c r="D33" s="891"/>
      <c r="E33" s="891"/>
      <c r="F33" s="891"/>
      <c r="G33" s="891">
        <v>0.872</v>
      </c>
      <c r="H33" s="891">
        <v>0.6</v>
      </c>
      <c r="I33" s="891"/>
      <c r="J33" s="891">
        <v>0.3</v>
      </c>
      <c r="K33" s="891"/>
      <c r="L33" s="891">
        <v>6.2E-2</v>
      </c>
      <c r="M33" s="891"/>
      <c r="N33" s="891">
        <v>0.88500000000000001</v>
      </c>
      <c r="O33" s="891"/>
      <c r="P33" s="891"/>
      <c r="Q33" s="891"/>
      <c r="R33" s="1231">
        <v>3.6999999999999998E-2</v>
      </c>
      <c r="S33" s="1231"/>
      <c r="T33" s="1231"/>
      <c r="U33" s="1231"/>
      <c r="V33" s="1231"/>
      <c r="W33" s="1231">
        <v>6.2E-2</v>
      </c>
      <c r="X33" s="1231"/>
      <c r="Y33" s="1231"/>
      <c r="Z33" s="1231">
        <v>0.1</v>
      </c>
      <c r="AA33" s="1231"/>
      <c r="AB33" s="1231"/>
      <c r="AC33" s="1231"/>
      <c r="AD33" s="1231"/>
      <c r="AE33" s="1231"/>
      <c r="AF33" s="1231">
        <v>0.80500000000000005</v>
      </c>
      <c r="AG33" s="185"/>
      <c r="AH33" s="187">
        <f>SUM(C33:AG33)</f>
        <v>3.7230000000000003</v>
      </c>
    </row>
    <row r="34" spans="1:34" ht="12.75">
      <c r="A34" s="1740" t="s">
        <v>86</v>
      </c>
      <c r="B34" s="190">
        <f t="shared" si="2"/>
        <v>0.28600000000000003</v>
      </c>
      <c r="C34" s="185"/>
      <c r="D34" s="1231">
        <v>0.21</v>
      </c>
      <c r="E34" s="1231">
        <v>0.01</v>
      </c>
      <c r="F34" s="1231"/>
      <c r="G34" s="185"/>
      <c r="H34" s="185"/>
      <c r="I34" s="185"/>
      <c r="J34" s="185"/>
      <c r="K34" s="185"/>
      <c r="L34" s="185">
        <v>6.6000000000000003E-2</v>
      </c>
      <c r="M34" s="185"/>
      <c r="N34" s="185" t="s">
        <v>1250</v>
      </c>
      <c r="O34" s="185"/>
      <c r="P34" s="185"/>
      <c r="Q34" s="185"/>
      <c r="R34" s="185"/>
      <c r="S34" s="185"/>
      <c r="T34" s="185"/>
      <c r="U34" s="185"/>
      <c r="V34" s="185"/>
      <c r="W34" s="185"/>
      <c r="X34" s="185"/>
      <c r="Y34" s="185"/>
      <c r="Z34" s="185"/>
      <c r="AA34" s="185"/>
      <c r="AB34" s="185"/>
      <c r="AC34" s="185"/>
      <c r="AD34" s="185"/>
      <c r="AE34" s="185"/>
      <c r="AF34" s="185"/>
      <c r="AG34" s="185"/>
      <c r="AH34" s="187">
        <f t="shared" si="3"/>
        <v>0.28600000000000003</v>
      </c>
    </row>
    <row r="35" spans="1:34" ht="12.75">
      <c r="A35" s="665" t="s">
        <v>74</v>
      </c>
      <c r="B35" s="666">
        <f>SUM(B23:B34)</f>
        <v>93.63</v>
      </c>
      <c r="C35" s="187"/>
      <c r="D35" s="187"/>
      <c r="E35" s="187"/>
      <c r="F35" s="187"/>
      <c r="G35" s="187"/>
      <c r="H35" s="187"/>
      <c r="I35" s="187"/>
      <c r="J35" s="187"/>
      <c r="K35" s="187"/>
      <c r="L35" s="187"/>
      <c r="M35" s="187"/>
      <c r="N35" s="187"/>
      <c r="O35" s="187"/>
      <c r="P35" s="187"/>
      <c r="Q35" s="187"/>
      <c r="R35" s="187"/>
      <c r="S35" s="187"/>
      <c r="T35" s="187"/>
      <c r="U35" s="187"/>
      <c r="V35" s="187"/>
      <c r="W35" s="187"/>
      <c r="X35" s="187"/>
      <c r="Y35" s="187"/>
      <c r="Z35" s="187"/>
      <c r="AA35" s="187"/>
      <c r="AB35" s="187"/>
      <c r="AC35" s="187"/>
      <c r="AD35" s="187"/>
      <c r="AE35" s="187"/>
      <c r="AF35" s="187"/>
      <c r="AG35" s="187"/>
      <c r="AH35" s="187">
        <f>SUM(AH23:AH34)</f>
        <v>93.63</v>
      </c>
    </row>
    <row r="36" spans="1:34" ht="12.75">
      <c r="A36" s="680"/>
      <c r="B36" s="681"/>
      <c r="C36" s="177"/>
      <c r="D36" s="64"/>
      <c r="E36" s="64"/>
      <c r="F36" s="64"/>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c r="AF36" s="64"/>
      <c r="AG36" s="64"/>
      <c r="AH36" s="177"/>
    </row>
    <row r="37" spans="1:34" ht="12.75">
      <c r="A37" s="3605" t="s">
        <v>88</v>
      </c>
      <c r="B37" s="3606"/>
      <c r="C37" s="3607"/>
      <c r="D37" s="64"/>
      <c r="E37" s="64"/>
      <c r="F37" s="64"/>
      <c r="G37" s="64"/>
      <c r="H37" s="64"/>
      <c r="I37" s="64"/>
      <c r="J37" s="64"/>
      <c r="K37" s="64"/>
      <c r="L37" s="64"/>
      <c r="M37" s="64"/>
      <c r="N37" s="64"/>
      <c r="O37" s="64"/>
      <c r="P37" s="64"/>
      <c r="Q37" s="64"/>
      <c r="R37" s="64"/>
      <c r="S37" s="64"/>
      <c r="T37" s="64"/>
      <c r="U37" s="64"/>
      <c r="V37" s="64"/>
      <c r="W37" s="64"/>
      <c r="X37" s="64"/>
      <c r="Y37" s="64"/>
      <c r="Z37" s="64"/>
      <c r="AA37" s="64"/>
      <c r="AB37" s="64"/>
      <c r="AC37" s="64"/>
      <c r="AD37" s="64"/>
      <c r="AE37" s="64"/>
      <c r="AF37" s="64"/>
      <c r="AG37" s="64"/>
      <c r="AH37" s="177"/>
    </row>
    <row r="38" spans="1:34" ht="12.75">
      <c r="A38" s="178" t="s">
        <v>72</v>
      </c>
      <c r="B38" s="190" t="s">
        <v>73</v>
      </c>
      <c r="C38" s="178">
        <v>1</v>
      </c>
      <c r="D38" s="179">
        <v>2</v>
      </c>
      <c r="E38" s="179">
        <v>3</v>
      </c>
      <c r="F38" s="179">
        <v>4</v>
      </c>
      <c r="G38" s="179">
        <v>5</v>
      </c>
      <c r="H38" s="179">
        <v>6</v>
      </c>
      <c r="I38" s="179">
        <v>7</v>
      </c>
      <c r="J38" s="179">
        <v>8</v>
      </c>
      <c r="K38" s="179">
        <v>9</v>
      </c>
      <c r="L38" s="179">
        <v>10</v>
      </c>
      <c r="M38" s="179">
        <v>11</v>
      </c>
      <c r="N38" s="179">
        <v>12</v>
      </c>
      <c r="O38" s="179">
        <v>13</v>
      </c>
      <c r="P38" s="179">
        <v>14</v>
      </c>
      <c r="Q38" s="179">
        <v>15</v>
      </c>
      <c r="R38" s="179">
        <v>16</v>
      </c>
      <c r="S38" s="179">
        <v>17</v>
      </c>
      <c r="T38" s="179">
        <v>18</v>
      </c>
      <c r="U38" s="179">
        <v>19</v>
      </c>
      <c r="V38" s="179">
        <v>20</v>
      </c>
      <c r="W38" s="179">
        <v>21</v>
      </c>
      <c r="X38" s="179">
        <v>22</v>
      </c>
      <c r="Y38" s="179">
        <v>23</v>
      </c>
      <c r="Z38" s="179">
        <v>24</v>
      </c>
      <c r="AA38" s="179">
        <v>25</v>
      </c>
      <c r="AB38" s="179">
        <v>26</v>
      </c>
      <c r="AC38" s="179">
        <v>27</v>
      </c>
      <c r="AD38" s="179">
        <v>28</v>
      </c>
      <c r="AE38" s="179">
        <v>29</v>
      </c>
      <c r="AF38" s="179">
        <v>30</v>
      </c>
      <c r="AG38" s="179">
        <v>31</v>
      </c>
      <c r="AH38" s="178" t="s">
        <v>74</v>
      </c>
    </row>
    <row r="39" spans="1:34" ht="13.5">
      <c r="A39" s="1999" t="s">
        <v>75</v>
      </c>
      <c r="B39" s="2433">
        <f t="shared" ref="B39:B50" si="4">+AH39</f>
        <v>343.49399999999997</v>
      </c>
      <c r="C39" s="1972"/>
      <c r="D39" s="1972">
        <v>0</v>
      </c>
      <c r="E39" s="1973">
        <v>36.936999999999998</v>
      </c>
      <c r="F39" s="1973">
        <v>17.817</v>
      </c>
      <c r="G39" s="1973">
        <v>0.78200000000000003</v>
      </c>
      <c r="H39" s="1973">
        <v>10.639999999999999</v>
      </c>
      <c r="I39" s="1973">
        <v>24.038999999999998</v>
      </c>
      <c r="J39" s="1973">
        <v>29.522999999999996</v>
      </c>
      <c r="K39" s="1973">
        <v>8.6669999999999998</v>
      </c>
      <c r="L39" s="1973">
        <v>6.3130000000000015</v>
      </c>
      <c r="M39" s="1973">
        <v>8.1270000000000007</v>
      </c>
      <c r="N39" s="1973">
        <v>17.302999999999994</v>
      </c>
      <c r="O39" s="1973">
        <v>15.456999999999999</v>
      </c>
      <c r="P39" s="1973">
        <v>9.4879999999999995</v>
      </c>
      <c r="Q39" s="1973">
        <v>0</v>
      </c>
      <c r="R39" s="1973">
        <v>0</v>
      </c>
      <c r="S39" s="1973">
        <v>2.6360000000000001</v>
      </c>
      <c r="T39" s="1973">
        <v>0.55600000000000005</v>
      </c>
      <c r="U39" s="1973">
        <v>0</v>
      </c>
      <c r="V39" s="1973">
        <v>0</v>
      </c>
      <c r="W39" s="1973">
        <v>0</v>
      </c>
      <c r="X39" s="1973">
        <v>0</v>
      </c>
      <c r="Y39" s="1973">
        <v>4.468</v>
      </c>
      <c r="Z39" s="1973">
        <v>1.8680000000000003</v>
      </c>
      <c r="AA39" s="1969">
        <v>2.7120000000000002</v>
      </c>
      <c r="AB39" s="768">
        <v>0.32200000000000001</v>
      </c>
      <c r="AC39" s="768">
        <v>2.1160000000000001</v>
      </c>
      <c r="AD39" s="768">
        <v>66.737000000000009</v>
      </c>
      <c r="AE39" s="768">
        <v>6.2620000000000005</v>
      </c>
      <c r="AF39" s="768">
        <v>1.9020000000000001</v>
      </c>
      <c r="AG39" s="768">
        <v>68.822000000000003</v>
      </c>
      <c r="AH39" s="967">
        <f>SUM(C39:AG39)</f>
        <v>343.49399999999997</v>
      </c>
    </row>
    <row r="40" spans="1:34" ht="12.75">
      <c r="A40" s="1999" t="s">
        <v>76</v>
      </c>
      <c r="B40" s="2433">
        <f t="shared" si="4"/>
        <v>160.51600000000002</v>
      </c>
      <c r="C40" s="683">
        <v>15.164999999999999</v>
      </c>
      <c r="D40" s="683">
        <v>3.3660000000000001</v>
      </c>
      <c r="E40" s="768">
        <v>5.589999999999999</v>
      </c>
      <c r="F40" s="768">
        <v>20.929000000000002</v>
      </c>
      <c r="G40" s="768">
        <v>33.076000000000008</v>
      </c>
      <c r="H40" s="768">
        <v>14.770000000000001</v>
      </c>
      <c r="I40" s="768">
        <v>0</v>
      </c>
      <c r="J40" s="768">
        <v>0</v>
      </c>
      <c r="K40" s="768">
        <v>0</v>
      </c>
      <c r="L40" s="768">
        <v>0</v>
      </c>
      <c r="M40" s="768">
        <v>0</v>
      </c>
      <c r="N40" s="768">
        <v>15.14</v>
      </c>
      <c r="O40" s="768">
        <v>33.090000000000003</v>
      </c>
      <c r="P40" s="768">
        <v>18.781000000000002</v>
      </c>
      <c r="Q40" s="768">
        <v>0.23499999999999999</v>
      </c>
      <c r="R40" s="768">
        <v>0</v>
      </c>
      <c r="S40" s="768">
        <v>0</v>
      </c>
      <c r="T40" s="768">
        <v>0</v>
      </c>
      <c r="U40" s="768">
        <v>0</v>
      </c>
      <c r="V40" s="768">
        <v>0</v>
      </c>
      <c r="W40" s="768">
        <v>0</v>
      </c>
      <c r="X40" s="768">
        <v>0</v>
      </c>
      <c r="Y40" s="768">
        <v>0</v>
      </c>
      <c r="Z40" s="768">
        <v>0</v>
      </c>
      <c r="AA40" s="1969">
        <v>0.374</v>
      </c>
      <c r="AB40" s="768">
        <v>0</v>
      </c>
      <c r="AC40" s="768">
        <v>0</v>
      </c>
      <c r="AD40" s="768">
        <v>0</v>
      </c>
      <c r="AE40" s="768">
        <v>0</v>
      </c>
      <c r="AF40" s="768">
        <v>0</v>
      </c>
      <c r="AG40" s="768">
        <v>0</v>
      </c>
      <c r="AH40" s="967">
        <f t="shared" ref="AH40:AH50" si="5">SUM(C40:AG40)</f>
        <v>160.51600000000002</v>
      </c>
    </row>
    <row r="41" spans="1:34" ht="12.75">
      <c r="A41" s="1999" t="s">
        <v>77</v>
      </c>
      <c r="B41" s="2433">
        <f t="shared" si="4"/>
        <v>21.052</v>
      </c>
      <c r="C41" s="683">
        <v>0</v>
      </c>
      <c r="D41" s="683">
        <v>4.5</v>
      </c>
      <c r="E41" s="768">
        <v>0</v>
      </c>
      <c r="F41" s="768">
        <v>0.32999999999999996</v>
      </c>
      <c r="G41" s="768">
        <v>0</v>
      </c>
      <c r="H41" s="768">
        <v>0</v>
      </c>
      <c r="I41" s="768">
        <v>0.08</v>
      </c>
      <c r="J41" s="768">
        <v>5.3550000000000004</v>
      </c>
      <c r="K41" s="768">
        <v>0.11</v>
      </c>
      <c r="L41" s="768">
        <v>0.88</v>
      </c>
      <c r="M41" s="768">
        <v>0</v>
      </c>
      <c r="N41" s="768">
        <v>0.03</v>
      </c>
      <c r="O41" s="768">
        <v>0</v>
      </c>
      <c r="P41" s="768">
        <v>0.115</v>
      </c>
      <c r="Q41" s="768">
        <v>0.23899999999999999</v>
      </c>
      <c r="R41" s="768">
        <v>0</v>
      </c>
      <c r="S41" s="768">
        <v>0</v>
      </c>
      <c r="T41" s="768">
        <v>0.14499999999999999</v>
      </c>
      <c r="U41" s="768">
        <v>4.41</v>
      </c>
      <c r="V41" s="768">
        <v>0.22</v>
      </c>
      <c r="W41" s="768">
        <v>0.15</v>
      </c>
      <c r="X41" s="768">
        <v>0</v>
      </c>
      <c r="Y41" s="768">
        <v>0</v>
      </c>
      <c r="Z41" s="768">
        <v>0</v>
      </c>
      <c r="AA41" s="768">
        <v>0.41799999999999998</v>
      </c>
      <c r="AB41" s="768">
        <v>0.36</v>
      </c>
      <c r="AC41" s="768">
        <v>1.07</v>
      </c>
      <c r="AD41" s="768">
        <v>2.57</v>
      </c>
      <c r="AE41" s="768">
        <v>7.0000000000000007E-2</v>
      </c>
      <c r="AF41" s="768">
        <v>0</v>
      </c>
      <c r="AG41" s="768">
        <v>0</v>
      </c>
      <c r="AH41" s="967">
        <f t="shared" si="5"/>
        <v>21.052</v>
      </c>
    </row>
    <row r="42" spans="1:34" ht="12.75">
      <c r="A42" s="1999" t="s">
        <v>78</v>
      </c>
      <c r="B42" s="2433">
        <f t="shared" si="4"/>
        <v>1489.077</v>
      </c>
      <c r="C42" s="683">
        <v>0.248</v>
      </c>
      <c r="D42" s="683">
        <v>0</v>
      </c>
      <c r="E42" s="768">
        <v>0</v>
      </c>
      <c r="F42" s="768">
        <v>0</v>
      </c>
      <c r="G42" s="768">
        <v>0</v>
      </c>
      <c r="H42" s="768">
        <v>5.6000000000000001E-2</v>
      </c>
      <c r="I42" s="768">
        <v>8.6379999999999999</v>
      </c>
      <c r="J42" s="768">
        <v>107.703</v>
      </c>
      <c r="K42" s="768">
        <v>253.65099999999995</v>
      </c>
      <c r="L42" s="768">
        <v>145.54300000000001</v>
      </c>
      <c r="M42" s="768">
        <v>0</v>
      </c>
      <c r="N42" s="768">
        <v>0</v>
      </c>
      <c r="O42" s="768">
        <v>0</v>
      </c>
      <c r="P42" s="768">
        <v>0</v>
      </c>
      <c r="Q42" s="768">
        <v>0</v>
      </c>
      <c r="R42" s="768">
        <v>144.92399999999998</v>
      </c>
      <c r="S42" s="768">
        <v>24.443999999999999</v>
      </c>
      <c r="T42" s="768">
        <v>11.741000000000001</v>
      </c>
      <c r="U42" s="768">
        <v>15.493</v>
      </c>
      <c r="V42" s="768">
        <v>0.66600000000000004</v>
      </c>
      <c r="W42" s="768">
        <v>28.95</v>
      </c>
      <c r="X42" s="768">
        <v>166.37199999999999</v>
      </c>
      <c r="Y42" s="768">
        <v>111.614</v>
      </c>
      <c r="Z42" s="768">
        <v>177.62899999999999</v>
      </c>
      <c r="AA42" s="768">
        <v>132.63300000000004</v>
      </c>
      <c r="AB42" s="768">
        <v>112.848</v>
      </c>
      <c r="AC42" s="768">
        <v>1.9670000000000001</v>
      </c>
      <c r="AD42" s="768">
        <v>6.3790000000000004</v>
      </c>
      <c r="AE42" s="768">
        <v>37.578000000000003</v>
      </c>
      <c r="AF42" s="768">
        <v>0</v>
      </c>
      <c r="AG42" s="768">
        <v>0</v>
      </c>
      <c r="AH42" s="967">
        <f t="shared" si="5"/>
        <v>1489.077</v>
      </c>
    </row>
    <row r="43" spans="1:34" ht="12.75">
      <c r="A43" s="1999" t="s">
        <v>79</v>
      </c>
      <c r="B43" s="2433">
        <f t="shared" si="4"/>
        <v>3.3919999999999999</v>
      </c>
      <c r="C43" s="683">
        <v>0</v>
      </c>
      <c r="D43" s="683">
        <v>0</v>
      </c>
      <c r="E43" s="768">
        <v>0</v>
      </c>
      <c r="F43" s="768">
        <v>0.02</v>
      </c>
      <c r="G43" s="768">
        <v>0.1</v>
      </c>
      <c r="H43" s="768">
        <v>0.05</v>
      </c>
      <c r="I43" s="768">
        <v>2.1549999999999998</v>
      </c>
      <c r="J43" s="768">
        <v>0</v>
      </c>
      <c r="K43" s="768">
        <v>0</v>
      </c>
      <c r="L43" s="768">
        <v>0</v>
      </c>
      <c r="M43" s="768">
        <v>0</v>
      </c>
      <c r="N43" s="768">
        <v>0</v>
      </c>
      <c r="O43" s="768">
        <v>0</v>
      </c>
      <c r="P43" s="768">
        <v>0</v>
      </c>
      <c r="Q43" s="768">
        <v>0</v>
      </c>
      <c r="R43" s="768">
        <v>0</v>
      </c>
      <c r="S43" s="768">
        <v>0</v>
      </c>
      <c r="T43" s="768">
        <v>0</v>
      </c>
      <c r="U43" s="768">
        <v>0</v>
      </c>
      <c r="V43" s="768">
        <v>0</v>
      </c>
      <c r="W43" s="768">
        <v>0</v>
      </c>
      <c r="X43" s="768">
        <v>0</v>
      </c>
      <c r="Y43" s="768">
        <v>0</v>
      </c>
      <c r="Z43" s="768">
        <v>0</v>
      </c>
      <c r="AA43" s="768">
        <v>0</v>
      </c>
      <c r="AB43" s="768">
        <v>0.32200000000000001</v>
      </c>
      <c r="AC43" s="768">
        <v>0.24099999999999999</v>
      </c>
      <c r="AD43" s="768">
        <v>0.24099999999999999</v>
      </c>
      <c r="AE43" s="768">
        <v>0.13800000000000001</v>
      </c>
      <c r="AF43" s="768">
        <v>0.125</v>
      </c>
      <c r="AG43" s="768">
        <v>0</v>
      </c>
      <c r="AH43" s="967">
        <f t="shared" si="5"/>
        <v>3.3919999999999999</v>
      </c>
    </row>
    <row r="44" spans="1:34" ht="12.75">
      <c r="A44" s="1999" t="s">
        <v>80</v>
      </c>
      <c r="B44" s="2433">
        <f t="shared" si="4"/>
        <v>1.548</v>
      </c>
      <c r="C44" s="683">
        <v>0</v>
      </c>
      <c r="D44" s="683">
        <v>0</v>
      </c>
      <c r="E44" s="683">
        <v>0</v>
      </c>
      <c r="F44" s="683">
        <v>0</v>
      </c>
      <c r="G44" s="683">
        <v>0</v>
      </c>
      <c r="H44" s="683">
        <v>0</v>
      </c>
      <c r="I44" s="683">
        <v>0</v>
      </c>
      <c r="J44" s="683">
        <v>0</v>
      </c>
      <c r="K44" s="683">
        <v>0</v>
      </c>
      <c r="L44" s="683">
        <v>0</v>
      </c>
      <c r="M44" s="683">
        <v>7.0000000000000007E-2</v>
      </c>
      <c r="N44" s="683">
        <v>0</v>
      </c>
      <c r="O44" s="683">
        <v>0.14000000000000001</v>
      </c>
      <c r="P44" s="683">
        <v>0</v>
      </c>
      <c r="Q44" s="683">
        <v>0</v>
      </c>
      <c r="R44" s="683">
        <v>0</v>
      </c>
      <c r="S44" s="683">
        <v>9.1999999999999998E-2</v>
      </c>
      <c r="T44" s="683">
        <v>0</v>
      </c>
      <c r="U44" s="683">
        <v>0</v>
      </c>
      <c r="V44" s="683">
        <v>0</v>
      </c>
      <c r="W44" s="683">
        <v>0.253</v>
      </c>
      <c r="X44" s="683">
        <v>0</v>
      </c>
      <c r="Y44" s="683">
        <v>0</v>
      </c>
      <c r="Z44" s="683">
        <v>0</v>
      </c>
      <c r="AA44" s="683">
        <v>0</v>
      </c>
      <c r="AB44" s="683">
        <v>0.42499999999999999</v>
      </c>
      <c r="AC44" s="683">
        <v>0.47599999999999998</v>
      </c>
      <c r="AD44" s="683">
        <v>9.1999999999999998E-2</v>
      </c>
      <c r="AE44" s="683">
        <v>0</v>
      </c>
      <c r="AF44" s="683">
        <v>0</v>
      </c>
      <c r="AG44" s="683">
        <v>0</v>
      </c>
      <c r="AH44" s="967">
        <f t="shared" si="5"/>
        <v>1.548</v>
      </c>
    </row>
    <row r="45" spans="1:34" ht="12.75">
      <c r="A45" s="1999" t="s">
        <v>81</v>
      </c>
      <c r="B45" s="2433">
        <f t="shared" si="4"/>
        <v>10.650000000000002</v>
      </c>
      <c r="C45" s="683">
        <v>0</v>
      </c>
      <c r="D45" s="683">
        <v>0</v>
      </c>
      <c r="E45" s="683">
        <v>0</v>
      </c>
      <c r="F45" s="683">
        <v>0</v>
      </c>
      <c r="G45" s="683">
        <v>0</v>
      </c>
      <c r="H45" s="683">
        <v>0</v>
      </c>
      <c r="I45" s="683">
        <v>0</v>
      </c>
      <c r="J45" s="683">
        <v>0</v>
      </c>
      <c r="K45" s="683">
        <v>0</v>
      </c>
      <c r="L45" s="683">
        <v>0</v>
      </c>
      <c r="M45" s="683">
        <v>0</v>
      </c>
      <c r="N45" s="683">
        <v>0.312</v>
      </c>
      <c r="O45" s="683">
        <v>0</v>
      </c>
      <c r="P45" s="683">
        <v>9.1999999999999998E-2</v>
      </c>
      <c r="Q45" s="683">
        <v>0</v>
      </c>
      <c r="R45" s="683">
        <v>0</v>
      </c>
      <c r="S45" s="683">
        <v>0</v>
      </c>
      <c r="T45" s="683">
        <v>0</v>
      </c>
      <c r="U45" s="683">
        <v>0</v>
      </c>
      <c r="V45" s="683">
        <v>0</v>
      </c>
      <c r="W45" s="683">
        <v>0</v>
      </c>
      <c r="X45" s="683">
        <v>0</v>
      </c>
      <c r="Y45" s="683">
        <v>0</v>
      </c>
      <c r="Z45" s="683">
        <v>8.6460000000000008</v>
      </c>
      <c r="AA45" s="683">
        <v>0</v>
      </c>
      <c r="AB45" s="683">
        <v>0.874</v>
      </c>
      <c r="AC45" s="683">
        <v>0.72599999999999998</v>
      </c>
      <c r="AD45" s="683">
        <v>0</v>
      </c>
      <c r="AE45" s="683">
        <v>0</v>
      </c>
      <c r="AF45" s="683">
        <v>0</v>
      </c>
      <c r="AG45" s="683">
        <v>0</v>
      </c>
      <c r="AH45" s="967">
        <f t="shared" si="5"/>
        <v>10.650000000000002</v>
      </c>
    </row>
    <row r="46" spans="1:34" ht="12.75">
      <c r="A46" s="1999" t="s">
        <v>82</v>
      </c>
      <c r="B46" s="2433">
        <f t="shared" si="4"/>
        <v>13.654</v>
      </c>
      <c r="C46" s="683">
        <v>0.01</v>
      </c>
      <c r="D46" s="683">
        <v>0</v>
      </c>
      <c r="E46" s="683">
        <v>0</v>
      </c>
      <c r="F46" s="683">
        <v>0</v>
      </c>
      <c r="G46" s="683">
        <v>0</v>
      </c>
      <c r="H46" s="683">
        <v>0</v>
      </c>
      <c r="I46" s="683">
        <v>0</v>
      </c>
      <c r="J46" s="683">
        <v>7.5350000000000001</v>
      </c>
      <c r="K46" s="683">
        <v>0.05</v>
      </c>
      <c r="L46" s="683">
        <v>0</v>
      </c>
      <c r="M46" s="683">
        <v>0</v>
      </c>
      <c r="N46" s="683">
        <v>0.115</v>
      </c>
      <c r="O46" s="683">
        <v>0</v>
      </c>
      <c r="P46" s="683"/>
      <c r="Q46" s="683">
        <v>0</v>
      </c>
      <c r="R46" s="683">
        <v>0</v>
      </c>
      <c r="S46" s="683">
        <v>0</v>
      </c>
      <c r="T46" s="683">
        <v>0</v>
      </c>
      <c r="U46" s="683">
        <v>0</v>
      </c>
      <c r="V46" s="683">
        <v>0</v>
      </c>
      <c r="W46" s="683">
        <v>0</v>
      </c>
      <c r="X46" s="683">
        <v>0</v>
      </c>
      <c r="Y46" s="683">
        <v>0</v>
      </c>
      <c r="Z46" s="683">
        <v>0</v>
      </c>
      <c r="AA46" s="683">
        <v>3.2000000000000001E-2</v>
      </c>
      <c r="AB46" s="683">
        <v>0</v>
      </c>
      <c r="AC46" s="683">
        <v>0</v>
      </c>
      <c r="AD46" s="683">
        <v>3.2000000000000001E-2</v>
      </c>
      <c r="AE46" s="683">
        <v>0</v>
      </c>
      <c r="AF46" s="683">
        <v>5.88</v>
      </c>
      <c r="AG46" s="683">
        <v>0</v>
      </c>
      <c r="AH46" s="967">
        <f t="shared" si="5"/>
        <v>13.654</v>
      </c>
    </row>
    <row r="47" spans="1:34" ht="12.75">
      <c r="A47" s="1999" t="s">
        <v>83</v>
      </c>
      <c r="B47" s="2433">
        <f t="shared" si="4"/>
        <v>84.571999999999989</v>
      </c>
      <c r="C47" s="683">
        <v>0</v>
      </c>
      <c r="D47" s="683">
        <v>0.2</v>
      </c>
      <c r="E47" s="683">
        <v>0.01</v>
      </c>
      <c r="F47" s="683">
        <v>0</v>
      </c>
      <c r="G47" s="683">
        <v>53.196999999999996</v>
      </c>
      <c r="H47" s="683">
        <v>2.3490000000000002</v>
      </c>
      <c r="I47" s="683">
        <v>0.57599999999999996</v>
      </c>
      <c r="J47" s="683">
        <v>0</v>
      </c>
      <c r="K47" s="683">
        <v>0</v>
      </c>
      <c r="L47" s="683"/>
      <c r="M47" s="683">
        <v>0</v>
      </c>
      <c r="N47" s="683">
        <v>0</v>
      </c>
      <c r="O47" s="683">
        <v>0</v>
      </c>
      <c r="P47" s="683">
        <v>6.1239999999999997</v>
      </c>
      <c r="Q47" s="683">
        <v>0</v>
      </c>
      <c r="R47" s="683">
        <v>0</v>
      </c>
      <c r="S47" s="683">
        <v>0</v>
      </c>
      <c r="T47" s="683">
        <v>0</v>
      </c>
      <c r="U47" s="683">
        <v>0</v>
      </c>
      <c r="V47" s="683">
        <v>0</v>
      </c>
      <c r="W47" s="683">
        <v>0</v>
      </c>
      <c r="X47" s="683">
        <v>0</v>
      </c>
      <c r="Y47" s="683">
        <v>0</v>
      </c>
      <c r="Z47" s="683">
        <v>2.3970000000000002</v>
      </c>
      <c r="AA47" s="683">
        <v>6.5880000000000001</v>
      </c>
      <c r="AB47" s="683">
        <v>11.533999999999999</v>
      </c>
      <c r="AC47" s="683">
        <v>0</v>
      </c>
      <c r="AD47" s="683">
        <v>1.597</v>
      </c>
      <c r="AE47" s="683">
        <v>0</v>
      </c>
      <c r="AF47" s="683">
        <v>0</v>
      </c>
      <c r="AG47" s="683">
        <v>0</v>
      </c>
      <c r="AH47" s="967">
        <f t="shared" si="5"/>
        <v>84.571999999999989</v>
      </c>
    </row>
    <row r="48" spans="1:34" ht="12.75">
      <c r="A48" s="1999" t="s">
        <v>84</v>
      </c>
      <c r="B48" s="2433">
        <f t="shared" si="4"/>
        <v>30.020000000000003</v>
      </c>
      <c r="C48" s="288"/>
      <c r="D48" s="683"/>
      <c r="E48" s="683">
        <v>3.5</v>
      </c>
      <c r="F48" s="683"/>
      <c r="G48" s="683"/>
      <c r="H48" s="683"/>
      <c r="I48" s="683"/>
      <c r="J48" s="683"/>
      <c r="K48" s="683">
        <v>15.06</v>
      </c>
      <c r="L48" s="683"/>
      <c r="M48" s="683"/>
      <c r="N48" s="683"/>
      <c r="O48" s="683"/>
      <c r="P48" s="683"/>
      <c r="Q48" s="683">
        <v>2.46</v>
      </c>
      <c r="R48" s="683"/>
      <c r="S48" s="683">
        <v>9</v>
      </c>
      <c r="T48" s="683"/>
      <c r="U48" s="683"/>
      <c r="V48" s="683"/>
      <c r="W48" s="683"/>
      <c r="X48" s="683"/>
      <c r="Y48" s="683"/>
      <c r="Z48" s="683"/>
      <c r="AA48" s="683"/>
      <c r="AB48" s="683"/>
      <c r="AC48" s="683"/>
      <c r="AD48" s="683"/>
      <c r="AE48" s="683"/>
      <c r="AF48" s="683"/>
      <c r="AG48" s="683"/>
      <c r="AH48" s="967">
        <f t="shared" si="5"/>
        <v>30.020000000000003</v>
      </c>
    </row>
    <row r="49" spans="1:34" ht="12.75">
      <c r="A49" s="1740" t="s">
        <v>85</v>
      </c>
      <c r="B49" s="2433">
        <f t="shared" si="4"/>
        <v>21.78</v>
      </c>
      <c r="C49" s="683">
        <v>0</v>
      </c>
      <c r="D49" s="288">
        <v>0</v>
      </c>
      <c r="E49" s="288">
        <v>0</v>
      </c>
      <c r="F49" s="288">
        <v>0</v>
      </c>
      <c r="G49" s="288">
        <v>0</v>
      </c>
      <c r="H49" s="288">
        <v>0</v>
      </c>
      <c r="I49" s="288">
        <v>0</v>
      </c>
      <c r="J49" s="288">
        <v>0</v>
      </c>
      <c r="K49" s="288">
        <v>0</v>
      </c>
      <c r="L49" s="288">
        <v>0</v>
      </c>
      <c r="M49" s="288">
        <v>0</v>
      </c>
      <c r="N49" s="288">
        <v>0</v>
      </c>
      <c r="O49" s="288">
        <v>0.16</v>
      </c>
      <c r="P49" s="288">
        <v>0</v>
      </c>
      <c r="Q49" s="288">
        <v>0</v>
      </c>
      <c r="R49" s="288">
        <v>0</v>
      </c>
      <c r="S49" s="288">
        <v>0</v>
      </c>
      <c r="T49" s="683">
        <v>4.76</v>
      </c>
      <c r="U49" s="683">
        <v>16.86</v>
      </c>
      <c r="V49" s="683">
        <v>0</v>
      </c>
      <c r="W49" s="683">
        <v>0</v>
      </c>
      <c r="X49" s="683">
        <v>0</v>
      </c>
      <c r="Y49" s="683">
        <v>0</v>
      </c>
      <c r="Z49" s="683">
        <v>0</v>
      </c>
      <c r="AA49" s="683">
        <v>0</v>
      </c>
      <c r="AB49" s="683">
        <v>0</v>
      </c>
      <c r="AC49" s="683" t="s">
        <v>1197</v>
      </c>
      <c r="AD49" s="683"/>
      <c r="AE49" s="683"/>
      <c r="AF49" s="683"/>
      <c r="AG49" s="683"/>
      <c r="AH49" s="967">
        <f>SUM(C49:AG49)</f>
        <v>21.78</v>
      </c>
    </row>
    <row r="50" spans="1:34" ht="12.75">
      <c r="A50" s="1740" t="s">
        <v>86</v>
      </c>
      <c r="B50" s="2433">
        <f t="shared" si="4"/>
        <v>0.5</v>
      </c>
      <c r="C50" s="683">
        <v>0</v>
      </c>
      <c r="D50" s="683">
        <v>0</v>
      </c>
      <c r="E50" s="683">
        <v>0</v>
      </c>
      <c r="F50" s="683">
        <v>0</v>
      </c>
      <c r="G50" s="683">
        <v>0</v>
      </c>
      <c r="H50" s="683">
        <v>0</v>
      </c>
      <c r="I50" s="683">
        <v>0</v>
      </c>
      <c r="J50" s="683">
        <v>0</v>
      </c>
      <c r="K50" s="683">
        <v>0</v>
      </c>
      <c r="L50" s="683">
        <v>0</v>
      </c>
      <c r="M50" s="683">
        <v>0</v>
      </c>
      <c r="N50" s="683">
        <v>0</v>
      </c>
      <c r="O50" s="683">
        <v>0</v>
      </c>
      <c r="P50" s="683">
        <v>0</v>
      </c>
      <c r="Q50" s="683">
        <v>0</v>
      </c>
      <c r="R50" s="683">
        <v>0</v>
      </c>
      <c r="S50" s="683">
        <v>0</v>
      </c>
      <c r="T50" s="683">
        <v>0</v>
      </c>
      <c r="U50" s="683">
        <v>0</v>
      </c>
      <c r="V50" s="683">
        <v>0</v>
      </c>
      <c r="W50" s="683">
        <v>0</v>
      </c>
      <c r="X50" s="683">
        <v>0</v>
      </c>
      <c r="Y50" s="683">
        <v>0</v>
      </c>
      <c r="Z50" s="683">
        <v>0.5</v>
      </c>
      <c r="AA50" s="683">
        <v>0</v>
      </c>
      <c r="AB50" s="683">
        <v>0</v>
      </c>
      <c r="AC50" s="683" t="s">
        <v>1272</v>
      </c>
      <c r="AD50" s="683" t="s">
        <v>1273</v>
      </c>
      <c r="AE50" s="683">
        <v>0</v>
      </c>
      <c r="AF50" s="683">
        <v>0</v>
      </c>
      <c r="AG50" s="683">
        <v>0</v>
      </c>
      <c r="AH50" s="967">
        <f t="shared" si="5"/>
        <v>0.5</v>
      </c>
    </row>
    <row r="51" spans="1:34" ht="12.75">
      <c r="A51" s="665" t="s">
        <v>74</v>
      </c>
      <c r="B51" s="1317">
        <f>SUM(B39:B50)</f>
        <v>2180.2550000000006</v>
      </c>
      <c r="C51" s="1319">
        <f t="shared" ref="C51:AH51" si="6">SUM(C39:C50)</f>
        <v>15.422999999999998</v>
      </c>
      <c r="D51" s="1319">
        <f t="shared" si="6"/>
        <v>8.0659999999999989</v>
      </c>
      <c r="E51" s="1319">
        <f t="shared" si="6"/>
        <v>46.036999999999992</v>
      </c>
      <c r="F51" s="1319">
        <f t="shared" si="6"/>
        <v>39.096000000000004</v>
      </c>
      <c r="G51" s="1319">
        <f t="shared" si="6"/>
        <v>87.155000000000001</v>
      </c>
      <c r="H51" s="1319">
        <f t="shared" si="6"/>
        <v>27.865000000000002</v>
      </c>
      <c r="I51" s="1319">
        <f t="shared" si="6"/>
        <v>35.488</v>
      </c>
      <c r="J51" s="1319">
        <f t="shared" si="6"/>
        <v>150.11600000000001</v>
      </c>
      <c r="K51" s="1319">
        <f t="shared" si="6"/>
        <v>277.53799999999995</v>
      </c>
      <c r="L51" s="1319">
        <f t="shared" si="6"/>
        <v>152.73600000000002</v>
      </c>
      <c r="M51" s="1319">
        <f t="shared" si="6"/>
        <v>8.197000000000001</v>
      </c>
      <c r="N51" s="1319">
        <f t="shared" si="6"/>
        <v>32.9</v>
      </c>
      <c r="O51" s="1319">
        <f t="shared" si="6"/>
        <v>48.847000000000001</v>
      </c>
      <c r="P51" s="1319">
        <f t="shared" si="6"/>
        <v>34.6</v>
      </c>
      <c r="Q51" s="1319">
        <f t="shared" si="6"/>
        <v>2.9340000000000002</v>
      </c>
      <c r="R51" s="1319">
        <f t="shared" si="6"/>
        <v>144.92399999999998</v>
      </c>
      <c r="S51" s="1319">
        <f t="shared" si="6"/>
        <v>36.171999999999997</v>
      </c>
      <c r="T51" s="1319">
        <f t="shared" si="6"/>
        <v>17.202000000000002</v>
      </c>
      <c r="U51" s="1319">
        <f t="shared" si="6"/>
        <v>36.762999999999998</v>
      </c>
      <c r="V51" s="1319">
        <f t="shared" si="6"/>
        <v>0.88600000000000001</v>
      </c>
      <c r="W51" s="1319">
        <f t="shared" si="6"/>
        <v>29.352999999999998</v>
      </c>
      <c r="X51" s="1319">
        <f t="shared" si="6"/>
        <v>166.37199999999999</v>
      </c>
      <c r="Y51" s="1319">
        <f t="shared" si="6"/>
        <v>116.08200000000001</v>
      </c>
      <c r="Z51" s="1319">
        <f t="shared" si="6"/>
        <v>191.03999999999996</v>
      </c>
      <c r="AA51" s="1319">
        <f t="shared" si="6"/>
        <v>142.75700000000003</v>
      </c>
      <c r="AB51" s="1319">
        <f t="shared" si="6"/>
        <v>126.685</v>
      </c>
      <c r="AC51" s="1319">
        <f t="shared" si="6"/>
        <v>6.5960000000000001</v>
      </c>
      <c r="AD51" s="1319">
        <f t="shared" si="6"/>
        <v>77.647999999999996</v>
      </c>
      <c r="AE51" s="1319">
        <f t="shared" si="6"/>
        <v>44.048000000000002</v>
      </c>
      <c r="AF51" s="1319">
        <f t="shared" si="6"/>
        <v>7.907</v>
      </c>
      <c r="AG51" s="1319">
        <f t="shared" si="6"/>
        <v>68.822000000000003</v>
      </c>
      <c r="AH51" s="183">
        <f t="shared" si="6"/>
        <v>2180.2550000000006</v>
      </c>
    </row>
    <row r="52" spans="1:34" ht="12.75">
      <c r="A52" s="177"/>
      <c r="B52" s="661"/>
      <c r="C52" s="177"/>
      <c r="D52" s="64"/>
      <c r="E52" s="64"/>
      <c r="F52" s="64"/>
      <c r="G52" s="64"/>
      <c r="H52" s="64"/>
      <c r="I52" s="64"/>
      <c r="J52" s="64"/>
      <c r="K52" s="64"/>
      <c r="L52" s="64"/>
      <c r="M52" s="64"/>
      <c r="N52" s="64"/>
      <c r="O52" s="64"/>
      <c r="P52" s="64"/>
      <c r="Q52" s="64"/>
      <c r="R52" s="64"/>
      <c r="S52" s="64"/>
      <c r="T52" s="64"/>
      <c r="U52" s="64"/>
      <c r="V52" s="64"/>
      <c r="W52" s="64"/>
      <c r="X52" s="64"/>
      <c r="Y52" s="64"/>
      <c r="Z52" s="64"/>
      <c r="AA52" s="64"/>
      <c r="AB52" s="64"/>
      <c r="AC52" s="64"/>
      <c r="AD52" s="64"/>
      <c r="AE52" s="64"/>
      <c r="AF52" s="64"/>
      <c r="AG52" s="64"/>
      <c r="AH52" s="177"/>
    </row>
    <row r="53" spans="1:34" ht="12.75" hidden="1">
      <c r="A53" s="3605" t="s">
        <v>546</v>
      </c>
      <c r="B53" s="3606"/>
      <c r="C53" s="3607"/>
      <c r="D53" s="64"/>
      <c r="E53" s="64"/>
      <c r="F53" s="64"/>
      <c r="G53" s="64"/>
      <c r="H53" s="64"/>
      <c r="I53" s="64"/>
      <c r="J53" s="64"/>
      <c r="K53" s="64"/>
      <c r="L53" s="64"/>
      <c r="M53" s="64"/>
      <c r="N53" s="64"/>
      <c r="O53" s="64"/>
      <c r="P53" s="64"/>
      <c r="Q53" s="64"/>
      <c r="R53" s="64"/>
      <c r="S53" s="64"/>
      <c r="T53" s="64"/>
      <c r="U53" s="64"/>
      <c r="V53" s="64"/>
      <c r="W53" s="64"/>
      <c r="X53" s="64"/>
      <c r="Y53" s="64"/>
      <c r="Z53" s="64"/>
      <c r="AA53" s="64"/>
      <c r="AB53" s="64"/>
      <c r="AC53" s="64"/>
      <c r="AD53" s="64"/>
      <c r="AE53" s="64"/>
      <c r="AF53" s="64"/>
      <c r="AG53" s="64"/>
      <c r="AH53" s="177"/>
    </row>
    <row r="54" spans="1:34" ht="12.75" hidden="1">
      <c r="A54" s="178" t="s">
        <v>72</v>
      </c>
      <c r="B54" s="190" t="s">
        <v>73</v>
      </c>
      <c r="C54" s="178">
        <v>1</v>
      </c>
      <c r="D54" s="179">
        <v>2</v>
      </c>
      <c r="E54" s="179">
        <v>3</v>
      </c>
      <c r="F54" s="179">
        <v>4</v>
      </c>
      <c r="G54" s="179">
        <v>5</v>
      </c>
      <c r="H54" s="179">
        <v>6</v>
      </c>
      <c r="I54" s="179">
        <v>7</v>
      </c>
      <c r="J54" s="179">
        <v>8</v>
      </c>
      <c r="K54" s="179">
        <v>9</v>
      </c>
      <c r="L54" s="179">
        <v>10</v>
      </c>
      <c r="M54" s="179">
        <v>11</v>
      </c>
      <c r="N54" s="179">
        <v>12</v>
      </c>
      <c r="O54" s="179">
        <v>13</v>
      </c>
      <c r="P54" s="179">
        <v>14</v>
      </c>
      <c r="Q54" s="179">
        <v>15</v>
      </c>
      <c r="R54" s="179">
        <v>16</v>
      </c>
      <c r="S54" s="179">
        <v>17</v>
      </c>
      <c r="T54" s="179">
        <v>18</v>
      </c>
      <c r="U54" s="179">
        <v>19</v>
      </c>
      <c r="V54" s="179">
        <v>20</v>
      </c>
      <c r="W54" s="179">
        <v>21</v>
      </c>
      <c r="X54" s="179">
        <v>22</v>
      </c>
      <c r="Y54" s="179">
        <v>23</v>
      </c>
      <c r="Z54" s="179">
        <v>24</v>
      </c>
      <c r="AA54" s="179">
        <v>25</v>
      </c>
      <c r="AB54" s="179">
        <v>26</v>
      </c>
      <c r="AC54" s="179">
        <v>27</v>
      </c>
      <c r="AD54" s="179">
        <v>28</v>
      </c>
      <c r="AE54" s="179">
        <v>29</v>
      </c>
      <c r="AF54" s="179">
        <v>30</v>
      </c>
      <c r="AG54" s="179">
        <v>31</v>
      </c>
      <c r="AH54" s="178" t="s">
        <v>74</v>
      </c>
    </row>
    <row r="55" spans="1:34" ht="12.75" hidden="1">
      <c r="A55" s="1268" t="s">
        <v>75</v>
      </c>
      <c r="B55" s="190">
        <f t="shared" ref="B55:B66" si="7">+AH55</f>
        <v>0</v>
      </c>
      <c r="C55" s="683"/>
      <c r="D55" s="683"/>
      <c r="E55" s="768"/>
      <c r="F55" s="768"/>
      <c r="G55" s="768"/>
      <c r="H55" s="768"/>
      <c r="I55" s="768"/>
      <c r="J55" s="768"/>
      <c r="K55" s="768"/>
      <c r="L55" s="768"/>
      <c r="M55" s="768"/>
      <c r="N55" s="768"/>
      <c r="O55" s="768"/>
      <c r="P55" s="768"/>
      <c r="Q55" s="768"/>
      <c r="R55" s="768"/>
      <c r="S55" s="768"/>
      <c r="T55" s="768"/>
      <c r="U55" s="768"/>
      <c r="V55" s="768"/>
      <c r="W55" s="768"/>
      <c r="X55" s="768"/>
      <c r="Y55" s="768"/>
      <c r="Z55" s="768"/>
      <c r="AA55" s="768"/>
      <c r="AB55" s="768"/>
      <c r="AC55" s="768"/>
      <c r="AD55" s="768"/>
      <c r="AE55" s="768"/>
      <c r="AF55" s="768"/>
      <c r="AG55" s="768"/>
      <c r="AH55" s="967">
        <f>SUM(C55:AG55)</f>
        <v>0</v>
      </c>
    </row>
    <row r="56" spans="1:34" ht="12.75" hidden="1">
      <c r="A56" s="1268" t="s">
        <v>76</v>
      </c>
      <c r="B56" s="190">
        <f t="shared" si="7"/>
        <v>0</v>
      </c>
      <c r="C56" s="683"/>
      <c r="D56" s="683"/>
      <c r="E56" s="768"/>
      <c r="F56" s="768"/>
      <c r="G56" s="768"/>
      <c r="H56" s="768"/>
      <c r="I56" s="768"/>
      <c r="J56" s="768"/>
      <c r="K56" s="768"/>
      <c r="L56" s="768"/>
      <c r="M56" s="768"/>
      <c r="N56" s="768"/>
      <c r="O56" s="768"/>
      <c r="P56" s="768"/>
      <c r="Q56" s="768"/>
      <c r="R56" s="768"/>
      <c r="S56" s="768"/>
      <c r="T56" s="768"/>
      <c r="U56" s="768"/>
      <c r="V56" s="768"/>
      <c r="W56" s="768"/>
      <c r="X56" s="768"/>
      <c r="Y56" s="768"/>
      <c r="Z56" s="768"/>
      <c r="AA56" s="768"/>
      <c r="AB56" s="768"/>
      <c r="AC56" s="768"/>
      <c r="AD56" s="768"/>
      <c r="AE56" s="768"/>
      <c r="AF56" s="768"/>
      <c r="AG56" s="768"/>
      <c r="AH56" s="967">
        <f t="shared" ref="AH56:AH64" si="8">SUM(C56:AG56)</f>
        <v>0</v>
      </c>
    </row>
    <row r="57" spans="1:34" ht="12.75" hidden="1">
      <c r="A57" s="1268" t="s">
        <v>77</v>
      </c>
      <c r="B57" s="190">
        <f t="shared" si="7"/>
        <v>0</v>
      </c>
      <c r="C57" s="683"/>
      <c r="D57" s="683"/>
      <c r="E57" s="768"/>
      <c r="F57" s="768"/>
      <c r="G57" s="768"/>
      <c r="H57" s="768"/>
      <c r="I57" s="768"/>
      <c r="J57" s="768"/>
      <c r="K57" s="768"/>
      <c r="L57" s="768"/>
      <c r="M57" s="768"/>
      <c r="N57" s="768"/>
      <c r="O57" s="768"/>
      <c r="P57" s="768"/>
      <c r="Q57" s="768"/>
      <c r="R57" s="768"/>
      <c r="S57" s="768"/>
      <c r="T57" s="768"/>
      <c r="U57" s="768"/>
      <c r="V57" s="768"/>
      <c r="W57" s="768"/>
      <c r="X57" s="768"/>
      <c r="Y57" s="768"/>
      <c r="Z57" s="768"/>
      <c r="AA57" s="768"/>
      <c r="AB57" s="768"/>
      <c r="AC57" s="768"/>
      <c r="AD57" s="768"/>
      <c r="AE57" s="768"/>
      <c r="AF57" s="768"/>
      <c r="AG57" s="768"/>
      <c r="AH57" s="967">
        <f t="shared" si="8"/>
        <v>0</v>
      </c>
    </row>
    <row r="58" spans="1:34" ht="12.75" hidden="1">
      <c r="A58" s="1739" t="s">
        <v>78</v>
      </c>
      <c r="B58" s="190">
        <f t="shared" si="7"/>
        <v>0</v>
      </c>
      <c r="C58" s="683"/>
      <c r="D58" s="683"/>
      <c r="E58" s="768"/>
      <c r="F58" s="768"/>
      <c r="G58" s="768"/>
      <c r="H58" s="768"/>
      <c r="I58" s="768"/>
      <c r="J58" s="768"/>
      <c r="K58" s="768"/>
      <c r="L58" s="768"/>
      <c r="M58" s="768"/>
      <c r="N58" s="768"/>
      <c r="O58" s="768"/>
      <c r="P58" s="768"/>
      <c r="Q58" s="768"/>
      <c r="R58" s="768"/>
      <c r="S58" s="768"/>
      <c r="T58" s="768"/>
      <c r="U58" s="768"/>
      <c r="V58" s="768"/>
      <c r="W58" s="768"/>
      <c r="X58" s="768"/>
      <c r="Y58" s="768"/>
      <c r="Z58" s="768"/>
      <c r="AA58" s="768"/>
      <c r="AB58" s="768"/>
      <c r="AC58" s="768"/>
      <c r="AD58" s="768"/>
      <c r="AE58" s="768"/>
      <c r="AF58" s="768"/>
      <c r="AG58" s="768"/>
      <c r="AH58" s="967">
        <f t="shared" si="8"/>
        <v>0</v>
      </c>
    </row>
    <row r="59" spans="1:34" ht="12.75" hidden="1">
      <c r="A59" s="1739" t="s">
        <v>79</v>
      </c>
      <c r="B59" s="190">
        <f t="shared" si="7"/>
        <v>0</v>
      </c>
      <c r="C59" s="683"/>
      <c r="D59" s="683"/>
      <c r="E59" s="768"/>
      <c r="F59" s="768"/>
      <c r="G59" s="768"/>
      <c r="H59" s="768"/>
      <c r="I59" s="768"/>
      <c r="J59" s="768"/>
      <c r="K59" s="768"/>
      <c r="L59" s="768"/>
      <c r="M59" s="768"/>
      <c r="N59" s="768"/>
      <c r="O59" s="768"/>
      <c r="P59" s="768"/>
      <c r="Q59" s="768"/>
      <c r="R59" s="768"/>
      <c r="S59" s="768"/>
      <c r="T59" s="768"/>
      <c r="U59" s="768"/>
      <c r="V59" s="768"/>
      <c r="W59" s="768"/>
      <c r="X59" s="768"/>
      <c r="Y59" s="768"/>
      <c r="Z59" s="768"/>
      <c r="AA59" s="768"/>
      <c r="AB59" s="768"/>
      <c r="AC59" s="768"/>
      <c r="AD59" s="768"/>
      <c r="AE59" s="768"/>
      <c r="AF59" s="768"/>
      <c r="AG59" s="768"/>
      <c r="AH59" s="967">
        <f t="shared" si="8"/>
        <v>0</v>
      </c>
    </row>
    <row r="60" spans="1:34" ht="12.75" hidden="1">
      <c r="A60" s="1739" t="s">
        <v>80</v>
      </c>
      <c r="B60" s="190">
        <f t="shared" si="7"/>
        <v>0</v>
      </c>
      <c r="C60" s="683"/>
      <c r="D60" s="683"/>
      <c r="E60" s="683"/>
      <c r="F60" s="683"/>
      <c r="G60" s="683"/>
      <c r="H60" s="683"/>
      <c r="I60" s="683"/>
      <c r="J60" s="683"/>
      <c r="K60" s="683"/>
      <c r="L60" s="683"/>
      <c r="M60" s="683"/>
      <c r="N60" s="683"/>
      <c r="O60" s="683"/>
      <c r="P60" s="683"/>
      <c r="Q60" s="683"/>
      <c r="R60" s="683"/>
      <c r="S60" s="683"/>
      <c r="T60" s="683"/>
      <c r="U60" s="683"/>
      <c r="V60" s="683"/>
      <c r="W60" s="683"/>
      <c r="X60" s="683"/>
      <c r="Y60" s="683"/>
      <c r="Z60" s="683"/>
      <c r="AA60" s="683"/>
      <c r="AB60" s="683"/>
      <c r="AC60" s="683"/>
      <c r="AD60" s="683"/>
      <c r="AE60" s="683"/>
      <c r="AF60" s="683"/>
      <c r="AG60" s="683"/>
      <c r="AH60" s="967">
        <f t="shared" si="8"/>
        <v>0</v>
      </c>
    </row>
    <row r="61" spans="1:34" ht="12.75" hidden="1">
      <c r="A61" s="1739" t="s">
        <v>81</v>
      </c>
      <c r="B61" s="190">
        <f t="shared" si="7"/>
        <v>0</v>
      </c>
      <c r="C61" s="683"/>
      <c r="D61" s="683"/>
      <c r="E61" s="683"/>
      <c r="F61" s="683"/>
      <c r="G61" s="683"/>
      <c r="H61" s="683"/>
      <c r="I61" s="683"/>
      <c r="J61" s="683"/>
      <c r="K61" s="683"/>
      <c r="L61" s="683"/>
      <c r="M61" s="683"/>
      <c r="N61" s="683"/>
      <c r="O61" s="683"/>
      <c r="P61" s="683"/>
      <c r="Q61" s="683"/>
      <c r="R61" s="683"/>
      <c r="S61" s="683"/>
      <c r="T61" s="683"/>
      <c r="U61" s="683"/>
      <c r="V61" s="683"/>
      <c r="W61" s="683"/>
      <c r="X61" s="683"/>
      <c r="Y61" s="683"/>
      <c r="Z61" s="683"/>
      <c r="AA61" s="683"/>
      <c r="AB61" s="683"/>
      <c r="AC61" s="683"/>
      <c r="AD61" s="683"/>
      <c r="AE61" s="683"/>
      <c r="AF61" s="683"/>
      <c r="AG61" s="683"/>
      <c r="AH61" s="967">
        <f t="shared" si="8"/>
        <v>0</v>
      </c>
    </row>
    <row r="62" spans="1:34" ht="12.75" hidden="1">
      <c r="A62" s="1739" t="s">
        <v>82</v>
      </c>
      <c r="B62" s="190">
        <f t="shared" si="7"/>
        <v>0</v>
      </c>
      <c r="C62" s="683"/>
      <c r="D62" s="683"/>
      <c r="E62" s="683"/>
      <c r="F62" s="683"/>
      <c r="G62" s="683"/>
      <c r="H62" s="683"/>
      <c r="I62" s="683"/>
      <c r="J62" s="683"/>
      <c r="K62" s="683"/>
      <c r="L62" s="683"/>
      <c r="M62" s="683"/>
      <c r="N62" s="683"/>
      <c r="O62" s="683"/>
      <c r="P62" s="683"/>
      <c r="Q62" s="683"/>
      <c r="R62" s="683"/>
      <c r="S62" s="683"/>
      <c r="T62" s="683"/>
      <c r="U62" s="683"/>
      <c r="V62" s="683"/>
      <c r="W62" s="683"/>
      <c r="X62" s="683"/>
      <c r="Y62" s="683"/>
      <c r="Z62" s="683"/>
      <c r="AA62" s="683"/>
      <c r="AB62" s="683"/>
      <c r="AC62" s="683"/>
      <c r="AD62" s="683"/>
      <c r="AE62" s="683"/>
      <c r="AF62" s="683"/>
      <c r="AG62" s="683"/>
      <c r="AH62" s="967">
        <f t="shared" si="8"/>
        <v>0</v>
      </c>
    </row>
    <row r="63" spans="1:34" ht="12.75" hidden="1">
      <c r="A63" s="1739" t="s">
        <v>83</v>
      </c>
      <c r="B63" s="190">
        <f t="shared" si="7"/>
        <v>0</v>
      </c>
      <c r="C63" s="683"/>
      <c r="D63" s="683"/>
      <c r="E63" s="683"/>
      <c r="F63" s="683"/>
      <c r="G63" s="683"/>
      <c r="H63" s="683"/>
      <c r="I63" s="683"/>
      <c r="J63" s="683"/>
      <c r="K63" s="683"/>
      <c r="L63" s="683"/>
      <c r="M63" s="683"/>
      <c r="N63" s="683"/>
      <c r="O63" s="683"/>
      <c r="P63" s="683"/>
      <c r="Q63" s="683"/>
      <c r="R63" s="683"/>
      <c r="S63" s="683"/>
      <c r="T63" s="683"/>
      <c r="U63" s="683"/>
      <c r="V63" s="683"/>
      <c r="W63" s="683"/>
      <c r="X63" s="683"/>
      <c r="Y63" s="683"/>
      <c r="Z63" s="683"/>
      <c r="AA63" s="683"/>
      <c r="AB63" s="683"/>
      <c r="AC63" s="683"/>
      <c r="AD63" s="683"/>
      <c r="AE63" s="683"/>
      <c r="AF63" s="683"/>
      <c r="AG63" s="683"/>
      <c r="AH63" s="967">
        <f t="shared" si="8"/>
        <v>0</v>
      </c>
    </row>
    <row r="64" spans="1:34" ht="12.75" hidden="1">
      <c r="A64" s="1739" t="s">
        <v>84</v>
      </c>
      <c r="B64" s="190">
        <f t="shared" si="7"/>
        <v>0</v>
      </c>
      <c r="D64" s="683"/>
      <c r="E64" s="683"/>
      <c r="F64" s="683"/>
      <c r="G64" s="683"/>
      <c r="H64" s="683"/>
      <c r="I64" s="683"/>
      <c r="J64" s="683"/>
      <c r="K64" s="683"/>
      <c r="L64" s="683"/>
      <c r="M64" s="683"/>
      <c r="N64" s="683"/>
      <c r="O64" s="683"/>
      <c r="P64" s="683"/>
      <c r="Q64" s="683"/>
      <c r="R64" s="683"/>
      <c r="S64" s="683"/>
      <c r="T64" s="683"/>
      <c r="U64" s="683"/>
      <c r="V64" s="683"/>
      <c r="W64" s="683"/>
      <c r="X64" s="683"/>
      <c r="Y64" s="683"/>
      <c r="Z64" s="683"/>
      <c r="AA64" s="683"/>
      <c r="AB64" s="683"/>
      <c r="AC64" s="683"/>
      <c r="AD64" s="683"/>
      <c r="AE64" s="683"/>
      <c r="AF64" s="683"/>
      <c r="AG64" s="683"/>
      <c r="AH64" s="967">
        <f t="shared" si="8"/>
        <v>0</v>
      </c>
    </row>
    <row r="65" spans="1:34" ht="12.75" hidden="1">
      <c r="A65" s="1740" t="s">
        <v>85</v>
      </c>
      <c r="B65" s="190">
        <f t="shared" si="7"/>
        <v>0</v>
      </c>
      <c r="C65" s="683"/>
      <c r="D65" s="288"/>
      <c r="E65" s="288"/>
      <c r="F65" s="288"/>
      <c r="G65" s="288"/>
      <c r="H65" s="288"/>
      <c r="I65" s="288"/>
      <c r="J65" s="288"/>
      <c r="K65" s="288"/>
      <c r="L65" s="288"/>
      <c r="M65" s="288"/>
      <c r="N65" s="288"/>
      <c r="O65" s="288"/>
      <c r="P65" s="288"/>
      <c r="Q65" s="288"/>
      <c r="R65" s="288"/>
      <c r="S65" s="288"/>
      <c r="T65" s="683"/>
      <c r="U65" s="683"/>
      <c r="V65" s="683"/>
      <c r="W65" s="683"/>
      <c r="X65" s="683"/>
      <c r="Y65" s="683"/>
      <c r="Z65" s="683"/>
      <c r="AA65" s="683"/>
      <c r="AB65" s="683"/>
      <c r="AC65" s="683"/>
      <c r="AD65" s="683"/>
      <c r="AE65" s="683"/>
      <c r="AF65" s="683"/>
      <c r="AG65" s="683"/>
      <c r="AH65" s="967">
        <f>SUM(C65:AG65)</f>
        <v>0</v>
      </c>
    </row>
    <row r="66" spans="1:34" ht="12.75" hidden="1">
      <c r="A66" s="1740" t="s">
        <v>86</v>
      </c>
      <c r="B66" s="190">
        <f t="shared" si="7"/>
        <v>0</v>
      </c>
      <c r="C66" s="683"/>
      <c r="D66" s="683"/>
      <c r="E66" s="683"/>
      <c r="F66" s="683"/>
      <c r="G66" s="683"/>
      <c r="H66" s="683"/>
      <c r="I66" s="683"/>
      <c r="J66" s="683"/>
      <c r="K66" s="683"/>
      <c r="L66" s="683"/>
      <c r="M66" s="683"/>
      <c r="N66" s="683"/>
      <c r="O66" s="683"/>
      <c r="P66" s="683"/>
      <c r="Q66" s="683"/>
      <c r="R66" s="683"/>
      <c r="S66" s="683"/>
      <c r="T66" s="683"/>
      <c r="U66" s="683"/>
      <c r="V66" s="683"/>
      <c r="W66" s="683"/>
      <c r="X66" s="683"/>
      <c r="Y66" s="683"/>
      <c r="Z66" s="683"/>
      <c r="AA66" s="683"/>
      <c r="AB66" s="683"/>
      <c r="AC66" s="683"/>
      <c r="AD66" s="683"/>
      <c r="AE66" s="683"/>
      <c r="AF66" s="683"/>
      <c r="AG66" s="683"/>
      <c r="AH66" s="967">
        <f t="shared" ref="AH66" si="9">SUM(C66:AG66)</f>
        <v>0</v>
      </c>
    </row>
    <row r="67" spans="1:34" ht="12.75" hidden="1">
      <c r="A67" s="665" t="s">
        <v>74</v>
      </c>
      <c r="B67" s="1318">
        <f>SUM(B55:B66)</f>
        <v>0</v>
      </c>
      <c r="C67" s="1319">
        <f t="shared" ref="C67:AH67" si="10">SUM(C55:C66)</f>
        <v>0</v>
      </c>
      <c r="D67" s="1319">
        <f t="shared" si="10"/>
        <v>0</v>
      </c>
      <c r="E67" s="1319">
        <f t="shared" si="10"/>
        <v>0</v>
      </c>
      <c r="F67" s="1319">
        <f t="shared" si="10"/>
        <v>0</v>
      </c>
      <c r="G67" s="1319">
        <f t="shared" si="10"/>
        <v>0</v>
      </c>
      <c r="H67" s="1319">
        <f t="shared" si="10"/>
        <v>0</v>
      </c>
      <c r="I67" s="1319">
        <f t="shared" si="10"/>
        <v>0</v>
      </c>
      <c r="J67" s="1319">
        <f t="shared" si="10"/>
        <v>0</v>
      </c>
      <c r="K67" s="1319">
        <f t="shared" si="10"/>
        <v>0</v>
      </c>
      <c r="L67" s="1319">
        <f t="shared" si="10"/>
        <v>0</v>
      </c>
      <c r="M67" s="1319">
        <f t="shared" si="10"/>
        <v>0</v>
      </c>
      <c r="N67" s="1319">
        <f t="shared" si="10"/>
        <v>0</v>
      </c>
      <c r="O67" s="1319">
        <f t="shared" si="10"/>
        <v>0</v>
      </c>
      <c r="P67" s="1319">
        <f t="shared" si="10"/>
        <v>0</v>
      </c>
      <c r="Q67" s="1319">
        <f t="shared" si="10"/>
        <v>0</v>
      </c>
      <c r="R67" s="1319">
        <f t="shared" si="10"/>
        <v>0</v>
      </c>
      <c r="S67" s="1319">
        <f t="shared" si="10"/>
        <v>0</v>
      </c>
      <c r="T67" s="1319">
        <f t="shared" si="10"/>
        <v>0</v>
      </c>
      <c r="U67" s="1319">
        <f t="shared" si="10"/>
        <v>0</v>
      </c>
      <c r="V67" s="1319">
        <f t="shared" si="10"/>
        <v>0</v>
      </c>
      <c r="W67" s="1319">
        <f t="shared" si="10"/>
        <v>0</v>
      </c>
      <c r="X67" s="1319">
        <f t="shared" si="10"/>
        <v>0</v>
      </c>
      <c r="Y67" s="1319">
        <f t="shared" si="10"/>
        <v>0</v>
      </c>
      <c r="Z67" s="1319">
        <f t="shared" si="10"/>
        <v>0</v>
      </c>
      <c r="AA67" s="1319">
        <f t="shared" si="10"/>
        <v>0</v>
      </c>
      <c r="AB67" s="1319">
        <f t="shared" si="10"/>
        <v>0</v>
      </c>
      <c r="AC67" s="1319">
        <f t="shared" si="10"/>
        <v>0</v>
      </c>
      <c r="AD67" s="1319">
        <f t="shared" si="10"/>
        <v>0</v>
      </c>
      <c r="AE67" s="1319">
        <f t="shared" si="10"/>
        <v>0</v>
      </c>
      <c r="AF67" s="1319">
        <f t="shared" si="10"/>
        <v>0</v>
      </c>
      <c r="AG67" s="1319">
        <f t="shared" si="10"/>
        <v>0</v>
      </c>
      <c r="AH67" s="183">
        <f t="shared" si="10"/>
        <v>0</v>
      </c>
    </row>
    <row r="68" spans="1:34" ht="12.75">
      <c r="A68" s="177"/>
      <c r="B68" s="661"/>
      <c r="C68" s="177"/>
      <c r="D68" s="64"/>
      <c r="E68" s="64"/>
      <c r="F68" s="64"/>
      <c r="G68" s="64"/>
      <c r="H68" s="64"/>
      <c r="I68" s="64"/>
      <c r="J68" s="64"/>
      <c r="K68" s="64"/>
      <c r="L68" s="64"/>
      <c r="M68" s="64"/>
      <c r="N68" s="64"/>
      <c r="O68" s="64"/>
      <c r="P68" s="64"/>
      <c r="Q68" s="64"/>
      <c r="R68" s="64"/>
      <c r="S68" s="64"/>
      <c r="T68" s="64"/>
      <c r="U68" s="64"/>
      <c r="V68" s="64"/>
      <c r="W68" s="64"/>
      <c r="X68" s="64"/>
      <c r="Y68" s="64"/>
      <c r="Z68" s="64"/>
      <c r="AA68" s="64"/>
      <c r="AB68" s="64"/>
      <c r="AC68" s="64"/>
      <c r="AD68" s="64"/>
      <c r="AE68" s="64"/>
      <c r="AF68" s="64"/>
      <c r="AG68" s="64"/>
      <c r="AH68" s="177"/>
    </row>
    <row r="69" spans="1:34" ht="12.75" hidden="1">
      <c r="A69" s="3605" t="s">
        <v>547</v>
      </c>
      <c r="B69" s="3606"/>
      <c r="C69" s="3607"/>
      <c r="D69" s="64"/>
      <c r="E69" s="64"/>
      <c r="F69" s="64"/>
      <c r="G69" s="64"/>
      <c r="H69" s="64"/>
      <c r="I69" s="64"/>
      <c r="J69" s="64"/>
      <c r="K69" s="64"/>
      <c r="L69" s="64"/>
      <c r="M69" s="64"/>
      <c r="N69" s="64"/>
      <c r="O69" s="64"/>
      <c r="P69" s="64"/>
      <c r="Q69" s="64"/>
      <c r="R69" s="64"/>
      <c r="S69" s="64"/>
      <c r="T69" s="64"/>
      <c r="U69" s="64"/>
      <c r="V69" s="64"/>
      <c r="W69" s="64"/>
      <c r="X69" s="64"/>
      <c r="Y69" s="64"/>
      <c r="Z69" s="64"/>
      <c r="AA69" s="64"/>
      <c r="AB69" s="64"/>
      <c r="AC69" s="64"/>
      <c r="AD69" s="64"/>
      <c r="AE69" s="64"/>
      <c r="AF69" s="64"/>
      <c r="AG69" s="64"/>
      <c r="AH69" s="177"/>
    </row>
    <row r="70" spans="1:34" ht="12.75" hidden="1">
      <c r="A70" s="178" t="s">
        <v>72</v>
      </c>
      <c r="B70" s="190" t="s">
        <v>73</v>
      </c>
      <c r="C70" s="178">
        <v>1</v>
      </c>
      <c r="D70" s="179">
        <v>2</v>
      </c>
      <c r="E70" s="179">
        <v>3</v>
      </c>
      <c r="F70" s="179">
        <v>4</v>
      </c>
      <c r="G70" s="179">
        <v>5</v>
      </c>
      <c r="H70" s="179">
        <v>6</v>
      </c>
      <c r="I70" s="179">
        <v>7</v>
      </c>
      <c r="J70" s="179">
        <v>8</v>
      </c>
      <c r="K70" s="179">
        <v>9</v>
      </c>
      <c r="L70" s="179">
        <v>10</v>
      </c>
      <c r="M70" s="179">
        <v>11</v>
      </c>
      <c r="N70" s="179">
        <v>12</v>
      </c>
      <c r="O70" s="179">
        <v>13</v>
      </c>
      <c r="P70" s="179">
        <v>14</v>
      </c>
      <c r="Q70" s="179">
        <v>15</v>
      </c>
      <c r="R70" s="179">
        <v>16</v>
      </c>
      <c r="S70" s="179">
        <v>17</v>
      </c>
      <c r="T70" s="179">
        <v>18</v>
      </c>
      <c r="U70" s="179">
        <v>19</v>
      </c>
      <c r="V70" s="179">
        <v>20</v>
      </c>
      <c r="W70" s="179">
        <v>21</v>
      </c>
      <c r="X70" s="179">
        <v>22</v>
      </c>
      <c r="Y70" s="179">
        <v>23</v>
      </c>
      <c r="Z70" s="179">
        <v>24</v>
      </c>
      <c r="AA70" s="179">
        <v>25</v>
      </c>
      <c r="AB70" s="179">
        <v>26</v>
      </c>
      <c r="AC70" s="179">
        <v>27</v>
      </c>
      <c r="AD70" s="179">
        <v>28</v>
      </c>
      <c r="AE70" s="179">
        <v>29</v>
      </c>
      <c r="AF70" s="179">
        <v>30</v>
      </c>
      <c r="AG70" s="179">
        <v>31</v>
      </c>
      <c r="AH70" s="178" t="s">
        <v>74</v>
      </c>
    </row>
    <row r="71" spans="1:34" ht="12.75" hidden="1">
      <c r="A71" s="1268" t="s">
        <v>75</v>
      </c>
      <c r="B71" s="190">
        <f t="shared" ref="B71:B82" si="11">+AH71</f>
        <v>0</v>
      </c>
      <c r="C71" s="683"/>
      <c r="D71" s="683"/>
      <c r="E71" s="768"/>
      <c r="F71" s="768"/>
      <c r="G71" s="768"/>
      <c r="H71" s="768"/>
      <c r="I71" s="768"/>
      <c r="J71" s="768"/>
      <c r="K71" s="768"/>
      <c r="L71" s="768"/>
      <c r="M71" s="768"/>
      <c r="N71" s="768"/>
      <c r="O71" s="768"/>
      <c r="P71" s="768"/>
      <c r="Q71" s="768"/>
      <c r="R71" s="768"/>
      <c r="S71" s="768"/>
      <c r="T71" s="768"/>
      <c r="U71" s="768"/>
      <c r="V71" s="768"/>
      <c r="W71" s="768"/>
      <c r="X71" s="768"/>
      <c r="Y71" s="768"/>
      <c r="Z71" s="768"/>
      <c r="AA71" s="768"/>
      <c r="AB71" s="768"/>
      <c r="AC71" s="768"/>
      <c r="AD71" s="768"/>
      <c r="AE71" s="768"/>
      <c r="AF71" s="768"/>
      <c r="AG71" s="768"/>
      <c r="AH71" s="967">
        <f>SUM(C71:AG71)</f>
        <v>0</v>
      </c>
    </row>
    <row r="72" spans="1:34" ht="12.75" hidden="1">
      <c r="A72" s="1268" t="s">
        <v>76</v>
      </c>
      <c r="B72" s="190">
        <f t="shared" si="11"/>
        <v>0</v>
      </c>
      <c r="C72" s="683"/>
      <c r="D72" s="683"/>
      <c r="E72" s="768"/>
      <c r="F72" s="768"/>
      <c r="G72" s="768"/>
      <c r="H72" s="768"/>
      <c r="I72" s="768"/>
      <c r="J72" s="768"/>
      <c r="K72" s="768"/>
      <c r="L72" s="768"/>
      <c r="M72" s="768"/>
      <c r="N72" s="768"/>
      <c r="O72" s="768"/>
      <c r="P72" s="768"/>
      <c r="Q72" s="768"/>
      <c r="R72" s="768"/>
      <c r="S72" s="768"/>
      <c r="T72" s="768"/>
      <c r="U72" s="768"/>
      <c r="V72" s="768"/>
      <c r="W72" s="768"/>
      <c r="X72" s="768"/>
      <c r="Y72" s="768"/>
      <c r="Z72" s="768"/>
      <c r="AA72" s="768"/>
      <c r="AB72" s="768"/>
      <c r="AC72" s="768"/>
      <c r="AD72" s="768"/>
      <c r="AE72" s="768"/>
      <c r="AF72" s="768"/>
      <c r="AG72" s="768"/>
      <c r="AH72" s="967">
        <f t="shared" ref="AH72:AH79" si="12">SUM(C72:AG72)</f>
        <v>0</v>
      </c>
    </row>
    <row r="73" spans="1:34" ht="12.75" hidden="1">
      <c r="A73" s="1268" t="s">
        <v>77</v>
      </c>
      <c r="B73" s="190">
        <f t="shared" si="11"/>
        <v>0</v>
      </c>
      <c r="C73" s="683"/>
      <c r="D73" s="683"/>
      <c r="E73" s="768"/>
      <c r="F73" s="768"/>
      <c r="G73" s="768"/>
      <c r="H73" s="768"/>
      <c r="I73" s="768"/>
      <c r="J73" s="768"/>
      <c r="K73" s="768"/>
      <c r="L73" s="768"/>
      <c r="M73" s="768"/>
      <c r="N73" s="768"/>
      <c r="O73" s="768"/>
      <c r="P73" s="768"/>
      <c r="Q73" s="768"/>
      <c r="R73" s="768"/>
      <c r="S73" s="768"/>
      <c r="T73" s="768"/>
      <c r="U73" s="768"/>
      <c r="V73" s="768"/>
      <c r="W73" s="768"/>
      <c r="X73" s="768"/>
      <c r="Y73" s="768"/>
      <c r="Z73" s="768"/>
      <c r="AA73" s="768"/>
      <c r="AB73" s="768"/>
      <c r="AC73" s="768"/>
      <c r="AD73" s="768"/>
      <c r="AE73" s="768"/>
      <c r="AF73" s="768"/>
      <c r="AG73" s="768"/>
      <c r="AH73" s="967">
        <f t="shared" si="12"/>
        <v>0</v>
      </c>
    </row>
    <row r="74" spans="1:34" ht="12.75" hidden="1">
      <c r="A74" s="1739" t="s">
        <v>78</v>
      </c>
      <c r="B74" s="190">
        <f t="shared" si="11"/>
        <v>0</v>
      </c>
      <c r="C74" s="683"/>
      <c r="D74" s="683"/>
      <c r="E74" s="768"/>
      <c r="F74" s="768"/>
      <c r="G74" s="768"/>
      <c r="H74" s="768"/>
      <c r="I74" s="768"/>
      <c r="J74" s="768"/>
      <c r="K74" s="768"/>
      <c r="L74" s="768"/>
      <c r="M74" s="768"/>
      <c r="N74" s="768"/>
      <c r="O74" s="768"/>
      <c r="P74" s="768"/>
      <c r="Q74" s="768"/>
      <c r="R74" s="768"/>
      <c r="S74" s="768"/>
      <c r="T74" s="768"/>
      <c r="U74" s="768"/>
      <c r="V74" s="768"/>
      <c r="W74" s="768"/>
      <c r="X74" s="768"/>
      <c r="Y74" s="768"/>
      <c r="Z74" s="768"/>
      <c r="AA74" s="768"/>
      <c r="AB74" s="768"/>
      <c r="AC74" s="768"/>
      <c r="AD74" s="768"/>
      <c r="AE74" s="768"/>
      <c r="AF74" s="768"/>
      <c r="AG74" s="768"/>
      <c r="AH74" s="967">
        <f t="shared" si="12"/>
        <v>0</v>
      </c>
    </row>
    <row r="75" spans="1:34" ht="12.75" hidden="1">
      <c r="A75" s="1739" t="s">
        <v>79</v>
      </c>
      <c r="B75" s="190">
        <f t="shared" si="11"/>
        <v>0</v>
      </c>
      <c r="C75" s="683"/>
      <c r="D75" s="683"/>
      <c r="E75" s="768"/>
      <c r="F75" s="768"/>
      <c r="G75" s="768"/>
      <c r="H75" s="768"/>
      <c r="I75" s="768"/>
      <c r="J75" s="768"/>
      <c r="K75" s="768"/>
      <c r="L75" s="768"/>
      <c r="M75" s="768"/>
      <c r="N75" s="768"/>
      <c r="O75" s="768"/>
      <c r="P75" s="768"/>
      <c r="Q75" s="768"/>
      <c r="R75" s="768"/>
      <c r="S75" s="768"/>
      <c r="T75" s="768"/>
      <c r="U75" s="768"/>
      <c r="V75" s="768"/>
      <c r="W75" s="768"/>
      <c r="X75" s="768"/>
      <c r="Y75" s="768"/>
      <c r="Z75" s="768"/>
      <c r="AA75" s="768"/>
      <c r="AB75" s="768"/>
      <c r="AC75" s="768"/>
      <c r="AD75" s="768"/>
      <c r="AE75" s="768"/>
      <c r="AF75" s="768"/>
      <c r="AG75" s="768"/>
      <c r="AH75" s="967">
        <f t="shared" si="12"/>
        <v>0</v>
      </c>
    </row>
    <row r="76" spans="1:34" ht="12.75" hidden="1">
      <c r="A76" s="1739" t="s">
        <v>80</v>
      </c>
      <c r="B76" s="190">
        <f t="shared" si="11"/>
        <v>0</v>
      </c>
      <c r="C76" s="683"/>
      <c r="D76" s="683"/>
      <c r="E76" s="683"/>
      <c r="F76" s="683"/>
      <c r="G76" s="683"/>
      <c r="H76" s="683"/>
      <c r="I76" s="683"/>
      <c r="J76" s="683"/>
      <c r="K76" s="683"/>
      <c r="L76" s="683"/>
      <c r="M76" s="683"/>
      <c r="N76" s="683"/>
      <c r="O76" s="683"/>
      <c r="P76" s="683"/>
      <c r="Q76" s="683"/>
      <c r="R76" s="683"/>
      <c r="S76" s="683"/>
      <c r="T76" s="683"/>
      <c r="U76" s="683"/>
      <c r="V76" s="683"/>
      <c r="W76" s="683"/>
      <c r="X76" s="683"/>
      <c r="Y76" s="683"/>
      <c r="Z76" s="683"/>
      <c r="AA76" s="683"/>
      <c r="AB76" s="683"/>
      <c r="AC76" s="683"/>
      <c r="AD76" s="683"/>
      <c r="AE76" s="683"/>
      <c r="AF76" s="683"/>
      <c r="AG76" s="683"/>
      <c r="AH76" s="967">
        <f t="shared" si="12"/>
        <v>0</v>
      </c>
    </row>
    <row r="77" spans="1:34" ht="12.75" hidden="1">
      <c r="A77" s="1739" t="s">
        <v>81</v>
      </c>
      <c r="B77" s="190">
        <f t="shared" si="11"/>
        <v>0</v>
      </c>
      <c r="C77" s="683"/>
      <c r="D77" s="683"/>
      <c r="E77" s="683"/>
      <c r="F77" s="683"/>
      <c r="G77" s="683"/>
      <c r="H77" s="683"/>
      <c r="I77" s="683"/>
      <c r="J77" s="683"/>
      <c r="K77" s="683"/>
      <c r="L77" s="683"/>
      <c r="M77" s="683"/>
      <c r="N77" s="683"/>
      <c r="O77" s="683"/>
      <c r="P77" s="683"/>
      <c r="Q77" s="683"/>
      <c r="R77" s="683"/>
      <c r="S77" s="683"/>
      <c r="T77" s="683"/>
      <c r="U77" s="683"/>
      <c r="V77" s="683"/>
      <c r="W77" s="683"/>
      <c r="X77" s="683"/>
      <c r="Y77" s="683"/>
      <c r="Z77" s="683"/>
      <c r="AA77" s="683"/>
      <c r="AB77" s="683"/>
      <c r="AC77" s="683"/>
      <c r="AD77" s="683"/>
      <c r="AE77" s="683"/>
      <c r="AF77" s="683"/>
      <c r="AG77" s="683"/>
      <c r="AH77" s="967">
        <f t="shared" si="12"/>
        <v>0</v>
      </c>
    </row>
    <row r="78" spans="1:34" ht="12.75" hidden="1">
      <c r="A78" s="1739" t="s">
        <v>82</v>
      </c>
      <c r="B78" s="190">
        <f t="shared" si="11"/>
        <v>0</v>
      </c>
      <c r="C78" s="683"/>
      <c r="D78" s="683"/>
      <c r="E78" s="683"/>
      <c r="F78" s="683"/>
      <c r="G78" s="683"/>
      <c r="H78" s="683"/>
      <c r="I78" s="683"/>
      <c r="J78" s="683"/>
      <c r="K78" s="683"/>
      <c r="L78" s="683"/>
      <c r="M78" s="683"/>
      <c r="N78" s="683"/>
      <c r="O78" s="683"/>
      <c r="P78" s="683"/>
      <c r="Q78" s="683"/>
      <c r="R78" s="683"/>
      <c r="S78" s="683"/>
      <c r="T78" s="683"/>
      <c r="U78" s="683"/>
      <c r="V78" s="683"/>
      <c r="W78" s="683"/>
      <c r="X78" s="683"/>
      <c r="Y78" s="683"/>
      <c r="Z78" s="683"/>
      <c r="AA78" s="683"/>
      <c r="AB78" s="683"/>
      <c r="AC78" s="683"/>
      <c r="AD78" s="683"/>
      <c r="AE78" s="683"/>
      <c r="AF78" s="683"/>
      <c r="AG78" s="683"/>
      <c r="AH78" s="967">
        <f t="shared" si="12"/>
        <v>0</v>
      </c>
    </row>
    <row r="79" spans="1:34" ht="12.75" hidden="1">
      <c r="A79" s="1739" t="s">
        <v>83</v>
      </c>
      <c r="B79" s="190">
        <f t="shared" si="11"/>
        <v>0</v>
      </c>
      <c r="C79" s="683"/>
      <c r="D79" s="683"/>
      <c r="E79" s="683"/>
      <c r="F79" s="683"/>
      <c r="G79" s="683"/>
      <c r="H79" s="683"/>
      <c r="I79" s="683"/>
      <c r="J79" s="683"/>
      <c r="K79" s="683"/>
      <c r="L79" s="683"/>
      <c r="M79" s="683"/>
      <c r="N79" s="683"/>
      <c r="O79" s="683"/>
      <c r="P79" s="683"/>
      <c r="Q79" s="683"/>
      <c r="R79" s="683"/>
      <c r="S79" s="683"/>
      <c r="T79" s="683"/>
      <c r="U79" s="683"/>
      <c r="V79" s="683"/>
      <c r="W79" s="683"/>
      <c r="X79" s="683"/>
      <c r="Y79" s="683"/>
      <c r="Z79" s="683"/>
      <c r="AA79" s="683"/>
      <c r="AB79" s="683"/>
      <c r="AC79" s="683"/>
      <c r="AD79" s="683"/>
      <c r="AE79" s="683"/>
      <c r="AF79" s="683"/>
      <c r="AG79" s="683"/>
      <c r="AH79" s="967">
        <f t="shared" si="12"/>
        <v>0</v>
      </c>
    </row>
    <row r="80" spans="1:34" ht="12.75" hidden="1">
      <c r="A80" s="1740" t="s">
        <v>84</v>
      </c>
      <c r="B80" s="190">
        <f t="shared" si="11"/>
        <v>0</v>
      </c>
      <c r="C80" s="683"/>
      <c r="D80" s="683"/>
      <c r="E80" s="683"/>
      <c r="F80" s="683"/>
      <c r="G80" s="683"/>
      <c r="H80" s="683"/>
      <c r="I80" s="683"/>
      <c r="J80" s="683"/>
      <c r="K80" s="683"/>
      <c r="L80" s="683"/>
      <c r="M80" s="683"/>
      <c r="N80" s="683"/>
      <c r="O80" s="683"/>
      <c r="P80" s="683"/>
      <c r="Q80" s="683"/>
      <c r="R80" s="683"/>
      <c r="S80" s="683"/>
      <c r="T80" s="683"/>
      <c r="U80" s="683"/>
      <c r="V80" s="683"/>
      <c r="W80" s="683"/>
      <c r="X80" s="683"/>
      <c r="Y80" s="683"/>
      <c r="Z80" s="683"/>
      <c r="AA80" s="683"/>
      <c r="AB80" s="683"/>
      <c r="AC80" s="683"/>
      <c r="AD80" s="683"/>
      <c r="AE80" s="683"/>
      <c r="AF80" s="683"/>
      <c r="AG80" s="683"/>
      <c r="AH80" s="967">
        <f>SUM(C80:AG80)</f>
        <v>0</v>
      </c>
    </row>
    <row r="81" spans="1:34" ht="12.75" hidden="1">
      <c r="A81" s="1740" t="s">
        <v>85</v>
      </c>
      <c r="B81" s="190">
        <f t="shared" si="11"/>
        <v>0</v>
      </c>
      <c r="D81" s="288"/>
      <c r="E81" s="288"/>
      <c r="F81" s="288"/>
      <c r="G81" s="288"/>
      <c r="H81" s="288"/>
      <c r="I81" s="288"/>
      <c r="J81" s="288"/>
      <c r="K81" s="288"/>
      <c r="L81" s="288"/>
      <c r="M81" s="288"/>
      <c r="N81" s="288"/>
      <c r="O81" s="288"/>
      <c r="P81" s="288"/>
      <c r="Q81" s="288"/>
      <c r="R81" s="288"/>
      <c r="S81" s="288"/>
      <c r="T81" s="683"/>
      <c r="U81" s="683"/>
      <c r="V81" s="683"/>
      <c r="W81" s="683"/>
      <c r="X81" s="683"/>
      <c r="Y81" s="683"/>
      <c r="Z81" s="683"/>
      <c r="AA81" s="683"/>
      <c r="AB81" s="683"/>
      <c r="AC81" s="683"/>
      <c r="AD81" s="683"/>
      <c r="AE81" s="683"/>
      <c r="AF81" s="683"/>
      <c r="AG81" s="683"/>
      <c r="AH81" s="967">
        <f>SUM(C81:AG81)</f>
        <v>0</v>
      </c>
    </row>
    <row r="82" spans="1:34" ht="12.75" hidden="1">
      <c r="A82" s="1740" t="s">
        <v>86</v>
      </c>
      <c r="B82" s="190">
        <f t="shared" si="11"/>
        <v>0</v>
      </c>
      <c r="C82" s="683"/>
      <c r="D82" s="683"/>
      <c r="E82" s="683"/>
      <c r="F82" s="683"/>
      <c r="G82" s="683"/>
      <c r="H82" s="683"/>
      <c r="I82" s="683"/>
      <c r="J82" s="683"/>
      <c r="K82" s="683"/>
      <c r="L82" s="683"/>
      <c r="M82" s="683"/>
      <c r="N82" s="683"/>
      <c r="O82" s="683"/>
      <c r="P82" s="683"/>
      <c r="Q82" s="683"/>
      <c r="R82" s="683"/>
      <c r="S82" s="683"/>
      <c r="T82" s="683"/>
      <c r="U82" s="683"/>
      <c r="V82" s="683"/>
      <c r="W82" s="683"/>
      <c r="X82" s="683"/>
      <c r="Y82" s="683"/>
      <c r="Z82" s="683"/>
      <c r="AA82" s="683"/>
      <c r="AB82" s="683"/>
      <c r="AC82" s="683"/>
      <c r="AD82" s="683"/>
      <c r="AE82" s="683"/>
      <c r="AF82" s="683"/>
      <c r="AG82" s="683"/>
      <c r="AH82" s="967">
        <f t="shared" ref="AH82" si="13">SUM(C82:AG82)</f>
        <v>0</v>
      </c>
    </row>
    <row r="83" spans="1:34" ht="12.75" hidden="1">
      <c r="A83" s="665" t="s">
        <v>74</v>
      </c>
      <c r="B83" s="1318">
        <f>SUM(B71:B82)</f>
        <v>0</v>
      </c>
      <c r="C83" s="1319">
        <f t="shared" ref="C83:AH83" si="14">SUM(C71:C82)</f>
        <v>0</v>
      </c>
      <c r="D83" s="1319">
        <f t="shared" si="14"/>
        <v>0</v>
      </c>
      <c r="E83" s="1319">
        <f t="shared" si="14"/>
        <v>0</v>
      </c>
      <c r="F83" s="1319">
        <f t="shared" si="14"/>
        <v>0</v>
      </c>
      <c r="G83" s="1319">
        <f t="shared" si="14"/>
        <v>0</v>
      </c>
      <c r="H83" s="1319">
        <f t="shared" si="14"/>
        <v>0</v>
      </c>
      <c r="I83" s="1319">
        <f t="shared" si="14"/>
        <v>0</v>
      </c>
      <c r="J83" s="1319">
        <f t="shared" si="14"/>
        <v>0</v>
      </c>
      <c r="K83" s="1319">
        <f t="shared" si="14"/>
        <v>0</v>
      </c>
      <c r="L83" s="1319">
        <f t="shared" si="14"/>
        <v>0</v>
      </c>
      <c r="M83" s="1319">
        <f t="shared" si="14"/>
        <v>0</v>
      </c>
      <c r="N83" s="1319">
        <f t="shared" si="14"/>
        <v>0</v>
      </c>
      <c r="O83" s="1319">
        <f t="shared" si="14"/>
        <v>0</v>
      </c>
      <c r="P83" s="1319">
        <f t="shared" si="14"/>
        <v>0</v>
      </c>
      <c r="Q83" s="1319">
        <f t="shared" si="14"/>
        <v>0</v>
      </c>
      <c r="R83" s="1319">
        <f t="shared" si="14"/>
        <v>0</v>
      </c>
      <c r="S83" s="1319">
        <f t="shared" si="14"/>
        <v>0</v>
      </c>
      <c r="T83" s="1319">
        <f t="shared" si="14"/>
        <v>0</v>
      </c>
      <c r="U83" s="1319">
        <f t="shared" si="14"/>
        <v>0</v>
      </c>
      <c r="V83" s="1319">
        <f t="shared" si="14"/>
        <v>0</v>
      </c>
      <c r="W83" s="1319">
        <f t="shared" si="14"/>
        <v>0</v>
      </c>
      <c r="X83" s="1319">
        <f t="shared" si="14"/>
        <v>0</v>
      </c>
      <c r="Y83" s="1319">
        <f t="shared" si="14"/>
        <v>0</v>
      </c>
      <c r="Z83" s="1319">
        <f t="shared" si="14"/>
        <v>0</v>
      </c>
      <c r="AA83" s="1319">
        <f t="shared" si="14"/>
        <v>0</v>
      </c>
      <c r="AB83" s="1319">
        <f t="shared" si="14"/>
        <v>0</v>
      </c>
      <c r="AC83" s="1319">
        <f t="shared" si="14"/>
        <v>0</v>
      </c>
      <c r="AD83" s="1319">
        <f t="shared" si="14"/>
        <v>0</v>
      </c>
      <c r="AE83" s="1319">
        <f t="shared" si="14"/>
        <v>0</v>
      </c>
      <c r="AF83" s="1319">
        <f t="shared" si="14"/>
        <v>0</v>
      </c>
      <c r="AG83" s="1319">
        <f t="shared" si="14"/>
        <v>0</v>
      </c>
      <c r="AH83" s="183">
        <f t="shared" si="14"/>
        <v>0</v>
      </c>
    </row>
    <row r="84" spans="1:34" ht="12.75">
      <c r="A84" s="177"/>
      <c r="B84" s="661"/>
      <c r="C84" s="177"/>
      <c r="D84" s="64"/>
      <c r="E84" s="64"/>
      <c r="F84" s="64"/>
      <c r="G84" s="64"/>
      <c r="H84" s="64"/>
      <c r="I84" s="64"/>
      <c r="J84" s="64"/>
      <c r="K84" s="64"/>
      <c r="L84" s="64"/>
      <c r="M84" s="64"/>
      <c r="N84" s="64"/>
      <c r="O84" s="64"/>
      <c r="P84" s="64"/>
      <c r="Q84" s="64"/>
      <c r="R84" s="64"/>
      <c r="S84" s="64"/>
      <c r="T84" s="64"/>
      <c r="U84" s="64"/>
      <c r="V84" s="64"/>
      <c r="W84" s="64"/>
      <c r="X84" s="64"/>
      <c r="Y84" s="64"/>
      <c r="Z84" s="64"/>
      <c r="AA84" s="64"/>
      <c r="AB84" s="64"/>
      <c r="AC84" s="64"/>
      <c r="AD84" s="64"/>
      <c r="AE84" s="64"/>
      <c r="AF84" s="64"/>
      <c r="AG84" s="64"/>
      <c r="AH84" s="177"/>
    </row>
    <row r="85" spans="1:34" ht="12.75">
      <c r="A85" s="3605" t="s">
        <v>69</v>
      </c>
      <c r="B85" s="3606"/>
      <c r="C85" s="3607"/>
      <c r="D85" s="64"/>
      <c r="E85" s="64"/>
      <c r="F85" s="64"/>
      <c r="G85" s="64"/>
      <c r="H85" s="64"/>
      <c r="I85" s="64"/>
      <c r="J85" s="64"/>
      <c r="K85" s="64"/>
      <c r="L85" s="64"/>
      <c r="M85" s="64"/>
      <c r="N85" s="64"/>
      <c r="O85" s="64"/>
      <c r="P85" s="64"/>
      <c r="Q85" s="64"/>
      <c r="R85" s="64"/>
      <c r="S85" s="64"/>
      <c r="T85" s="64"/>
      <c r="U85" s="64"/>
      <c r="V85" s="64"/>
      <c r="W85" s="64"/>
      <c r="X85" s="64"/>
      <c r="Y85" s="64"/>
      <c r="Z85" s="64"/>
      <c r="AA85" s="64"/>
      <c r="AB85" s="64"/>
      <c r="AC85" s="64"/>
      <c r="AD85" s="64"/>
      <c r="AE85" s="64"/>
      <c r="AF85" s="64"/>
      <c r="AG85" s="64"/>
      <c r="AH85" s="177"/>
    </row>
    <row r="86" spans="1:34" ht="12.75">
      <c r="A86" s="630" t="s">
        <v>72</v>
      </c>
      <c r="B86" s="295" t="s">
        <v>73</v>
      </c>
      <c r="C86" s="178">
        <v>1</v>
      </c>
      <c r="D86" s="179">
        <v>2</v>
      </c>
      <c r="E86" s="179">
        <v>3</v>
      </c>
      <c r="F86" s="179">
        <v>4</v>
      </c>
      <c r="G86" s="179">
        <v>5</v>
      </c>
      <c r="H86" s="179">
        <v>6</v>
      </c>
      <c r="I86" s="179">
        <v>7</v>
      </c>
      <c r="J86" s="179">
        <v>8</v>
      </c>
      <c r="K86" s="179">
        <v>9</v>
      </c>
      <c r="L86" s="179">
        <v>10</v>
      </c>
      <c r="M86" s="179">
        <v>11</v>
      </c>
      <c r="N86" s="179">
        <v>12</v>
      </c>
      <c r="O86" s="179">
        <v>13</v>
      </c>
      <c r="P86" s="179">
        <v>14</v>
      </c>
      <c r="Q86" s="179">
        <v>15</v>
      </c>
      <c r="R86" s="179">
        <v>16</v>
      </c>
      <c r="S86" s="179">
        <v>17</v>
      </c>
      <c r="T86" s="179">
        <v>18</v>
      </c>
      <c r="U86" s="179">
        <v>19</v>
      </c>
      <c r="V86" s="179">
        <v>20</v>
      </c>
      <c r="W86" s="179">
        <v>21</v>
      </c>
      <c r="X86" s="179">
        <v>22</v>
      </c>
      <c r="Y86" s="179">
        <v>23</v>
      </c>
      <c r="Z86" s="179">
        <v>24</v>
      </c>
      <c r="AA86" s="179">
        <v>25</v>
      </c>
      <c r="AB86" s="179">
        <v>26</v>
      </c>
      <c r="AC86" s="179">
        <v>27</v>
      </c>
      <c r="AD86" s="179">
        <v>28</v>
      </c>
      <c r="AE86" s="179">
        <v>29</v>
      </c>
      <c r="AF86" s="179">
        <v>30</v>
      </c>
      <c r="AG86" s="179">
        <v>31</v>
      </c>
      <c r="AH86" s="178" t="s">
        <v>74</v>
      </c>
    </row>
    <row r="87" spans="1:34" ht="12.75">
      <c r="A87" s="1999" t="s">
        <v>75</v>
      </c>
      <c r="B87" s="190">
        <f t="shared" ref="B87:B98" si="15">+AH87</f>
        <v>3.7999999999999999E-2</v>
      </c>
      <c r="C87" s="183"/>
      <c r="D87" s="159"/>
      <c r="E87" s="678"/>
      <c r="F87" s="678"/>
      <c r="G87" s="678"/>
      <c r="H87" s="678">
        <v>7.0000000000000001E-3</v>
      </c>
      <c r="I87" s="678">
        <v>8.9999999999999993E-3</v>
      </c>
      <c r="J87" s="678"/>
      <c r="K87" s="678"/>
      <c r="L87" s="678"/>
      <c r="M87" s="678">
        <v>7.0000000000000001E-3</v>
      </c>
      <c r="N87" s="678"/>
      <c r="O87" s="678"/>
      <c r="P87" s="678"/>
      <c r="Q87" s="678"/>
      <c r="R87" s="678"/>
      <c r="S87" s="678"/>
      <c r="T87" s="678"/>
      <c r="U87" s="678"/>
      <c r="V87" s="678"/>
      <c r="W87" s="678"/>
      <c r="X87" s="678"/>
      <c r="Y87" s="678"/>
      <c r="Z87" s="678"/>
      <c r="AA87" s="678"/>
      <c r="AB87" s="678">
        <v>8.0000000000000002E-3</v>
      </c>
      <c r="AC87" s="678"/>
      <c r="AD87" s="678"/>
      <c r="AE87" s="678"/>
      <c r="AF87" s="678">
        <v>7.0000000000000001E-3</v>
      </c>
      <c r="AG87" s="678"/>
      <c r="AH87" s="183">
        <f>SUM(C87:AG87)</f>
        <v>3.7999999999999999E-2</v>
      </c>
    </row>
    <row r="88" spans="1:34" ht="12.75">
      <c r="A88" s="1999" t="s">
        <v>76</v>
      </c>
      <c r="B88" s="190">
        <f t="shared" si="15"/>
        <v>5.6000000000000001E-2</v>
      </c>
      <c r="C88" s="183"/>
      <c r="D88" s="159"/>
      <c r="E88" s="159"/>
      <c r="F88" s="159"/>
      <c r="G88" s="159"/>
      <c r="H88" s="159"/>
      <c r="I88" s="159">
        <v>1.2999999999999999E-2</v>
      </c>
      <c r="J88" s="159">
        <v>8.0000000000000002E-3</v>
      </c>
      <c r="K88" s="159">
        <v>2E-3</v>
      </c>
      <c r="L88" s="159">
        <v>6.0000000000000001E-3</v>
      </c>
      <c r="M88" s="159"/>
      <c r="N88" s="159">
        <v>7.0000000000000001E-3</v>
      </c>
      <c r="O88" s="159">
        <v>4.0000000000000001E-3</v>
      </c>
      <c r="P88" s="159">
        <v>8.0000000000000002E-3</v>
      </c>
      <c r="Q88" s="159"/>
      <c r="R88" s="159"/>
      <c r="S88" s="159"/>
      <c r="T88" s="159">
        <v>3.0000000000000001E-3</v>
      </c>
      <c r="U88" s="159"/>
      <c r="V88" s="159"/>
      <c r="W88" s="159"/>
      <c r="X88" s="159"/>
      <c r="Y88" s="159">
        <v>3.0000000000000001E-3</v>
      </c>
      <c r="Z88" s="159">
        <v>2E-3</v>
      </c>
      <c r="AA88" s="159"/>
      <c r="AB88" s="159"/>
      <c r="AC88" s="159"/>
      <c r="AD88" s="159"/>
      <c r="AE88" s="159"/>
      <c r="AF88" s="159"/>
      <c r="AG88" s="159"/>
      <c r="AH88" s="183">
        <f t="shared" ref="AH88:AH98" si="16">SUM(C88:AG88)</f>
        <v>5.6000000000000001E-2</v>
      </c>
    </row>
    <row r="89" spans="1:34" ht="12.75">
      <c r="A89" s="1999" t="s">
        <v>77</v>
      </c>
      <c r="B89" s="190">
        <f t="shared" si="15"/>
        <v>0</v>
      </c>
      <c r="C89" s="893"/>
      <c r="D89" s="437"/>
      <c r="E89" s="437"/>
      <c r="F89" s="437"/>
      <c r="G89" s="437"/>
      <c r="H89" s="437"/>
      <c r="I89" s="437"/>
      <c r="J89" s="437"/>
      <c r="K89" s="437"/>
      <c r="L89" s="437"/>
      <c r="M89" s="437"/>
      <c r="N89" s="437"/>
      <c r="O89" s="437"/>
      <c r="P89" s="437"/>
      <c r="Q89" s="437"/>
      <c r="R89" s="437"/>
      <c r="S89" s="437"/>
      <c r="T89" s="437"/>
      <c r="U89" s="437"/>
      <c r="V89" s="437"/>
      <c r="W89" s="437"/>
      <c r="X89" s="437"/>
      <c r="Y89" s="437"/>
      <c r="Z89" s="437"/>
      <c r="AA89" s="437"/>
      <c r="AB89" s="437"/>
      <c r="AC89" s="437"/>
      <c r="AD89" s="437"/>
      <c r="AE89" s="437"/>
      <c r="AF89" s="437"/>
      <c r="AG89" s="437"/>
      <c r="AH89" s="183">
        <f t="shared" si="16"/>
        <v>0</v>
      </c>
    </row>
    <row r="90" spans="1:34" ht="12.75">
      <c r="A90" s="1999" t="s">
        <v>78</v>
      </c>
      <c r="B90" s="190">
        <f t="shared" si="15"/>
        <v>0.02</v>
      </c>
      <c r="C90" s="893"/>
      <c r="D90" s="437"/>
      <c r="E90" s="437"/>
      <c r="F90" s="437"/>
      <c r="G90" s="437"/>
      <c r="H90" s="437"/>
      <c r="I90" s="437"/>
      <c r="J90" s="437"/>
      <c r="K90" s="437"/>
      <c r="L90" s="437"/>
      <c r="M90" s="437"/>
      <c r="N90" s="437"/>
      <c r="O90" s="437"/>
      <c r="P90" s="437"/>
      <c r="Q90" s="437"/>
      <c r="R90" s="437"/>
      <c r="S90" s="437"/>
      <c r="T90" s="437"/>
      <c r="U90" s="437"/>
      <c r="V90" s="437"/>
      <c r="W90" s="437">
        <v>0.02</v>
      </c>
      <c r="X90" s="437"/>
      <c r="Y90" s="437"/>
      <c r="Z90" s="437"/>
      <c r="AA90" s="437"/>
      <c r="AB90" s="437"/>
      <c r="AC90" s="437"/>
      <c r="AD90" s="437"/>
      <c r="AE90" s="437"/>
      <c r="AF90" s="437"/>
      <c r="AG90" s="437"/>
      <c r="AH90" s="183">
        <f t="shared" si="16"/>
        <v>0.02</v>
      </c>
    </row>
    <row r="91" spans="1:34" ht="12.75">
      <c r="A91" s="1999" t="s">
        <v>79</v>
      </c>
      <c r="B91" s="190">
        <f t="shared" si="15"/>
        <v>0</v>
      </c>
      <c r="C91" s="893"/>
      <c r="D91" s="437"/>
      <c r="E91" s="437"/>
      <c r="F91" s="437"/>
      <c r="G91" s="437"/>
      <c r="H91" s="437"/>
      <c r="I91" s="437"/>
      <c r="J91" s="437"/>
      <c r="K91" s="437"/>
      <c r="L91" s="437"/>
      <c r="M91" s="437"/>
      <c r="N91" s="437"/>
      <c r="O91" s="437"/>
      <c r="P91" s="437"/>
      <c r="Q91" s="437"/>
      <c r="R91" s="437"/>
      <c r="S91" s="437"/>
      <c r="T91" s="437"/>
      <c r="U91" s="437"/>
      <c r="V91" s="437"/>
      <c r="W91" s="437"/>
      <c r="X91" s="437"/>
      <c r="Y91" s="437"/>
      <c r="Z91" s="437"/>
      <c r="AA91" s="437"/>
      <c r="AB91" s="437"/>
      <c r="AC91" s="437"/>
      <c r="AD91" s="437"/>
      <c r="AE91" s="437"/>
      <c r="AF91" s="437"/>
      <c r="AG91" s="437"/>
      <c r="AH91" s="183">
        <f t="shared" si="16"/>
        <v>0</v>
      </c>
    </row>
    <row r="92" spans="1:34" ht="12.75">
      <c r="A92" s="1999" t="s">
        <v>80</v>
      </c>
      <c r="B92" s="190">
        <f t="shared" si="15"/>
        <v>0.67199999999999993</v>
      </c>
      <c r="C92" s="183"/>
      <c r="D92" s="159"/>
      <c r="E92" s="159"/>
      <c r="F92" s="159"/>
      <c r="G92" s="159"/>
      <c r="H92" s="159"/>
      <c r="I92" s="159"/>
      <c r="J92" s="159"/>
      <c r="K92" s="159"/>
      <c r="L92" s="159"/>
      <c r="M92" s="159"/>
      <c r="N92" s="159">
        <v>0.58199999999999996</v>
      </c>
      <c r="O92" s="159"/>
      <c r="P92" s="159"/>
      <c r="Q92" s="159"/>
      <c r="R92" s="159"/>
      <c r="S92" s="159"/>
      <c r="T92" s="159"/>
      <c r="U92" s="159"/>
      <c r="V92" s="159"/>
      <c r="W92" s="159"/>
      <c r="X92" s="159"/>
      <c r="Y92" s="159"/>
      <c r="Z92" s="159"/>
      <c r="AA92" s="159">
        <v>0.09</v>
      </c>
      <c r="AB92" s="159"/>
      <c r="AC92" s="159"/>
      <c r="AD92" s="159"/>
      <c r="AE92" s="159"/>
      <c r="AF92" s="159"/>
      <c r="AG92" s="159"/>
      <c r="AH92" s="183">
        <f t="shared" si="16"/>
        <v>0.67199999999999993</v>
      </c>
    </row>
    <row r="93" spans="1:34" ht="12.75">
      <c r="A93" s="1999" t="s">
        <v>81</v>
      </c>
      <c r="B93" s="190">
        <f t="shared" si="15"/>
        <v>3.0000000000000001E-3</v>
      </c>
      <c r="C93" s="183"/>
      <c r="D93" s="159"/>
      <c r="E93" s="159"/>
      <c r="F93" s="159"/>
      <c r="G93" s="159"/>
      <c r="H93" s="159"/>
      <c r="I93" s="159"/>
      <c r="J93" s="159"/>
      <c r="K93" s="159"/>
      <c r="L93" s="159"/>
      <c r="M93" s="159">
        <v>3.0000000000000001E-3</v>
      </c>
      <c r="N93" s="159"/>
      <c r="O93" s="159"/>
      <c r="P93" s="159"/>
      <c r="Q93" s="159"/>
      <c r="R93" s="159"/>
      <c r="S93" s="159"/>
      <c r="T93" s="159"/>
      <c r="U93" s="159"/>
      <c r="V93" s="159"/>
      <c r="W93" s="159"/>
      <c r="X93" s="159"/>
      <c r="Y93" s="159"/>
      <c r="Z93" s="159"/>
      <c r="AA93" s="159"/>
      <c r="AB93" s="159"/>
      <c r="AC93" s="159"/>
      <c r="AD93" s="159"/>
      <c r="AE93" s="159"/>
      <c r="AF93" s="159"/>
      <c r="AG93" s="159"/>
      <c r="AH93" s="183">
        <f t="shared" si="16"/>
        <v>3.0000000000000001E-3</v>
      </c>
    </row>
    <row r="94" spans="1:34" ht="12.75">
      <c r="A94" s="1999" t="s">
        <v>82</v>
      </c>
      <c r="B94" s="190">
        <f t="shared" si="15"/>
        <v>0</v>
      </c>
      <c r="C94" s="183"/>
      <c r="D94" s="159"/>
      <c r="E94" s="159"/>
      <c r="F94" s="159"/>
      <c r="G94" s="159"/>
      <c r="H94" s="159"/>
      <c r="I94" s="159"/>
      <c r="J94" s="159"/>
      <c r="K94" s="159"/>
      <c r="L94" s="159"/>
      <c r="M94" s="159"/>
      <c r="N94" s="159"/>
      <c r="O94" s="159"/>
      <c r="P94" s="159"/>
      <c r="Q94" s="159"/>
      <c r="R94" s="159"/>
      <c r="S94" s="159"/>
      <c r="T94" s="159"/>
      <c r="U94" s="159"/>
      <c r="V94" s="159"/>
      <c r="W94" s="159"/>
      <c r="X94" s="159"/>
      <c r="Y94" s="159"/>
      <c r="Z94" s="159"/>
      <c r="AA94" s="159"/>
      <c r="AB94" s="159"/>
      <c r="AC94" s="159"/>
      <c r="AD94" s="159"/>
      <c r="AE94" s="159"/>
      <c r="AF94" s="159"/>
      <c r="AG94" s="159"/>
      <c r="AH94" s="183">
        <f t="shared" si="16"/>
        <v>0</v>
      </c>
    </row>
    <row r="95" spans="1:34" ht="12.75">
      <c r="A95" s="1999" t="s">
        <v>83</v>
      </c>
      <c r="B95" s="190">
        <f t="shared" si="15"/>
        <v>0</v>
      </c>
      <c r="C95" s="183"/>
      <c r="D95" s="159"/>
      <c r="E95" s="159"/>
      <c r="F95" s="159"/>
      <c r="G95" s="159"/>
      <c r="H95" s="159"/>
      <c r="I95" s="159"/>
      <c r="J95" s="159"/>
      <c r="K95" s="159"/>
      <c r="L95" s="159"/>
      <c r="M95" s="159"/>
      <c r="N95" s="159"/>
      <c r="O95" s="159"/>
      <c r="P95" s="159"/>
      <c r="Q95" s="159"/>
      <c r="R95" s="159"/>
      <c r="S95" s="159"/>
      <c r="T95" s="159"/>
      <c r="U95" s="159"/>
      <c r="V95" s="159"/>
      <c r="W95" s="159"/>
      <c r="X95" s="159"/>
      <c r="Y95" s="159"/>
      <c r="Z95" s="159"/>
      <c r="AA95" s="159"/>
      <c r="AB95" s="159"/>
      <c r="AC95" s="159"/>
      <c r="AD95" s="159"/>
      <c r="AE95" s="159"/>
      <c r="AF95" s="159"/>
      <c r="AG95" s="159"/>
      <c r="AH95" s="183">
        <f t="shared" si="16"/>
        <v>0</v>
      </c>
    </row>
    <row r="96" spans="1:34" ht="12.75">
      <c r="A96" s="1740" t="s">
        <v>84</v>
      </c>
      <c r="B96" s="190">
        <f t="shared" si="15"/>
        <v>0</v>
      </c>
      <c r="C96" s="183"/>
      <c r="D96" s="159"/>
      <c r="E96" s="159"/>
      <c r="F96" s="159"/>
      <c r="G96" s="159"/>
      <c r="H96" s="159"/>
      <c r="I96" s="159"/>
      <c r="J96" s="159"/>
      <c r="K96" s="159"/>
      <c r="L96" s="159"/>
      <c r="M96" s="159"/>
      <c r="N96" s="159"/>
      <c r="O96" s="159"/>
      <c r="P96" s="159"/>
      <c r="Q96" s="159"/>
      <c r="R96" s="159"/>
      <c r="S96" s="159"/>
      <c r="T96" s="159"/>
      <c r="U96" s="159"/>
      <c r="V96" s="159"/>
      <c r="W96" s="159"/>
      <c r="X96" s="159"/>
      <c r="Y96" s="159"/>
      <c r="Z96" s="159"/>
      <c r="AA96" s="159"/>
      <c r="AB96" s="159"/>
      <c r="AC96" s="159"/>
      <c r="AD96" s="159"/>
      <c r="AE96" s="159"/>
      <c r="AF96" s="159"/>
      <c r="AG96" s="159"/>
      <c r="AH96" s="183">
        <f t="shared" si="16"/>
        <v>0</v>
      </c>
    </row>
    <row r="97" spans="1:34" ht="12.75">
      <c r="A97" s="1740" t="s">
        <v>85</v>
      </c>
      <c r="B97" s="190">
        <f t="shared" si="15"/>
        <v>0</v>
      </c>
      <c r="C97" s="183"/>
      <c r="D97" s="159"/>
      <c r="E97" s="159"/>
      <c r="F97" s="159"/>
      <c r="G97" s="159"/>
      <c r="H97" s="159"/>
      <c r="I97" s="159"/>
      <c r="J97" s="159"/>
      <c r="K97" s="159"/>
      <c r="L97" s="159"/>
      <c r="M97" s="159"/>
      <c r="N97" s="159"/>
      <c r="O97" s="159"/>
      <c r="P97" s="159"/>
      <c r="Q97" s="159"/>
      <c r="R97" s="159"/>
      <c r="S97" s="159"/>
      <c r="T97" s="159"/>
      <c r="U97" s="159"/>
      <c r="V97" s="159"/>
      <c r="W97" s="159"/>
      <c r="X97" s="159"/>
      <c r="Y97" s="159"/>
      <c r="Z97" s="159"/>
      <c r="AA97" s="159"/>
      <c r="AB97" s="159"/>
      <c r="AC97" s="159"/>
      <c r="AD97" s="159"/>
      <c r="AE97" s="159"/>
      <c r="AF97" s="159"/>
      <c r="AG97" s="159"/>
      <c r="AH97" s="183">
        <f t="shared" si="16"/>
        <v>0</v>
      </c>
    </row>
    <row r="98" spans="1:34" ht="12.75">
      <c r="A98" s="1740" t="s">
        <v>86</v>
      </c>
      <c r="B98" s="190">
        <f t="shared" si="15"/>
        <v>0</v>
      </c>
      <c r="C98" s="183"/>
      <c r="D98" s="159"/>
      <c r="E98" s="159"/>
      <c r="F98" s="159"/>
      <c r="G98" s="159"/>
      <c r="H98" s="159"/>
      <c r="I98" s="159"/>
      <c r="J98" s="159"/>
      <c r="K98" s="159"/>
      <c r="L98" s="159"/>
      <c r="M98" s="159"/>
      <c r="N98" s="159"/>
      <c r="O98" s="159"/>
      <c r="P98" s="159"/>
      <c r="Q98" s="159"/>
      <c r="R98" s="159"/>
      <c r="S98" s="159"/>
      <c r="T98" s="159"/>
      <c r="U98" s="159"/>
      <c r="V98" s="159"/>
      <c r="W98" s="159"/>
      <c r="X98" s="159"/>
      <c r="Y98" s="159"/>
      <c r="Z98" s="159"/>
      <c r="AA98" s="159"/>
      <c r="AB98" s="159"/>
      <c r="AC98" s="159"/>
      <c r="AD98" s="159"/>
      <c r="AE98" s="159"/>
      <c r="AF98" s="159"/>
      <c r="AG98" s="159"/>
      <c r="AH98" s="183">
        <f t="shared" si="16"/>
        <v>0</v>
      </c>
    </row>
    <row r="99" spans="1:34" ht="12.75">
      <c r="A99" s="665" t="s">
        <v>74</v>
      </c>
      <c r="B99" s="1317">
        <f t="shared" ref="B99:AH99" si="17">SUM(B87:B98)</f>
        <v>0.78899999999999992</v>
      </c>
      <c r="C99" s="183">
        <f t="shared" si="17"/>
        <v>0</v>
      </c>
      <c r="D99" s="183">
        <f t="shared" si="17"/>
        <v>0</v>
      </c>
      <c r="E99" s="183">
        <f t="shared" si="17"/>
        <v>0</v>
      </c>
      <c r="F99" s="183">
        <f t="shared" si="17"/>
        <v>0</v>
      </c>
      <c r="G99" s="183">
        <f t="shared" si="17"/>
        <v>0</v>
      </c>
      <c r="H99" s="183">
        <f t="shared" si="17"/>
        <v>7.0000000000000001E-3</v>
      </c>
      <c r="I99" s="183">
        <f t="shared" si="17"/>
        <v>2.1999999999999999E-2</v>
      </c>
      <c r="J99" s="183">
        <f t="shared" si="17"/>
        <v>8.0000000000000002E-3</v>
      </c>
      <c r="K99" s="183">
        <f t="shared" si="17"/>
        <v>2E-3</v>
      </c>
      <c r="L99" s="183">
        <f t="shared" si="17"/>
        <v>6.0000000000000001E-3</v>
      </c>
      <c r="M99" s="183">
        <f t="shared" si="17"/>
        <v>0.01</v>
      </c>
      <c r="N99" s="183">
        <f t="shared" si="17"/>
        <v>0.58899999999999997</v>
      </c>
      <c r="O99" s="183">
        <f t="shared" si="17"/>
        <v>4.0000000000000001E-3</v>
      </c>
      <c r="P99" s="183">
        <f t="shared" si="17"/>
        <v>8.0000000000000002E-3</v>
      </c>
      <c r="Q99" s="183">
        <f t="shared" si="17"/>
        <v>0</v>
      </c>
      <c r="R99" s="183">
        <f t="shared" si="17"/>
        <v>0</v>
      </c>
      <c r="S99" s="183">
        <f t="shared" si="17"/>
        <v>0</v>
      </c>
      <c r="T99" s="183">
        <f t="shared" si="17"/>
        <v>3.0000000000000001E-3</v>
      </c>
      <c r="U99" s="183">
        <f t="shared" si="17"/>
        <v>0</v>
      </c>
      <c r="V99" s="183">
        <f t="shared" si="17"/>
        <v>0</v>
      </c>
      <c r="W99" s="183">
        <f t="shared" si="17"/>
        <v>0.02</v>
      </c>
      <c r="X99" s="183">
        <f t="shared" si="17"/>
        <v>0</v>
      </c>
      <c r="Y99" s="183">
        <f t="shared" si="17"/>
        <v>3.0000000000000001E-3</v>
      </c>
      <c r="Z99" s="183">
        <f t="shared" si="17"/>
        <v>2E-3</v>
      </c>
      <c r="AA99" s="183">
        <f t="shared" si="17"/>
        <v>0.09</v>
      </c>
      <c r="AB99" s="183">
        <f t="shared" si="17"/>
        <v>8.0000000000000002E-3</v>
      </c>
      <c r="AC99" s="183">
        <f t="shared" si="17"/>
        <v>0</v>
      </c>
      <c r="AD99" s="183">
        <f t="shared" si="17"/>
        <v>0</v>
      </c>
      <c r="AE99" s="183">
        <f t="shared" si="17"/>
        <v>0</v>
      </c>
      <c r="AF99" s="183">
        <f t="shared" si="17"/>
        <v>7.0000000000000001E-3</v>
      </c>
      <c r="AG99" s="183">
        <f t="shared" si="17"/>
        <v>0</v>
      </c>
      <c r="AH99" s="183">
        <f t="shared" si="17"/>
        <v>0.78899999999999992</v>
      </c>
    </row>
    <row r="100" spans="1:34" ht="12.75">
      <c r="A100" s="177"/>
      <c r="B100" s="661"/>
      <c r="C100" s="177"/>
      <c r="D100" s="64"/>
      <c r="E100" s="64"/>
      <c r="F100" s="64"/>
      <c r="G100" s="64"/>
      <c r="H100" s="64"/>
      <c r="I100" s="64"/>
      <c r="J100" s="64"/>
      <c r="K100" s="64"/>
      <c r="L100" s="64"/>
      <c r="M100" s="64"/>
      <c r="N100" s="64"/>
      <c r="O100" s="64"/>
      <c r="P100" s="64"/>
      <c r="Q100" s="64"/>
      <c r="R100" s="64"/>
      <c r="S100" s="64"/>
      <c r="T100" s="64"/>
      <c r="U100" s="64"/>
      <c r="V100" s="64"/>
      <c r="W100" s="64"/>
      <c r="X100" s="64"/>
      <c r="Y100" s="64"/>
      <c r="Z100" s="64"/>
      <c r="AA100" s="64"/>
      <c r="AB100" s="64"/>
      <c r="AC100" s="64"/>
      <c r="AD100" s="64"/>
      <c r="AE100" s="64"/>
      <c r="AF100" s="64"/>
      <c r="AG100" s="64"/>
      <c r="AH100" s="177"/>
    </row>
    <row r="101" spans="1:34" ht="12.75">
      <c r="A101" s="3605" t="s">
        <v>70</v>
      </c>
      <c r="B101" s="3606"/>
      <c r="C101" s="3607"/>
      <c r="D101" s="64"/>
      <c r="E101" s="64"/>
      <c r="F101" s="64"/>
      <c r="G101" s="64"/>
      <c r="H101" s="64"/>
      <c r="I101" s="64"/>
      <c r="J101" s="64"/>
      <c r="K101" s="64"/>
      <c r="L101" s="64"/>
      <c r="M101" s="64"/>
      <c r="N101" s="64"/>
      <c r="O101" s="64"/>
      <c r="P101" s="64"/>
      <c r="Q101" s="64"/>
      <c r="R101" s="64"/>
      <c r="S101" s="64"/>
      <c r="T101" s="64"/>
      <c r="U101" s="64"/>
      <c r="V101" s="64"/>
      <c r="W101" s="64"/>
      <c r="X101" s="64"/>
      <c r="Y101" s="64"/>
      <c r="Z101" s="64"/>
      <c r="AA101" s="64"/>
      <c r="AB101" s="64"/>
      <c r="AC101" s="64"/>
      <c r="AD101" s="64"/>
      <c r="AE101" s="64"/>
      <c r="AF101" s="64"/>
      <c r="AG101" s="64"/>
      <c r="AH101" s="177"/>
    </row>
    <row r="102" spans="1:34" ht="12.75">
      <c r="A102" s="178" t="s">
        <v>72</v>
      </c>
      <c r="B102" s="190" t="s">
        <v>73</v>
      </c>
      <c r="C102" s="178">
        <v>1</v>
      </c>
      <c r="D102" s="179">
        <v>2</v>
      </c>
      <c r="E102" s="179">
        <v>3</v>
      </c>
      <c r="F102" s="179">
        <v>4</v>
      </c>
      <c r="G102" s="179">
        <v>5</v>
      </c>
      <c r="H102" s="179">
        <v>6</v>
      </c>
      <c r="I102" s="179">
        <v>7</v>
      </c>
      <c r="J102" s="179">
        <v>8</v>
      </c>
      <c r="K102" s="179">
        <v>9</v>
      </c>
      <c r="L102" s="179">
        <v>10</v>
      </c>
      <c r="M102" s="179">
        <v>11</v>
      </c>
      <c r="N102" s="179">
        <v>12</v>
      </c>
      <c r="O102" s="179">
        <v>13</v>
      </c>
      <c r="P102" s="179">
        <v>14</v>
      </c>
      <c r="Q102" s="179">
        <v>15</v>
      </c>
      <c r="R102" s="179">
        <v>16</v>
      </c>
      <c r="S102" s="179">
        <v>17</v>
      </c>
      <c r="T102" s="179">
        <v>18</v>
      </c>
      <c r="U102" s="179">
        <v>19</v>
      </c>
      <c r="V102" s="179">
        <v>20</v>
      </c>
      <c r="W102" s="179">
        <v>21</v>
      </c>
      <c r="X102" s="179">
        <v>22</v>
      </c>
      <c r="Y102" s="179">
        <v>23</v>
      </c>
      <c r="Z102" s="179">
        <v>24</v>
      </c>
      <c r="AA102" s="179">
        <v>25</v>
      </c>
      <c r="AB102" s="179">
        <v>26</v>
      </c>
      <c r="AC102" s="179">
        <v>27</v>
      </c>
      <c r="AD102" s="179">
        <v>28</v>
      </c>
      <c r="AE102" s="179">
        <v>29</v>
      </c>
      <c r="AF102" s="179">
        <v>30</v>
      </c>
      <c r="AG102" s="179">
        <v>31</v>
      </c>
      <c r="AH102" s="178" t="s">
        <v>74</v>
      </c>
    </row>
    <row r="103" spans="1:34" ht="12.75">
      <c r="A103" s="1999" t="s">
        <v>75</v>
      </c>
      <c r="B103" s="2433">
        <f t="shared" ref="B103:B114" si="18">+AH103</f>
        <v>34.582000000000001</v>
      </c>
      <c r="C103" s="928"/>
      <c r="D103" s="928"/>
      <c r="E103" s="928"/>
      <c r="F103" s="928">
        <v>0.15</v>
      </c>
      <c r="G103" s="928"/>
      <c r="H103" s="928"/>
      <c r="I103" s="928">
        <v>1E-3</v>
      </c>
      <c r="J103" s="928">
        <v>3.7999999999999999E-2</v>
      </c>
      <c r="K103" s="928"/>
      <c r="L103" s="928">
        <v>2E-3</v>
      </c>
      <c r="M103" s="928">
        <v>2.5999999999999999E-2</v>
      </c>
      <c r="N103" s="928"/>
      <c r="O103" s="928"/>
      <c r="P103" s="928"/>
      <c r="Q103" s="928"/>
      <c r="R103" s="928">
        <v>2.5999999999999999E-2</v>
      </c>
      <c r="S103" s="928">
        <v>2E-3</v>
      </c>
      <c r="T103" s="928"/>
      <c r="U103" s="928"/>
      <c r="V103" s="928"/>
      <c r="W103" s="928">
        <v>0.108</v>
      </c>
      <c r="X103" s="928"/>
      <c r="Y103" s="928">
        <v>34.228000000000002</v>
      </c>
      <c r="Z103" s="928"/>
      <c r="AA103" s="928"/>
      <c r="AB103" s="928"/>
      <c r="AC103" s="928"/>
      <c r="AD103" s="928"/>
      <c r="AE103" s="928">
        <v>1E-3</v>
      </c>
      <c r="AF103" s="928"/>
      <c r="AG103" s="928"/>
      <c r="AH103" s="183">
        <f>SUM(C103:AG103)</f>
        <v>34.582000000000001</v>
      </c>
    </row>
    <row r="104" spans="1:34" ht="12.75">
      <c r="A104" s="1999" t="s">
        <v>76</v>
      </c>
      <c r="B104" s="2434">
        <f t="shared" si="18"/>
        <v>8.4000000000000005E-2</v>
      </c>
      <c r="C104" s="928">
        <v>0.01</v>
      </c>
      <c r="D104" s="928"/>
      <c r="E104" s="928"/>
      <c r="F104" s="928"/>
      <c r="G104" s="928">
        <v>3.0000000000000001E-3</v>
      </c>
      <c r="H104" s="928">
        <v>3.0000000000000001E-3</v>
      </c>
      <c r="I104" s="928"/>
      <c r="J104" s="928"/>
      <c r="K104" s="928"/>
      <c r="L104" s="928"/>
      <c r="M104" s="928">
        <v>3.5000000000000003E-2</v>
      </c>
      <c r="N104" s="928">
        <v>0.02</v>
      </c>
      <c r="O104" s="928"/>
      <c r="P104" s="928">
        <v>1.2999999999999999E-2</v>
      </c>
      <c r="Q104" s="928"/>
      <c r="R104" s="928"/>
      <c r="S104" s="928"/>
      <c r="T104" s="928"/>
      <c r="U104" s="928"/>
      <c r="V104" s="928"/>
      <c r="W104" s="928"/>
      <c r="X104" s="928"/>
      <c r="Y104" s="928"/>
      <c r="Z104" s="928"/>
      <c r="AA104" s="928"/>
      <c r="AB104" s="928"/>
      <c r="AC104" s="928"/>
      <c r="AD104" s="928"/>
      <c r="AE104" s="928"/>
      <c r="AF104" s="928"/>
      <c r="AG104" s="928"/>
      <c r="AH104" s="183">
        <f t="shared" ref="AH104:AH114" si="19">SUM(C104:AG104)</f>
        <v>8.4000000000000005E-2</v>
      </c>
    </row>
    <row r="105" spans="1:34" ht="12.75">
      <c r="A105" s="1999" t="s">
        <v>77</v>
      </c>
      <c r="B105" s="2433">
        <f t="shared" si="18"/>
        <v>2.5990000000000002</v>
      </c>
      <c r="C105" s="928">
        <v>2.8000000000000001E-2</v>
      </c>
      <c r="D105" s="928"/>
      <c r="E105" s="928"/>
      <c r="F105" s="928">
        <v>2.9000000000000001E-2</v>
      </c>
      <c r="G105" s="928"/>
      <c r="H105" s="928">
        <v>0.03</v>
      </c>
      <c r="I105" s="928"/>
      <c r="J105" s="928">
        <v>5.6000000000000001E-2</v>
      </c>
      <c r="K105" s="928"/>
      <c r="L105" s="928"/>
      <c r="M105" s="928">
        <v>4.5999999999999999E-2</v>
      </c>
      <c r="N105" s="928"/>
      <c r="O105" s="928">
        <v>0.04</v>
      </c>
      <c r="P105" s="928">
        <v>4.4999999999999998E-2</v>
      </c>
      <c r="Q105" s="928">
        <v>7.0000000000000007E-2</v>
      </c>
      <c r="R105" s="928"/>
      <c r="S105" s="928"/>
      <c r="T105" s="928">
        <v>0.05</v>
      </c>
      <c r="U105" s="928"/>
      <c r="V105" s="928"/>
      <c r="W105" s="928"/>
      <c r="X105" s="928">
        <v>2.16</v>
      </c>
      <c r="Y105" s="928">
        <v>2.5000000000000001E-2</v>
      </c>
      <c r="Z105" s="928"/>
      <c r="AA105" s="928">
        <v>0.02</v>
      </c>
      <c r="AB105" s="928"/>
      <c r="AC105" s="928"/>
      <c r="AD105" s="928"/>
      <c r="AE105" s="928"/>
      <c r="AF105" s="928"/>
      <c r="AG105" s="928"/>
      <c r="AH105" s="183">
        <f t="shared" si="19"/>
        <v>2.5990000000000002</v>
      </c>
    </row>
    <row r="106" spans="1:34" ht="12.75">
      <c r="A106" s="1999" t="s">
        <v>78</v>
      </c>
      <c r="B106" s="190">
        <f t="shared" si="18"/>
        <v>3.234</v>
      </c>
      <c r="C106" s="928"/>
      <c r="D106" s="928"/>
      <c r="E106" s="928"/>
      <c r="F106" s="928">
        <v>1.7999999999999999E-2</v>
      </c>
      <c r="G106" s="928"/>
      <c r="H106" s="928"/>
      <c r="I106" s="928"/>
      <c r="J106" s="928"/>
      <c r="K106" s="928"/>
      <c r="L106" s="928">
        <v>1.6E-2</v>
      </c>
      <c r="M106" s="928"/>
      <c r="N106" s="928"/>
      <c r="O106" s="928"/>
      <c r="P106" s="928"/>
      <c r="Q106" s="928">
        <v>3.2000000000000001E-2</v>
      </c>
      <c r="R106" s="928"/>
      <c r="S106" s="928">
        <v>1.7999999999999999E-2</v>
      </c>
      <c r="T106" s="928"/>
      <c r="U106" s="928"/>
      <c r="V106" s="928"/>
      <c r="W106" s="928"/>
      <c r="X106" s="928">
        <v>1.4999999999999999E-2</v>
      </c>
      <c r="Y106" s="928">
        <v>0.435</v>
      </c>
      <c r="Z106" s="928">
        <v>2.7</v>
      </c>
      <c r="AA106" s="928"/>
      <c r="AB106" s="928"/>
      <c r="AC106" s="928"/>
      <c r="AD106" s="928"/>
      <c r="AE106" s="928"/>
      <c r="AF106" s="928"/>
      <c r="AG106" s="928"/>
      <c r="AH106" s="183">
        <f t="shared" si="19"/>
        <v>3.234</v>
      </c>
    </row>
    <row r="107" spans="1:34" ht="12.75">
      <c r="A107" s="1999" t="s">
        <v>79</v>
      </c>
      <c r="B107" s="190">
        <f t="shared" si="18"/>
        <v>10.907</v>
      </c>
      <c r="C107" s="928"/>
      <c r="D107" s="928"/>
      <c r="E107" s="928"/>
      <c r="F107" s="928"/>
      <c r="G107" s="928"/>
      <c r="H107" s="928"/>
      <c r="I107" s="928">
        <v>5.5E-2</v>
      </c>
      <c r="J107" s="928">
        <v>2.7250000000000001</v>
      </c>
      <c r="K107" s="928"/>
      <c r="L107" s="928"/>
      <c r="M107" s="928"/>
      <c r="N107" s="928"/>
      <c r="O107" s="928"/>
      <c r="P107" s="928"/>
      <c r="Q107" s="928"/>
      <c r="R107" s="928">
        <v>1.0999999999999999E-2</v>
      </c>
      <c r="S107" s="928">
        <v>2E-3</v>
      </c>
      <c r="T107" s="928"/>
      <c r="U107" s="928"/>
      <c r="V107" s="928">
        <v>4.8600000000000003</v>
      </c>
      <c r="W107" s="928"/>
      <c r="X107" s="928"/>
      <c r="Y107" s="928">
        <v>3.0000000000000001E-3</v>
      </c>
      <c r="Z107" s="928">
        <v>3.0000000000000001E-3</v>
      </c>
      <c r="AA107" s="928"/>
      <c r="AB107" s="928"/>
      <c r="AC107" s="928"/>
      <c r="AD107" s="928"/>
      <c r="AE107" s="928"/>
      <c r="AF107" s="928">
        <v>3.2480000000000002</v>
      </c>
      <c r="AG107" s="928"/>
      <c r="AH107" s="183">
        <f t="shared" si="19"/>
        <v>10.907</v>
      </c>
    </row>
    <row r="108" spans="1:34" ht="12.75">
      <c r="A108" s="1999" t="s">
        <v>80</v>
      </c>
      <c r="B108" s="190">
        <f t="shared" si="18"/>
        <v>1.35</v>
      </c>
      <c r="C108" s="928"/>
      <c r="D108" s="928"/>
      <c r="E108" s="928"/>
      <c r="F108" s="928"/>
      <c r="G108" s="928"/>
      <c r="H108" s="928"/>
      <c r="I108" s="928">
        <v>1.35</v>
      </c>
      <c r="J108" s="928"/>
      <c r="K108" s="928"/>
      <c r="L108" s="928"/>
      <c r="M108" s="928"/>
      <c r="N108" s="928"/>
      <c r="O108" s="928"/>
      <c r="P108" s="928"/>
      <c r="Q108" s="928"/>
      <c r="R108" s="928"/>
      <c r="S108" s="928"/>
      <c r="T108" s="928"/>
      <c r="U108" s="928"/>
      <c r="V108" s="928"/>
      <c r="W108" s="928"/>
      <c r="X108" s="928"/>
      <c r="Y108" s="928"/>
      <c r="Z108" s="928"/>
      <c r="AA108" s="928"/>
      <c r="AB108" s="928"/>
      <c r="AC108" s="928"/>
      <c r="AD108" s="928"/>
      <c r="AE108" s="928"/>
      <c r="AF108" s="928"/>
      <c r="AG108" s="928"/>
      <c r="AH108" s="183">
        <f t="shared" si="19"/>
        <v>1.35</v>
      </c>
    </row>
    <row r="109" spans="1:34" ht="12.75">
      <c r="A109" s="1999" t="s">
        <v>81</v>
      </c>
      <c r="B109" s="190">
        <f t="shared" si="18"/>
        <v>2.5999999999999999E-2</v>
      </c>
      <c r="C109" s="1003"/>
      <c r="D109" s="928"/>
      <c r="E109" s="928"/>
      <c r="F109" s="928"/>
      <c r="G109" s="928"/>
      <c r="H109" s="928"/>
      <c r="I109" s="928"/>
      <c r="J109" s="928"/>
      <c r="K109" s="928"/>
      <c r="L109" s="928"/>
      <c r="M109" s="928">
        <v>4.0000000000000001E-3</v>
      </c>
      <c r="N109" s="928">
        <v>2E-3</v>
      </c>
      <c r="O109" s="928"/>
      <c r="P109" s="928"/>
      <c r="Q109" s="928"/>
      <c r="R109" s="928"/>
      <c r="S109" s="928"/>
      <c r="T109" s="928">
        <v>1.4999999999999999E-2</v>
      </c>
      <c r="U109" s="928"/>
      <c r="V109" s="928"/>
      <c r="W109" s="928"/>
      <c r="X109" s="928"/>
      <c r="Y109" s="928"/>
      <c r="Z109" s="928"/>
      <c r="AA109" s="928"/>
      <c r="AB109" s="928"/>
      <c r="AC109" s="928"/>
      <c r="AD109" s="928"/>
      <c r="AE109" s="928"/>
      <c r="AF109" s="928"/>
      <c r="AG109" s="928">
        <v>5.0000000000000001E-3</v>
      </c>
      <c r="AH109" s="183">
        <f t="shared" si="19"/>
        <v>2.5999999999999999E-2</v>
      </c>
    </row>
    <row r="110" spans="1:34" ht="12.75">
      <c r="A110" s="1999" t="s">
        <v>82</v>
      </c>
      <c r="B110" s="190">
        <f t="shared" si="18"/>
        <v>1.411</v>
      </c>
      <c r="C110" s="1003"/>
      <c r="D110" s="928"/>
      <c r="E110" s="928"/>
      <c r="F110" s="928"/>
      <c r="G110" s="928"/>
      <c r="H110" s="928">
        <v>2.1000000000000001E-2</v>
      </c>
      <c r="I110" s="928"/>
      <c r="J110" s="928"/>
      <c r="K110" s="928"/>
      <c r="L110" s="928"/>
      <c r="M110" s="928"/>
      <c r="N110" s="928"/>
      <c r="O110" s="928"/>
      <c r="P110" s="928"/>
      <c r="Q110" s="929"/>
      <c r="R110" s="929"/>
      <c r="S110" s="929"/>
      <c r="T110" s="929"/>
      <c r="U110" s="929"/>
      <c r="V110" s="929"/>
      <c r="W110" s="929"/>
      <c r="X110" s="929"/>
      <c r="Y110" s="929">
        <v>0.04</v>
      </c>
      <c r="Z110" s="929"/>
      <c r="AA110" s="929"/>
      <c r="AB110" s="929">
        <v>1.35</v>
      </c>
      <c r="AC110" s="929"/>
      <c r="AD110" s="929"/>
      <c r="AE110" s="929"/>
      <c r="AF110" s="929"/>
      <c r="AG110" s="929"/>
      <c r="AH110" s="183">
        <f t="shared" si="19"/>
        <v>1.411</v>
      </c>
    </row>
    <row r="111" spans="1:34" ht="12.75">
      <c r="A111" s="1999" t="s">
        <v>83</v>
      </c>
      <c r="B111" s="190">
        <f t="shared" si="18"/>
        <v>0</v>
      </c>
      <c r="C111" s="929"/>
      <c r="D111" s="929"/>
      <c r="E111" s="929"/>
      <c r="F111" s="929"/>
      <c r="G111" s="929"/>
      <c r="H111" s="929"/>
      <c r="I111" s="929"/>
      <c r="J111" s="929"/>
      <c r="K111" s="929"/>
      <c r="L111" s="929"/>
      <c r="M111" s="929"/>
      <c r="N111" s="929"/>
      <c r="O111" s="929"/>
      <c r="P111" s="929"/>
      <c r="Q111" s="929"/>
      <c r="R111" s="929"/>
      <c r="S111" s="929"/>
      <c r="T111" s="929"/>
      <c r="U111" s="929"/>
      <c r="V111" s="929"/>
      <c r="W111" s="929"/>
      <c r="X111" s="929"/>
      <c r="Y111" s="929"/>
      <c r="Z111" s="929"/>
      <c r="AA111" s="929"/>
      <c r="AB111" s="929"/>
      <c r="AC111" s="929"/>
      <c r="AD111" s="929"/>
      <c r="AE111" s="929"/>
      <c r="AF111" s="929"/>
      <c r="AG111" s="929"/>
      <c r="AH111" s="183">
        <f t="shared" si="19"/>
        <v>0</v>
      </c>
    </row>
    <row r="112" spans="1:34" ht="12.75">
      <c r="A112" s="1740" t="s">
        <v>84</v>
      </c>
      <c r="B112" s="190">
        <f t="shared" si="18"/>
        <v>0</v>
      </c>
      <c r="C112" s="1003"/>
      <c r="D112" s="1320"/>
      <c r="E112" s="928"/>
      <c r="F112" s="928"/>
      <c r="G112" s="928"/>
      <c r="H112" s="928"/>
      <c r="I112" s="928"/>
      <c r="J112" s="928"/>
      <c r="K112" s="928"/>
      <c r="L112" s="928"/>
      <c r="M112" s="928"/>
      <c r="N112" s="928"/>
      <c r="O112" s="928"/>
      <c r="P112" s="928"/>
      <c r="Q112" s="928"/>
      <c r="R112" s="928"/>
      <c r="S112" s="928"/>
      <c r="T112" s="928"/>
      <c r="U112" s="928"/>
      <c r="V112" s="928"/>
      <c r="W112" s="928"/>
      <c r="X112" s="928"/>
      <c r="Y112" s="928"/>
      <c r="Z112" s="928"/>
      <c r="AA112" s="928"/>
      <c r="AB112" s="928"/>
      <c r="AC112" s="928"/>
      <c r="AD112" s="928"/>
      <c r="AE112" s="928"/>
      <c r="AF112" s="928"/>
      <c r="AG112" s="928"/>
      <c r="AH112" s="183">
        <f t="shared" si="19"/>
        <v>0</v>
      </c>
    </row>
    <row r="113" spans="1:34" ht="12.75">
      <c r="A113" s="1740" t="s">
        <v>85</v>
      </c>
      <c r="B113" s="190">
        <f t="shared" si="18"/>
        <v>0</v>
      </c>
      <c r="C113" s="1321"/>
      <c r="D113" s="1322"/>
      <c r="E113" s="1323"/>
      <c r="F113" s="928"/>
      <c r="G113" s="928"/>
      <c r="H113" s="928"/>
      <c r="I113" s="928"/>
      <c r="J113" s="928"/>
      <c r="K113" s="928"/>
      <c r="L113" s="928"/>
      <c r="M113" s="928"/>
      <c r="N113" s="928"/>
      <c r="O113" s="928"/>
      <c r="P113" s="928"/>
      <c r="Q113" s="928"/>
      <c r="R113" s="928"/>
      <c r="S113" s="928"/>
      <c r="T113" s="928"/>
      <c r="U113" s="928"/>
      <c r="V113" s="928"/>
      <c r="W113" s="928"/>
      <c r="X113" s="928"/>
      <c r="Y113" s="928"/>
      <c r="Z113" s="928"/>
      <c r="AA113" s="928"/>
      <c r="AB113" s="928"/>
      <c r="AC113" s="928"/>
      <c r="AD113" s="928"/>
      <c r="AE113" s="928"/>
      <c r="AF113" s="928"/>
      <c r="AG113" s="928"/>
      <c r="AH113" s="183">
        <f t="shared" si="19"/>
        <v>0</v>
      </c>
    </row>
    <row r="114" spans="1:34" ht="12.75">
      <c r="A114" s="1740" t="s">
        <v>86</v>
      </c>
      <c r="B114" s="190">
        <f t="shared" si="18"/>
        <v>0</v>
      </c>
      <c r="C114" s="928"/>
      <c r="D114" s="1324"/>
      <c r="E114" s="928"/>
      <c r="F114" s="928"/>
      <c r="G114" s="928"/>
      <c r="H114" s="928"/>
      <c r="I114" s="928"/>
      <c r="J114" s="928"/>
      <c r="K114" s="928"/>
      <c r="L114" s="928"/>
      <c r="M114" s="928"/>
      <c r="N114" s="928"/>
      <c r="O114" s="928"/>
      <c r="P114" s="928"/>
      <c r="Q114" s="928"/>
      <c r="R114" s="928"/>
      <c r="S114" s="928"/>
      <c r="T114" s="928"/>
      <c r="U114" s="928"/>
      <c r="V114" s="928"/>
      <c r="W114" s="928"/>
      <c r="X114" s="928"/>
      <c r="Y114" s="928"/>
      <c r="Z114" s="928"/>
      <c r="AA114" s="928"/>
      <c r="AB114" s="928"/>
      <c r="AC114" s="928"/>
      <c r="AD114" s="928"/>
      <c r="AE114" s="928"/>
      <c r="AF114" s="928"/>
      <c r="AG114" s="928"/>
      <c r="AH114" s="183">
        <f t="shared" si="19"/>
        <v>0</v>
      </c>
    </row>
    <row r="115" spans="1:34" ht="12.75">
      <c r="A115" s="665" t="s">
        <v>74</v>
      </c>
      <c r="B115" s="1317">
        <f t="shared" ref="B115:AH115" si="20">SUM(B103:B114)</f>
        <v>54.193000000000012</v>
      </c>
      <c r="C115" s="183">
        <f>SUM(C103:C114)</f>
        <v>3.7999999999999999E-2</v>
      </c>
      <c r="D115" s="183">
        <f t="shared" si="20"/>
        <v>0</v>
      </c>
      <c r="E115" s="183">
        <f t="shared" si="20"/>
        <v>0</v>
      </c>
      <c r="F115" s="183">
        <f t="shared" si="20"/>
        <v>0.19699999999999998</v>
      </c>
      <c r="G115" s="183">
        <f t="shared" si="20"/>
        <v>3.0000000000000001E-3</v>
      </c>
      <c r="H115" s="183">
        <f t="shared" si="20"/>
        <v>5.4000000000000006E-2</v>
      </c>
      <c r="I115" s="183">
        <f t="shared" si="20"/>
        <v>1.4060000000000001</v>
      </c>
      <c r="J115" s="183">
        <f t="shared" si="20"/>
        <v>2.819</v>
      </c>
      <c r="K115" s="183">
        <f t="shared" si="20"/>
        <v>0</v>
      </c>
      <c r="L115" s="183">
        <f t="shared" si="20"/>
        <v>1.8000000000000002E-2</v>
      </c>
      <c r="M115" s="183">
        <f t="shared" si="20"/>
        <v>0.111</v>
      </c>
      <c r="N115" s="183">
        <f t="shared" si="20"/>
        <v>2.1999999999999999E-2</v>
      </c>
      <c r="O115" s="183">
        <f t="shared" si="20"/>
        <v>0.04</v>
      </c>
      <c r="P115" s="183">
        <f t="shared" si="20"/>
        <v>5.7999999999999996E-2</v>
      </c>
      <c r="Q115" s="183">
        <f t="shared" si="20"/>
        <v>0.10200000000000001</v>
      </c>
      <c r="R115" s="183">
        <f t="shared" si="20"/>
        <v>3.6999999999999998E-2</v>
      </c>
      <c r="S115" s="183">
        <f t="shared" si="20"/>
        <v>2.1999999999999999E-2</v>
      </c>
      <c r="T115" s="183">
        <f t="shared" si="20"/>
        <v>6.5000000000000002E-2</v>
      </c>
      <c r="U115" s="183">
        <f t="shared" si="20"/>
        <v>0</v>
      </c>
      <c r="V115" s="183">
        <f t="shared" si="20"/>
        <v>4.8600000000000003</v>
      </c>
      <c r="W115" s="183">
        <f t="shared" si="20"/>
        <v>0.108</v>
      </c>
      <c r="X115" s="183">
        <f t="shared" si="20"/>
        <v>2.1750000000000003</v>
      </c>
      <c r="Y115" s="183">
        <f t="shared" si="20"/>
        <v>34.731000000000002</v>
      </c>
      <c r="Z115" s="183">
        <f t="shared" si="20"/>
        <v>2.7030000000000003</v>
      </c>
      <c r="AA115" s="183">
        <f t="shared" si="20"/>
        <v>0.02</v>
      </c>
      <c r="AB115" s="183">
        <f t="shared" si="20"/>
        <v>1.35</v>
      </c>
      <c r="AC115" s="183">
        <f t="shared" si="20"/>
        <v>0</v>
      </c>
      <c r="AD115" s="183">
        <f t="shared" si="20"/>
        <v>0</v>
      </c>
      <c r="AE115" s="183">
        <f t="shared" si="20"/>
        <v>1E-3</v>
      </c>
      <c r="AF115" s="183">
        <f t="shared" si="20"/>
        <v>3.2480000000000002</v>
      </c>
      <c r="AG115" s="183">
        <f t="shared" si="20"/>
        <v>5.0000000000000001E-3</v>
      </c>
      <c r="AH115" s="183">
        <f t="shared" si="20"/>
        <v>54.193000000000012</v>
      </c>
    </row>
    <row r="116" spans="1:34" ht="12.75">
      <c r="A116" s="177"/>
      <c r="B116" s="661"/>
      <c r="C116" s="177"/>
      <c r="D116" s="64"/>
      <c r="E116" s="64"/>
      <c r="F116" s="64"/>
      <c r="G116" s="64"/>
      <c r="H116" s="64"/>
      <c r="I116" s="64"/>
      <c r="J116" s="64"/>
      <c r="K116" s="64"/>
      <c r="L116" s="64"/>
      <c r="M116" s="64"/>
      <c r="N116" s="64"/>
      <c r="O116" s="64"/>
      <c r="P116" s="64"/>
      <c r="Q116" s="64"/>
      <c r="R116" s="64"/>
      <c r="S116" s="64"/>
      <c r="T116" s="64"/>
      <c r="U116" s="64"/>
      <c r="V116" s="64"/>
      <c r="W116" s="64"/>
      <c r="X116" s="64"/>
      <c r="Y116" s="64"/>
      <c r="Z116" s="64"/>
      <c r="AA116" s="64"/>
      <c r="AB116" s="64"/>
      <c r="AC116" s="64"/>
      <c r="AD116" s="64"/>
      <c r="AE116" s="64"/>
      <c r="AF116" s="64"/>
      <c r="AG116" s="64"/>
      <c r="AH116" s="177"/>
    </row>
    <row r="117" spans="1:34" ht="12.75">
      <c r="A117" s="3644" t="s">
        <v>548</v>
      </c>
      <c r="B117" s="3606"/>
      <c r="C117" s="3607"/>
      <c r="D117" s="64"/>
      <c r="E117" s="66"/>
      <c r="F117" s="66"/>
      <c r="G117" s="66"/>
      <c r="H117" s="64"/>
      <c r="I117" s="64"/>
      <c r="J117" s="66"/>
      <c r="K117" s="64"/>
      <c r="L117" s="64"/>
      <c r="M117" s="64"/>
      <c r="N117" s="64"/>
      <c r="O117" s="64"/>
      <c r="P117" s="64"/>
      <c r="Q117" s="64"/>
      <c r="R117" s="64"/>
      <c r="S117" s="64"/>
      <c r="T117" s="64"/>
      <c r="U117" s="64"/>
      <c r="V117" s="64"/>
      <c r="W117" s="64"/>
      <c r="X117" s="64"/>
      <c r="Y117" s="64"/>
      <c r="Z117" s="64"/>
      <c r="AA117" s="64"/>
      <c r="AB117" s="64"/>
      <c r="AC117" s="64"/>
      <c r="AD117" s="64"/>
      <c r="AE117" s="64"/>
      <c r="AF117" s="64"/>
      <c r="AG117" s="64"/>
      <c r="AH117" s="177"/>
    </row>
    <row r="118" spans="1:34" ht="12.75">
      <c r="A118" s="178" t="s">
        <v>72</v>
      </c>
      <c r="B118" s="190" t="s">
        <v>73</v>
      </c>
      <c r="C118" s="178">
        <v>1</v>
      </c>
      <c r="D118" s="179">
        <v>2</v>
      </c>
      <c r="E118" s="179">
        <v>3</v>
      </c>
      <c r="F118" s="179">
        <v>4</v>
      </c>
      <c r="G118" s="179">
        <v>5</v>
      </c>
      <c r="H118" s="179">
        <v>6</v>
      </c>
      <c r="I118" s="179">
        <v>7</v>
      </c>
      <c r="J118" s="179">
        <v>8</v>
      </c>
      <c r="K118" s="179">
        <v>9</v>
      </c>
      <c r="L118" s="179">
        <v>10</v>
      </c>
      <c r="M118" s="179">
        <v>11</v>
      </c>
      <c r="N118" s="179">
        <v>12</v>
      </c>
      <c r="O118" s="179">
        <v>13</v>
      </c>
      <c r="P118" s="179">
        <v>14</v>
      </c>
      <c r="Q118" s="179">
        <v>15</v>
      </c>
      <c r="R118" s="179">
        <v>16</v>
      </c>
      <c r="S118" s="179">
        <v>17</v>
      </c>
      <c r="T118" s="179">
        <v>18</v>
      </c>
      <c r="U118" s="179">
        <v>19</v>
      </c>
      <c r="V118" s="179">
        <v>20</v>
      </c>
      <c r="W118" s="179">
        <v>21</v>
      </c>
      <c r="X118" s="179">
        <v>22</v>
      </c>
      <c r="Y118" s="179">
        <v>23</v>
      </c>
      <c r="Z118" s="179">
        <v>24</v>
      </c>
      <c r="AA118" s="179">
        <v>25</v>
      </c>
      <c r="AB118" s="179">
        <v>26</v>
      </c>
      <c r="AC118" s="179">
        <v>27</v>
      </c>
      <c r="AD118" s="179">
        <v>28</v>
      </c>
      <c r="AE118" s="179">
        <v>29</v>
      </c>
      <c r="AF118" s="179">
        <v>30</v>
      </c>
      <c r="AG118" s="179">
        <v>31</v>
      </c>
      <c r="AH118" s="178" t="s">
        <v>74</v>
      </c>
    </row>
    <row r="119" spans="1:34" ht="12.75">
      <c r="A119" s="2000" t="s">
        <v>75</v>
      </c>
      <c r="B119" s="1325">
        <f t="shared" ref="B119:B129" si="21">+AH119</f>
        <v>1693.83</v>
      </c>
      <c r="C119" s="1964">
        <v>949.92899999999997</v>
      </c>
      <c r="D119" s="1964">
        <v>248.35</v>
      </c>
      <c r="E119" s="1964">
        <v>401.96</v>
      </c>
      <c r="F119" s="1964">
        <v>93.510999999999996</v>
      </c>
      <c r="G119" s="1964">
        <v>0.08</v>
      </c>
      <c r="H119" s="1409"/>
      <c r="I119" s="1409"/>
      <c r="J119" s="1409"/>
      <c r="K119" s="1409"/>
      <c r="L119" s="1409"/>
      <c r="M119" s="1409"/>
      <c r="N119" s="1409"/>
      <c r="O119" s="1409"/>
      <c r="P119" s="1409"/>
      <c r="Q119" s="1409"/>
      <c r="R119" s="1409"/>
      <c r="S119" s="1409"/>
      <c r="T119" s="1409"/>
      <c r="U119" s="159"/>
      <c r="V119" s="159"/>
      <c r="X119" s="159"/>
      <c r="Y119" s="159"/>
      <c r="Z119" s="159"/>
      <c r="AA119" s="159"/>
      <c r="AB119" s="159"/>
      <c r="AC119" s="159"/>
      <c r="AD119" s="159"/>
      <c r="AE119" s="159"/>
      <c r="AF119" s="159"/>
      <c r="AG119" s="159"/>
      <c r="AH119" s="183">
        <f>SUM(C119:AG119)</f>
        <v>1693.83</v>
      </c>
    </row>
    <row r="120" spans="1:34" ht="12.75">
      <c r="A120" s="2000" t="s">
        <v>76</v>
      </c>
      <c r="B120" s="1325">
        <f t="shared" si="21"/>
        <v>3084.6400000000003</v>
      </c>
      <c r="C120" s="1409"/>
      <c r="D120" s="1409"/>
      <c r="E120" s="1409"/>
      <c r="F120" s="1964">
        <v>86.18</v>
      </c>
      <c r="G120" s="1409"/>
      <c r="H120" s="1964">
        <v>10.27</v>
      </c>
      <c r="I120" s="1964">
        <v>16.16</v>
      </c>
      <c r="J120" s="1964">
        <v>525.97</v>
      </c>
      <c r="K120" s="1409"/>
      <c r="L120" s="1409"/>
      <c r="M120" s="1964">
        <v>934.36</v>
      </c>
      <c r="N120" s="1409"/>
      <c r="O120" s="1409"/>
      <c r="P120" s="1409"/>
      <c r="Q120" s="1409"/>
      <c r="R120" s="1409"/>
      <c r="S120" s="1409"/>
      <c r="T120" s="1409">
        <v>1432.07</v>
      </c>
      <c r="U120" s="159"/>
      <c r="V120" s="159"/>
      <c r="W120" s="159"/>
      <c r="X120" s="1409">
        <v>79.63</v>
      </c>
      <c r="Y120" s="159"/>
      <c r="Z120" s="159"/>
      <c r="AA120" s="159"/>
      <c r="AB120" s="159"/>
      <c r="AC120" s="159"/>
      <c r="AD120" s="159"/>
      <c r="AE120" s="159"/>
      <c r="AF120" s="159"/>
      <c r="AG120" s="159"/>
      <c r="AH120" s="183">
        <f>SUM(C120:AG120)</f>
        <v>3084.6400000000003</v>
      </c>
    </row>
    <row r="121" spans="1:34" ht="12.75">
      <c r="A121" s="2000" t="s">
        <v>77</v>
      </c>
      <c r="B121" s="1325">
        <f t="shared" si="21"/>
        <v>769.03</v>
      </c>
      <c r="C121" s="183"/>
      <c r="D121" s="159"/>
      <c r="E121" s="159"/>
      <c r="F121" s="159"/>
      <c r="G121" s="159"/>
      <c r="H121" s="159"/>
      <c r="I121" s="159"/>
      <c r="J121" s="159">
        <v>726.31</v>
      </c>
      <c r="K121" s="159"/>
      <c r="L121" s="159"/>
      <c r="M121" s="159"/>
      <c r="N121" s="159"/>
      <c r="O121" s="159"/>
      <c r="P121" s="159"/>
      <c r="Q121" s="159"/>
      <c r="R121" s="159"/>
      <c r="S121" s="159"/>
      <c r="T121" s="159"/>
      <c r="U121" s="159"/>
      <c r="V121" s="159"/>
      <c r="W121" s="159"/>
      <c r="X121" s="159"/>
      <c r="Y121" s="159"/>
      <c r="Z121" s="159"/>
      <c r="AA121" s="159">
        <v>27.73</v>
      </c>
      <c r="AB121" s="159"/>
      <c r="AC121" s="159"/>
      <c r="AD121" s="159">
        <v>14.99</v>
      </c>
      <c r="AE121" s="159"/>
      <c r="AF121" s="159"/>
      <c r="AG121" s="159"/>
      <c r="AH121" s="183">
        <f>SUM(C121:AG121)</f>
        <v>769.03</v>
      </c>
    </row>
    <row r="122" spans="1:34" ht="12.75">
      <c r="A122" s="2000" t="s">
        <v>78</v>
      </c>
      <c r="B122" s="1325">
        <f t="shared" si="21"/>
        <v>94.93</v>
      </c>
      <c r="C122" s="183">
        <v>74.05</v>
      </c>
      <c r="D122" s="159">
        <v>20.09</v>
      </c>
      <c r="E122" s="159">
        <v>0.79</v>
      </c>
      <c r="F122" s="159"/>
      <c r="G122" s="159"/>
      <c r="H122" s="159"/>
      <c r="I122" s="159"/>
      <c r="J122" s="159"/>
      <c r="K122" s="159"/>
      <c r="L122" s="159"/>
      <c r="M122" s="159"/>
      <c r="N122" s="159"/>
      <c r="O122" s="159"/>
      <c r="P122" s="159"/>
      <c r="Q122" s="159"/>
      <c r="R122" s="159"/>
      <c r="S122" s="159"/>
      <c r="T122" s="159"/>
      <c r="U122" s="159"/>
      <c r="V122" s="159"/>
      <c r="W122" s="159"/>
      <c r="X122" s="159"/>
      <c r="Y122" s="159"/>
      <c r="Z122" s="159"/>
      <c r="AA122" s="159"/>
      <c r="AB122" s="159"/>
      <c r="AC122" s="159"/>
      <c r="AD122" s="159"/>
      <c r="AE122" s="159"/>
      <c r="AF122" s="159"/>
      <c r="AG122" s="159"/>
      <c r="AH122" s="183">
        <f t="shared" ref="AH122:AH130" si="22">SUM(C122:AG122)</f>
        <v>94.93</v>
      </c>
    </row>
    <row r="123" spans="1:34" ht="12.75">
      <c r="A123" s="2000" t="s">
        <v>79</v>
      </c>
      <c r="B123" s="1325">
        <f t="shared" si="21"/>
        <v>0</v>
      </c>
      <c r="C123" s="183"/>
      <c r="D123" s="159"/>
      <c r="E123" s="159"/>
      <c r="F123" s="159"/>
      <c r="G123" s="159"/>
      <c r="H123" s="159"/>
      <c r="I123" s="159"/>
      <c r="J123" s="159"/>
      <c r="K123" s="159"/>
      <c r="L123" s="159"/>
      <c r="M123" s="159"/>
      <c r="N123" s="159"/>
      <c r="O123" s="159"/>
      <c r="P123" s="159"/>
      <c r="Q123" s="159"/>
      <c r="R123" s="159"/>
      <c r="S123" s="159"/>
      <c r="T123" s="159"/>
      <c r="U123" s="159"/>
      <c r="V123" s="159"/>
      <c r="W123" s="159"/>
      <c r="X123" s="159"/>
      <c r="Y123" s="159"/>
      <c r="Z123" s="159"/>
      <c r="AA123" s="159"/>
      <c r="AB123" s="159"/>
      <c r="AC123" s="159"/>
      <c r="AD123" s="159"/>
      <c r="AE123" s="159"/>
      <c r="AF123" s="159"/>
      <c r="AG123" s="159"/>
      <c r="AH123" s="183">
        <f t="shared" si="22"/>
        <v>0</v>
      </c>
    </row>
    <row r="124" spans="1:34" ht="12.75">
      <c r="A124" s="2000" t="s">
        <v>80</v>
      </c>
      <c r="B124" s="1325">
        <f t="shared" si="21"/>
        <v>0</v>
      </c>
      <c r="C124" s="183"/>
      <c r="D124" s="159"/>
      <c r="E124" s="159"/>
      <c r="F124" s="159"/>
      <c r="G124" s="159"/>
      <c r="H124" s="159"/>
      <c r="I124" s="159"/>
      <c r="J124" s="159"/>
      <c r="K124" s="159"/>
      <c r="L124" s="159"/>
      <c r="M124" s="159"/>
      <c r="N124" s="159"/>
      <c r="O124" s="159"/>
      <c r="P124" s="159"/>
      <c r="Q124" s="159"/>
      <c r="R124" s="159"/>
      <c r="S124" s="159"/>
      <c r="T124" s="159"/>
      <c r="U124" s="159"/>
      <c r="V124" s="159"/>
      <c r="W124" s="159"/>
      <c r="X124" s="159"/>
      <c r="Y124" s="159"/>
      <c r="Z124" s="159"/>
      <c r="AA124" s="159"/>
      <c r="AB124" s="159"/>
      <c r="AC124" s="159"/>
      <c r="AD124" s="159"/>
      <c r="AE124" s="159"/>
      <c r="AF124" s="159"/>
      <c r="AG124" s="159"/>
      <c r="AH124" s="183">
        <f t="shared" si="22"/>
        <v>0</v>
      </c>
    </row>
    <row r="125" spans="1:34" ht="12.75">
      <c r="A125" s="2000" t="s">
        <v>81</v>
      </c>
      <c r="B125" s="1325">
        <f t="shared" si="21"/>
        <v>0</v>
      </c>
      <c r="C125" s="183"/>
      <c r="D125" s="159"/>
      <c r="E125" s="159"/>
      <c r="F125" s="159"/>
      <c r="G125" s="159"/>
      <c r="H125" s="159"/>
      <c r="I125" s="159"/>
      <c r="J125" s="159"/>
      <c r="K125" s="159"/>
      <c r="L125" s="159"/>
      <c r="M125" s="159"/>
      <c r="N125" s="159"/>
      <c r="O125" s="159"/>
      <c r="P125" s="159"/>
      <c r="Q125" s="159"/>
      <c r="R125" s="159"/>
      <c r="S125" s="159"/>
      <c r="T125" s="159"/>
      <c r="U125" s="159"/>
      <c r="V125" s="159"/>
      <c r="W125" s="159"/>
      <c r="X125" s="159"/>
      <c r="Y125" s="159"/>
      <c r="Z125" s="159"/>
      <c r="AA125" s="159"/>
      <c r="AB125" s="159"/>
      <c r="AC125" s="159"/>
      <c r="AD125" s="159"/>
      <c r="AE125" s="159"/>
      <c r="AF125" s="159"/>
      <c r="AG125" s="159"/>
      <c r="AH125" s="183">
        <f>SUM(C125:AG125)</f>
        <v>0</v>
      </c>
    </row>
    <row r="126" spans="1:34" ht="12.75">
      <c r="A126" s="2000" t="s">
        <v>82</v>
      </c>
      <c r="B126" s="1325">
        <f t="shared" si="21"/>
        <v>0</v>
      </c>
      <c r="C126" s="183"/>
      <c r="D126" s="159"/>
      <c r="E126" s="159"/>
      <c r="F126" s="159"/>
      <c r="G126" s="159"/>
      <c r="H126" s="159"/>
      <c r="I126" s="159"/>
      <c r="J126" s="159"/>
      <c r="K126" s="159"/>
      <c r="L126" s="159"/>
      <c r="M126" s="159"/>
      <c r="N126" s="159"/>
      <c r="O126" s="159"/>
      <c r="P126" s="159"/>
      <c r="Q126" s="159"/>
      <c r="R126" s="159"/>
      <c r="S126" s="159"/>
      <c r="T126" s="159"/>
      <c r="U126" s="159"/>
      <c r="V126" s="159"/>
      <c r="W126" s="159"/>
      <c r="X126" s="159"/>
      <c r="Y126" s="159"/>
      <c r="Z126" s="159"/>
      <c r="AA126" s="159"/>
      <c r="AB126" s="159"/>
      <c r="AC126" s="159"/>
      <c r="AD126" s="159"/>
      <c r="AE126" s="159"/>
      <c r="AF126" s="159"/>
      <c r="AG126" s="159"/>
      <c r="AH126" s="183">
        <f t="shared" si="22"/>
        <v>0</v>
      </c>
    </row>
    <row r="127" spans="1:34" ht="12.75">
      <c r="A127" s="2000" t="s">
        <v>83</v>
      </c>
      <c r="B127" s="1325">
        <f t="shared" si="21"/>
        <v>0.46</v>
      </c>
      <c r="C127" s="3252">
        <v>0.46</v>
      </c>
      <c r="D127" s="159"/>
      <c r="E127" s="159"/>
      <c r="F127" s="159"/>
      <c r="G127" s="159"/>
      <c r="H127" s="159"/>
      <c r="I127" s="159"/>
      <c r="J127" s="159"/>
      <c r="K127" s="159"/>
      <c r="L127" s="159"/>
      <c r="M127" s="159"/>
      <c r="N127" s="159"/>
      <c r="O127" s="159"/>
      <c r="P127" s="159"/>
      <c r="Q127" s="159"/>
      <c r="R127" s="159"/>
      <c r="S127" s="159"/>
      <c r="T127" s="159"/>
      <c r="U127" s="159"/>
      <c r="V127" s="159"/>
      <c r="W127" s="159"/>
      <c r="X127" s="159"/>
      <c r="Y127" s="159"/>
      <c r="Z127" s="159"/>
      <c r="AA127" s="159"/>
      <c r="AB127" s="159"/>
      <c r="AC127" s="159"/>
      <c r="AD127" s="159"/>
      <c r="AE127" s="159"/>
      <c r="AF127" s="159"/>
      <c r="AG127" s="159"/>
      <c r="AH127" s="183">
        <f t="shared" si="22"/>
        <v>0.46</v>
      </c>
    </row>
    <row r="128" spans="1:34" ht="12.75">
      <c r="A128" s="1740" t="s">
        <v>84</v>
      </c>
      <c r="B128" s="1325">
        <f t="shared" si="21"/>
        <v>0</v>
      </c>
      <c r="C128" s="183"/>
      <c r="D128" s="159"/>
      <c r="E128" s="159"/>
      <c r="F128" s="159"/>
      <c r="G128" s="159"/>
      <c r="H128" s="159"/>
      <c r="I128" s="159"/>
      <c r="J128" s="159"/>
      <c r="K128" s="159"/>
      <c r="L128" s="159"/>
      <c r="M128" s="159"/>
      <c r="N128" s="159"/>
      <c r="O128" s="159"/>
      <c r="P128" s="159"/>
      <c r="Q128" s="159"/>
      <c r="R128" s="159"/>
      <c r="S128" s="159"/>
      <c r="T128" s="159"/>
      <c r="U128" s="159"/>
      <c r="V128" s="159"/>
      <c r="W128" s="159"/>
      <c r="X128" s="159"/>
      <c r="Y128" s="159"/>
      <c r="Z128" s="159"/>
      <c r="AA128" s="159"/>
      <c r="AB128" s="159"/>
      <c r="AC128" s="159"/>
      <c r="AD128" s="159"/>
      <c r="AE128" s="159"/>
      <c r="AF128" s="159"/>
      <c r="AG128" s="159"/>
      <c r="AH128" s="183">
        <f t="shared" si="22"/>
        <v>0</v>
      </c>
    </row>
    <row r="129" spans="1:34" ht="12.75">
      <c r="A129" s="1740" t="s">
        <v>85</v>
      </c>
      <c r="B129" s="1325">
        <f t="shared" si="21"/>
        <v>0</v>
      </c>
      <c r="C129" s="183"/>
      <c r="D129" s="159"/>
      <c r="E129" s="159"/>
      <c r="F129" s="159"/>
      <c r="G129" s="159"/>
      <c r="H129" s="159"/>
      <c r="I129" s="159"/>
      <c r="J129" s="159"/>
      <c r="K129" s="159"/>
      <c r="L129" s="159"/>
      <c r="M129" s="159"/>
      <c r="N129" s="159"/>
      <c r="O129" s="159"/>
      <c r="P129" s="159"/>
      <c r="Q129" s="159"/>
      <c r="R129" s="159"/>
      <c r="S129" s="159"/>
      <c r="T129" s="159"/>
      <c r="U129" s="159"/>
      <c r="V129" s="159"/>
      <c r="W129" s="159"/>
      <c r="X129" s="159"/>
      <c r="Y129" s="159"/>
      <c r="Z129" s="159"/>
      <c r="AA129" s="159"/>
      <c r="AB129" s="159"/>
      <c r="AC129" s="159"/>
      <c r="AD129" s="159"/>
      <c r="AE129" s="159"/>
      <c r="AF129" s="159"/>
      <c r="AG129" s="159"/>
      <c r="AH129" s="183">
        <f t="shared" si="22"/>
        <v>0</v>
      </c>
    </row>
    <row r="130" spans="1:34" ht="12.75">
      <c r="A130" s="1740" t="s">
        <v>86</v>
      </c>
      <c r="B130" s="1325">
        <f>+AH130</f>
        <v>0.69000000000000006</v>
      </c>
      <c r="C130" s="183"/>
      <c r="D130" s="159"/>
      <c r="E130" s="159"/>
      <c r="F130" s="159"/>
      <c r="G130" s="159"/>
      <c r="H130" s="159"/>
      <c r="I130" s="159"/>
      <c r="J130" s="159"/>
      <c r="K130" s="159">
        <v>0.46</v>
      </c>
      <c r="L130" s="159"/>
      <c r="M130" s="159"/>
      <c r="N130" s="159"/>
      <c r="O130" s="159"/>
      <c r="P130" s="159"/>
      <c r="Q130" s="159"/>
      <c r="R130" s="159">
        <v>0.23</v>
      </c>
      <c r="S130" s="159"/>
      <c r="T130" s="159"/>
      <c r="U130" s="159"/>
      <c r="V130" s="159"/>
      <c r="W130" s="159"/>
      <c r="X130" s="159"/>
      <c r="Y130" s="159"/>
      <c r="Z130" s="159"/>
      <c r="AA130" s="159"/>
      <c r="AB130" s="159"/>
      <c r="AC130" s="159"/>
      <c r="AD130" s="159"/>
      <c r="AE130" s="159"/>
      <c r="AF130" s="159"/>
      <c r="AG130" s="159"/>
      <c r="AH130" s="183">
        <f t="shared" si="22"/>
        <v>0.69000000000000006</v>
      </c>
    </row>
    <row r="131" spans="1:34" ht="12.75">
      <c r="A131" s="665" t="s">
        <v>74</v>
      </c>
      <c r="B131" s="1317">
        <f t="shared" ref="B131:AH131" si="23">SUM(B119:B130)</f>
        <v>5643.58</v>
      </c>
      <c r="C131" s="183">
        <f>SUM(C119:C130)</f>
        <v>1024.4389999999999</v>
      </c>
      <c r="D131" s="183">
        <f t="shared" si="23"/>
        <v>268.44</v>
      </c>
      <c r="E131" s="183">
        <f t="shared" si="23"/>
        <v>402.75</v>
      </c>
      <c r="F131" s="183">
        <f t="shared" si="23"/>
        <v>179.691</v>
      </c>
      <c r="G131" s="183">
        <f t="shared" si="23"/>
        <v>0.08</v>
      </c>
      <c r="H131" s="183">
        <f t="shared" si="23"/>
        <v>10.27</v>
      </c>
      <c r="I131" s="183">
        <f t="shared" si="23"/>
        <v>16.16</v>
      </c>
      <c r="J131" s="183">
        <f t="shared" si="23"/>
        <v>1252.28</v>
      </c>
      <c r="K131" s="183">
        <f t="shared" si="23"/>
        <v>0.46</v>
      </c>
      <c r="L131" s="183">
        <f t="shared" si="23"/>
        <v>0</v>
      </c>
      <c r="M131" s="183">
        <f t="shared" si="23"/>
        <v>934.36</v>
      </c>
      <c r="N131" s="183">
        <f t="shared" si="23"/>
        <v>0</v>
      </c>
      <c r="O131" s="183">
        <f t="shared" si="23"/>
        <v>0</v>
      </c>
      <c r="P131" s="183">
        <f t="shared" si="23"/>
        <v>0</v>
      </c>
      <c r="Q131" s="183">
        <f t="shared" si="23"/>
        <v>0</v>
      </c>
      <c r="R131" s="183">
        <f t="shared" si="23"/>
        <v>0.23</v>
      </c>
      <c r="S131" s="183">
        <f t="shared" si="23"/>
        <v>0</v>
      </c>
      <c r="T131" s="183">
        <f t="shared" si="23"/>
        <v>1432.07</v>
      </c>
      <c r="U131" s="183">
        <f t="shared" si="23"/>
        <v>0</v>
      </c>
      <c r="V131" s="183">
        <f t="shared" si="23"/>
        <v>0</v>
      </c>
      <c r="W131" s="183">
        <f t="shared" si="23"/>
        <v>0</v>
      </c>
      <c r="X131" s="183">
        <f t="shared" si="23"/>
        <v>79.63</v>
      </c>
      <c r="Y131" s="183">
        <f t="shared" si="23"/>
        <v>0</v>
      </c>
      <c r="Z131" s="183">
        <f t="shared" si="23"/>
        <v>0</v>
      </c>
      <c r="AA131" s="183">
        <f t="shared" si="23"/>
        <v>27.73</v>
      </c>
      <c r="AB131" s="183">
        <f t="shared" si="23"/>
        <v>0</v>
      </c>
      <c r="AC131" s="183">
        <f t="shared" si="23"/>
        <v>0</v>
      </c>
      <c r="AD131" s="183">
        <f t="shared" si="23"/>
        <v>14.99</v>
      </c>
      <c r="AE131" s="183">
        <f t="shared" si="23"/>
        <v>0</v>
      </c>
      <c r="AF131" s="183">
        <f t="shared" si="23"/>
        <v>0</v>
      </c>
      <c r="AG131" s="183">
        <f t="shared" si="23"/>
        <v>0</v>
      </c>
      <c r="AH131" s="183">
        <f t="shared" si="23"/>
        <v>5643.58</v>
      </c>
    </row>
    <row r="132" spans="1:34" ht="12.75">
      <c r="A132" s="656"/>
      <c r="B132" s="657"/>
      <c r="C132" s="1326"/>
      <c r="D132" s="1327"/>
      <c r="E132" s="1328"/>
      <c r="F132" s="1327"/>
      <c r="G132" s="1327"/>
      <c r="H132" s="1327"/>
      <c r="I132" s="1327"/>
      <c r="J132" s="1327"/>
      <c r="K132" s="1327"/>
      <c r="L132" s="1327"/>
      <c r="M132" s="1327"/>
      <c r="N132" s="1327"/>
      <c r="O132" s="1327"/>
      <c r="P132" s="1327"/>
      <c r="Q132" s="1327"/>
      <c r="R132" s="1327"/>
      <c r="S132" s="1327"/>
      <c r="T132" s="1327"/>
      <c r="U132" s="1327"/>
      <c r="V132" s="1327"/>
      <c r="W132" s="1327"/>
      <c r="X132" s="1327"/>
      <c r="Y132" s="1327"/>
      <c r="Z132" s="1327"/>
      <c r="AA132" s="1327"/>
      <c r="AB132" s="1327"/>
      <c r="AC132" s="1327"/>
      <c r="AD132" s="1327"/>
      <c r="AE132" s="1327"/>
      <c r="AF132" s="1327"/>
      <c r="AG132" s="1327"/>
      <c r="AH132" s="1327"/>
    </row>
    <row r="133" spans="1:34" ht="12.75">
      <c r="A133" s="3605" t="s">
        <v>89</v>
      </c>
      <c r="B133" s="3606"/>
      <c r="C133" s="3607"/>
      <c r="D133" s="64"/>
      <c r="E133" s="64"/>
      <c r="F133" s="64"/>
      <c r="G133" s="64"/>
      <c r="H133" s="64"/>
      <c r="I133" s="64"/>
      <c r="J133" s="64"/>
      <c r="K133" s="64"/>
      <c r="L133" s="64"/>
      <c r="M133" s="64"/>
      <c r="N133" s="64"/>
      <c r="O133" s="64"/>
      <c r="P133" s="64"/>
      <c r="Q133" s="64"/>
      <c r="R133" s="64"/>
      <c r="S133" s="64"/>
      <c r="T133" s="64"/>
      <c r="U133" s="64"/>
      <c r="V133" s="64"/>
      <c r="W133" s="64"/>
      <c r="X133" s="64"/>
      <c r="Y133" s="64"/>
      <c r="Z133" s="64"/>
      <c r="AA133" s="64"/>
      <c r="AB133" s="64"/>
      <c r="AC133" s="64"/>
      <c r="AD133" s="64"/>
      <c r="AE133" s="64"/>
      <c r="AF133" s="64"/>
      <c r="AG133" s="64"/>
      <c r="AH133" s="177"/>
    </row>
    <row r="134" spans="1:34" ht="12.75">
      <c r="A134" s="630" t="s">
        <v>72</v>
      </c>
      <c r="B134" s="295" t="s">
        <v>73</v>
      </c>
      <c r="C134" s="178">
        <v>1</v>
      </c>
      <c r="D134" s="179">
        <v>2</v>
      </c>
      <c r="E134" s="179">
        <v>3</v>
      </c>
      <c r="F134" s="179">
        <v>4</v>
      </c>
      <c r="G134" s="179">
        <v>5</v>
      </c>
      <c r="H134" s="179">
        <v>6</v>
      </c>
      <c r="I134" s="179">
        <v>7</v>
      </c>
      <c r="J134" s="179">
        <v>8</v>
      </c>
      <c r="K134" s="179">
        <v>9</v>
      </c>
      <c r="L134" s="179">
        <v>10</v>
      </c>
      <c r="M134" s="179">
        <v>11</v>
      </c>
      <c r="N134" s="179">
        <v>12</v>
      </c>
      <c r="O134" s="179">
        <v>13</v>
      </c>
      <c r="P134" s="179">
        <v>14</v>
      </c>
      <c r="Q134" s="179">
        <v>15</v>
      </c>
      <c r="R134" s="179">
        <v>16</v>
      </c>
      <c r="S134" s="179">
        <v>17</v>
      </c>
      <c r="T134" s="179">
        <v>18</v>
      </c>
      <c r="U134" s="179">
        <v>19</v>
      </c>
      <c r="V134" s="179">
        <v>20</v>
      </c>
      <c r="W134" s="179">
        <v>21</v>
      </c>
      <c r="X134" s="179">
        <v>22</v>
      </c>
      <c r="Y134" s="179">
        <v>23</v>
      </c>
      <c r="Z134" s="179">
        <v>24</v>
      </c>
      <c r="AA134" s="179">
        <v>25</v>
      </c>
      <c r="AB134" s="179">
        <v>26</v>
      </c>
      <c r="AC134" s="179">
        <v>27</v>
      </c>
      <c r="AD134" s="179">
        <v>28</v>
      </c>
      <c r="AE134" s="179">
        <v>29</v>
      </c>
      <c r="AF134" s="179">
        <v>30</v>
      </c>
      <c r="AG134" s="179">
        <v>31</v>
      </c>
      <c r="AH134" s="178" t="s">
        <v>74</v>
      </c>
    </row>
    <row r="135" spans="1:34" ht="12.75">
      <c r="A135" s="2000" t="s">
        <v>75</v>
      </c>
      <c r="B135" s="190">
        <f t="shared" ref="B135:B146" si="24">+AH135</f>
        <v>0</v>
      </c>
      <c r="C135" s="183"/>
      <c r="D135" s="159"/>
      <c r="E135" s="159"/>
      <c r="F135" s="159"/>
      <c r="G135" s="159"/>
      <c r="H135" s="159"/>
      <c r="I135" s="159"/>
      <c r="J135" s="159"/>
      <c r="K135" s="159"/>
      <c r="L135" s="159"/>
      <c r="M135" s="159"/>
      <c r="N135" s="159"/>
      <c r="O135" s="159"/>
      <c r="P135" s="159"/>
      <c r="Q135" s="159"/>
      <c r="R135" s="159"/>
      <c r="S135" s="159"/>
      <c r="T135" s="159"/>
      <c r="U135" s="159"/>
      <c r="V135" s="159"/>
      <c r="W135" s="159"/>
      <c r="X135" s="159"/>
      <c r="Y135" s="159"/>
      <c r="Z135" s="159"/>
      <c r="AA135" s="159"/>
      <c r="AB135" s="159"/>
      <c r="AC135" s="159"/>
      <c r="AD135" s="159"/>
      <c r="AE135" s="159"/>
      <c r="AF135" s="159"/>
      <c r="AG135" s="159"/>
      <c r="AH135" s="183">
        <f>SUM(C135:AG135)</f>
        <v>0</v>
      </c>
    </row>
    <row r="136" spans="1:34" ht="12.75">
      <c r="A136" s="2000" t="s">
        <v>76</v>
      </c>
      <c r="B136" s="190">
        <f t="shared" si="24"/>
        <v>0</v>
      </c>
      <c r="C136" s="183"/>
      <c r="D136" s="159"/>
      <c r="E136" s="159"/>
      <c r="F136" s="159"/>
      <c r="G136" s="159"/>
      <c r="H136" s="159"/>
      <c r="I136" s="159"/>
      <c r="J136" s="159"/>
      <c r="K136" s="159"/>
      <c r="L136" s="159"/>
      <c r="M136" s="159"/>
      <c r="N136" s="159"/>
      <c r="O136" s="159"/>
      <c r="P136" s="159"/>
      <c r="Q136" s="159"/>
      <c r="R136" s="159"/>
      <c r="S136" s="159"/>
      <c r="T136" s="159"/>
      <c r="U136" s="159"/>
      <c r="V136" s="159"/>
      <c r="W136" s="159"/>
      <c r="X136" s="159"/>
      <c r="Y136" s="159"/>
      <c r="Z136" s="159"/>
      <c r="AA136" s="159"/>
      <c r="AB136" s="159"/>
      <c r="AC136" s="159"/>
      <c r="AD136" s="159"/>
      <c r="AE136" s="159"/>
      <c r="AF136" s="159"/>
      <c r="AG136" s="159"/>
      <c r="AH136" s="183">
        <f t="shared" ref="AH136:AH146" si="25">SUM(C136:AG136)</f>
        <v>0</v>
      </c>
    </row>
    <row r="137" spans="1:34" ht="12.75">
      <c r="A137" s="2000" t="s">
        <v>77</v>
      </c>
      <c r="B137" s="190">
        <f t="shared" si="24"/>
        <v>0</v>
      </c>
      <c r="C137" s="183"/>
      <c r="D137" s="159"/>
      <c r="E137" s="159"/>
      <c r="F137" s="159"/>
      <c r="G137" s="159"/>
      <c r="H137" s="159"/>
      <c r="I137" s="159"/>
      <c r="J137" s="159"/>
      <c r="K137" s="159"/>
      <c r="L137" s="159"/>
      <c r="M137" s="159"/>
      <c r="N137" s="159"/>
      <c r="O137" s="159"/>
      <c r="P137" s="159"/>
      <c r="Q137" s="159"/>
      <c r="R137" s="159"/>
      <c r="S137" s="159"/>
      <c r="T137" s="159"/>
      <c r="U137" s="159"/>
      <c r="V137" s="159"/>
      <c r="W137" s="159"/>
      <c r="X137" s="159"/>
      <c r="Y137" s="159"/>
      <c r="Z137" s="159"/>
      <c r="AA137" s="159"/>
      <c r="AB137" s="159"/>
      <c r="AC137" s="159"/>
      <c r="AD137" s="159"/>
      <c r="AE137" s="159"/>
      <c r="AF137" s="159"/>
      <c r="AG137" s="159"/>
      <c r="AH137" s="183">
        <f t="shared" si="25"/>
        <v>0</v>
      </c>
    </row>
    <row r="138" spans="1:34" ht="12.75">
      <c r="A138" s="2000" t="s">
        <v>78</v>
      </c>
      <c r="B138" s="190">
        <f t="shared" si="24"/>
        <v>0</v>
      </c>
      <c r="C138" s="183"/>
      <c r="D138" s="159"/>
      <c r="E138" s="159"/>
      <c r="F138" s="159"/>
      <c r="G138" s="159"/>
      <c r="H138" s="159"/>
      <c r="I138" s="159"/>
      <c r="J138" s="159"/>
      <c r="K138" s="159"/>
      <c r="L138" s="159"/>
      <c r="M138" s="159"/>
      <c r="N138" s="159"/>
      <c r="O138" s="159"/>
      <c r="P138" s="159"/>
      <c r="Q138" s="159"/>
      <c r="R138" s="159"/>
      <c r="S138" s="159"/>
      <c r="T138" s="159"/>
      <c r="U138" s="159"/>
      <c r="V138" s="159"/>
      <c r="W138" s="159"/>
      <c r="X138" s="159"/>
      <c r="Y138" s="159"/>
      <c r="Z138" s="159"/>
      <c r="AA138" s="159"/>
      <c r="AB138" s="159"/>
      <c r="AC138" s="159"/>
      <c r="AD138" s="159"/>
      <c r="AE138" s="159"/>
      <c r="AF138" s="159"/>
      <c r="AG138" s="159"/>
      <c r="AH138" s="183">
        <f t="shared" si="25"/>
        <v>0</v>
      </c>
    </row>
    <row r="139" spans="1:34" ht="12.75">
      <c r="A139" s="2000" t="s">
        <v>79</v>
      </c>
      <c r="B139" s="190">
        <f t="shared" si="24"/>
        <v>0</v>
      </c>
      <c r="C139" s="183"/>
      <c r="D139" s="159"/>
      <c r="E139" s="159"/>
      <c r="F139" s="159"/>
      <c r="G139" s="159"/>
      <c r="H139" s="159"/>
      <c r="I139" s="159"/>
      <c r="J139" s="159"/>
      <c r="K139" s="159"/>
      <c r="L139" s="159"/>
      <c r="M139" s="159"/>
      <c r="N139" s="159"/>
      <c r="O139" s="159"/>
      <c r="P139" s="159"/>
      <c r="Q139" s="159"/>
      <c r="R139" s="159"/>
      <c r="S139" s="159"/>
      <c r="T139" s="159"/>
      <c r="U139" s="159"/>
      <c r="V139" s="159"/>
      <c r="W139" s="159"/>
      <c r="X139" s="159"/>
      <c r="Y139" s="159"/>
      <c r="Z139" s="159"/>
      <c r="AA139" s="159"/>
      <c r="AB139" s="159"/>
      <c r="AC139" s="159"/>
      <c r="AD139" s="159"/>
      <c r="AE139" s="159"/>
      <c r="AF139" s="159"/>
      <c r="AG139" s="159"/>
      <c r="AH139" s="183">
        <f t="shared" si="25"/>
        <v>0</v>
      </c>
    </row>
    <row r="140" spans="1:34" ht="12.75">
      <c r="A140" s="2000" t="s">
        <v>80</v>
      </c>
      <c r="B140" s="190">
        <f t="shared" si="24"/>
        <v>0</v>
      </c>
      <c r="C140" s="183"/>
      <c r="D140" s="159"/>
      <c r="E140" s="159"/>
      <c r="F140" s="159"/>
      <c r="G140" s="159"/>
      <c r="H140" s="159"/>
      <c r="I140" s="159"/>
      <c r="J140" s="159"/>
      <c r="K140" s="159"/>
      <c r="L140" s="159"/>
      <c r="M140" s="159"/>
      <c r="N140" s="159"/>
      <c r="O140" s="159"/>
      <c r="P140" s="159"/>
      <c r="Q140" s="159"/>
      <c r="R140" s="159"/>
      <c r="S140" s="159"/>
      <c r="T140" s="159"/>
      <c r="U140" s="159"/>
      <c r="V140" s="159"/>
      <c r="W140" s="159"/>
      <c r="X140" s="159"/>
      <c r="Y140" s="159"/>
      <c r="Z140" s="159"/>
      <c r="AA140" s="159"/>
      <c r="AB140" s="159"/>
      <c r="AC140" s="159"/>
      <c r="AD140" s="159"/>
      <c r="AE140" s="159"/>
      <c r="AF140" s="159"/>
      <c r="AG140" s="159"/>
      <c r="AH140" s="183">
        <f t="shared" si="25"/>
        <v>0</v>
      </c>
    </row>
    <row r="141" spans="1:34" ht="12.75">
      <c r="A141" s="2000" t="s">
        <v>81</v>
      </c>
      <c r="B141" s="190">
        <f t="shared" si="24"/>
        <v>0</v>
      </c>
      <c r="C141" s="183"/>
      <c r="D141" s="159"/>
      <c r="E141" s="159"/>
      <c r="F141" s="159"/>
      <c r="G141" s="159"/>
      <c r="H141" s="159"/>
      <c r="I141" s="159"/>
      <c r="J141" s="159"/>
      <c r="K141" s="159"/>
      <c r="L141" s="159"/>
      <c r="M141" s="159"/>
      <c r="N141" s="159"/>
      <c r="O141" s="159"/>
      <c r="P141" s="159"/>
      <c r="Q141" s="159"/>
      <c r="R141" s="159"/>
      <c r="S141" s="159"/>
      <c r="T141" s="159"/>
      <c r="U141" s="159"/>
      <c r="V141" s="159"/>
      <c r="W141" s="159"/>
      <c r="X141" s="159"/>
      <c r="Y141" s="159"/>
      <c r="Z141" s="159"/>
      <c r="AA141" s="159"/>
      <c r="AB141" s="159"/>
      <c r="AC141" s="159"/>
      <c r="AD141" s="159"/>
      <c r="AE141" s="159"/>
      <c r="AF141" s="159"/>
      <c r="AG141" s="159"/>
      <c r="AH141" s="183">
        <f t="shared" si="25"/>
        <v>0</v>
      </c>
    </row>
    <row r="142" spans="1:34" ht="12.75">
      <c r="A142" s="2000" t="s">
        <v>82</v>
      </c>
      <c r="B142" s="190">
        <f t="shared" si="24"/>
        <v>0</v>
      </c>
      <c r="C142" s="183"/>
      <c r="D142" s="159"/>
      <c r="E142" s="159"/>
      <c r="F142" s="159"/>
      <c r="G142" s="159"/>
      <c r="H142" s="159"/>
      <c r="I142" s="159"/>
      <c r="J142" s="159"/>
      <c r="K142" s="159"/>
      <c r="L142" s="159"/>
      <c r="M142" s="159"/>
      <c r="N142" s="159"/>
      <c r="O142" s="159"/>
      <c r="P142" s="159"/>
      <c r="Q142" s="159"/>
      <c r="R142" s="159"/>
      <c r="S142" s="159"/>
      <c r="T142" s="159"/>
      <c r="U142" s="159"/>
      <c r="V142" s="159"/>
      <c r="W142" s="159"/>
      <c r="X142" s="159"/>
      <c r="Y142" s="159"/>
      <c r="Z142" s="159"/>
      <c r="AA142" s="159"/>
      <c r="AB142" s="159"/>
      <c r="AC142" s="159"/>
      <c r="AD142" s="159"/>
      <c r="AE142" s="159"/>
      <c r="AF142" s="159"/>
      <c r="AG142" s="159"/>
      <c r="AH142" s="183">
        <f t="shared" si="25"/>
        <v>0</v>
      </c>
    </row>
    <row r="143" spans="1:34" ht="12.75">
      <c r="A143" s="2000" t="s">
        <v>83</v>
      </c>
      <c r="B143" s="190">
        <f t="shared" si="24"/>
        <v>0</v>
      </c>
      <c r="C143" s="183"/>
      <c r="D143" s="159"/>
      <c r="E143" s="159"/>
      <c r="F143" s="159"/>
      <c r="G143" s="159"/>
      <c r="H143" s="159"/>
      <c r="I143" s="159"/>
      <c r="J143" s="159"/>
      <c r="K143" s="159"/>
      <c r="L143" s="159"/>
      <c r="M143" s="159"/>
      <c r="N143" s="159"/>
      <c r="O143" s="159"/>
      <c r="P143" s="159"/>
      <c r="Q143" s="159"/>
      <c r="R143" s="159"/>
      <c r="S143" s="159"/>
      <c r="T143" s="159"/>
      <c r="U143" s="159"/>
      <c r="V143" s="159"/>
      <c r="W143" s="159"/>
      <c r="X143" s="159"/>
      <c r="Y143" s="159"/>
      <c r="Z143" s="159"/>
      <c r="AA143" s="159"/>
      <c r="AB143" s="159"/>
      <c r="AC143" s="159"/>
      <c r="AD143" s="159"/>
      <c r="AE143" s="159"/>
      <c r="AF143" s="159"/>
      <c r="AG143" s="159"/>
      <c r="AH143" s="183">
        <f t="shared" si="25"/>
        <v>0</v>
      </c>
    </row>
    <row r="144" spans="1:34" ht="12.75">
      <c r="A144" s="1740" t="s">
        <v>84</v>
      </c>
      <c r="B144" s="190">
        <f t="shared" si="24"/>
        <v>0</v>
      </c>
      <c r="C144" s="183"/>
      <c r="D144" s="159"/>
      <c r="E144" s="159"/>
      <c r="F144" s="159"/>
      <c r="G144" s="159"/>
      <c r="H144" s="159"/>
      <c r="I144" s="159"/>
      <c r="J144" s="159"/>
      <c r="K144" s="159"/>
      <c r="L144" s="159"/>
      <c r="M144" s="159"/>
      <c r="N144" s="159"/>
      <c r="O144" s="159"/>
      <c r="P144" s="159"/>
      <c r="Q144" s="159"/>
      <c r="R144" s="159"/>
      <c r="S144" s="159"/>
      <c r="T144" s="159"/>
      <c r="U144" s="159"/>
      <c r="V144" s="159"/>
      <c r="W144" s="159"/>
      <c r="X144" s="159"/>
      <c r="Y144" s="159"/>
      <c r="Z144" s="159"/>
      <c r="AA144" s="159"/>
      <c r="AB144" s="159"/>
      <c r="AC144" s="159"/>
      <c r="AD144" s="159"/>
      <c r="AE144" s="159"/>
      <c r="AF144" s="159"/>
      <c r="AG144" s="159"/>
      <c r="AH144" s="183">
        <f t="shared" si="25"/>
        <v>0</v>
      </c>
    </row>
    <row r="145" spans="1:34" ht="12.75">
      <c r="A145" s="1740" t="s">
        <v>85</v>
      </c>
      <c r="B145" s="190">
        <f t="shared" si="24"/>
        <v>0</v>
      </c>
      <c r="C145" s="183"/>
      <c r="D145" s="159"/>
      <c r="E145" s="159"/>
      <c r="F145" s="159"/>
      <c r="G145" s="159"/>
      <c r="H145" s="159"/>
      <c r="I145" s="159"/>
      <c r="J145" s="159"/>
      <c r="K145" s="159"/>
      <c r="L145" s="159"/>
      <c r="M145" s="159"/>
      <c r="N145" s="159"/>
      <c r="O145" s="159"/>
      <c r="P145" s="159"/>
      <c r="Q145" s="159"/>
      <c r="R145" s="159"/>
      <c r="S145" s="159"/>
      <c r="T145" s="159"/>
      <c r="U145" s="159"/>
      <c r="V145" s="159"/>
      <c r="W145" s="159"/>
      <c r="X145" s="159"/>
      <c r="Y145" s="159"/>
      <c r="Z145" s="159"/>
      <c r="AA145" s="159"/>
      <c r="AB145" s="159"/>
      <c r="AC145" s="159"/>
      <c r="AD145" s="159"/>
      <c r="AE145" s="159"/>
      <c r="AF145" s="159"/>
      <c r="AG145" s="159"/>
      <c r="AH145" s="183">
        <f t="shared" si="25"/>
        <v>0</v>
      </c>
    </row>
    <row r="146" spans="1:34" ht="12.75">
      <c r="A146" s="1740" t="s">
        <v>86</v>
      </c>
      <c r="B146" s="190">
        <f t="shared" si="24"/>
        <v>0</v>
      </c>
      <c r="C146" s="183"/>
      <c r="D146" s="159"/>
      <c r="E146" s="159"/>
      <c r="F146" s="159"/>
      <c r="G146" s="159"/>
      <c r="H146" s="159"/>
      <c r="I146" s="159"/>
      <c r="J146" s="159"/>
      <c r="K146" s="159"/>
      <c r="L146" s="159"/>
      <c r="M146" s="159"/>
      <c r="N146" s="159"/>
      <c r="O146" s="159"/>
      <c r="P146" s="159"/>
      <c r="Q146" s="159"/>
      <c r="R146" s="159"/>
      <c r="S146" s="159"/>
      <c r="T146" s="159"/>
      <c r="U146" s="159"/>
      <c r="V146" s="159"/>
      <c r="W146" s="159"/>
      <c r="X146" s="159"/>
      <c r="Y146" s="159"/>
      <c r="Z146" s="159"/>
      <c r="AA146" s="159"/>
      <c r="AB146" s="159"/>
      <c r="AC146" s="159"/>
      <c r="AD146" s="159"/>
      <c r="AE146" s="159"/>
      <c r="AF146" s="159"/>
      <c r="AG146" s="159"/>
      <c r="AH146" s="183">
        <f t="shared" si="25"/>
        <v>0</v>
      </c>
    </row>
    <row r="147" spans="1:34" ht="12.75">
      <c r="A147" s="665" t="s">
        <v>74</v>
      </c>
      <c r="B147" s="666">
        <f t="shared" ref="B147:AH147" si="26">SUM(B135:B146)</f>
        <v>0</v>
      </c>
      <c r="C147" s="183">
        <f t="shared" si="26"/>
        <v>0</v>
      </c>
      <c r="D147" s="183">
        <f t="shared" si="26"/>
        <v>0</v>
      </c>
      <c r="E147" s="183">
        <f t="shared" si="26"/>
        <v>0</v>
      </c>
      <c r="F147" s="183">
        <f t="shared" si="26"/>
        <v>0</v>
      </c>
      <c r="G147" s="183">
        <f t="shared" si="26"/>
        <v>0</v>
      </c>
      <c r="H147" s="183">
        <f t="shared" si="26"/>
        <v>0</v>
      </c>
      <c r="I147" s="183">
        <f t="shared" si="26"/>
        <v>0</v>
      </c>
      <c r="J147" s="183">
        <f t="shared" si="26"/>
        <v>0</v>
      </c>
      <c r="K147" s="183">
        <f t="shared" si="26"/>
        <v>0</v>
      </c>
      <c r="L147" s="183">
        <f t="shared" si="26"/>
        <v>0</v>
      </c>
      <c r="M147" s="183">
        <f t="shared" si="26"/>
        <v>0</v>
      </c>
      <c r="N147" s="183">
        <f t="shared" si="26"/>
        <v>0</v>
      </c>
      <c r="O147" s="183">
        <f t="shared" si="26"/>
        <v>0</v>
      </c>
      <c r="P147" s="183">
        <f t="shared" si="26"/>
        <v>0</v>
      </c>
      <c r="Q147" s="183">
        <f t="shared" si="26"/>
        <v>0</v>
      </c>
      <c r="R147" s="183">
        <f t="shared" si="26"/>
        <v>0</v>
      </c>
      <c r="S147" s="183">
        <f t="shared" si="26"/>
        <v>0</v>
      </c>
      <c r="T147" s="183">
        <f t="shared" si="26"/>
        <v>0</v>
      </c>
      <c r="U147" s="183">
        <f t="shared" si="26"/>
        <v>0</v>
      </c>
      <c r="V147" s="183">
        <f t="shared" si="26"/>
        <v>0</v>
      </c>
      <c r="W147" s="183">
        <f t="shared" si="26"/>
        <v>0</v>
      </c>
      <c r="X147" s="183">
        <f t="shared" si="26"/>
        <v>0</v>
      </c>
      <c r="Y147" s="183">
        <f t="shared" si="26"/>
        <v>0</v>
      </c>
      <c r="Z147" s="183">
        <f t="shared" si="26"/>
        <v>0</v>
      </c>
      <c r="AA147" s="183">
        <f t="shared" si="26"/>
        <v>0</v>
      </c>
      <c r="AB147" s="183">
        <f t="shared" si="26"/>
        <v>0</v>
      </c>
      <c r="AC147" s="183">
        <f t="shared" si="26"/>
        <v>0</v>
      </c>
      <c r="AD147" s="183">
        <f t="shared" si="26"/>
        <v>0</v>
      </c>
      <c r="AE147" s="183">
        <f t="shared" si="26"/>
        <v>0</v>
      </c>
      <c r="AF147" s="183">
        <f t="shared" si="26"/>
        <v>0</v>
      </c>
      <c r="AG147" s="183">
        <f t="shared" si="26"/>
        <v>0</v>
      </c>
      <c r="AH147" s="183">
        <f t="shared" si="26"/>
        <v>0</v>
      </c>
    </row>
    <row r="148" spans="1:34" ht="13.5" customHeight="1"/>
    <row r="149" spans="1:34" ht="12.75" hidden="1">
      <c r="A149" s="3605" t="s">
        <v>549</v>
      </c>
      <c r="B149" s="3606"/>
      <c r="C149" s="3607"/>
      <c r="D149" s="64"/>
      <c r="E149" s="64"/>
      <c r="F149" s="64"/>
      <c r="G149" s="64"/>
      <c r="H149" s="64"/>
      <c r="I149" s="64"/>
      <c r="J149" s="64"/>
      <c r="K149" s="64"/>
      <c r="L149" s="64"/>
      <c r="M149" s="64"/>
      <c r="N149" s="64"/>
      <c r="O149" s="64"/>
      <c r="P149" s="64"/>
      <c r="Q149" s="64"/>
      <c r="R149" s="64"/>
      <c r="S149" s="64"/>
      <c r="T149" s="64"/>
      <c r="U149" s="64"/>
      <c r="V149" s="64"/>
      <c r="W149" s="64"/>
      <c r="X149" s="64"/>
      <c r="Y149" s="64"/>
      <c r="Z149" s="64"/>
      <c r="AA149" s="64"/>
      <c r="AB149" s="64"/>
      <c r="AC149" s="64"/>
      <c r="AD149" s="64"/>
      <c r="AE149" s="64"/>
      <c r="AF149" s="64"/>
      <c r="AG149" s="64"/>
      <c r="AH149" s="177"/>
    </row>
    <row r="150" spans="1:34" ht="12.75" hidden="1">
      <c r="A150" s="630" t="s">
        <v>72</v>
      </c>
      <c r="B150" s="295" t="s">
        <v>73</v>
      </c>
      <c r="C150" s="178">
        <v>1</v>
      </c>
      <c r="D150" s="179">
        <v>2</v>
      </c>
      <c r="E150" s="179">
        <v>3</v>
      </c>
      <c r="F150" s="179">
        <v>4</v>
      </c>
      <c r="G150" s="179">
        <v>5</v>
      </c>
      <c r="H150" s="179">
        <v>6</v>
      </c>
      <c r="I150" s="179">
        <v>7</v>
      </c>
      <c r="J150" s="179">
        <v>8</v>
      </c>
      <c r="K150" s="179">
        <v>9</v>
      </c>
      <c r="L150" s="179">
        <v>10</v>
      </c>
      <c r="M150" s="179">
        <v>11</v>
      </c>
      <c r="N150" s="179">
        <v>12</v>
      </c>
      <c r="O150" s="179">
        <v>13</v>
      </c>
      <c r="P150" s="179">
        <v>14</v>
      </c>
      <c r="Q150" s="179">
        <v>15</v>
      </c>
      <c r="R150" s="179">
        <v>16</v>
      </c>
      <c r="S150" s="179">
        <v>17</v>
      </c>
      <c r="T150" s="179">
        <v>18</v>
      </c>
      <c r="U150" s="179">
        <v>19</v>
      </c>
      <c r="V150" s="179">
        <v>20</v>
      </c>
      <c r="W150" s="179">
        <v>21</v>
      </c>
      <c r="X150" s="179">
        <v>22</v>
      </c>
      <c r="Y150" s="179">
        <v>23</v>
      </c>
      <c r="Z150" s="179">
        <v>24</v>
      </c>
      <c r="AA150" s="179">
        <v>25</v>
      </c>
      <c r="AB150" s="179">
        <v>26</v>
      </c>
      <c r="AC150" s="179">
        <v>27</v>
      </c>
      <c r="AD150" s="179">
        <v>28</v>
      </c>
      <c r="AE150" s="179">
        <v>29</v>
      </c>
      <c r="AF150" s="179">
        <v>30</v>
      </c>
      <c r="AG150" s="179">
        <v>31</v>
      </c>
      <c r="AH150" s="178" t="s">
        <v>74</v>
      </c>
    </row>
    <row r="151" spans="1:34" ht="12.75" hidden="1">
      <c r="A151" s="1268" t="s">
        <v>75</v>
      </c>
      <c r="B151" s="190">
        <f t="shared" ref="B151:B162" si="27">+AH151</f>
        <v>0</v>
      </c>
      <c r="C151" s="183"/>
      <c r="D151" s="159"/>
      <c r="E151" s="159"/>
      <c r="F151" s="159"/>
      <c r="G151" s="159"/>
      <c r="H151" s="159"/>
      <c r="I151" s="159"/>
      <c r="J151" s="159"/>
      <c r="K151" s="159"/>
      <c r="L151" s="159"/>
      <c r="M151" s="159"/>
      <c r="N151" s="159"/>
      <c r="O151" s="159"/>
      <c r="P151" s="159"/>
      <c r="Q151" s="159"/>
      <c r="R151" s="159"/>
      <c r="S151" s="159"/>
      <c r="T151" s="159"/>
      <c r="U151" s="159"/>
      <c r="V151" s="159"/>
      <c r="W151" s="159"/>
      <c r="X151" s="159"/>
      <c r="Y151" s="159"/>
      <c r="Z151" s="159"/>
      <c r="AA151" s="159"/>
      <c r="AB151" s="159"/>
      <c r="AC151" s="159"/>
      <c r="AD151" s="159"/>
      <c r="AE151" s="159"/>
      <c r="AF151" s="159"/>
      <c r="AG151" s="159"/>
      <c r="AH151" s="183">
        <f>SUM(C151:AG151)</f>
        <v>0</v>
      </c>
    </row>
    <row r="152" spans="1:34" ht="12.75" hidden="1">
      <c r="A152" s="1268" t="s">
        <v>76</v>
      </c>
      <c r="B152" s="190">
        <f t="shared" si="27"/>
        <v>0</v>
      </c>
      <c r="C152" s="183"/>
      <c r="D152" s="159"/>
      <c r="E152" s="159"/>
      <c r="F152" s="159"/>
      <c r="G152" s="159"/>
      <c r="H152" s="159"/>
      <c r="I152" s="159"/>
      <c r="J152" s="159"/>
      <c r="K152" s="159"/>
      <c r="L152" s="159"/>
      <c r="M152" s="159"/>
      <c r="N152" s="159"/>
      <c r="O152" s="159"/>
      <c r="P152" s="159"/>
      <c r="Q152" s="159"/>
      <c r="R152" s="159"/>
      <c r="S152" s="159"/>
      <c r="T152" s="159"/>
      <c r="U152" s="159"/>
      <c r="V152" s="159"/>
      <c r="W152" s="159"/>
      <c r="X152" s="159"/>
      <c r="Y152" s="159"/>
      <c r="Z152" s="159"/>
      <c r="AA152" s="159"/>
      <c r="AB152" s="159"/>
      <c r="AC152" s="159"/>
      <c r="AD152" s="159"/>
      <c r="AE152" s="159"/>
      <c r="AF152" s="159"/>
      <c r="AG152" s="159"/>
      <c r="AH152" s="183">
        <f t="shared" ref="AH152:AH162" si="28">SUM(C152:AG152)</f>
        <v>0</v>
      </c>
    </row>
    <row r="153" spans="1:34" ht="12.75" hidden="1">
      <c r="A153" s="1268" t="s">
        <v>77</v>
      </c>
      <c r="B153" s="190">
        <f t="shared" si="27"/>
        <v>0</v>
      </c>
      <c r="C153" s="183"/>
      <c r="D153" s="159"/>
      <c r="E153" s="159"/>
      <c r="F153" s="159"/>
      <c r="G153" s="159"/>
      <c r="H153" s="159"/>
      <c r="I153" s="159"/>
      <c r="J153" s="159"/>
      <c r="K153" s="159"/>
      <c r="L153" s="159"/>
      <c r="M153" s="159"/>
      <c r="N153" s="159"/>
      <c r="O153" s="159"/>
      <c r="P153" s="159"/>
      <c r="Q153" s="159"/>
      <c r="R153" s="159"/>
      <c r="S153" s="159"/>
      <c r="T153" s="159"/>
      <c r="U153" s="159"/>
      <c r="V153" s="159"/>
      <c r="W153" s="159"/>
      <c r="X153" s="159"/>
      <c r="Y153" s="159"/>
      <c r="Z153" s="159"/>
      <c r="AA153" s="159"/>
      <c r="AB153" s="159"/>
      <c r="AC153" s="159"/>
      <c r="AD153" s="159"/>
      <c r="AE153" s="159"/>
      <c r="AF153" s="159"/>
      <c r="AG153" s="159"/>
      <c r="AH153" s="183">
        <f t="shared" si="28"/>
        <v>0</v>
      </c>
    </row>
    <row r="154" spans="1:34" ht="12.75" hidden="1">
      <c r="A154" s="1739" t="s">
        <v>78</v>
      </c>
      <c r="B154" s="190">
        <f t="shared" si="27"/>
        <v>0</v>
      </c>
      <c r="C154" s="183"/>
      <c r="D154" s="159"/>
      <c r="E154" s="159"/>
      <c r="F154" s="159"/>
      <c r="G154" s="159"/>
      <c r="H154" s="159"/>
      <c r="I154" s="159"/>
      <c r="J154" s="159"/>
      <c r="K154" s="159"/>
      <c r="L154" s="159"/>
      <c r="M154" s="159"/>
      <c r="N154" s="159"/>
      <c r="O154" s="159"/>
      <c r="P154" s="159"/>
      <c r="Q154" s="159"/>
      <c r="R154" s="159"/>
      <c r="S154" s="159"/>
      <c r="T154" s="159"/>
      <c r="U154" s="159"/>
      <c r="V154" s="159"/>
      <c r="W154" s="159"/>
      <c r="X154" s="159"/>
      <c r="Y154" s="159"/>
      <c r="Z154" s="159"/>
      <c r="AA154" s="159"/>
      <c r="AB154" s="159"/>
      <c r="AC154" s="159"/>
      <c r="AD154" s="159"/>
      <c r="AE154" s="159"/>
      <c r="AF154" s="159"/>
      <c r="AG154" s="159"/>
      <c r="AH154" s="183">
        <f t="shared" si="28"/>
        <v>0</v>
      </c>
    </row>
    <row r="155" spans="1:34" ht="12.75" hidden="1">
      <c r="A155" s="1739" t="s">
        <v>79</v>
      </c>
      <c r="B155" s="190">
        <f t="shared" si="27"/>
        <v>0</v>
      </c>
      <c r="C155" s="183"/>
      <c r="D155" s="159"/>
      <c r="E155" s="159"/>
      <c r="F155" s="159"/>
      <c r="G155" s="159"/>
      <c r="H155" s="159"/>
      <c r="I155" s="159"/>
      <c r="J155" s="159"/>
      <c r="K155" s="159"/>
      <c r="L155" s="159"/>
      <c r="M155" s="159"/>
      <c r="N155" s="159"/>
      <c r="O155" s="159"/>
      <c r="P155" s="159"/>
      <c r="Q155" s="159"/>
      <c r="R155" s="159"/>
      <c r="S155" s="159"/>
      <c r="T155" s="159"/>
      <c r="U155" s="159"/>
      <c r="V155" s="159"/>
      <c r="W155" s="159"/>
      <c r="X155" s="159"/>
      <c r="Y155" s="159"/>
      <c r="Z155" s="159"/>
      <c r="AA155" s="159"/>
      <c r="AB155" s="159"/>
      <c r="AC155" s="159"/>
      <c r="AD155" s="159"/>
      <c r="AE155" s="159"/>
      <c r="AF155" s="159"/>
      <c r="AG155" s="159"/>
      <c r="AH155" s="183">
        <f t="shared" si="28"/>
        <v>0</v>
      </c>
    </row>
    <row r="156" spans="1:34" ht="12.75" hidden="1">
      <c r="A156" s="1739" t="s">
        <v>80</v>
      </c>
      <c r="B156" s="190">
        <f t="shared" si="27"/>
        <v>0</v>
      </c>
      <c r="C156" s="183"/>
      <c r="D156" s="159"/>
      <c r="E156" s="159"/>
      <c r="F156" s="159"/>
      <c r="G156" s="159"/>
      <c r="H156" s="159"/>
      <c r="I156" s="159"/>
      <c r="J156" s="159"/>
      <c r="K156" s="159"/>
      <c r="L156" s="159"/>
      <c r="M156" s="159"/>
      <c r="N156" s="159"/>
      <c r="O156" s="159"/>
      <c r="P156" s="159"/>
      <c r="Q156" s="159"/>
      <c r="R156" s="159"/>
      <c r="S156" s="159"/>
      <c r="T156" s="159"/>
      <c r="U156" s="159"/>
      <c r="V156" s="159"/>
      <c r="W156" s="159"/>
      <c r="X156" s="159"/>
      <c r="Y156" s="159"/>
      <c r="Z156" s="159"/>
      <c r="AA156" s="159"/>
      <c r="AB156" s="159"/>
      <c r="AC156" s="159"/>
      <c r="AD156" s="159"/>
      <c r="AE156" s="159"/>
      <c r="AF156" s="159"/>
      <c r="AG156" s="159"/>
      <c r="AH156" s="183">
        <f t="shared" si="28"/>
        <v>0</v>
      </c>
    </row>
    <row r="157" spans="1:34" ht="12.75" hidden="1">
      <c r="A157" s="1739" t="s">
        <v>81</v>
      </c>
      <c r="B157" s="190">
        <f t="shared" si="27"/>
        <v>0</v>
      </c>
      <c r="C157" s="183"/>
      <c r="D157" s="159"/>
      <c r="E157" s="159"/>
      <c r="F157" s="159"/>
      <c r="G157" s="159"/>
      <c r="H157" s="159"/>
      <c r="I157" s="159"/>
      <c r="J157" s="159"/>
      <c r="K157" s="159"/>
      <c r="L157" s="159"/>
      <c r="M157" s="159"/>
      <c r="N157" s="159"/>
      <c r="O157" s="159"/>
      <c r="P157" s="159"/>
      <c r="Q157" s="159"/>
      <c r="R157" s="159"/>
      <c r="S157" s="159"/>
      <c r="T157" s="159"/>
      <c r="U157" s="159"/>
      <c r="V157" s="159"/>
      <c r="W157" s="159"/>
      <c r="X157" s="159"/>
      <c r="Y157" s="159"/>
      <c r="Z157" s="159"/>
      <c r="AA157" s="159"/>
      <c r="AB157" s="159"/>
      <c r="AC157" s="159"/>
      <c r="AD157" s="159"/>
      <c r="AE157" s="159"/>
      <c r="AF157" s="159"/>
      <c r="AG157" s="159"/>
      <c r="AH157" s="183">
        <f t="shared" si="28"/>
        <v>0</v>
      </c>
    </row>
    <row r="158" spans="1:34" ht="12.75" hidden="1">
      <c r="A158" s="1739" t="s">
        <v>82</v>
      </c>
      <c r="B158" s="190">
        <f t="shared" si="27"/>
        <v>0</v>
      </c>
      <c r="C158" s="183"/>
      <c r="D158" s="159"/>
      <c r="E158" s="159"/>
      <c r="F158" s="159"/>
      <c r="G158" s="159"/>
      <c r="H158" s="159"/>
      <c r="I158" s="159"/>
      <c r="J158" s="159"/>
      <c r="K158" s="159"/>
      <c r="L158" s="159"/>
      <c r="M158" s="159"/>
      <c r="N158" s="159"/>
      <c r="O158" s="159"/>
      <c r="P158" s="159"/>
      <c r="Q158" s="159"/>
      <c r="R158" s="159"/>
      <c r="S158" s="159"/>
      <c r="T158" s="159"/>
      <c r="U158" s="159"/>
      <c r="V158" s="159"/>
      <c r="W158" s="159"/>
      <c r="X158" s="159"/>
      <c r="Y158" s="159"/>
      <c r="Z158" s="159"/>
      <c r="AA158" s="159"/>
      <c r="AB158" s="159"/>
      <c r="AC158" s="159"/>
      <c r="AD158" s="159"/>
      <c r="AE158" s="159"/>
      <c r="AF158" s="159"/>
      <c r="AG158" s="159"/>
      <c r="AH158" s="183">
        <f t="shared" si="28"/>
        <v>0</v>
      </c>
    </row>
    <row r="159" spans="1:34" ht="12.75" hidden="1">
      <c r="A159" s="1739" t="s">
        <v>83</v>
      </c>
      <c r="B159" s="190">
        <f t="shared" si="27"/>
        <v>0</v>
      </c>
      <c r="C159" s="183"/>
      <c r="D159" s="159"/>
      <c r="E159" s="159"/>
      <c r="F159" s="159"/>
      <c r="G159" s="159"/>
      <c r="H159" s="159"/>
      <c r="I159" s="159"/>
      <c r="J159" s="159"/>
      <c r="K159" s="159"/>
      <c r="L159" s="159"/>
      <c r="M159" s="159"/>
      <c r="N159" s="159"/>
      <c r="O159" s="159"/>
      <c r="P159" s="159"/>
      <c r="Q159" s="159"/>
      <c r="R159" s="159"/>
      <c r="S159" s="159"/>
      <c r="T159" s="159"/>
      <c r="U159" s="159"/>
      <c r="V159" s="159"/>
      <c r="W159" s="159"/>
      <c r="X159" s="159"/>
      <c r="Y159" s="159"/>
      <c r="Z159" s="159"/>
      <c r="AA159" s="159"/>
      <c r="AB159" s="159"/>
      <c r="AC159" s="159"/>
      <c r="AD159" s="159"/>
      <c r="AE159" s="159"/>
      <c r="AF159" s="159"/>
      <c r="AG159" s="159"/>
      <c r="AH159" s="183">
        <f t="shared" si="28"/>
        <v>0</v>
      </c>
    </row>
    <row r="160" spans="1:34" ht="12.75" hidden="1">
      <c r="A160" s="1740" t="s">
        <v>84</v>
      </c>
      <c r="B160" s="190">
        <f t="shared" si="27"/>
        <v>0</v>
      </c>
      <c r="C160" s="183"/>
      <c r="D160" s="159"/>
      <c r="E160" s="159"/>
      <c r="F160" s="159"/>
      <c r="G160" s="159"/>
      <c r="H160" s="159"/>
      <c r="I160" s="159"/>
      <c r="J160" s="159"/>
      <c r="K160" s="159"/>
      <c r="L160" s="159"/>
      <c r="M160" s="159"/>
      <c r="N160" s="159"/>
      <c r="O160" s="159"/>
      <c r="P160" s="159"/>
      <c r="Q160" s="159"/>
      <c r="R160" s="159"/>
      <c r="S160" s="159"/>
      <c r="T160" s="159"/>
      <c r="U160" s="159"/>
      <c r="V160" s="159"/>
      <c r="W160" s="159"/>
      <c r="X160" s="159"/>
      <c r="Y160" s="159"/>
      <c r="Z160" s="159"/>
      <c r="AA160" s="159"/>
      <c r="AB160" s="159"/>
      <c r="AC160" s="159"/>
      <c r="AD160" s="159"/>
      <c r="AE160" s="159"/>
      <c r="AF160" s="159"/>
      <c r="AG160" s="159"/>
      <c r="AH160" s="183">
        <f t="shared" si="28"/>
        <v>0</v>
      </c>
    </row>
    <row r="161" spans="1:34" ht="12.75" hidden="1">
      <c r="A161" s="1740" t="s">
        <v>85</v>
      </c>
      <c r="B161" s="190">
        <f t="shared" si="27"/>
        <v>0</v>
      </c>
      <c r="C161" s="183"/>
      <c r="D161" s="159"/>
      <c r="E161" s="159"/>
      <c r="F161" s="159"/>
      <c r="G161" s="159"/>
      <c r="H161" s="159"/>
      <c r="I161" s="159"/>
      <c r="J161" s="159"/>
      <c r="K161" s="159"/>
      <c r="L161" s="159"/>
      <c r="M161" s="159"/>
      <c r="N161" s="159"/>
      <c r="O161" s="159"/>
      <c r="P161" s="159"/>
      <c r="Q161" s="159"/>
      <c r="R161" s="159"/>
      <c r="S161" s="159"/>
      <c r="T161" s="159"/>
      <c r="U161" s="159"/>
      <c r="V161" s="159"/>
      <c r="W161" s="159"/>
      <c r="X161" s="159"/>
      <c r="Y161" s="159"/>
      <c r="Z161" s="159"/>
      <c r="AA161" s="159"/>
      <c r="AB161" s="159"/>
      <c r="AC161" s="159"/>
      <c r="AD161" s="159"/>
      <c r="AE161" s="159"/>
      <c r="AF161" s="159"/>
      <c r="AG161" s="159"/>
      <c r="AH161" s="183">
        <f t="shared" si="28"/>
        <v>0</v>
      </c>
    </row>
    <row r="162" spans="1:34" ht="12.75" hidden="1">
      <c r="A162" s="1740" t="s">
        <v>86</v>
      </c>
      <c r="B162" s="190">
        <f t="shared" si="27"/>
        <v>0</v>
      </c>
      <c r="C162" s="183"/>
      <c r="D162" s="159"/>
      <c r="E162" s="159"/>
      <c r="F162" s="159"/>
      <c r="G162" s="159"/>
      <c r="H162" s="159"/>
      <c r="I162" s="159"/>
      <c r="J162" s="159"/>
      <c r="K162" s="159"/>
      <c r="L162" s="159"/>
      <c r="M162" s="159"/>
      <c r="N162" s="159"/>
      <c r="O162" s="159"/>
      <c r="P162" s="159"/>
      <c r="Q162" s="159"/>
      <c r="R162" s="159"/>
      <c r="S162" s="159"/>
      <c r="T162" s="159"/>
      <c r="U162" s="159"/>
      <c r="V162" s="159"/>
      <c r="W162" s="159"/>
      <c r="X162" s="159"/>
      <c r="Y162" s="159"/>
      <c r="Z162" s="159"/>
      <c r="AA162" s="159"/>
      <c r="AB162" s="159"/>
      <c r="AC162" s="159"/>
      <c r="AD162" s="159"/>
      <c r="AE162" s="159"/>
      <c r="AF162" s="159"/>
      <c r="AG162" s="159"/>
      <c r="AH162" s="183">
        <f t="shared" si="28"/>
        <v>0</v>
      </c>
    </row>
    <row r="163" spans="1:34" ht="12.75" hidden="1">
      <c r="A163" s="665" t="s">
        <v>74</v>
      </c>
      <c r="B163" s="666">
        <f t="shared" ref="B163:AH163" si="29">SUM(B151:B162)</f>
        <v>0</v>
      </c>
      <c r="C163" s="183">
        <f t="shared" si="29"/>
        <v>0</v>
      </c>
      <c r="D163" s="183">
        <f t="shared" si="29"/>
        <v>0</v>
      </c>
      <c r="E163" s="183">
        <f t="shared" si="29"/>
        <v>0</v>
      </c>
      <c r="F163" s="183">
        <f t="shared" si="29"/>
        <v>0</v>
      </c>
      <c r="G163" s="183">
        <f t="shared" si="29"/>
        <v>0</v>
      </c>
      <c r="H163" s="183">
        <f t="shared" si="29"/>
        <v>0</v>
      </c>
      <c r="I163" s="183">
        <f t="shared" si="29"/>
        <v>0</v>
      </c>
      <c r="J163" s="183">
        <f t="shared" si="29"/>
        <v>0</v>
      </c>
      <c r="K163" s="183">
        <f t="shared" si="29"/>
        <v>0</v>
      </c>
      <c r="L163" s="183">
        <f t="shared" si="29"/>
        <v>0</v>
      </c>
      <c r="M163" s="183">
        <f t="shared" si="29"/>
        <v>0</v>
      </c>
      <c r="N163" s="183">
        <f t="shared" si="29"/>
        <v>0</v>
      </c>
      <c r="O163" s="183">
        <f t="shared" si="29"/>
        <v>0</v>
      </c>
      <c r="P163" s="183">
        <f t="shared" si="29"/>
        <v>0</v>
      </c>
      <c r="Q163" s="183">
        <f t="shared" si="29"/>
        <v>0</v>
      </c>
      <c r="R163" s="183">
        <f t="shared" si="29"/>
        <v>0</v>
      </c>
      <c r="S163" s="183">
        <f t="shared" si="29"/>
        <v>0</v>
      </c>
      <c r="T163" s="183">
        <f t="shared" si="29"/>
        <v>0</v>
      </c>
      <c r="U163" s="183">
        <f t="shared" si="29"/>
        <v>0</v>
      </c>
      <c r="V163" s="183">
        <f t="shared" si="29"/>
        <v>0</v>
      </c>
      <c r="W163" s="183">
        <f t="shared" si="29"/>
        <v>0</v>
      </c>
      <c r="X163" s="183">
        <f t="shared" si="29"/>
        <v>0</v>
      </c>
      <c r="Y163" s="183">
        <f t="shared" si="29"/>
        <v>0</v>
      </c>
      <c r="Z163" s="183">
        <f t="shared" si="29"/>
        <v>0</v>
      </c>
      <c r="AA163" s="183">
        <f t="shared" si="29"/>
        <v>0</v>
      </c>
      <c r="AB163" s="183">
        <f t="shared" si="29"/>
        <v>0</v>
      </c>
      <c r="AC163" s="183">
        <f t="shared" si="29"/>
        <v>0</v>
      </c>
      <c r="AD163" s="183">
        <f t="shared" si="29"/>
        <v>0</v>
      </c>
      <c r="AE163" s="183">
        <f t="shared" si="29"/>
        <v>0</v>
      </c>
      <c r="AF163" s="183">
        <f t="shared" si="29"/>
        <v>0</v>
      </c>
      <c r="AG163" s="183">
        <f t="shared" si="29"/>
        <v>0</v>
      </c>
      <c r="AH163" s="183">
        <f t="shared" si="29"/>
        <v>0</v>
      </c>
    </row>
    <row r="165" spans="1:34" ht="12.75" hidden="1">
      <c r="A165" s="3605" t="s">
        <v>550</v>
      </c>
      <c r="B165" s="3606"/>
      <c r="C165" s="3607"/>
      <c r="D165" s="64"/>
      <c r="E165" s="64"/>
      <c r="F165" s="64"/>
      <c r="G165" s="64"/>
      <c r="H165" s="64"/>
      <c r="I165" s="64"/>
      <c r="J165" s="64"/>
      <c r="K165" s="64"/>
      <c r="L165" s="64"/>
      <c r="M165" s="64"/>
      <c r="N165" s="64"/>
      <c r="O165" s="64"/>
      <c r="P165" s="64"/>
      <c r="Q165" s="64"/>
      <c r="R165" s="64"/>
      <c r="S165" s="64"/>
      <c r="T165" s="64"/>
      <c r="U165" s="64"/>
      <c r="V165" s="64"/>
      <c r="W165" s="64"/>
      <c r="X165" s="64"/>
      <c r="Y165" s="64"/>
      <c r="Z165" s="64"/>
      <c r="AA165" s="64"/>
      <c r="AB165" s="64"/>
      <c r="AC165" s="64"/>
      <c r="AD165" s="64"/>
      <c r="AE165" s="64"/>
      <c r="AF165" s="64"/>
      <c r="AG165" s="64"/>
      <c r="AH165" s="177"/>
    </row>
    <row r="166" spans="1:34" ht="12.75" hidden="1">
      <c r="A166" s="630" t="s">
        <v>72</v>
      </c>
      <c r="B166" s="295" t="s">
        <v>73</v>
      </c>
      <c r="C166" s="178">
        <v>1</v>
      </c>
      <c r="D166" s="179">
        <v>2</v>
      </c>
      <c r="E166" s="179">
        <v>3</v>
      </c>
      <c r="F166" s="179">
        <v>4</v>
      </c>
      <c r="G166" s="179">
        <v>5</v>
      </c>
      <c r="H166" s="179">
        <v>6</v>
      </c>
      <c r="I166" s="179">
        <v>7</v>
      </c>
      <c r="J166" s="179">
        <v>8</v>
      </c>
      <c r="K166" s="179">
        <v>9</v>
      </c>
      <c r="L166" s="179">
        <v>10</v>
      </c>
      <c r="M166" s="179">
        <v>11</v>
      </c>
      <c r="N166" s="179">
        <v>12</v>
      </c>
      <c r="O166" s="179">
        <v>13</v>
      </c>
      <c r="P166" s="179">
        <v>14</v>
      </c>
      <c r="Q166" s="179">
        <v>15</v>
      </c>
      <c r="R166" s="179">
        <v>16</v>
      </c>
      <c r="S166" s="179">
        <v>17</v>
      </c>
      <c r="T166" s="179">
        <v>18</v>
      </c>
      <c r="U166" s="179">
        <v>19</v>
      </c>
      <c r="V166" s="179">
        <v>20</v>
      </c>
      <c r="W166" s="179">
        <v>21</v>
      </c>
      <c r="X166" s="179">
        <v>22</v>
      </c>
      <c r="Y166" s="179">
        <v>23</v>
      </c>
      <c r="Z166" s="179">
        <v>24</v>
      </c>
      <c r="AA166" s="179">
        <v>25</v>
      </c>
      <c r="AB166" s="179">
        <v>26</v>
      </c>
      <c r="AC166" s="179">
        <v>27</v>
      </c>
      <c r="AD166" s="179">
        <v>28</v>
      </c>
      <c r="AE166" s="179">
        <v>29</v>
      </c>
      <c r="AF166" s="179">
        <v>30</v>
      </c>
      <c r="AG166" s="179">
        <v>31</v>
      </c>
      <c r="AH166" s="178" t="s">
        <v>74</v>
      </c>
    </row>
    <row r="167" spans="1:34" ht="12.75" hidden="1">
      <c r="A167" s="1268" t="s">
        <v>75</v>
      </c>
      <c r="B167" s="190">
        <f t="shared" ref="B167:B178" si="30">+AH167</f>
        <v>0</v>
      </c>
      <c r="C167" s="183"/>
      <c r="D167" s="159"/>
      <c r="E167" s="159"/>
      <c r="F167" s="159"/>
      <c r="G167" s="159"/>
      <c r="H167" s="159"/>
      <c r="I167" s="159"/>
      <c r="J167" s="159"/>
      <c r="K167" s="159"/>
      <c r="L167" s="159"/>
      <c r="M167" s="159"/>
      <c r="N167" s="159"/>
      <c r="O167" s="159"/>
      <c r="P167" s="159"/>
      <c r="Q167" s="159"/>
      <c r="R167" s="159"/>
      <c r="S167" s="159"/>
      <c r="T167" s="159"/>
      <c r="U167" s="159"/>
      <c r="V167" s="159"/>
      <c r="W167" s="159"/>
      <c r="X167" s="159"/>
      <c r="Y167" s="159"/>
      <c r="Z167" s="159"/>
      <c r="AA167" s="159"/>
      <c r="AB167" s="159"/>
      <c r="AC167" s="159"/>
      <c r="AD167" s="159"/>
      <c r="AE167" s="159"/>
      <c r="AF167" s="159"/>
      <c r="AG167" s="159"/>
      <c r="AH167" s="183">
        <f>SUM(C167:AG167)</f>
        <v>0</v>
      </c>
    </row>
    <row r="168" spans="1:34" ht="12.75" hidden="1">
      <c r="A168" s="1268" t="s">
        <v>76</v>
      </c>
      <c r="B168" s="190">
        <f t="shared" si="30"/>
        <v>0</v>
      </c>
      <c r="C168" s="183"/>
      <c r="D168" s="159"/>
      <c r="E168" s="159"/>
      <c r="F168" s="159"/>
      <c r="G168" s="159"/>
      <c r="H168" s="159"/>
      <c r="I168" s="159"/>
      <c r="J168" s="159"/>
      <c r="K168" s="159"/>
      <c r="L168" s="159"/>
      <c r="M168" s="159"/>
      <c r="N168" s="159"/>
      <c r="O168" s="159"/>
      <c r="P168" s="159"/>
      <c r="Q168" s="159"/>
      <c r="R168" s="159"/>
      <c r="S168" s="159"/>
      <c r="T168" s="159"/>
      <c r="U168" s="159"/>
      <c r="V168" s="159"/>
      <c r="W168" s="159"/>
      <c r="X168" s="159"/>
      <c r="Y168" s="159"/>
      <c r="Z168" s="159"/>
      <c r="AA168" s="159"/>
      <c r="AB168" s="159"/>
      <c r="AC168" s="159"/>
      <c r="AD168" s="159"/>
      <c r="AE168" s="159"/>
      <c r="AF168" s="159"/>
      <c r="AG168" s="159"/>
      <c r="AH168" s="183">
        <f t="shared" ref="AH168:AH178" si="31">SUM(C168:AG168)</f>
        <v>0</v>
      </c>
    </row>
    <row r="169" spans="1:34" ht="12.75" hidden="1">
      <c r="A169" s="1268" t="s">
        <v>77</v>
      </c>
      <c r="B169" s="190">
        <f t="shared" si="30"/>
        <v>0</v>
      </c>
      <c r="C169" s="183"/>
      <c r="D169" s="159"/>
      <c r="E169" s="159"/>
      <c r="F169" s="159"/>
      <c r="G169" s="159"/>
      <c r="H169" s="159"/>
      <c r="I169" s="159"/>
      <c r="J169" s="159"/>
      <c r="K169" s="159"/>
      <c r="L169" s="159"/>
      <c r="M169" s="159"/>
      <c r="N169" s="159"/>
      <c r="O169" s="159"/>
      <c r="P169" s="159"/>
      <c r="Q169" s="159"/>
      <c r="R169" s="159"/>
      <c r="S169" s="159"/>
      <c r="T169" s="159"/>
      <c r="U169" s="159"/>
      <c r="V169" s="159"/>
      <c r="W169" s="159"/>
      <c r="X169" s="159"/>
      <c r="Y169" s="159"/>
      <c r="Z169" s="159"/>
      <c r="AA169" s="159"/>
      <c r="AB169" s="159"/>
      <c r="AC169" s="159"/>
      <c r="AD169" s="159"/>
      <c r="AE169" s="159"/>
      <c r="AF169" s="159"/>
      <c r="AG169" s="159"/>
      <c r="AH169" s="183">
        <f t="shared" si="31"/>
        <v>0</v>
      </c>
    </row>
    <row r="170" spans="1:34" ht="12.75" hidden="1">
      <c r="A170" s="1739" t="s">
        <v>78</v>
      </c>
      <c r="B170" s="190">
        <f t="shared" si="30"/>
        <v>0</v>
      </c>
      <c r="C170" s="183"/>
      <c r="D170" s="159"/>
      <c r="E170" s="159"/>
      <c r="F170" s="159"/>
      <c r="G170" s="159"/>
      <c r="H170" s="159"/>
      <c r="I170" s="159"/>
      <c r="J170" s="159"/>
      <c r="K170" s="159"/>
      <c r="L170" s="159"/>
      <c r="M170" s="159"/>
      <c r="N170" s="159"/>
      <c r="O170" s="159"/>
      <c r="P170" s="159"/>
      <c r="Q170" s="159"/>
      <c r="R170" s="159"/>
      <c r="S170" s="159"/>
      <c r="T170" s="159"/>
      <c r="U170" s="159"/>
      <c r="V170" s="159"/>
      <c r="W170" s="159"/>
      <c r="X170" s="159"/>
      <c r="Y170" s="159"/>
      <c r="Z170" s="159"/>
      <c r="AA170" s="159"/>
      <c r="AB170" s="159"/>
      <c r="AC170" s="159"/>
      <c r="AD170" s="159"/>
      <c r="AE170" s="159"/>
      <c r="AF170" s="159"/>
      <c r="AG170" s="159"/>
      <c r="AH170" s="183">
        <f t="shared" si="31"/>
        <v>0</v>
      </c>
    </row>
    <row r="171" spans="1:34" ht="12.75" hidden="1">
      <c r="A171" s="1739" t="s">
        <v>79</v>
      </c>
      <c r="B171" s="190">
        <f t="shared" si="30"/>
        <v>0</v>
      </c>
      <c r="C171" s="183"/>
      <c r="D171" s="159"/>
      <c r="E171" s="159"/>
      <c r="F171" s="159"/>
      <c r="G171" s="159"/>
      <c r="H171" s="159"/>
      <c r="I171" s="159"/>
      <c r="J171" s="159"/>
      <c r="K171" s="159"/>
      <c r="L171" s="159"/>
      <c r="M171" s="159"/>
      <c r="N171" s="159"/>
      <c r="O171" s="159"/>
      <c r="P171" s="159"/>
      <c r="Q171" s="159"/>
      <c r="R171" s="159"/>
      <c r="S171" s="159"/>
      <c r="T171" s="159"/>
      <c r="U171" s="159"/>
      <c r="V171" s="159"/>
      <c r="W171" s="159"/>
      <c r="X171" s="159"/>
      <c r="Y171" s="159"/>
      <c r="Z171" s="159"/>
      <c r="AA171" s="159"/>
      <c r="AB171" s="159"/>
      <c r="AC171" s="159"/>
      <c r="AD171" s="159"/>
      <c r="AE171" s="159"/>
      <c r="AF171" s="159"/>
      <c r="AG171" s="159"/>
      <c r="AH171" s="183">
        <f t="shared" si="31"/>
        <v>0</v>
      </c>
    </row>
    <row r="172" spans="1:34" ht="12.75" hidden="1">
      <c r="A172" s="1739" t="s">
        <v>80</v>
      </c>
      <c r="B172" s="190">
        <f t="shared" si="30"/>
        <v>0</v>
      </c>
      <c r="C172" s="183"/>
      <c r="D172" s="159"/>
      <c r="E172" s="159"/>
      <c r="F172" s="159"/>
      <c r="G172" s="159"/>
      <c r="H172" s="159"/>
      <c r="I172" s="159"/>
      <c r="J172" s="159"/>
      <c r="K172" s="159"/>
      <c r="L172" s="159"/>
      <c r="M172" s="159"/>
      <c r="N172" s="159"/>
      <c r="O172" s="159"/>
      <c r="P172" s="159"/>
      <c r="Q172" s="159"/>
      <c r="R172" s="159"/>
      <c r="S172" s="159"/>
      <c r="T172" s="159"/>
      <c r="U172" s="159"/>
      <c r="V172" s="159"/>
      <c r="W172" s="159"/>
      <c r="X172" s="159"/>
      <c r="Y172" s="159"/>
      <c r="Z172" s="159"/>
      <c r="AA172" s="159"/>
      <c r="AB172" s="159"/>
      <c r="AC172" s="159"/>
      <c r="AD172" s="159"/>
      <c r="AE172" s="159"/>
      <c r="AF172" s="159"/>
      <c r="AG172" s="159"/>
      <c r="AH172" s="183">
        <f t="shared" si="31"/>
        <v>0</v>
      </c>
    </row>
    <row r="173" spans="1:34" ht="12.75" hidden="1">
      <c r="A173" s="1739" t="s">
        <v>81</v>
      </c>
      <c r="B173" s="190">
        <f t="shared" si="30"/>
        <v>0</v>
      </c>
      <c r="C173" s="183"/>
      <c r="D173" s="159"/>
      <c r="E173" s="159"/>
      <c r="F173" s="159"/>
      <c r="G173" s="159"/>
      <c r="H173" s="159"/>
      <c r="I173" s="159"/>
      <c r="J173" s="159"/>
      <c r="K173" s="159"/>
      <c r="L173" s="159"/>
      <c r="M173" s="159"/>
      <c r="N173" s="159"/>
      <c r="O173" s="159"/>
      <c r="P173" s="159"/>
      <c r="Q173" s="159"/>
      <c r="R173" s="159"/>
      <c r="S173" s="159"/>
      <c r="T173" s="159"/>
      <c r="U173" s="159"/>
      <c r="V173" s="159"/>
      <c r="W173" s="159"/>
      <c r="X173" s="159"/>
      <c r="Y173" s="159"/>
      <c r="Z173" s="159"/>
      <c r="AA173" s="159"/>
      <c r="AB173" s="159"/>
      <c r="AC173" s="159"/>
      <c r="AD173" s="159"/>
      <c r="AE173" s="159"/>
      <c r="AF173" s="159"/>
      <c r="AG173" s="159"/>
      <c r="AH173" s="183">
        <f t="shared" si="31"/>
        <v>0</v>
      </c>
    </row>
    <row r="174" spans="1:34" ht="12.75" hidden="1">
      <c r="A174" s="1739" t="s">
        <v>82</v>
      </c>
      <c r="B174" s="190">
        <f t="shared" si="30"/>
        <v>0</v>
      </c>
      <c r="C174" s="183"/>
      <c r="D174" s="159"/>
      <c r="E174" s="159"/>
      <c r="F174" s="159"/>
      <c r="G174" s="159"/>
      <c r="H174" s="159"/>
      <c r="I174" s="159"/>
      <c r="J174" s="159"/>
      <c r="K174" s="159"/>
      <c r="L174" s="159"/>
      <c r="M174" s="159"/>
      <c r="N174" s="159"/>
      <c r="O174" s="159"/>
      <c r="P174" s="159"/>
      <c r="Q174" s="159"/>
      <c r="R174" s="159"/>
      <c r="S174" s="159"/>
      <c r="T174" s="159"/>
      <c r="U174" s="159"/>
      <c r="V174" s="159"/>
      <c r="W174" s="159"/>
      <c r="X174" s="159"/>
      <c r="Y174" s="159"/>
      <c r="Z174" s="159"/>
      <c r="AA174" s="159"/>
      <c r="AB174" s="159"/>
      <c r="AC174" s="159"/>
      <c r="AD174" s="159"/>
      <c r="AE174" s="159"/>
      <c r="AF174" s="159"/>
      <c r="AG174" s="159"/>
      <c r="AH174" s="183">
        <f t="shared" si="31"/>
        <v>0</v>
      </c>
    </row>
    <row r="175" spans="1:34" ht="12.75" hidden="1">
      <c r="A175" s="1739" t="s">
        <v>83</v>
      </c>
      <c r="B175" s="190">
        <f t="shared" si="30"/>
        <v>0</v>
      </c>
      <c r="C175" s="183"/>
      <c r="D175" s="159"/>
      <c r="E175" s="159"/>
      <c r="F175" s="159"/>
      <c r="G175" s="159"/>
      <c r="H175" s="159"/>
      <c r="I175" s="159"/>
      <c r="J175" s="159"/>
      <c r="K175" s="159"/>
      <c r="L175" s="159"/>
      <c r="M175" s="159"/>
      <c r="N175" s="159"/>
      <c r="O175" s="159"/>
      <c r="P175" s="159"/>
      <c r="Q175" s="159"/>
      <c r="R175" s="159"/>
      <c r="S175" s="159"/>
      <c r="T175" s="159"/>
      <c r="U175" s="159"/>
      <c r="V175" s="159"/>
      <c r="W175" s="159"/>
      <c r="X175" s="159"/>
      <c r="Y175" s="159"/>
      <c r="Z175" s="159"/>
      <c r="AA175" s="159"/>
      <c r="AB175" s="159"/>
      <c r="AC175" s="159"/>
      <c r="AD175" s="159"/>
      <c r="AE175" s="159"/>
      <c r="AF175" s="159"/>
      <c r="AG175" s="159"/>
      <c r="AH175" s="183">
        <f t="shared" si="31"/>
        <v>0</v>
      </c>
    </row>
    <row r="176" spans="1:34" ht="12.75" hidden="1">
      <c r="A176" s="1740" t="s">
        <v>84</v>
      </c>
      <c r="B176" s="190">
        <f t="shared" si="30"/>
        <v>0</v>
      </c>
      <c r="C176" s="183"/>
      <c r="D176" s="159"/>
      <c r="E176" s="159"/>
      <c r="F176" s="159"/>
      <c r="G176" s="159"/>
      <c r="H176" s="159"/>
      <c r="I176" s="159"/>
      <c r="J176" s="159"/>
      <c r="K176" s="159"/>
      <c r="L176" s="159"/>
      <c r="M176" s="159"/>
      <c r="N176" s="159"/>
      <c r="O176" s="159"/>
      <c r="P176" s="159"/>
      <c r="Q176" s="159"/>
      <c r="R176" s="159"/>
      <c r="S176" s="159"/>
      <c r="T176" s="159"/>
      <c r="U176" s="159"/>
      <c r="V176" s="159"/>
      <c r="W176" s="159"/>
      <c r="X176" s="159"/>
      <c r="Y176" s="159"/>
      <c r="Z176" s="159"/>
      <c r="AA176" s="159"/>
      <c r="AB176" s="159"/>
      <c r="AC176" s="159"/>
      <c r="AD176" s="159"/>
      <c r="AE176" s="159"/>
      <c r="AF176" s="159"/>
      <c r="AG176" s="159"/>
      <c r="AH176" s="183">
        <f t="shared" si="31"/>
        <v>0</v>
      </c>
    </row>
    <row r="177" spans="1:34" ht="12.75" hidden="1">
      <c r="A177" s="1740" t="s">
        <v>85</v>
      </c>
      <c r="B177" s="190">
        <f t="shared" si="30"/>
        <v>0</v>
      </c>
      <c r="C177" s="183"/>
      <c r="D177" s="159"/>
      <c r="E177" s="159"/>
      <c r="F177" s="159"/>
      <c r="G177" s="159"/>
      <c r="H177" s="159"/>
      <c r="I177" s="159"/>
      <c r="J177" s="159"/>
      <c r="K177" s="159"/>
      <c r="L177" s="159"/>
      <c r="M177" s="159"/>
      <c r="N177" s="159"/>
      <c r="O177" s="159"/>
      <c r="P177" s="159"/>
      <c r="Q177" s="159"/>
      <c r="R177" s="159"/>
      <c r="S177" s="159"/>
      <c r="T177" s="159"/>
      <c r="U177" s="159"/>
      <c r="V177" s="159"/>
      <c r="W177" s="159"/>
      <c r="X177" s="159"/>
      <c r="Y177" s="159"/>
      <c r="Z177" s="159"/>
      <c r="AA177" s="159"/>
      <c r="AB177" s="159"/>
      <c r="AC177" s="159"/>
      <c r="AD177" s="159"/>
      <c r="AE177" s="159"/>
      <c r="AF177" s="159"/>
      <c r="AG177" s="159"/>
      <c r="AH177" s="183">
        <f t="shared" si="31"/>
        <v>0</v>
      </c>
    </row>
    <row r="178" spans="1:34" ht="12.75" hidden="1">
      <c r="A178" s="1740" t="s">
        <v>86</v>
      </c>
      <c r="B178" s="190">
        <f t="shared" si="30"/>
        <v>0</v>
      </c>
      <c r="C178" s="183"/>
      <c r="D178" s="159"/>
      <c r="E178" s="159"/>
      <c r="F178" s="159"/>
      <c r="G178" s="159"/>
      <c r="H178" s="159"/>
      <c r="I178" s="159"/>
      <c r="J178" s="159"/>
      <c r="K178" s="159"/>
      <c r="L178" s="159"/>
      <c r="M178" s="159"/>
      <c r="N178" s="159"/>
      <c r="O178" s="159"/>
      <c r="P178" s="159"/>
      <c r="Q178" s="159"/>
      <c r="R178" s="159"/>
      <c r="S178" s="159"/>
      <c r="T178" s="159"/>
      <c r="U178" s="159"/>
      <c r="V178" s="159"/>
      <c r="W178" s="159"/>
      <c r="X178" s="159"/>
      <c r="Y178" s="159"/>
      <c r="Z178" s="159"/>
      <c r="AA178" s="159"/>
      <c r="AB178" s="159"/>
      <c r="AC178" s="159"/>
      <c r="AD178" s="159"/>
      <c r="AE178" s="159"/>
      <c r="AF178" s="159"/>
      <c r="AG178" s="159"/>
      <c r="AH178" s="183">
        <f t="shared" si="31"/>
        <v>0</v>
      </c>
    </row>
    <row r="179" spans="1:34" ht="12.75" hidden="1">
      <c r="A179" s="665" t="s">
        <v>74</v>
      </c>
      <c r="B179" s="666">
        <f t="shared" ref="B179:AH179" si="32">SUM(B167:B178)</f>
        <v>0</v>
      </c>
      <c r="C179" s="183">
        <f t="shared" si="32"/>
        <v>0</v>
      </c>
      <c r="D179" s="183">
        <f t="shared" si="32"/>
        <v>0</v>
      </c>
      <c r="E179" s="183">
        <f t="shared" si="32"/>
        <v>0</v>
      </c>
      <c r="F179" s="183">
        <f t="shared" si="32"/>
        <v>0</v>
      </c>
      <c r="G179" s="183">
        <f t="shared" si="32"/>
        <v>0</v>
      </c>
      <c r="H179" s="183">
        <f t="shared" si="32"/>
        <v>0</v>
      </c>
      <c r="I179" s="183">
        <f t="shared" si="32"/>
        <v>0</v>
      </c>
      <c r="J179" s="183">
        <f t="shared" si="32"/>
        <v>0</v>
      </c>
      <c r="K179" s="183">
        <f t="shared" si="32"/>
        <v>0</v>
      </c>
      <c r="L179" s="183">
        <f t="shared" si="32"/>
        <v>0</v>
      </c>
      <c r="M179" s="183">
        <f t="shared" si="32"/>
        <v>0</v>
      </c>
      <c r="N179" s="183">
        <f t="shared" si="32"/>
        <v>0</v>
      </c>
      <c r="O179" s="183">
        <f t="shared" si="32"/>
        <v>0</v>
      </c>
      <c r="P179" s="183">
        <f t="shared" si="32"/>
        <v>0</v>
      </c>
      <c r="Q179" s="183">
        <f t="shared" si="32"/>
        <v>0</v>
      </c>
      <c r="R179" s="183">
        <f t="shared" si="32"/>
        <v>0</v>
      </c>
      <c r="S179" s="183">
        <f t="shared" si="32"/>
        <v>0</v>
      </c>
      <c r="T179" s="183">
        <f t="shared" si="32"/>
        <v>0</v>
      </c>
      <c r="U179" s="183">
        <f t="shared" si="32"/>
        <v>0</v>
      </c>
      <c r="V179" s="183">
        <f t="shared" si="32"/>
        <v>0</v>
      </c>
      <c r="W179" s="183">
        <f t="shared" si="32"/>
        <v>0</v>
      </c>
      <c r="X179" s="183">
        <f t="shared" si="32"/>
        <v>0</v>
      </c>
      <c r="Y179" s="183">
        <f t="shared" si="32"/>
        <v>0</v>
      </c>
      <c r="Z179" s="183">
        <f t="shared" si="32"/>
        <v>0</v>
      </c>
      <c r="AA179" s="183">
        <f t="shared" si="32"/>
        <v>0</v>
      </c>
      <c r="AB179" s="183">
        <f t="shared" si="32"/>
        <v>0</v>
      </c>
      <c r="AC179" s="183">
        <f t="shared" si="32"/>
        <v>0</v>
      </c>
      <c r="AD179" s="183">
        <f t="shared" si="32"/>
        <v>0</v>
      </c>
      <c r="AE179" s="183">
        <f t="shared" si="32"/>
        <v>0</v>
      </c>
      <c r="AF179" s="183">
        <f t="shared" si="32"/>
        <v>0</v>
      </c>
      <c r="AG179" s="183">
        <f t="shared" si="32"/>
        <v>0</v>
      </c>
      <c r="AH179" s="183">
        <f t="shared" si="32"/>
        <v>0</v>
      </c>
    </row>
  </sheetData>
  <mergeCells count="12">
    <mergeCell ref="A149:C149"/>
    <mergeCell ref="A165:C165"/>
    <mergeCell ref="A133:C133"/>
    <mergeCell ref="A85:C85"/>
    <mergeCell ref="A101:C101"/>
    <mergeCell ref="A117:C117"/>
    <mergeCell ref="A69:C69"/>
    <mergeCell ref="A2:T2"/>
    <mergeCell ref="A5:C5"/>
    <mergeCell ref="A21:C21"/>
    <mergeCell ref="A37:C37"/>
    <mergeCell ref="A53:C53"/>
  </mergeCells>
  <phoneticPr fontId="0" type="noConversion"/>
  <pageMargins left="0.75" right="0.75" top="1" bottom="1" header="0" footer="0"/>
  <pageSetup paperSize="9" orientation="portrait" r:id="rId1"/>
  <headerFooter alignWithMargins="0"/>
  <legacyDrawing r:id="rId2"/>
  <oleObjects>
    <oleObject progId="MSPhotoEd.3" shapeId="14337" r:id="rId3"/>
  </oleObjects>
</worksheet>
</file>

<file path=xl/worksheets/sheet13.xml><?xml version="1.0" encoding="utf-8"?>
<worksheet xmlns="http://schemas.openxmlformats.org/spreadsheetml/2006/main" xmlns:r="http://schemas.openxmlformats.org/officeDocument/2006/relationships">
  <sheetPr>
    <tabColor theme="9" tint="-0.249977111117893"/>
  </sheetPr>
  <dimension ref="A2:AH84"/>
  <sheetViews>
    <sheetView workbookViewId="0">
      <selection activeCell="M8" sqref="M8"/>
    </sheetView>
  </sheetViews>
  <sheetFormatPr baseColWidth="10" defaultRowHeight="11.25"/>
  <cols>
    <col min="1" max="2" width="11.42578125" style="167"/>
    <col min="3" max="3" width="12.7109375" style="167" customWidth="1"/>
    <col min="4" max="4" width="8.85546875" style="167" customWidth="1"/>
    <col min="5" max="16384" width="11.42578125" style="167"/>
  </cols>
  <sheetData>
    <row r="2" spans="1:34" ht="12.75">
      <c r="A2" s="3605" t="s">
        <v>570</v>
      </c>
      <c r="B2" s="3606"/>
      <c r="C2" s="3606"/>
      <c r="D2" s="3606"/>
      <c r="E2" s="3606"/>
      <c r="F2" s="3606"/>
      <c r="G2" s="3606"/>
      <c r="H2" s="3606"/>
      <c r="I2" s="3606"/>
      <c r="J2" s="3606"/>
      <c r="K2" s="3606"/>
      <c r="L2" s="3606"/>
      <c r="M2" s="3606"/>
      <c r="N2" s="3606"/>
      <c r="O2" s="3606"/>
      <c r="P2" s="3606"/>
      <c r="Q2" s="3606"/>
      <c r="R2" s="3606"/>
      <c r="S2" s="3606"/>
      <c r="T2" s="3607"/>
      <c r="U2" s="64"/>
      <c r="V2" s="64"/>
      <c r="W2" s="64"/>
      <c r="X2" s="64"/>
      <c r="Y2" s="64"/>
      <c r="Z2" s="64"/>
      <c r="AA2" s="64"/>
      <c r="AB2" s="64"/>
      <c r="AC2" s="64"/>
      <c r="AD2" s="64"/>
      <c r="AE2" s="64"/>
      <c r="AF2" s="64"/>
      <c r="AG2" s="64"/>
      <c r="AH2" s="177"/>
    </row>
    <row r="3" spans="1:34" s="660" customFormat="1" ht="12.75">
      <c r="A3" s="656"/>
      <c r="B3" s="656"/>
      <c r="C3" s="656"/>
      <c r="D3" s="656"/>
      <c r="E3" s="656"/>
      <c r="F3" s="656"/>
      <c r="G3" s="656"/>
      <c r="H3" s="656"/>
      <c r="I3" s="656"/>
      <c r="J3" s="656"/>
      <c r="K3" s="656"/>
      <c r="L3" s="656"/>
      <c r="M3" s="656"/>
      <c r="N3" s="656"/>
      <c r="O3" s="656"/>
      <c r="P3" s="656"/>
      <c r="Q3" s="656"/>
      <c r="R3" s="656"/>
      <c r="S3" s="656"/>
      <c r="T3" s="656"/>
      <c r="U3" s="64"/>
      <c r="V3" s="64"/>
      <c r="W3" s="64"/>
      <c r="X3" s="64"/>
      <c r="Y3" s="64"/>
      <c r="Z3" s="64"/>
      <c r="AA3" s="64"/>
      <c r="AB3" s="64"/>
      <c r="AC3" s="64"/>
      <c r="AD3" s="64"/>
      <c r="AE3" s="64"/>
      <c r="AF3" s="64"/>
      <c r="AG3" s="64"/>
      <c r="AH3" s="64"/>
    </row>
    <row r="4" spans="1:34" ht="12.75">
      <c r="A4" s="177"/>
      <c r="B4" s="177"/>
      <c r="C4" s="177"/>
      <c r="D4" s="64"/>
      <c r="E4" s="64"/>
      <c r="F4" s="64"/>
      <c r="G4" s="64"/>
      <c r="H4" s="64"/>
      <c r="I4" s="64"/>
      <c r="J4" s="64"/>
      <c r="K4" s="64"/>
      <c r="L4" s="176"/>
      <c r="M4" s="64"/>
      <c r="N4" s="64"/>
      <c r="O4" s="64"/>
      <c r="P4" s="64"/>
      <c r="Q4" s="64"/>
      <c r="R4" s="64"/>
      <c r="S4" s="64"/>
      <c r="T4" s="64"/>
      <c r="U4" s="64"/>
      <c r="V4" s="64"/>
      <c r="W4" s="64"/>
      <c r="X4" s="64"/>
      <c r="Y4" s="64"/>
      <c r="Z4" s="64"/>
      <c r="AA4" s="64"/>
      <c r="AB4" s="64"/>
      <c r="AC4" s="64"/>
      <c r="AD4" s="64"/>
      <c r="AE4" s="64"/>
      <c r="AF4" s="64"/>
      <c r="AG4" s="64"/>
      <c r="AH4" s="177"/>
    </row>
    <row r="5" spans="1:34" ht="12.75">
      <c r="A5" s="3605" t="s">
        <v>71</v>
      </c>
      <c r="B5" s="3606"/>
      <c r="C5" s="3607"/>
      <c r="D5" s="64"/>
      <c r="E5" s="64"/>
      <c r="F5" s="64"/>
      <c r="G5" s="64"/>
      <c r="H5" s="64"/>
      <c r="I5" s="64"/>
      <c r="J5" s="64"/>
      <c r="K5" s="64"/>
      <c r="L5" s="64"/>
      <c r="M5" s="176"/>
      <c r="N5" s="64"/>
      <c r="O5" s="64"/>
      <c r="P5" s="64"/>
      <c r="Q5" s="64"/>
      <c r="R5" s="64"/>
      <c r="S5" s="64"/>
      <c r="T5" s="64"/>
      <c r="U5" s="64"/>
      <c r="V5" s="64"/>
      <c r="W5" s="64"/>
      <c r="X5" s="64"/>
      <c r="Y5" s="64"/>
      <c r="Z5" s="64"/>
      <c r="AA5" s="64"/>
      <c r="AB5" s="64"/>
      <c r="AC5" s="64"/>
      <c r="AD5" s="64"/>
      <c r="AE5" s="64"/>
      <c r="AF5" s="64"/>
      <c r="AG5" s="64"/>
      <c r="AH5" s="177"/>
    </row>
    <row r="6" spans="1:34" ht="12.75">
      <c r="A6" s="178" t="s">
        <v>72</v>
      </c>
      <c r="B6" s="178" t="s">
        <v>73</v>
      </c>
      <c r="C6" s="166">
        <v>1</v>
      </c>
      <c r="D6" s="179">
        <v>2</v>
      </c>
      <c r="E6" s="179">
        <v>3</v>
      </c>
      <c r="F6" s="179">
        <v>4</v>
      </c>
      <c r="G6" s="179">
        <v>5</v>
      </c>
      <c r="H6" s="179">
        <v>6</v>
      </c>
      <c r="I6" s="179">
        <v>7</v>
      </c>
      <c r="J6" s="179">
        <v>8</v>
      </c>
      <c r="K6" s="179">
        <v>9</v>
      </c>
      <c r="L6" s="179">
        <v>10</v>
      </c>
      <c r="M6" s="179">
        <v>11</v>
      </c>
      <c r="N6" s="179">
        <v>12</v>
      </c>
      <c r="O6" s="179">
        <v>13</v>
      </c>
      <c r="P6" s="179">
        <v>14</v>
      </c>
      <c r="Q6" s="179">
        <v>15</v>
      </c>
      <c r="R6" s="179">
        <v>16</v>
      </c>
      <c r="S6" s="179">
        <v>17</v>
      </c>
      <c r="T6" s="179">
        <v>18</v>
      </c>
      <c r="U6" s="179">
        <v>19</v>
      </c>
      <c r="V6" s="179">
        <v>20</v>
      </c>
      <c r="W6" s="179">
        <v>21</v>
      </c>
      <c r="X6" s="179">
        <v>22</v>
      </c>
      <c r="Y6" s="179">
        <v>23</v>
      </c>
      <c r="Z6" s="179">
        <v>24</v>
      </c>
      <c r="AA6" s="179">
        <v>25</v>
      </c>
      <c r="AB6" s="179">
        <v>26</v>
      </c>
      <c r="AC6" s="179">
        <v>27</v>
      </c>
      <c r="AD6" s="179">
        <v>28</v>
      </c>
      <c r="AE6" s="179">
        <v>29</v>
      </c>
      <c r="AF6" s="179">
        <v>30</v>
      </c>
      <c r="AG6" s="179">
        <v>31</v>
      </c>
      <c r="AH6" s="891" t="s">
        <v>74</v>
      </c>
    </row>
    <row r="7" spans="1:34" ht="12.75">
      <c r="A7" s="1998" t="s">
        <v>75</v>
      </c>
      <c r="B7" s="159">
        <f t="shared" ref="B7:B18" si="0">+AH7</f>
        <v>0.3</v>
      </c>
      <c r="C7" s="1145">
        <v>0</v>
      </c>
      <c r="D7" s="1145">
        <v>0</v>
      </c>
      <c r="E7" s="1145">
        <v>0</v>
      </c>
      <c r="F7" s="1145">
        <v>0</v>
      </c>
      <c r="G7" s="1145">
        <v>0</v>
      </c>
      <c r="H7" s="1145">
        <v>0</v>
      </c>
      <c r="I7" s="1145">
        <v>0</v>
      </c>
      <c r="J7" s="1145">
        <v>0.3</v>
      </c>
      <c r="K7" s="1145">
        <v>0</v>
      </c>
      <c r="L7" s="1145">
        <v>0</v>
      </c>
      <c r="M7" s="1145">
        <v>0</v>
      </c>
      <c r="N7" s="1145">
        <v>0</v>
      </c>
      <c r="O7" s="1145">
        <v>0</v>
      </c>
      <c r="P7" s="1145">
        <v>0</v>
      </c>
      <c r="Q7" s="1145">
        <v>0</v>
      </c>
      <c r="R7" s="1145">
        <v>0</v>
      </c>
      <c r="S7" s="1145">
        <v>0</v>
      </c>
      <c r="T7" s="1145">
        <v>0</v>
      </c>
      <c r="U7" s="1145">
        <v>0</v>
      </c>
      <c r="V7" s="1145">
        <v>0</v>
      </c>
      <c r="W7" s="1145">
        <v>0</v>
      </c>
      <c r="X7" s="1145">
        <v>0</v>
      </c>
      <c r="Y7" s="1145">
        <v>0</v>
      </c>
      <c r="Z7" s="1145">
        <v>0</v>
      </c>
      <c r="AA7" s="1145">
        <v>0</v>
      </c>
      <c r="AB7" s="1145">
        <v>0</v>
      </c>
      <c r="AC7" s="1145">
        <v>0</v>
      </c>
      <c r="AD7" s="1145">
        <v>0</v>
      </c>
      <c r="AE7" s="1145">
        <v>0</v>
      </c>
      <c r="AF7" s="1145">
        <v>0</v>
      </c>
      <c r="AG7" s="1145">
        <v>0</v>
      </c>
      <c r="AH7" s="187">
        <f>SUM(C7:AG7)</f>
        <v>0.3</v>
      </c>
    </row>
    <row r="8" spans="1:34" ht="12.75">
      <c r="A8" s="1998" t="s">
        <v>76</v>
      </c>
      <c r="B8" s="159">
        <f t="shared" si="0"/>
        <v>0</v>
      </c>
      <c r="C8" s="1145">
        <v>0</v>
      </c>
      <c r="D8" s="1145">
        <v>0</v>
      </c>
      <c r="E8" s="1145">
        <v>0</v>
      </c>
      <c r="F8" s="1145">
        <v>0</v>
      </c>
      <c r="G8" s="1145">
        <v>0</v>
      </c>
      <c r="H8" s="1145">
        <v>0</v>
      </c>
      <c r="I8" s="1145">
        <v>0</v>
      </c>
      <c r="J8" s="1145">
        <v>0</v>
      </c>
      <c r="K8" s="1145">
        <v>0</v>
      </c>
      <c r="L8" s="1145">
        <v>0</v>
      </c>
      <c r="M8" s="1145">
        <v>0</v>
      </c>
      <c r="N8" s="1145">
        <v>0</v>
      </c>
      <c r="O8" s="1145">
        <v>0</v>
      </c>
      <c r="P8" s="1145">
        <v>0</v>
      </c>
      <c r="Q8" s="1145">
        <v>0</v>
      </c>
      <c r="R8" s="1145">
        <v>0</v>
      </c>
      <c r="S8" s="1145">
        <v>0</v>
      </c>
      <c r="T8" s="1145">
        <v>0</v>
      </c>
      <c r="U8" s="1145">
        <v>0</v>
      </c>
      <c r="V8" s="1145">
        <v>0</v>
      </c>
      <c r="W8" s="1145">
        <v>0</v>
      </c>
      <c r="X8" s="1145">
        <v>0</v>
      </c>
      <c r="Y8" s="1145">
        <v>0</v>
      </c>
      <c r="Z8" s="1145">
        <v>0</v>
      </c>
      <c r="AA8" s="1145">
        <v>0</v>
      </c>
      <c r="AB8" s="1145">
        <v>0</v>
      </c>
      <c r="AC8" s="1145">
        <v>0</v>
      </c>
      <c r="AD8" s="1145">
        <v>0</v>
      </c>
      <c r="AE8" s="1145">
        <v>0</v>
      </c>
      <c r="AF8" s="1145">
        <v>0</v>
      </c>
      <c r="AG8" s="1145">
        <v>0</v>
      </c>
      <c r="AH8" s="187">
        <f t="shared" ref="AH8:AH19" si="1">SUM(C8:AG8)</f>
        <v>0</v>
      </c>
    </row>
    <row r="9" spans="1:34" ht="12.75">
      <c r="A9" s="1998" t="s">
        <v>77</v>
      </c>
      <c r="B9" s="159">
        <f t="shared" si="0"/>
        <v>0.04</v>
      </c>
      <c r="C9" s="1145">
        <v>0</v>
      </c>
      <c r="D9" s="1145">
        <v>0</v>
      </c>
      <c r="E9" s="1145">
        <v>0</v>
      </c>
      <c r="F9" s="1145">
        <v>0</v>
      </c>
      <c r="G9" s="1145">
        <v>0</v>
      </c>
      <c r="H9" s="1145">
        <v>0</v>
      </c>
      <c r="I9" s="1145">
        <v>0</v>
      </c>
      <c r="J9" s="1145">
        <v>0.04</v>
      </c>
      <c r="K9" s="1145">
        <v>0</v>
      </c>
      <c r="L9" s="1145">
        <v>0</v>
      </c>
      <c r="M9" s="1145">
        <v>0</v>
      </c>
      <c r="N9" s="1145">
        <v>0</v>
      </c>
      <c r="O9" s="1145">
        <v>0</v>
      </c>
      <c r="P9" s="1145">
        <v>0</v>
      </c>
      <c r="Q9" s="1145">
        <v>0</v>
      </c>
      <c r="R9" s="1145">
        <v>0</v>
      </c>
      <c r="S9" s="1145">
        <v>0</v>
      </c>
      <c r="T9" s="1145">
        <v>0</v>
      </c>
      <c r="U9" s="1145">
        <v>0</v>
      </c>
      <c r="V9" s="1145">
        <v>0</v>
      </c>
      <c r="W9" s="1145">
        <v>0</v>
      </c>
      <c r="X9" s="1145">
        <v>0</v>
      </c>
      <c r="Y9" s="1145">
        <v>0</v>
      </c>
      <c r="Z9" s="1145">
        <v>0</v>
      </c>
      <c r="AA9" s="1145">
        <v>0</v>
      </c>
      <c r="AB9" s="1145">
        <v>0</v>
      </c>
      <c r="AC9" s="1145">
        <v>0</v>
      </c>
      <c r="AD9" s="1145">
        <v>0</v>
      </c>
      <c r="AE9" s="1145">
        <v>0</v>
      </c>
      <c r="AF9" s="1145">
        <v>0</v>
      </c>
      <c r="AG9" s="1145">
        <v>0</v>
      </c>
      <c r="AH9" s="187">
        <f t="shared" si="1"/>
        <v>0.04</v>
      </c>
    </row>
    <row r="10" spans="1:34" ht="12.75">
      <c r="A10" s="1998" t="s">
        <v>78</v>
      </c>
      <c r="B10" s="159">
        <f t="shared" si="0"/>
        <v>0</v>
      </c>
      <c r="C10" s="1145">
        <v>0</v>
      </c>
      <c r="D10" s="1145">
        <v>0</v>
      </c>
      <c r="E10" s="1145">
        <v>0</v>
      </c>
      <c r="F10" s="1145">
        <v>0</v>
      </c>
      <c r="G10" s="1145">
        <v>0</v>
      </c>
      <c r="H10" s="1145">
        <v>0</v>
      </c>
      <c r="I10" s="1145">
        <v>0</v>
      </c>
      <c r="J10" s="1145">
        <v>0</v>
      </c>
      <c r="K10" s="1145">
        <v>0</v>
      </c>
      <c r="L10" s="1145">
        <v>0</v>
      </c>
      <c r="M10" s="1145">
        <v>0</v>
      </c>
      <c r="N10" s="1145">
        <v>0</v>
      </c>
      <c r="O10" s="1145">
        <v>0</v>
      </c>
      <c r="P10" s="1145">
        <v>0</v>
      </c>
      <c r="Q10" s="1145">
        <v>0</v>
      </c>
      <c r="R10" s="1145">
        <v>0</v>
      </c>
      <c r="S10" s="1145">
        <v>0</v>
      </c>
      <c r="T10" s="1145">
        <v>0</v>
      </c>
      <c r="U10" s="1145">
        <v>0</v>
      </c>
      <c r="V10" s="1145">
        <v>0</v>
      </c>
      <c r="W10" s="1145">
        <v>0</v>
      </c>
      <c r="X10" s="1145">
        <v>0</v>
      </c>
      <c r="Y10" s="1145">
        <v>0</v>
      </c>
      <c r="Z10" s="1145">
        <v>0</v>
      </c>
      <c r="AA10" s="1145">
        <v>0</v>
      </c>
      <c r="AB10" s="1145">
        <v>0</v>
      </c>
      <c r="AC10" s="1145">
        <v>0</v>
      </c>
      <c r="AD10" s="1145">
        <v>0</v>
      </c>
      <c r="AE10" s="1145">
        <v>0</v>
      </c>
      <c r="AF10" s="1145">
        <v>0</v>
      </c>
      <c r="AG10" s="1145">
        <v>0</v>
      </c>
      <c r="AH10" s="187">
        <f t="shared" si="1"/>
        <v>0</v>
      </c>
    </row>
    <row r="11" spans="1:34" ht="12.75">
      <c r="A11" s="1998" t="s">
        <v>79</v>
      </c>
      <c r="B11" s="159">
        <f t="shared" si="0"/>
        <v>1.8</v>
      </c>
      <c r="C11" s="1145">
        <v>0</v>
      </c>
      <c r="D11" s="1145">
        <v>0</v>
      </c>
      <c r="E11" s="1145">
        <v>0</v>
      </c>
      <c r="F11" s="1145">
        <v>0</v>
      </c>
      <c r="G11" s="1145">
        <v>0</v>
      </c>
      <c r="H11" s="1145">
        <v>0</v>
      </c>
      <c r="I11" s="1145">
        <v>0</v>
      </c>
      <c r="J11" s="1145">
        <v>0</v>
      </c>
      <c r="K11" s="1145">
        <v>0</v>
      </c>
      <c r="L11" s="1145">
        <v>0</v>
      </c>
      <c r="M11" s="1145">
        <v>0</v>
      </c>
      <c r="N11" s="1145">
        <v>0</v>
      </c>
      <c r="O11" s="1145">
        <v>0</v>
      </c>
      <c r="P11" s="1145">
        <v>0</v>
      </c>
      <c r="Q11" s="1145">
        <v>0</v>
      </c>
      <c r="R11" s="1145">
        <v>0</v>
      </c>
      <c r="S11" s="1145">
        <v>0</v>
      </c>
      <c r="T11" s="1145">
        <v>1.8</v>
      </c>
      <c r="U11" s="1145">
        <v>0</v>
      </c>
      <c r="V11" s="1145">
        <v>0</v>
      </c>
      <c r="W11" s="1145">
        <v>0</v>
      </c>
      <c r="X11" s="1145">
        <v>0</v>
      </c>
      <c r="Y11" s="1145">
        <v>0</v>
      </c>
      <c r="Z11" s="1145">
        <v>0</v>
      </c>
      <c r="AA11" s="1145">
        <v>0</v>
      </c>
      <c r="AB11" s="1145">
        <v>0</v>
      </c>
      <c r="AC11" s="1145">
        <v>0</v>
      </c>
      <c r="AD11" s="1145">
        <v>0</v>
      </c>
      <c r="AE11" s="1145">
        <v>0</v>
      </c>
      <c r="AF11" s="1145">
        <v>0</v>
      </c>
      <c r="AG11" s="1145">
        <v>0</v>
      </c>
      <c r="AH11" s="187">
        <f t="shared" si="1"/>
        <v>1.8</v>
      </c>
    </row>
    <row r="12" spans="1:34" ht="12.75">
      <c r="A12" s="1998" t="s">
        <v>80</v>
      </c>
      <c r="B12" s="159">
        <f t="shared" si="0"/>
        <v>0.36599999999999999</v>
      </c>
      <c r="C12" s="1145">
        <v>0</v>
      </c>
      <c r="D12" s="1145">
        <v>0</v>
      </c>
      <c r="E12" s="1145">
        <v>0</v>
      </c>
      <c r="F12" s="1145">
        <v>0</v>
      </c>
      <c r="G12" s="1145">
        <v>0.36599999999999999</v>
      </c>
      <c r="H12" s="1145">
        <v>0</v>
      </c>
      <c r="I12" s="1145">
        <v>0</v>
      </c>
      <c r="J12" s="1145">
        <v>0</v>
      </c>
      <c r="K12" s="1145">
        <v>0</v>
      </c>
      <c r="L12" s="1145">
        <v>0</v>
      </c>
      <c r="M12" s="1145">
        <v>0</v>
      </c>
      <c r="N12" s="1145">
        <v>0</v>
      </c>
      <c r="O12" s="1145">
        <v>0</v>
      </c>
      <c r="P12" s="1145">
        <v>0</v>
      </c>
      <c r="Q12" s="1145">
        <v>0</v>
      </c>
      <c r="R12" s="1145">
        <v>0</v>
      </c>
      <c r="S12" s="1145">
        <v>0</v>
      </c>
      <c r="T12" s="1145">
        <v>0</v>
      </c>
      <c r="U12" s="1145">
        <v>0</v>
      </c>
      <c r="V12" s="1145">
        <v>0</v>
      </c>
      <c r="W12" s="1145">
        <v>0</v>
      </c>
      <c r="X12" s="1145">
        <v>0</v>
      </c>
      <c r="Y12" s="1145">
        <v>0</v>
      </c>
      <c r="Z12" s="1145">
        <v>0</v>
      </c>
      <c r="AA12" s="1145">
        <v>0</v>
      </c>
      <c r="AB12" s="1145">
        <v>0</v>
      </c>
      <c r="AC12" s="1145">
        <v>0</v>
      </c>
      <c r="AD12" s="1145">
        <v>0</v>
      </c>
      <c r="AE12" s="1145">
        <v>0</v>
      </c>
      <c r="AF12" s="1145">
        <v>0</v>
      </c>
      <c r="AG12" s="1145">
        <v>0</v>
      </c>
      <c r="AH12" s="187">
        <f t="shared" si="1"/>
        <v>0.36599999999999999</v>
      </c>
    </row>
    <row r="13" spans="1:34" ht="12.75">
      <c r="A13" s="1740" t="s">
        <v>81</v>
      </c>
      <c r="B13" s="159">
        <f t="shared" si="0"/>
        <v>0.5</v>
      </c>
      <c r="C13" s="1145">
        <v>0</v>
      </c>
      <c r="D13" s="1145">
        <v>0</v>
      </c>
      <c r="E13" s="1145">
        <v>0</v>
      </c>
      <c r="F13" s="1145">
        <v>0</v>
      </c>
      <c r="G13" s="1145">
        <v>0</v>
      </c>
      <c r="H13" s="1145">
        <v>0</v>
      </c>
      <c r="I13" s="1145">
        <v>0</v>
      </c>
      <c r="J13" s="1145">
        <v>0</v>
      </c>
      <c r="K13" s="1145">
        <v>0</v>
      </c>
      <c r="L13" s="1145">
        <v>0</v>
      </c>
      <c r="M13" s="1145">
        <v>0</v>
      </c>
      <c r="N13" s="1145">
        <v>0</v>
      </c>
      <c r="O13" s="1145">
        <v>0</v>
      </c>
      <c r="P13" s="1145">
        <v>0</v>
      </c>
      <c r="Q13" s="1145">
        <v>0</v>
      </c>
      <c r="R13" s="1145">
        <v>0</v>
      </c>
      <c r="S13" s="1145">
        <v>0</v>
      </c>
      <c r="T13" s="1145">
        <v>0</v>
      </c>
      <c r="U13" s="1145">
        <v>0.5</v>
      </c>
      <c r="V13" s="1145">
        <v>0</v>
      </c>
      <c r="W13" s="1145">
        <v>0</v>
      </c>
      <c r="X13" s="1145">
        <v>0</v>
      </c>
      <c r="Y13" s="1145">
        <v>0</v>
      </c>
      <c r="Z13" s="1145">
        <v>0</v>
      </c>
      <c r="AA13" s="1145">
        <v>0</v>
      </c>
      <c r="AB13" s="1145">
        <v>0</v>
      </c>
      <c r="AC13" s="1145">
        <v>0</v>
      </c>
      <c r="AD13" s="1145">
        <v>0</v>
      </c>
      <c r="AE13" s="1145">
        <v>0</v>
      </c>
      <c r="AF13" s="1145">
        <v>0</v>
      </c>
      <c r="AG13" s="1145">
        <v>0</v>
      </c>
      <c r="AH13" s="187">
        <f t="shared" si="1"/>
        <v>0.5</v>
      </c>
    </row>
    <row r="14" spans="1:34" ht="12.75">
      <c r="A14" s="1740" t="s">
        <v>82</v>
      </c>
      <c r="B14" s="159">
        <f t="shared" si="0"/>
        <v>0</v>
      </c>
      <c r="C14" s="1145">
        <v>0</v>
      </c>
      <c r="D14" s="1221">
        <v>0</v>
      </c>
      <c r="E14" s="1145">
        <v>0</v>
      </c>
      <c r="F14" s="1145">
        <v>0</v>
      </c>
      <c r="G14" s="1145">
        <v>0</v>
      </c>
      <c r="H14" s="1145">
        <v>0</v>
      </c>
      <c r="I14" s="1145">
        <v>0</v>
      </c>
      <c r="J14" s="1145">
        <v>0</v>
      </c>
      <c r="K14" s="1145">
        <v>0</v>
      </c>
      <c r="L14" s="1145">
        <v>0</v>
      </c>
      <c r="M14" s="1145">
        <v>0</v>
      </c>
      <c r="N14" s="1145">
        <v>0</v>
      </c>
      <c r="O14" s="1145">
        <v>0</v>
      </c>
      <c r="P14" s="1145">
        <v>0</v>
      </c>
      <c r="Q14" s="1145">
        <v>0</v>
      </c>
      <c r="R14" s="1145">
        <v>0</v>
      </c>
      <c r="S14" s="1145">
        <v>0</v>
      </c>
      <c r="T14" s="1145">
        <v>0</v>
      </c>
      <c r="U14" s="1145">
        <v>0</v>
      </c>
      <c r="V14" s="1145">
        <v>0</v>
      </c>
      <c r="W14" s="1145">
        <v>0</v>
      </c>
      <c r="X14" s="1145">
        <v>0</v>
      </c>
      <c r="Y14" s="1145">
        <v>0</v>
      </c>
      <c r="Z14" s="1145">
        <v>0</v>
      </c>
      <c r="AA14" s="1145">
        <v>0</v>
      </c>
      <c r="AB14" s="1145">
        <v>0</v>
      </c>
      <c r="AC14" s="1145">
        <v>0</v>
      </c>
      <c r="AD14" s="1145">
        <v>0</v>
      </c>
      <c r="AE14" s="1145">
        <v>0</v>
      </c>
      <c r="AF14" s="1145">
        <v>0</v>
      </c>
      <c r="AG14" s="1145">
        <v>0</v>
      </c>
      <c r="AH14" s="187">
        <f t="shared" si="1"/>
        <v>0</v>
      </c>
    </row>
    <row r="15" spans="1:34" ht="12.75">
      <c r="A15" s="1740" t="s">
        <v>83</v>
      </c>
      <c r="B15" s="159">
        <f t="shared" si="0"/>
        <v>0</v>
      </c>
      <c r="C15" s="1145">
        <v>0</v>
      </c>
      <c r="D15" s="1145">
        <v>0</v>
      </c>
      <c r="E15" s="1145">
        <v>0</v>
      </c>
      <c r="F15" s="1145">
        <v>0</v>
      </c>
      <c r="G15" s="1145">
        <v>0</v>
      </c>
      <c r="H15" s="1145">
        <v>0</v>
      </c>
      <c r="I15" s="1145">
        <v>0</v>
      </c>
      <c r="J15" s="1145">
        <v>0</v>
      </c>
      <c r="K15" s="1145">
        <v>0</v>
      </c>
      <c r="L15" s="1145">
        <v>0</v>
      </c>
      <c r="M15" s="1145">
        <v>0</v>
      </c>
      <c r="N15" s="1145">
        <v>0</v>
      </c>
      <c r="O15" s="1145">
        <v>0</v>
      </c>
      <c r="P15" s="1145">
        <v>0</v>
      </c>
      <c r="Q15" s="1145">
        <v>0</v>
      </c>
      <c r="R15" s="1145">
        <v>0</v>
      </c>
      <c r="S15" s="1145">
        <v>0</v>
      </c>
      <c r="T15" s="1145">
        <v>0</v>
      </c>
      <c r="U15" s="1145">
        <v>0</v>
      </c>
      <c r="V15" s="1145">
        <v>0</v>
      </c>
      <c r="W15" s="1145">
        <v>0</v>
      </c>
      <c r="X15" s="1145">
        <v>0</v>
      </c>
      <c r="Y15" s="1145">
        <v>0</v>
      </c>
      <c r="Z15" s="1145">
        <v>0</v>
      </c>
      <c r="AA15" s="1145">
        <v>0</v>
      </c>
      <c r="AB15" s="1145">
        <v>0</v>
      </c>
      <c r="AC15" s="1145">
        <v>0</v>
      </c>
      <c r="AD15" s="1145">
        <v>0</v>
      </c>
      <c r="AE15" s="1145">
        <v>0</v>
      </c>
      <c r="AF15" s="1145">
        <v>0</v>
      </c>
      <c r="AG15" s="1222">
        <v>0</v>
      </c>
      <c r="AH15" s="187">
        <f t="shared" si="1"/>
        <v>0</v>
      </c>
    </row>
    <row r="16" spans="1:34" ht="12.75">
      <c r="A16" s="1740" t="s">
        <v>84</v>
      </c>
      <c r="B16" s="159">
        <f t="shared" si="0"/>
        <v>1</v>
      </c>
      <c r="C16" s="1145">
        <v>0</v>
      </c>
      <c r="D16" s="1145">
        <v>0</v>
      </c>
      <c r="E16" s="1145">
        <v>0</v>
      </c>
      <c r="F16" s="1145">
        <v>0</v>
      </c>
      <c r="G16" s="1145">
        <v>0</v>
      </c>
      <c r="H16" s="1145">
        <v>0</v>
      </c>
      <c r="I16" s="1145">
        <v>0</v>
      </c>
      <c r="J16" s="1145">
        <v>0</v>
      </c>
      <c r="K16" s="1145">
        <v>0</v>
      </c>
      <c r="L16" s="1145">
        <v>0</v>
      </c>
      <c r="M16" s="1145">
        <v>0</v>
      </c>
      <c r="N16" s="1145">
        <v>0</v>
      </c>
      <c r="O16" s="1145">
        <v>0</v>
      </c>
      <c r="P16" s="1145">
        <v>0</v>
      </c>
      <c r="Q16" s="1145">
        <v>1</v>
      </c>
      <c r="R16" s="1145">
        <v>0</v>
      </c>
      <c r="S16" s="1145">
        <v>0</v>
      </c>
      <c r="T16" s="1145">
        <v>0</v>
      </c>
      <c r="U16" s="1145">
        <v>0</v>
      </c>
      <c r="V16" s="1145">
        <v>0</v>
      </c>
      <c r="W16" s="1145">
        <v>0</v>
      </c>
      <c r="X16" s="1145">
        <v>0</v>
      </c>
      <c r="Y16" s="1145">
        <v>0</v>
      </c>
      <c r="Z16" s="1145">
        <v>0</v>
      </c>
      <c r="AA16" s="1145">
        <v>0</v>
      </c>
      <c r="AB16" s="1145">
        <v>0</v>
      </c>
      <c r="AC16" s="1145">
        <v>0</v>
      </c>
      <c r="AD16" s="1145">
        <v>0</v>
      </c>
      <c r="AE16" s="1145">
        <v>0</v>
      </c>
      <c r="AF16" s="1145">
        <v>0</v>
      </c>
      <c r="AG16" s="1145">
        <v>0</v>
      </c>
      <c r="AH16" s="187">
        <f t="shared" si="1"/>
        <v>1</v>
      </c>
    </row>
    <row r="17" spans="1:34" ht="12.75">
      <c r="A17" s="1740" t="s">
        <v>85</v>
      </c>
      <c r="B17" s="159">
        <f t="shared" si="0"/>
        <v>0</v>
      </c>
      <c r="C17" s="1145">
        <v>0</v>
      </c>
      <c r="D17" s="1145">
        <v>0</v>
      </c>
      <c r="E17" s="1145">
        <v>0</v>
      </c>
      <c r="F17" s="1145">
        <v>0</v>
      </c>
      <c r="G17" s="1145">
        <v>0</v>
      </c>
      <c r="H17" s="1145">
        <v>0</v>
      </c>
      <c r="I17" s="1145">
        <v>0</v>
      </c>
      <c r="J17" s="1145">
        <v>0</v>
      </c>
      <c r="K17" s="1145">
        <v>0</v>
      </c>
      <c r="L17" s="1145">
        <v>0</v>
      </c>
      <c r="M17" s="1145">
        <v>0</v>
      </c>
      <c r="N17" s="1145">
        <v>0</v>
      </c>
      <c r="O17" s="1145">
        <v>0</v>
      </c>
      <c r="P17" s="1145">
        <v>0</v>
      </c>
      <c r="Q17" s="1145">
        <v>0</v>
      </c>
      <c r="R17" s="1145">
        <v>0</v>
      </c>
      <c r="S17" s="1145">
        <v>0</v>
      </c>
      <c r="T17" s="1145">
        <v>0</v>
      </c>
      <c r="U17" s="1145">
        <v>0</v>
      </c>
      <c r="V17" s="1145">
        <v>0</v>
      </c>
      <c r="W17" s="1145">
        <v>0</v>
      </c>
      <c r="X17" s="1145">
        <v>0</v>
      </c>
      <c r="Y17" s="1145">
        <v>0</v>
      </c>
      <c r="Z17" s="1145">
        <v>0</v>
      </c>
      <c r="AA17" s="1145">
        <v>0</v>
      </c>
      <c r="AB17" s="1145">
        <v>0</v>
      </c>
      <c r="AC17" s="1145">
        <v>0</v>
      </c>
      <c r="AD17" s="1145">
        <v>0</v>
      </c>
      <c r="AE17" s="1145">
        <v>0</v>
      </c>
      <c r="AF17" s="1145">
        <v>0</v>
      </c>
      <c r="AG17" s="1145">
        <v>0</v>
      </c>
      <c r="AH17" s="187">
        <f t="shared" si="1"/>
        <v>0</v>
      </c>
    </row>
    <row r="18" spans="1:34" ht="12.75">
      <c r="A18" s="1740" t="s">
        <v>86</v>
      </c>
      <c r="B18" s="159">
        <f t="shared" si="0"/>
        <v>0</v>
      </c>
      <c r="C18" s="1145"/>
      <c r="D18" s="1145"/>
      <c r="E18" s="1145"/>
      <c r="F18" s="1145"/>
      <c r="G18" s="1145"/>
      <c r="H18" s="1145"/>
      <c r="I18" s="1145"/>
      <c r="J18" s="1145"/>
      <c r="K18" s="1145"/>
      <c r="L18" s="1145"/>
      <c r="M18" s="1145"/>
      <c r="N18" s="1145"/>
      <c r="O18" s="1145"/>
      <c r="P18" s="1145"/>
      <c r="Q18" s="1145"/>
      <c r="R18" s="1145"/>
      <c r="S18" s="1145"/>
      <c r="T18" s="1145"/>
      <c r="U18" s="1145"/>
      <c r="V18" s="1145"/>
      <c r="W18" s="1145"/>
      <c r="X18" s="1145"/>
      <c r="Y18" s="1145"/>
      <c r="Z18" s="1145"/>
      <c r="AA18" s="1145"/>
      <c r="AB18" s="1145"/>
      <c r="AC18" s="1145"/>
      <c r="AD18" s="1145"/>
      <c r="AE18" s="1145"/>
      <c r="AF18" s="1145"/>
      <c r="AG18" s="1145"/>
      <c r="AH18" s="187">
        <f t="shared" si="1"/>
        <v>0</v>
      </c>
    </row>
    <row r="19" spans="1:34" ht="12.75">
      <c r="A19" s="665" t="s">
        <v>74</v>
      </c>
      <c r="B19" s="186">
        <f t="shared" ref="B19:AG19" si="2">SUM(B7:B18)</f>
        <v>4.0060000000000002</v>
      </c>
      <c r="C19" s="187">
        <f t="shared" si="2"/>
        <v>0</v>
      </c>
      <c r="D19" s="187">
        <f t="shared" si="2"/>
        <v>0</v>
      </c>
      <c r="E19" s="187">
        <f t="shared" si="2"/>
        <v>0</v>
      </c>
      <c r="F19" s="187">
        <f t="shared" si="2"/>
        <v>0</v>
      </c>
      <c r="G19" s="187">
        <f t="shared" si="2"/>
        <v>0.36599999999999999</v>
      </c>
      <c r="H19" s="187">
        <f t="shared" si="2"/>
        <v>0</v>
      </c>
      <c r="I19" s="187">
        <f t="shared" si="2"/>
        <v>0</v>
      </c>
      <c r="J19" s="187">
        <f t="shared" si="2"/>
        <v>0.33999999999999997</v>
      </c>
      <c r="K19" s="187">
        <f t="shared" si="2"/>
        <v>0</v>
      </c>
      <c r="L19" s="187">
        <f t="shared" si="2"/>
        <v>0</v>
      </c>
      <c r="M19" s="187">
        <f t="shared" si="2"/>
        <v>0</v>
      </c>
      <c r="N19" s="187">
        <f t="shared" si="2"/>
        <v>0</v>
      </c>
      <c r="O19" s="187">
        <f t="shared" si="2"/>
        <v>0</v>
      </c>
      <c r="P19" s="187">
        <f t="shared" si="2"/>
        <v>0</v>
      </c>
      <c r="Q19" s="187">
        <f t="shared" si="2"/>
        <v>1</v>
      </c>
      <c r="R19" s="187">
        <f t="shared" si="2"/>
        <v>0</v>
      </c>
      <c r="S19" s="187">
        <f t="shared" si="2"/>
        <v>0</v>
      </c>
      <c r="T19" s="187">
        <f t="shared" si="2"/>
        <v>1.8</v>
      </c>
      <c r="U19" s="187">
        <f t="shared" si="2"/>
        <v>0.5</v>
      </c>
      <c r="V19" s="187">
        <f t="shared" si="2"/>
        <v>0</v>
      </c>
      <c r="W19" s="187">
        <f t="shared" si="2"/>
        <v>0</v>
      </c>
      <c r="X19" s="187">
        <f t="shared" si="2"/>
        <v>0</v>
      </c>
      <c r="Y19" s="187">
        <f t="shared" si="2"/>
        <v>0</v>
      </c>
      <c r="Z19" s="187">
        <f t="shared" si="2"/>
        <v>0</v>
      </c>
      <c r="AA19" s="187">
        <f t="shared" si="2"/>
        <v>0</v>
      </c>
      <c r="AB19" s="187">
        <f t="shared" si="2"/>
        <v>0</v>
      </c>
      <c r="AC19" s="187">
        <f t="shared" si="2"/>
        <v>0</v>
      </c>
      <c r="AD19" s="187">
        <f t="shared" si="2"/>
        <v>0</v>
      </c>
      <c r="AE19" s="187">
        <f t="shared" si="2"/>
        <v>0</v>
      </c>
      <c r="AF19" s="187">
        <f t="shared" si="2"/>
        <v>0</v>
      </c>
      <c r="AG19" s="187">
        <f t="shared" si="2"/>
        <v>0</v>
      </c>
      <c r="AH19" s="187">
        <f t="shared" si="1"/>
        <v>4.0060000000000002</v>
      </c>
    </row>
    <row r="20" spans="1:34" ht="12.75">
      <c r="A20" s="177"/>
      <c r="B20" s="177"/>
      <c r="C20" s="177"/>
      <c r="D20" s="64"/>
      <c r="E20" s="64"/>
      <c r="F20" s="64"/>
      <c r="G20" s="64"/>
      <c r="H20" s="64"/>
      <c r="I20" s="64"/>
      <c r="J20" s="64"/>
      <c r="K20" s="64"/>
      <c r="L20" s="176"/>
      <c r="M20" s="64"/>
      <c r="N20" s="64"/>
      <c r="O20" s="64"/>
      <c r="P20" s="64"/>
      <c r="Q20" s="64"/>
      <c r="R20" s="64"/>
      <c r="S20" s="64"/>
      <c r="T20" s="64"/>
      <c r="U20" s="64"/>
      <c r="V20" s="64"/>
      <c r="W20" s="64"/>
      <c r="X20" s="64"/>
      <c r="Y20" s="64"/>
      <c r="Z20" s="64"/>
      <c r="AA20" s="64"/>
      <c r="AB20" s="64"/>
      <c r="AC20" s="64"/>
      <c r="AD20" s="64"/>
      <c r="AE20" s="64"/>
      <c r="AF20" s="64"/>
      <c r="AG20" s="64"/>
      <c r="AH20" s="177"/>
    </row>
    <row r="21" spans="1:34" ht="12.75">
      <c r="A21" s="3605" t="s">
        <v>87</v>
      </c>
      <c r="B21" s="3606"/>
      <c r="C21" s="3607"/>
      <c r="D21" s="64"/>
      <c r="E21" s="64"/>
      <c r="F21" s="64"/>
      <c r="G21" s="1404"/>
      <c r="H21" s="64"/>
      <c r="I21" s="64"/>
      <c r="J21" s="64"/>
      <c r="K21" s="64"/>
      <c r="L21" s="64"/>
      <c r="M21" s="176"/>
      <c r="N21" s="64"/>
      <c r="O21" s="64"/>
      <c r="P21" s="64"/>
      <c r="Q21" s="64"/>
      <c r="R21" s="64"/>
      <c r="S21" s="64"/>
      <c r="T21" s="64"/>
      <c r="U21" s="64"/>
      <c r="V21" s="64"/>
      <c r="W21" s="64"/>
      <c r="X21" s="64"/>
      <c r="Y21" s="64"/>
      <c r="Z21" s="64"/>
      <c r="AA21" s="64"/>
      <c r="AB21" s="64"/>
      <c r="AC21" s="64"/>
      <c r="AD21" s="64"/>
      <c r="AE21" s="64"/>
      <c r="AF21" s="64"/>
      <c r="AG21" s="64"/>
      <c r="AH21" s="177"/>
    </row>
    <row r="22" spans="1:34" ht="12.75">
      <c r="A22" s="178" t="s">
        <v>72</v>
      </c>
      <c r="B22" s="179" t="s">
        <v>73</v>
      </c>
      <c r="C22" s="178">
        <v>1</v>
      </c>
      <c r="D22" s="179">
        <v>2</v>
      </c>
      <c r="E22" s="179">
        <v>3</v>
      </c>
      <c r="F22" s="179">
        <v>4</v>
      </c>
      <c r="G22" s="179">
        <v>5</v>
      </c>
      <c r="H22" s="179">
        <v>6</v>
      </c>
      <c r="I22" s="179">
        <v>7</v>
      </c>
      <c r="J22" s="179">
        <v>8</v>
      </c>
      <c r="K22" s="179">
        <v>9</v>
      </c>
      <c r="L22" s="179">
        <v>10</v>
      </c>
      <c r="M22" s="179">
        <v>11</v>
      </c>
      <c r="N22" s="179">
        <v>12</v>
      </c>
      <c r="O22" s="179">
        <v>13</v>
      </c>
      <c r="P22" s="179">
        <v>14</v>
      </c>
      <c r="Q22" s="179">
        <v>15</v>
      </c>
      <c r="R22" s="179">
        <v>16</v>
      </c>
      <c r="S22" s="179">
        <v>17</v>
      </c>
      <c r="T22" s="179">
        <v>18</v>
      </c>
      <c r="U22" s="179">
        <v>19</v>
      </c>
      <c r="V22" s="179">
        <v>20</v>
      </c>
      <c r="W22" s="179">
        <v>21</v>
      </c>
      <c r="X22" s="179">
        <v>22</v>
      </c>
      <c r="Y22" s="179">
        <v>23</v>
      </c>
      <c r="Z22" s="179">
        <v>24</v>
      </c>
      <c r="AA22" s="179">
        <v>25</v>
      </c>
      <c r="AB22" s="179">
        <v>26</v>
      </c>
      <c r="AC22" s="179">
        <v>27</v>
      </c>
      <c r="AD22" s="179">
        <v>28</v>
      </c>
      <c r="AE22" s="179">
        <v>29</v>
      </c>
      <c r="AF22" s="179">
        <v>30</v>
      </c>
      <c r="AG22" s="179">
        <v>31</v>
      </c>
      <c r="AH22" s="891" t="s">
        <v>74</v>
      </c>
    </row>
    <row r="23" spans="1:34" ht="12.75">
      <c r="A23" s="1998" t="s">
        <v>75</v>
      </c>
      <c r="B23" s="159">
        <f>+AH23</f>
        <v>13.685000000000002</v>
      </c>
      <c r="C23" s="185"/>
      <c r="D23" s="185"/>
      <c r="E23" s="185"/>
      <c r="F23" s="185"/>
      <c r="G23" s="1231">
        <v>0.79</v>
      </c>
      <c r="H23" s="185"/>
      <c r="I23" s="185"/>
      <c r="J23" s="185">
        <v>9.26</v>
      </c>
      <c r="K23" s="185"/>
      <c r="L23" s="185"/>
      <c r="M23" s="185"/>
      <c r="N23" s="185">
        <v>0.08</v>
      </c>
      <c r="O23" s="185"/>
      <c r="P23" s="185"/>
      <c r="Q23" s="185"/>
      <c r="R23" s="185"/>
      <c r="S23" s="185"/>
      <c r="T23" s="185"/>
      <c r="U23" s="185"/>
      <c r="V23" s="185"/>
      <c r="W23" s="185"/>
      <c r="X23" s="185">
        <v>5.0000000000000001E-3</v>
      </c>
      <c r="Y23" s="185"/>
      <c r="Z23" s="185"/>
      <c r="AA23" s="185"/>
      <c r="AB23" s="185"/>
      <c r="AC23" s="185"/>
      <c r="AD23" s="185"/>
      <c r="AE23" s="185">
        <v>0.2</v>
      </c>
      <c r="AF23" s="185">
        <v>0.05</v>
      </c>
      <c r="AG23" s="185">
        <v>3.3</v>
      </c>
      <c r="AH23" s="187">
        <f>SUM(C23:AG23)</f>
        <v>13.685000000000002</v>
      </c>
    </row>
    <row r="24" spans="1:34" ht="12.75">
      <c r="A24" s="1998" t="s">
        <v>76</v>
      </c>
      <c r="B24" s="159">
        <f t="shared" ref="B24:B34" si="3">+AH24</f>
        <v>4.0600000000000005</v>
      </c>
      <c r="C24" s="185"/>
      <c r="D24" s="1223">
        <v>0.02</v>
      </c>
      <c r="E24" s="1223"/>
      <c r="F24" s="1223"/>
      <c r="G24" s="1223"/>
      <c r="H24" s="1223"/>
      <c r="I24" s="1223"/>
      <c r="J24" s="1223">
        <v>0.2</v>
      </c>
      <c r="K24" s="1223">
        <v>0.42</v>
      </c>
      <c r="L24" s="1223">
        <v>0.05</v>
      </c>
      <c r="M24" s="1223"/>
      <c r="N24" s="1223"/>
      <c r="O24" s="1223"/>
      <c r="P24" s="1223"/>
      <c r="Q24" s="1223"/>
      <c r="R24" s="1223"/>
      <c r="S24" s="1223"/>
      <c r="T24" s="1223"/>
      <c r="U24" s="1223"/>
      <c r="V24" s="1223"/>
      <c r="W24" s="1223"/>
      <c r="X24" s="1223">
        <v>0.05</v>
      </c>
      <c r="Y24" s="185">
        <v>0.12</v>
      </c>
      <c r="Z24" s="185"/>
      <c r="AA24" s="185"/>
      <c r="AB24" s="185"/>
      <c r="AC24" s="185"/>
      <c r="AD24" s="185">
        <v>3.2</v>
      </c>
      <c r="AE24" s="185"/>
      <c r="AF24" s="185"/>
      <c r="AG24" s="185"/>
      <c r="AH24" s="187">
        <f t="shared" ref="AH24:AH34" si="4">SUM(C24:AG24)</f>
        <v>4.0600000000000005</v>
      </c>
    </row>
    <row r="25" spans="1:34" ht="12.75">
      <c r="A25" s="1998" t="s">
        <v>77</v>
      </c>
      <c r="B25" s="159">
        <f t="shared" si="3"/>
        <v>3.1999999999999997</v>
      </c>
      <c r="C25" s="667"/>
      <c r="D25" s="667"/>
      <c r="E25" s="1224"/>
      <c r="F25" s="1225"/>
      <c r="G25" s="1226"/>
      <c r="H25" s="675">
        <v>1.44</v>
      </c>
      <c r="I25" s="668"/>
      <c r="J25" s="667">
        <v>0.23</v>
      </c>
      <c r="K25" s="678"/>
      <c r="L25" s="678"/>
      <c r="M25" s="667"/>
      <c r="N25" s="667"/>
      <c r="O25" s="667"/>
      <c r="P25" s="675"/>
      <c r="Q25" s="675"/>
      <c r="R25" s="675"/>
      <c r="S25" s="675"/>
      <c r="T25" s="675"/>
      <c r="U25" s="668"/>
      <c r="V25" s="675"/>
      <c r="W25" s="675"/>
      <c r="X25" s="668"/>
      <c r="Y25" s="675"/>
      <c r="Z25" s="668"/>
      <c r="AA25" s="675"/>
      <c r="AB25" s="675"/>
      <c r="AC25" s="668">
        <v>1.1299999999999999</v>
      </c>
      <c r="AD25" s="668">
        <v>0.4</v>
      </c>
      <c r="AE25" s="1227"/>
      <c r="AF25" s="678"/>
      <c r="AG25" s="678"/>
      <c r="AH25" s="187">
        <f t="shared" si="4"/>
        <v>3.1999999999999997</v>
      </c>
    </row>
    <row r="26" spans="1:34" ht="12.75">
      <c r="A26" s="1998" t="s">
        <v>78</v>
      </c>
      <c r="B26" s="159">
        <f t="shared" si="3"/>
        <v>12.149999999999999</v>
      </c>
      <c r="C26" s="672"/>
      <c r="E26" s="1228"/>
      <c r="F26" s="1229"/>
      <c r="G26" s="288"/>
      <c r="H26" s="1230">
        <v>5.77</v>
      </c>
      <c r="I26" s="675"/>
      <c r="J26" s="668"/>
      <c r="K26" s="668"/>
      <c r="L26" s="668"/>
      <c r="M26" s="678"/>
      <c r="N26" s="667"/>
      <c r="O26" s="678"/>
      <c r="P26" s="678"/>
      <c r="Q26" s="668"/>
      <c r="R26" s="668">
        <v>1.57</v>
      </c>
      <c r="S26" s="675"/>
      <c r="T26" s="675">
        <v>0.51</v>
      </c>
      <c r="U26" s="667"/>
      <c r="V26" s="675"/>
      <c r="W26" s="675">
        <v>0.2</v>
      </c>
      <c r="X26" s="675"/>
      <c r="Y26" s="675"/>
      <c r="Z26" s="675"/>
      <c r="AA26" s="668"/>
      <c r="AB26" s="668"/>
      <c r="AC26" s="667">
        <v>0.3</v>
      </c>
      <c r="AD26" s="668"/>
      <c r="AE26" s="675"/>
      <c r="AF26" s="678">
        <v>3.8</v>
      </c>
      <c r="AG26" s="678"/>
      <c r="AH26" s="187">
        <f t="shared" si="4"/>
        <v>12.149999999999999</v>
      </c>
    </row>
    <row r="27" spans="1:34" ht="12.75">
      <c r="A27" s="1998" t="s">
        <v>79</v>
      </c>
      <c r="B27" s="159">
        <f t="shared" si="3"/>
        <v>13.99</v>
      </c>
      <c r="C27" s="185"/>
      <c r="D27" s="185"/>
      <c r="E27" s="185"/>
      <c r="F27" s="185"/>
      <c r="G27" s="185"/>
      <c r="H27" s="185"/>
      <c r="I27" s="185"/>
      <c r="J27" s="185"/>
      <c r="K27" s="185">
        <v>9.7200000000000006</v>
      </c>
      <c r="L27" s="185">
        <v>1.17</v>
      </c>
      <c r="M27" s="185"/>
      <c r="N27" s="185">
        <v>0.2</v>
      </c>
      <c r="O27" s="185"/>
      <c r="P27" s="185"/>
      <c r="Q27" s="185"/>
      <c r="R27" s="185"/>
      <c r="S27" s="185">
        <v>2.9</v>
      </c>
      <c r="T27" s="185"/>
      <c r="U27" s="185"/>
      <c r="V27" s="185"/>
      <c r="W27" s="185"/>
      <c r="X27" s="185"/>
      <c r="Y27" s="185"/>
      <c r="Z27" s="185"/>
      <c r="AA27" s="185"/>
      <c r="AB27" s="185"/>
      <c r="AC27" s="185"/>
      <c r="AD27" s="185"/>
      <c r="AE27" s="185"/>
      <c r="AF27" s="185"/>
      <c r="AG27" s="185"/>
      <c r="AH27" s="187">
        <f t="shared" si="4"/>
        <v>13.99</v>
      </c>
    </row>
    <row r="28" spans="1:34" ht="12.75">
      <c r="A28" s="1998" t="s">
        <v>80</v>
      </c>
      <c r="B28" s="159">
        <f t="shared" si="3"/>
        <v>3.2</v>
      </c>
      <c r="C28" s="185"/>
      <c r="D28" s="185"/>
      <c r="E28" s="185"/>
      <c r="F28" s="185"/>
      <c r="G28" s="185"/>
      <c r="H28" s="185"/>
      <c r="I28" s="185"/>
      <c r="J28" s="185"/>
      <c r="K28" s="185"/>
      <c r="L28" s="185">
        <v>3.2</v>
      </c>
      <c r="M28" s="185"/>
      <c r="N28" s="185"/>
      <c r="O28" s="185"/>
      <c r="P28" s="185"/>
      <c r="Q28" s="185"/>
      <c r="R28" s="185"/>
      <c r="S28" s="185"/>
      <c r="T28" s="185"/>
      <c r="U28" s="185"/>
      <c r="V28" s="185"/>
      <c r="W28" s="185"/>
      <c r="X28" s="185"/>
      <c r="Y28" s="185"/>
      <c r="Z28" s="185"/>
      <c r="AA28" s="185"/>
      <c r="AB28" s="185"/>
      <c r="AC28" s="185"/>
      <c r="AD28" s="185"/>
      <c r="AE28" s="185"/>
      <c r="AF28" s="185"/>
      <c r="AG28" s="185"/>
      <c r="AH28" s="187">
        <f t="shared" si="4"/>
        <v>3.2</v>
      </c>
    </row>
    <row r="29" spans="1:34" ht="12.75">
      <c r="A29" s="1740" t="s">
        <v>81</v>
      </c>
      <c r="B29" s="159">
        <f t="shared" si="3"/>
        <v>0</v>
      </c>
      <c r="C29" s="185"/>
      <c r="D29" s="185"/>
      <c r="E29" s="185"/>
      <c r="F29" s="185"/>
      <c r="G29" s="185"/>
      <c r="H29" s="185"/>
      <c r="I29" s="185"/>
      <c r="J29" s="185"/>
      <c r="K29" s="185"/>
      <c r="L29" s="185"/>
      <c r="M29" s="185"/>
      <c r="N29" s="185"/>
      <c r="O29" s="185"/>
      <c r="P29" s="185"/>
      <c r="Q29" s="185"/>
      <c r="R29" s="185"/>
      <c r="S29" s="185"/>
      <c r="T29" s="185"/>
      <c r="U29" s="185"/>
      <c r="V29" s="185"/>
      <c r="W29" s="185"/>
      <c r="X29" s="185"/>
      <c r="Y29" s="185"/>
      <c r="Z29" s="185"/>
      <c r="AA29" s="185"/>
      <c r="AB29" s="185"/>
      <c r="AC29" s="185"/>
      <c r="AD29" s="185"/>
      <c r="AE29" s="185"/>
      <c r="AF29" s="185"/>
      <c r="AG29" s="185"/>
      <c r="AH29" s="187">
        <f t="shared" si="4"/>
        <v>0</v>
      </c>
    </row>
    <row r="30" spans="1:34" ht="12.75">
      <c r="A30" s="1740" t="s">
        <v>82</v>
      </c>
      <c r="B30" s="159">
        <f t="shared" si="3"/>
        <v>0</v>
      </c>
      <c r="C30" s="185"/>
      <c r="D30" s="185"/>
      <c r="E30" s="185"/>
      <c r="F30" s="185"/>
      <c r="G30" s="185"/>
      <c r="H30" s="185"/>
      <c r="I30" s="185"/>
      <c r="J30" s="185"/>
      <c r="K30" s="185"/>
      <c r="L30" s="185"/>
      <c r="M30" s="185"/>
      <c r="N30" s="185"/>
      <c r="O30" s="185"/>
      <c r="P30" s="185"/>
      <c r="Q30" s="185"/>
      <c r="R30" s="185"/>
      <c r="S30" s="185"/>
      <c r="T30" s="185"/>
      <c r="U30" s="185"/>
      <c r="V30" s="185"/>
      <c r="W30" s="185"/>
      <c r="X30" s="185"/>
      <c r="Y30" s="185"/>
      <c r="Z30" s="185"/>
      <c r="AA30" s="185"/>
      <c r="AB30" s="185"/>
      <c r="AC30" s="185"/>
      <c r="AD30" s="185"/>
      <c r="AE30" s="185"/>
      <c r="AF30" s="185"/>
      <c r="AG30" s="185"/>
      <c r="AH30" s="187">
        <f t="shared" si="4"/>
        <v>0</v>
      </c>
    </row>
    <row r="31" spans="1:34" ht="12.75">
      <c r="A31" s="1740" t="s">
        <v>83</v>
      </c>
      <c r="B31" s="159">
        <f t="shared" si="3"/>
        <v>2</v>
      </c>
      <c r="C31" s="185"/>
      <c r="D31" s="185"/>
      <c r="E31" s="185"/>
      <c r="F31" s="185"/>
      <c r="G31" s="185"/>
      <c r="H31" s="185"/>
      <c r="I31" s="185"/>
      <c r="J31" s="185"/>
      <c r="K31" s="185"/>
      <c r="L31" s="185"/>
      <c r="M31" s="185"/>
      <c r="N31" s="185">
        <v>2</v>
      </c>
      <c r="O31" s="185"/>
      <c r="P31" s="185"/>
      <c r="Q31" s="185"/>
      <c r="R31" s="185"/>
      <c r="S31" s="185"/>
      <c r="T31" s="185"/>
      <c r="U31" s="185"/>
      <c r="V31" s="185"/>
      <c r="W31" s="185"/>
      <c r="X31" s="185"/>
      <c r="Y31" s="185"/>
      <c r="Z31" s="185"/>
      <c r="AA31" s="185"/>
      <c r="AB31" s="185"/>
      <c r="AC31" s="185"/>
      <c r="AD31" s="185"/>
      <c r="AE31" s="185"/>
      <c r="AF31" s="185"/>
      <c r="AG31" s="185"/>
      <c r="AH31" s="187">
        <f t="shared" si="4"/>
        <v>2</v>
      </c>
    </row>
    <row r="32" spans="1:34" ht="12.75">
      <c r="A32" s="1740" t="s">
        <v>84</v>
      </c>
      <c r="B32" s="159">
        <f t="shared" si="3"/>
        <v>0.8</v>
      </c>
      <c r="C32" s="185"/>
      <c r="D32" s="185"/>
      <c r="E32" s="185"/>
      <c r="F32" s="185"/>
      <c r="G32" s="185"/>
      <c r="H32" s="185"/>
      <c r="I32" s="185"/>
      <c r="J32" s="185"/>
      <c r="K32" s="185"/>
      <c r="L32" s="185"/>
      <c r="M32" s="185">
        <v>0.8</v>
      </c>
      <c r="N32" s="185"/>
      <c r="O32" s="185"/>
      <c r="P32" s="185"/>
      <c r="Q32" s="185"/>
      <c r="R32" s="891"/>
      <c r="S32" s="891"/>
      <c r="T32" s="891"/>
      <c r="U32" s="891"/>
      <c r="V32" s="891"/>
      <c r="W32" s="891"/>
      <c r="X32" s="891"/>
      <c r="Y32" s="891"/>
      <c r="Z32" s="891"/>
      <c r="AA32" s="891"/>
      <c r="AB32" s="891"/>
      <c r="AC32" s="891"/>
      <c r="AD32" s="891"/>
      <c r="AE32" s="891"/>
      <c r="AF32" s="891"/>
      <c r="AG32" s="891"/>
      <c r="AH32" s="187">
        <f t="shared" si="4"/>
        <v>0.8</v>
      </c>
    </row>
    <row r="33" spans="1:34" ht="12.75">
      <c r="A33" s="1740" t="s">
        <v>85</v>
      </c>
      <c r="B33" s="159">
        <f t="shared" si="3"/>
        <v>0</v>
      </c>
      <c r="C33" s="185"/>
      <c r="D33" s="891"/>
      <c r="E33" s="891"/>
      <c r="F33" s="891"/>
      <c r="G33" s="891"/>
      <c r="H33" s="891"/>
      <c r="I33" s="891"/>
      <c r="J33" s="891"/>
      <c r="K33" s="891"/>
      <c r="L33" s="891"/>
      <c r="M33" s="891"/>
      <c r="N33" s="891"/>
      <c r="O33" s="891"/>
      <c r="P33" s="891"/>
      <c r="Q33" s="891"/>
      <c r="R33" s="1231"/>
      <c r="S33" s="1231"/>
      <c r="T33" s="1231"/>
      <c r="U33" s="1231"/>
      <c r="V33" s="1231"/>
      <c r="W33" s="1231"/>
      <c r="X33" s="1231"/>
      <c r="Y33" s="1231"/>
      <c r="Z33" s="1231"/>
      <c r="AA33" s="1231"/>
      <c r="AB33" s="1231"/>
      <c r="AC33" s="1231"/>
      <c r="AD33" s="1231"/>
      <c r="AE33" s="1231"/>
      <c r="AF33" s="1231"/>
      <c r="AG33" s="185"/>
      <c r="AH33" s="187">
        <f>SUM(C33:AG33)</f>
        <v>0</v>
      </c>
    </row>
    <row r="34" spans="1:34" ht="12.75">
      <c r="A34" s="1740" t="s">
        <v>86</v>
      </c>
      <c r="B34" s="159">
        <f t="shared" si="3"/>
        <v>0</v>
      </c>
      <c r="C34" s="185"/>
      <c r="D34" s="1231"/>
      <c r="E34" s="1231"/>
      <c r="F34" s="1231"/>
      <c r="G34" s="185"/>
      <c r="H34" s="185"/>
      <c r="I34" s="185"/>
      <c r="J34" s="185"/>
      <c r="K34" s="185"/>
      <c r="L34" s="185"/>
      <c r="M34" s="185"/>
      <c r="N34" s="185"/>
      <c r="O34" s="185"/>
      <c r="P34" s="185"/>
      <c r="Q34" s="185"/>
      <c r="R34" s="185"/>
      <c r="S34" s="185"/>
      <c r="T34" s="185"/>
      <c r="U34" s="185"/>
      <c r="V34" s="185"/>
      <c r="W34" s="185"/>
      <c r="X34" s="185"/>
      <c r="Y34" s="185"/>
      <c r="Z34" s="185"/>
      <c r="AA34" s="185"/>
      <c r="AB34" s="185"/>
      <c r="AC34" s="185"/>
      <c r="AD34" s="185"/>
      <c r="AE34" s="185"/>
      <c r="AF34" s="185"/>
      <c r="AG34" s="185"/>
      <c r="AH34" s="187">
        <f t="shared" si="4"/>
        <v>0</v>
      </c>
    </row>
    <row r="35" spans="1:34" ht="12.75">
      <c r="A35" s="665" t="s">
        <v>74</v>
      </c>
      <c r="B35" s="186">
        <f>SUM(B23:B34)</f>
        <v>53.085000000000001</v>
      </c>
      <c r="C35" s="187"/>
      <c r="D35" s="187"/>
      <c r="E35" s="187"/>
      <c r="F35" s="187"/>
      <c r="G35" s="187"/>
      <c r="H35" s="187"/>
      <c r="I35" s="187"/>
      <c r="J35" s="187"/>
      <c r="K35" s="187"/>
      <c r="L35" s="187"/>
      <c r="M35" s="187"/>
      <c r="N35" s="187"/>
      <c r="O35" s="187"/>
      <c r="P35" s="187"/>
      <c r="Q35" s="187"/>
      <c r="R35" s="187"/>
      <c r="S35" s="187"/>
      <c r="T35" s="187"/>
      <c r="U35" s="187"/>
      <c r="V35" s="187"/>
      <c r="W35" s="187"/>
      <c r="X35" s="187"/>
      <c r="Y35" s="187"/>
      <c r="Z35" s="187"/>
      <c r="AA35" s="187"/>
      <c r="AB35" s="187"/>
      <c r="AC35" s="187"/>
      <c r="AD35" s="187"/>
      <c r="AE35" s="187"/>
      <c r="AF35" s="187"/>
      <c r="AG35" s="187"/>
      <c r="AH35" s="187">
        <f>SUM(AH23:AH34)</f>
        <v>53.085000000000001</v>
      </c>
    </row>
    <row r="36" spans="1:34" ht="12.75">
      <c r="A36" s="680"/>
      <c r="B36" s="680"/>
      <c r="C36" s="177"/>
      <c r="D36" s="64"/>
      <c r="E36" s="64"/>
      <c r="F36" s="64"/>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c r="AF36" s="64"/>
      <c r="AG36" s="64"/>
      <c r="AH36" s="177"/>
    </row>
    <row r="37" spans="1:34" ht="12.75">
      <c r="A37" s="3605" t="s">
        <v>94</v>
      </c>
      <c r="B37" s="3606"/>
      <c r="C37" s="3606"/>
      <c r="D37" s="3607"/>
      <c r="E37" s="64"/>
      <c r="F37" s="64"/>
      <c r="G37" s="64"/>
      <c r="H37" s="64"/>
      <c r="I37" s="64"/>
      <c r="J37" s="64"/>
      <c r="K37" s="64"/>
      <c r="L37" s="64"/>
      <c r="M37" s="64"/>
      <c r="N37" s="64"/>
      <c r="O37" s="64"/>
      <c r="P37" s="64"/>
      <c r="Q37" s="64"/>
      <c r="R37" s="64"/>
      <c r="S37" s="64"/>
      <c r="T37" s="64"/>
      <c r="U37" s="64"/>
      <c r="V37" s="64"/>
      <c r="W37" s="64"/>
      <c r="X37" s="64"/>
      <c r="Y37" s="64"/>
      <c r="Z37" s="64"/>
      <c r="AA37" s="64"/>
      <c r="AB37" s="64"/>
      <c r="AC37" s="64"/>
      <c r="AD37" s="64"/>
      <c r="AE37" s="64"/>
      <c r="AF37" s="64"/>
      <c r="AG37" s="64"/>
      <c r="AH37" s="177"/>
    </row>
    <row r="38" spans="1:34" ht="12.75">
      <c r="A38" s="178" t="s">
        <v>72</v>
      </c>
      <c r="B38" s="179" t="s">
        <v>73</v>
      </c>
      <c r="C38" s="178">
        <v>1</v>
      </c>
      <c r="D38" s="179">
        <v>2</v>
      </c>
      <c r="E38" s="179">
        <v>3</v>
      </c>
      <c r="F38" s="179">
        <v>4</v>
      </c>
      <c r="G38" s="179">
        <v>5</v>
      </c>
      <c r="H38" s="179">
        <v>6</v>
      </c>
      <c r="I38" s="179">
        <v>7</v>
      </c>
      <c r="J38" s="179">
        <v>8</v>
      </c>
      <c r="K38" s="179">
        <v>9</v>
      </c>
      <c r="L38" s="179">
        <v>10</v>
      </c>
      <c r="M38" s="179">
        <v>11</v>
      </c>
      <c r="N38" s="179">
        <v>12</v>
      </c>
      <c r="O38" s="179">
        <v>13</v>
      </c>
      <c r="P38" s="179">
        <v>14</v>
      </c>
      <c r="Q38" s="179">
        <v>15</v>
      </c>
      <c r="R38" s="179">
        <v>16</v>
      </c>
      <c r="S38" s="179">
        <v>17</v>
      </c>
      <c r="T38" s="179">
        <v>18</v>
      </c>
      <c r="U38" s="179">
        <v>19</v>
      </c>
      <c r="V38" s="179">
        <v>20</v>
      </c>
      <c r="W38" s="179">
        <v>21</v>
      </c>
      <c r="X38" s="179">
        <v>22</v>
      </c>
      <c r="Y38" s="179">
        <v>23</v>
      </c>
      <c r="Z38" s="179">
        <v>24</v>
      </c>
      <c r="AA38" s="179">
        <v>25</v>
      </c>
      <c r="AB38" s="179">
        <v>26</v>
      </c>
      <c r="AC38" s="179">
        <v>27</v>
      </c>
      <c r="AD38" s="179">
        <v>28</v>
      </c>
      <c r="AE38" s="179">
        <v>29</v>
      </c>
      <c r="AF38" s="179">
        <v>30</v>
      </c>
      <c r="AG38" s="179">
        <v>31</v>
      </c>
      <c r="AH38" s="178" t="s">
        <v>74</v>
      </c>
    </row>
    <row r="39" spans="1:34" ht="12.75">
      <c r="A39" s="1268" t="s">
        <v>75</v>
      </c>
      <c r="B39" s="159">
        <f t="shared" ref="B39:B50" si="5">+AH39</f>
        <v>0.10500000000000001</v>
      </c>
      <c r="C39" s="183">
        <f>SUM(C56+C72)</f>
        <v>0</v>
      </c>
      <c r="D39" s="183">
        <f t="shared" ref="D39:AG40" si="6">SUM(D56+D72)</f>
        <v>0</v>
      </c>
      <c r="E39" s="183">
        <v>5.0000000000000001E-3</v>
      </c>
      <c r="F39" s="183"/>
      <c r="G39" s="183">
        <v>0.1</v>
      </c>
      <c r="H39" s="183"/>
      <c r="I39" s="183">
        <f t="shared" si="6"/>
        <v>0</v>
      </c>
      <c r="J39" s="183">
        <f t="shared" si="6"/>
        <v>0</v>
      </c>
      <c r="K39" s="183">
        <f t="shared" si="6"/>
        <v>0</v>
      </c>
      <c r="L39" s="183">
        <f t="shared" si="6"/>
        <v>0</v>
      </c>
      <c r="M39" s="183">
        <f t="shared" si="6"/>
        <v>0</v>
      </c>
      <c r="N39" s="183">
        <f t="shared" si="6"/>
        <v>0</v>
      </c>
      <c r="O39" s="183">
        <f t="shared" si="6"/>
        <v>0</v>
      </c>
      <c r="P39" s="183">
        <f t="shared" si="6"/>
        <v>0</v>
      </c>
      <c r="Q39" s="183">
        <f t="shared" si="6"/>
        <v>0</v>
      </c>
      <c r="R39" s="183">
        <f t="shared" si="6"/>
        <v>0</v>
      </c>
      <c r="S39" s="183">
        <f t="shared" si="6"/>
        <v>0</v>
      </c>
      <c r="T39" s="183">
        <f t="shared" si="6"/>
        <v>0</v>
      </c>
      <c r="U39" s="183">
        <f t="shared" si="6"/>
        <v>0</v>
      </c>
      <c r="V39" s="183">
        <f t="shared" si="6"/>
        <v>0</v>
      </c>
      <c r="W39" s="183">
        <f t="shared" si="6"/>
        <v>0</v>
      </c>
      <c r="X39" s="183">
        <f t="shared" si="6"/>
        <v>0</v>
      </c>
      <c r="Y39" s="183">
        <f t="shared" si="6"/>
        <v>0</v>
      </c>
      <c r="Z39" s="183">
        <f t="shared" si="6"/>
        <v>0</v>
      </c>
      <c r="AA39" s="183">
        <f t="shared" si="6"/>
        <v>0</v>
      </c>
      <c r="AB39" s="183">
        <f t="shared" si="6"/>
        <v>0</v>
      </c>
      <c r="AC39" s="183">
        <f t="shared" si="6"/>
        <v>0</v>
      </c>
      <c r="AD39" s="183">
        <f t="shared" si="6"/>
        <v>0</v>
      </c>
      <c r="AE39" s="183">
        <f t="shared" si="6"/>
        <v>0</v>
      </c>
      <c r="AF39" s="183">
        <f t="shared" si="6"/>
        <v>0</v>
      </c>
      <c r="AG39" s="183">
        <f t="shared" si="6"/>
        <v>0</v>
      </c>
      <c r="AH39" s="183">
        <f>SUM(C39:AG39)</f>
        <v>0.10500000000000001</v>
      </c>
    </row>
    <row r="40" spans="1:34" ht="12.75">
      <c r="A40" s="1268" t="s">
        <v>76</v>
      </c>
      <c r="B40" s="159">
        <f t="shared" si="5"/>
        <v>0.05</v>
      </c>
      <c r="C40" s="183">
        <f>SUM(C57+C73)</f>
        <v>0</v>
      </c>
      <c r="D40" s="183">
        <f t="shared" si="6"/>
        <v>0</v>
      </c>
      <c r="E40" s="183"/>
      <c r="F40" s="183"/>
      <c r="G40" s="183"/>
      <c r="H40" s="183">
        <v>0.05</v>
      </c>
      <c r="I40" s="183">
        <f t="shared" si="6"/>
        <v>0</v>
      </c>
      <c r="J40" s="183">
        <f t="shared" si="6"/>
        <v>0</v>
      </c>
      <c r="K40" s="183">
        <f t="shared" si="6"/>
        <v>0</v>
      </c>
      <c r="L40" s="183">
        <f t="shared" si="6"/>
        <v>0</v>
      </c>
      <c r="M40" s="183">
        <f t="shared" si="6"/>
        <v>0</v>
      </c>
      <c r="N40" s="183">
        <f t="shared" si="6"/>
        <v>0</v>
      </c>
      <c r="O40" s="183">
        <f t="shared" si="6"/>
        <v>0</v>
      </c>
      <c r="P40" s="183">
        <f t="shared" si="6"/>
        <v>0</v>
      </c>
      <c r="Q40" s="183">
        <f t="shared" si="6"/>
        <v>0</v>
      </c>
      <c r="R40" s="183">
        <f t="shared" si="6"/>
        <v>0</v>
      </c>
      <c r="S40" s="183">
        <f t="shared" si="6"/>
        <v>0</v>
      </c>
      <c r="T40" s="183">
        <f t="shared" si="6"/>
        <v>0</v>
      </c>
      <c r="U40" s="183">
        <f t="shared" si="6"/>
        <v>0</v>
      </c>
      <c r="V40" s="183">
        <f t="shared" si="6"/>
        <v>0</v>
      </c>
      <c r="W40" s="183">
        <f t="shared" si="6"/>
        <v>0</v>
      </c>
      <c r="X40" s="183">
        <f t="shared" si="6"/>
        <v>0</v>
      </c>
      <c r="Y40" s="183">
        <f t="shared" si="6"/>
        <v>0</v>
      </c>
      <c r="Z40" s="183">
        <f t="shared" si="6"/>
        <v>0</v>
      </c>
      <c r="AA40" s="183">
        <f t="shared" si="6"/>
        <v>0</v>
      </c>
      <c r="AB40" s="183">
        <f t="shared" si="6"/>
        <v>0</v>
      </c>
      <c r="AC40" s="183">
        <f t="shared" si="6"/>
        <v>0</v>
      </c>
      <c r="AD40" s="183">
        <f t="shared" si="6"/>
        <v>0</v>
      </c>
      <c r="AE40" s="183">
        <f t="shared" si="6"/>
        <v>0</v>
      </c>
      <c r="AF40" s="183">
        <f t="shared" si="6"/>
        <v>0</v>
      </c>
      <c r="AG40" s="183">
        <f t="shared" si="6"/>
        <v>0</v>
      </c>
      <c r="AH40" s="183">
        <f t="shared" ref="AH40:AH50" si="7">SUM(C40:AG40)</f>
        <v>0.05</v>
      </c>
    </row>
    <row r="41" spans="1:34" ht="12.75">
      <c r="A41" s="1268" t="s">
        <v>77</v>
      </c>
      <c r="B41" s="159">
        <f t="shared" si="5"/>
        <v>0</v>
      </c>
      <c r="C41" s="183">
        <f t="shared" ref="C41:AG41" si="8">SUM(C58+C74)</f>
        <v>0</v>
      </c>
      <c r="D41" s="183">
        <f t="shared" si="8"/>
        <v>0</v>
      </c>
      <c r="E41" s="183">
        <f t="shared" si="8"/>
        <v>0</v>
      </c>
      <c r="F41" s="183">
        <f t="shared" si="8"/>
        <v>0</v>
      </c>
      <c r="G41" s="183">
        <f t="shared" si="8"/>
        <v>0</v>
      </c>
      <c r="H41" s="183">
        <f t="shared" si="8"/>
        <v>0</v>
      </c>
      <c r="I41" s="183">
        <f t="shared" si="8"/>
        <v>0</v>
      </c>
      <c r="J41" s="183">
        <f t="shared" si="8"/>
        <v>0</v>
      </c>
      <c r="K41" s="183">
        <f t="shared" si="8"/>
        <v>0</v>
      </c>
      <c r="L41" s="183">
        <f t="shared" si="8"/>
        <v>0</v>
      </c>
      <c r="M41" s="183">
        <f t="shared" si="8"/>
        <v>0</v>
      </c>
      <c r="N41" s="183">
        <f t="shared" si="8"/>
        <v>0</v>
      </c>
      <c r="O41" s="183">
        <f t="shared" si="8"/>
        <v>0</v>
      </c>
      <c r="P41" s="183">
        <f t="shared" si="8"/>
        <v>0</v>
      </c>
      <c r="Q41" s="183">
        <f t="shared" si="8"/>
        <v>0</v>
      </c>
      <c r="R41" s="183">
        <f t="shared" si="8"/>
        <v>0</v>
      </c>
      <c r="S41" s="183">
        <f t="shared" si="8"/>
        <v>0</v>
      </c>
      <c r="T41" s="183">
        <f t="shared" si="8"/>
        <v>0</v>
      </c>
      <c r="U41" s="183">
        <f t="shared" si="8"/>
        <v>0</v>
      </c>
      <c r="V41" s="183">
        <f t="shared" si="8"/>
        <v>0</v>
      </c>
      <c r="W41" s="183">
        <f t="shared" si="8"/>
        <v>0</v>
      </c>
      <c r="X41" s="183">
        <f t="shared" si="8"/>
        <v>0</v>
      </c>
      <c r="Y41" s="183">
        <f t="shared" si="8"/>
        <v>0</v>
      </c>
      <c r="Z41" s="183">
        <f t="shared" si="8"/>
        <v>0</v>
      </c>
      <c r="AA41" s="183">
        <f t="shared" si="8"/>
        <v>0</v>
      </c>
      <c r="AB41" s="183">
        <f t="shared" si="8"/>
        <v>0</v>
      </c>
      <c r="AC41" s="183">
        <f t="shared" si="8"/>
        <v>0</v>
      </c>
      <c r="AD41" s="183">
        <f t="shared" si="8"/>
        <v>0</v>
      </c>
      <c r="AE41" s="183">
        <f t="shared" si="8"/>
        <v>0</v>
      </c>
      <c r="AF41" s="183">
        <f t="shared" si="8"/>
        <v>0</v>
      </c>
      <c r="AG41" s="183">
        <f t="shared" si="8"/>
        <v>0</v>
      </c>
      <c r="AH41" s="183">
        <f t="shared" si="7"/>
        <v>0</v>
      </c>
    </row>
    <row r="42" spans="1:34" ht="12.75">
      <c r="A42" s="1268" t="s">
        <v>78</v>
      </c>
      <c r="B42" s="159">
        <f t="shared" si="5"/>
        <v>0</v>
      </c>
      <c r="C42" s="183">
        <f t="shared" ref="C42:AG42" si="9">SUM(C59+C75)</f>
        <v>0</v>
      </c>
      <c r="D42" s="183">
        <f t="shared" si="9"/>
        <v>0</v>
      </c>
      <c r="E42" s="183">
        <f t="shared" si="9"/>
        <v>0</v>
      </c>
      <c r="F42" s="183">
        <f t="shared" si="9"/>
        <v>0</v>
      </c>
      <c r="G42" s="183">
        <f t="shared" si="9"/>
        <v>0</v>
      </c>
      <c r="H42" s="183">
        <f t="shared" si="9"/>
        <v>0</v>
      </c>
      <c r="I42" s="183">
        <f t="shared" si="9"/>
        <v>0</v>
      </c>
      <c r="J42" s="183">
        <f t="shared" si="9"/>
        <v>0</v>
      </c>
      <c r="K42" s="183">
        <f t="shared" si="9"/>
        <v>0</v>
      </c>
      <c r="L42" s="183">
        <f t="shared" si="9"/>
        <v>0</v>
      </c>
      <c r="M42" s="183">
        <f t="shared" si="9"/>
        <v>0</v>
      </c>
      <c r="N42" s="183">
        <f t="shared" si="9"/>
        <v>0</v>
      </c>
      <c r="O42" s="183">
        <f t="shared" si="9"/>
        <v>0</v>
      </c>
      <c r="P42" s="183">
        <f t="shared" si="9"/>
        <v>0</v>
      </c>
      <c r="Q42" s="183">
        <f t="shared" si="9"/>
        <v>0</v>
      </c>
      <c r="R42" s="183">
        <f t="shared" si="9"/>
        <v>0</v>
      </c>
      <c r="S42" s="183">
        <f t="shared" si="9"/>
        <v>0</v>
      </c>
      <c r="T42" s="183">
        <f t="shared" si="9"/>
        <v>0</v>
      </c>
      <c r="U42" s="183">
        <f t="shared" si="9"/>
        <v>0</v>
      </c>
      <c r="V42" s="183">
        <f t="shared" si="9"/>
        <v>0</v>
      </c>
      <c r="W42" s="183">
        <f t="shared" si="9"/>
        <v>0</v>
      </c>
      <c r="X42" s="183">
        <f t="shared" si="9"/>
        <v>0</v>
      </c>
      <c r="Y42" s="183">
        <f t="shared" si="9"/>
        <v>0</v>
      </c>
      <c r="Z42" s="183">
        <f t="shared" si="9"/>
        <v>0</v>
      </c>
      <c r="AA42" s="183">
        <f t="shared" si="9"/>
        <v>0</v>
      </c>
      <c r="AB42" s="183">
        <f t="shared" si="9"/>
        <v>0</v>
      </c>
      <c r="AC42" s="183">
        <f t="shared" si="9"/>
        <v>0</v>
      </c>
      <c r="AD42" s="183">
        <f t="shared" si="9"/>
        <v>0</v>
      </c>
      <c r="AE42" s="183">
        <f t="shared" si="9"/>
        <v>0</v>
      </c>
      <c r="AF42" s="183">
        <f t="shared" si="9"/>
        <v>0</v>
      </c>
      <c r="AG42" s="183">
        <f t="shared" si="9"/>
        <v>0</v>
      </c>
      <c r="AH42" s="183">
        <f t="shared" si="7"/>
        <v>0</v>
      </c>
    </row>
    <row r="43" spans="1:34" ht="12.75">
      <c r="A43" s="1268" t="s">
        <v>79</v>
      </c>
      <c r="B43" s="159">
        <f t="shared" si="5"/>
        <v>0.7</v>
      </c>
      <c r="C43" s="183">
        <f t="shared" ref="C43:AG43" si="10">SUM(C60+C76)</f>
        <v>0</v>
      </c>
      <c r="D43" s="183">
        <f t="shared" si="10"/>
        <v>0</v>
      </c>
      <c r="E43" s="183">
        <f t="shared" si="10"/>
        <v>0</v>
      </c>
      <c r="F43" s="183">
        <f t="shared" si="10"/>
        <v>0</v>
      </c>
      <c r="G43" s="183">
        <f t="shared" si="10"/>
        <v>0</v>
      </c>
      <c r="H43" s="183">
        <f t="shared" si="10"/>
        <v>0</v>
      </c>
      <c r="I43" s="183">
        <f t="shared" si="10"/>
        <v>0</v>
      </c>
      <c r="J43" s="183">
        <f t="shared" si="10"/>
        <v>0</v>
      </c>
      <c r="K43" s="183">
        <f t="shared" si="10"/>
        <v>0.5</v>
      </c>
      <c r="L43" s="183">
        <f t="shared" si="10"/>
        <v>0</v>
      </c>
      <c r="M43" s="183">
        <f t="shared" si="10"/>
        <v>0</v>
      </c>
      <c r="N43" s="183">
        <f t="shared" si="10"/>
        <v>0</v>
      </c>
      <c r="O43" s="183">
        <f t="shared" si="10"/>
        <v>0</v>
      </c>
      <c r="P43" s="183">
        <f t="shared" si="10"/>
        <v>0</v>
      </c>
      <c r="Q43" s="183">
        <f t="shared" si="10"/>
        <v>0</v>
      </c>
      <c r="R43" s="183">
        <f t="shared" si="10"/>
        <v>0</v>
      </c>
      <c r="S43" s="183">
        <f t="shared" si="10"/>
        <v>0</v>
      </c>
      <c r="T43" s="183">
        <f t="shared" si="10"/>
        <v>0</v>
      </c>
      <c r="U43" s="183">
        <f t="shared" si="10"/>
        <v>0.2</v>
      </c>
      <c r="V43" s="183">
        <f t="shared" si="10"/>
        <v>0</v>
      </c>
      <c r="W43" s="183">
        <f t="shared" si="10"/>
        <v>0</v>
      </c>
      <c r="X43" s="183">
        <f t="shared" si="10"/>
        <v>0</v>
      </c>
      <c r="Y43" s="183">
        <f t="shared" si="10"/>
        <v>0</v>
      </c>
      <c r="Z43" s="183">
        <f t="shared" si="10"/>
        <v>0</v>
      </c>
      <c r="AA43" s="183">
        <f t="shared" si="10"/>
        <v>0</v>
      </c>
      <c r="AB43" s="183">
        <f t="shared" si="10"/>
        <v>0</v>
      </c>
      <c r="AC43" s="183">
        <f t="shared" si="10"/>
        <v>0</v>
      </c>
      <c r="AD43" s="183">
        <f t="shared" si="10"/>
        <v>0</v>
      </c>
      <c r="AE43" s="183">
        <f t="shared" si="10"/>
        <v>0</v>
      </c>
      <c r="AF43" s="183">
        <f t="shared" si="10"/>
        <v>0</v>
      </c>
      <c r="AG43" s="183">
        <f t="shared" si="10"/>
        <v>0</v>
      </c>
      <c r="AH43" s="183">
        <f t="shared" si="7"/>
        <v>0.7</v>
      </c>
    </row>
    <row r="44" spans="1:34" ht="12.75">
      <c r="A44" s="1268" t="s">
        <v>80</v>
      </c>
      <c r="B44" s="159">
        <f t="shared" si="5"/>
        <v>0</v>
      </c>
      <c r="C44" s="183">
        <f t="shared" ref="C44:AG44" si="11">SUM(C61+C77)</f>
        <v>0</v>
      </c>
      <c r="D44" s="183">
        <f t="shared" si="11"/>
        <v>0</v>
      </c>
      <c r="E44" s="183">
        <f t="shared" si="11"/>
        <v>0</v>
      </c>
      <c r="F44" s="183">
        <f t="shared" si="11"/>
        <v>0</v>
      </c>
      <c r="G44" s="183">
        <f t="shared" si="11"/>
        <v>0</v>
      </c>
      <c r="H44" s="183">
        <f t="shared" si="11"/>
        <v>0</v>
      </c>
      <c r="I44" s="183">
        <f t="shared" si="11"/>
        <v>0</v>
      </c>
      <c r="J44" s="183">
        <f t="shared" si="11"/>
        <v>0</v>
      </c>
      <c r="K44" s="183">
        <f t="shared" si="11"/>
        <v>0</v>
      </c>
      <c r="L44" s="183">
        <f t="shared" si="11"/>
        <v>0</v>
      </c>
      <c r="M44" s="183">
        <f t="shared" si="11"/>
        <v>0</v>
      </c>
      <c r="N44" s="183">
        <f t="shared" si="11"/>
        <v>0</v>
      </c>
      <c r="O44" s="183">
        <f t="shared" si="11"/>
        <v>0</v>
      </c>
      <c r="P44" s="183">
        <f t="shared" si="11"/>
        <v>0</v>
      </c>
      <c r="Q44" s="183">
        <f t="shared" si="11"/>
        <v>0</v>
      </c>
      <c r="R44" s="183">
        <f t="shared" si="11"/>
        <v>0</v>
      </c>
      <c r="S44" s="183">
        <f t="shared" si="11"/>
        <v>0</v>
      </c>
      <c r="T44" s="183">
        <f t="shared" si="11"/>
        <v>0</v>
      </c>
      <c r="U44" s="183">
        <f t="shared" si="11"/>
        <v>0</v>
      </c>
      <c r="V44" s="183">
        <f t="shared" si="11"/>
        <v>0</v>
      </c>
      <c r="W44" s="183">
        <f t="shared" si="11"/>
        <v>0</v>
      </c>
      <c r="X44" s="183">
        <f t="shared" si="11"/>
        <v>0</v>
      </c>
      <c r="Y44" s="183">
        <f t="shared" si="11"/>
        <v>0</v>
      </c>
      <c r="Z44" s="183">
        <f t="shared" si="11"/>
        <v>0</v>
      </c>
      <c r="AA44" s="183">
        <f t="shared" si="11"/>
        <v>0</v>
      </c>
      <c r="AB44" s="183">
        <f t="shared" si="11"/>
        <v>0</v>
      </c>
      <c r="AC44" s="183">
        <f t="shared" si="11"/>
        <v>0</v>
      </c>
      <c r="AD44" s="183">
        <f t="shared" si="11"/>
        <v>0</v>
      </c>
      <c r="AE44" s="183">
        <f t="shared" si="11"/>
        <v>0</v>
      </c>
      <c r="AF44" s="183">
        <f t="shared" si="11"/>
        <v>0</v>
      </c>
      <c r="AG44" s="183">
        <f t="shared" si="11"/>
        <v>0</v>
      </c>
      <c r="AH44" s="183">
        <f t="shared" si="7"/>
        <v>0</v>
      </c>
    </row>
    <row r="45" spans="1:34" ht="12.75">
      <c r="A45" s="1268" t="s">
        <v>81</v>
      </c>
      <c r="B45" s="159">
        <f t="shared" si="5"/>
        <v>0</v>
      </c>
      <c r="C45" s="183">
        <f t="shared" ref="C45:AG45" si="12">SUM(C62+C78)</f>
        <v>0</v>
      </c>
      <c r="D45" s="183">
        <f t="shared" si="12"/>
        <v>0</v>
      </c>
      <c r="E45" s="183">
        <f t="shared" si="12"/>
        <v>0</v>
      </c>
      <c r="F45" s="183">
        <f t="shared" si="12"/>
        <v>0</v>
      </c>
      <c r="G45" s="183">
        <f t="shared" si="12"/>
        <v>0</v>
      </c>
      <c r="H45" s="183">
        <f t="shared" si="12"/>
        <v>0</v>
      </c>
      <c r="I45" s="183">
        <f t="shared" si="12"/>
        <v>0</v>
      </c>
      <c r="J45" s="183">
        <f t="shared" si="12"/>
        <v>0</v>
      </c>
      <c r="K45" s="183">
        <f t="shared" si="12"/>
        <v>0</v>
      </c>
      <c r="L45" s="183">
        <f t="shared" si="12"/>
        <v>0</v>
      </c>
      <c r="M45" s="183">
        <f t="shared" si="12"/>
        <v>0</v>
      </c>
      <c r="N45" s="183">
        <f t="shared" si="12"/>
        <v>0</v>
      </c>
      <c r="O45" s="183">
        <f t="shared" si="12"/>
        <v>0</v>
      </c>
      <c r="P45" s="183">
        <f t="shared" si="12"/>
        <v>0</v>
      </c>
      <c r="Q45" s="183">
        <f t="shared" si="12"/>
        <v>0</v>
      </c>
      <c r="R45" s="183">
        <f t="shared" si="12"/>
        <v>0</v>
      </c>
      <c r="S45" s="183">
        <f t="shared" si="12"/>
        <v>0</v>
      </c>
      <c r="T45" s="183">
        <f t="shared" si="12"/>
        <v>0</v>
      </c>
      <c r="U45" s="183">
        <f t="shared" si="12"/>
        <v>0</v>
      </c>
      <c r="V45" s="183">
        <f t="shared" si="12"/>
        <v>0</v>
      </c>
      <c r="W45" s="183">
        <f t="shared" si="12"/>
        <v>0</v>
      </c>
      <c r="X45" s="183">
        <f t="shared" si="12"/>
        <v>0</v>
      </c>
      <c r="Y45" s="183">
        <f t="shared" si="12"/>
        <v>0</v>
      </c>
      <c r="Z45" s="183">
        <f t="shared" si="12"/>
        <v>0</v>
      </c>
      <c r="AA45" s="183">
        <f t="shared" si="12"/>
        <v>0</v>
      </c>
      <c r="AB45" s="183">
        <f t="shared" si="12"/>
        <v>0</v>
      </c>
      <c r="AC45" s="183">
        <f t="shared" si="12"/>
        <v>0</v>
      </c>
      <c r="AD45" s="183">
        <f t="shared" si="12"/>
        <v>0</v>
      </c>
      <c r="AE45" s="183">
        <f t="shared" si="12"/>
        <v>0</v>
      </c>
      <c r="AF45" s="183">
        <f t="shared" si="12"/>
        <v>0</v>
      </c>
      <c r="AG45" s="183">
        <f t="shared" si="12"/>
        <v>0</v>
      </c>
      <c r="AH45" s="183">
        <f t="shared" si="7"/>
        <v>0</v>
      </c>
    </row>
    <row r="46" spans="1:34" ht="12.75">
      <c r="A46" s="1268" t="s">
        <v>82</v>
      </c>
      <c r="B46" s="159">
        <f t="shared" si="5"/>
        <v>0</v>
      </c>
      <c r="C46" s="183">
        <f t="shared" ref="C46:AG46" si="13">SUM(C63+C79)</f>
        <v>0</v>
      </c>
      <c r="D46" s="183">
        <f t="shared" si="13"/>
        <v>0</v>
      </c>
      <c r="E46" s="183">
        <f t="shared" si="13"/>
        <v>0</v>
      </c>
      <c r="F46" s="183">
        <f t="shared" si="13"/>
        <v>0</v>
      </c>
      <c r="G46" s="183">
        <f t="shared" si="13"/>
        <v>0</v>
      </c>
      <c r="H46" s="183">
        <f t="shared" si="13"/>
        <v>0</v>
      </c>
      <c r="I46" s="183">
        <f t="shared" si="13"/>
        <v>0</v>
      </c>
      <c r="J46" s="183">
        <f t="shared" si="13"/>
        <v>0</v>
      </c>
      <c r="K46" s="183">
        <f t="shared" si="13"/>
        <v>0</v>
      </c>
      <c r="L46" s="183">
        <f t="shared" si="13"/>
        <v>0</v>
      </c>
      <c r="M46" s="183">
        <f t="shared" si="13"/>
        <v>0</v>
      </c>
      <c r="N46" s="183">
        <f t="shared" si="13"/>
        <v>0</v>
      </c>
      <c r="O46" s="183">
        <f t="shared" si="13"/>
        <v>0</v>
      </c>
      <c r="P46" s="183">
        <f t="shared" si="13"/>
        <v>0</v>
      </c>
      <c r="Q46" s="183">
        <f t="shared" si="13"/>
        <v>0</v>
      </c>
      <c r="R46" s="183">
        <f t="shared" si="13"/>
        <v>0</v>
      </c>
      <c r="S46" s="183">
        <f t="shared" si="13"/>
        <v>0</v>
      </c>
      <c r="T46" s="183">
        <f t="shared" si="13"/>
        <v>0</v>
      </c>
      <c r="U46" s="183">
        <f t="shared" si="13"/>
        <v>0</v>
      </c>
      <c r="V46" s="183">
        <f t="shared" si="13"/>
        <v>0</v>
      </c>
      <c r="W46" s="183">
        <f t="shared" si="13"/>
        <v>0</v>
      </c>
      <c r="X46" s="183">
        <f t="shared" si="13"/>
        <v>0</v>
      </c>
      <c r="Y46" s="183">
        <f t="shared" si="13"/>
        <v>0</v>
      </c>
      <c r="Z46" s="183">
        <f t="shared" si="13"/>
        <v>0</v>
      </c>
      <c r="AA46" s="183">
        <f t="shared" si="13"/>
        <v>0</v>
      </c>
      <c r="AB46" s="183">
        <f t="shared" si="13"/>
        <v>0</v>
      </c>
      <c r="AC46" s="183">
        <f t="shared" si="13"/>
        <v>0</v>
      </c>
      <c r="AD46" s="183">
        <f t="shared" si="13"/>
        <v>0</v>
      </c>
      <c r="AE46" s="183">
        <f t="shared" si="13"/>
        <v>0</v>
      </c>
      <c r="AF46" s="183">
        <f t="shared" si="13"/>
        <v>0</v>
      </c>
      <c r="AG46" s="183">
        <f t="shared" si="13"/>
        <v>0</v>
      </c>
      <c r="AH46" s="183">
        <f t="shared" si="7"/>
        <v>0</v>
      </c>
    </row>
    <row r="47" spans="1:34" ht="12.75">
      <c r="A47" s="1268" t="s">
        <v>83</v>
      </c>
      <c r="B47" s="159">
        <f t="shared" si="5"/>
        <v>0</v>
      </c>
      <c r="C47" s="183">
        <f t="shared" ref="C47:AG47" si="14">SUM(C64+C80)</f>
        <v>0</v>
      </c>
      <c r="D47" s="183">
        <f t="shared" si="14"/>
        <v>0</v>
      </c>
      <c r="E47" s="183">
        <f t="shared" si="14"/>
        <v>0</v>
      </c>
      <c r="F47" s="183">
        <f t="shared" si="14"/>
        <v>0</v>
      </c>
      <c r="G47" s="183">
        <f t="shared" si="14"/>
        <v>0</v>
      </c>
      <c r="H47" s="183">
        <f t="shared" si="14"/>
        <v>0</v>
      </c>
      <c r="I47" s="183">
        <f t="shared" si="14"/>
        <v>0</v>
      </c>
      <c r="J47" s="183">
        <f t="shared" si="14"/>
        <v>0</v>
      </c>
      <c r="K47" s="183">
        <f t="shared" si="14"/>
        <v>0</v>
      </c>
      <c r="L47" s="183">
        <f t="shared" si="14"/>
        <v>0</v>
      </c>
      <c r="M47" s="183">
        <f t="shared" si="14"/>
        <v>0</v>
      </c>
      <c r="N47" s="183">
        <f t="shared" si="14"/>
        <v>0</v>
      </c>
      <c r="O47" s="183">
        <f t="shared" si="14"/>
        <v>0</v>
      </c>
      <c r="P47" s="183">
        <f t="shared" si="14"/>
        <v>0</v>
      </c>
      <c r="Q47" s="183">
        <f t="shared" si="14"/>
        <v>0</v>
      </c>
      <c r="R47" s="183">
        <f t="shared" si="14"/>
        <v>0</v>
      </c>
      <c r="S47" s="183">
        <f t="shared" si="14"/>
        <v>0</v>
      </c>
      <c r="T47" s="183">
        <f t="shared" si="14"/>
        <v>0</v>
      </c>
      <c r="U47" s="183">
        <f t="shared" si="14"/>
        <v>0</v>
      </c>
      <c r="V47" s="183">
        <f t="shared" si="14"/>
        <v>0</v>
      </c>
      <c r="W47" s="183">
        <f t="shared" si="14"/>
        <v>0</v>
      </c>
      <c r="X47" s="183">
        <f t="shared" si="14"/>
        <v>0</v>
      </c>
      <c r="Y47" s="183">
        <f t="shared" si="14"/>
        <v>0</v>
      </c>
      <c r="Z47" s="183">
        <f t="shared" si="14"/>
        <v>0</v>
      </c>
      <c r="AA47" s="183">
        <f t="shared" si="14"/>
        <v>0</v>
      </c>
      <c r="AB47" s="183">
        <f t="shared" si="14"/>
        <v>0</v>
      </c>
      <c r="AC47" s="183">
        <f t="shared" si="14"/>
        <v>0</v>
      </c>
      <c r="AD47" s="183">
        <f t="shared" si="14"/>
        <v>0</v>
      </c>
      <c r="AE47" s="183">
        <f t="shared" si="14"/>
        <v>0</v>
      </c>
      <c r="AF47" s="183">
        <f t="shared" si="14"/>
        <v>0</v>
      </c>
      <c r="AG47" s="183">
        <f t="shared" si="14"/>
        <v>0</v>
      </c>
      <c r="AH47" s="183">
        <f t="shared" si="7"/>
        <v>0</v>
      </c>
    </row>
    <row r="48" spans="1:34" ht="12.75">
      <c r="A48" s="1268" t="s">
        <v>84</v>
      </c>
      <c r="B48" s="159">
        <f t="shared" si="5"/>
        <v>4.3999999999999997E-2</v>
      </c>
      <c r="C48" s="183">
        <f t="shared" ref="C48:AG48" si="15">SUM(C65+C81)</f>
        <v>0</v>
      </c>
      <c r="D48" s="183">
        <f t="shared" si="15"/>
        <v>0</v>
      </c>
      <c r="E48" s="183">
        <f t="shared" si="15"/>
        <v>0</v>
      </c>
      <c r="F48" s="183">
        <f t="shared" si="15"/>
        <v>0</v>
      </c>
      <c r="G48" s="183">
        <f t="shared" si="15"/>
        <v>0</v>
      </c>
      <c r="H48" s="183">
        <f t="shared" si="15"/>
        <v>0</v>
      </c>
      <c r="I48" s="183">
        <f t="shared" si="15"/>
        <v>0</v>
      </c>
      <c r="J48" s="183">
        <f t="shared" si="15"/>
        <v>0.02</v>
      </c>
      <c r="K48" s="183">
        <f t="shared" si="15"/>
        <v>0</v>
      </c>
      <c r="L48" s="183">
        <f t="shared" si="15"/>
        <v>0</v>
      </c>
      <c r="M48" s="183">
        <f t="shared" si="15"/>
        <v>0</v>
      </c>
      <c r="N48" s="183">
        <f t="shared" si="15"/>
        <v>0</v>
      </c>
      <c r="O48" s="183">
        <f t="shared" si="15"/>
        <v>0.01</v>
      </c>
      <c r="P48" s="183">
        <f t="shared" si="15"/>
        <v>0</v>
      </c>
      <c r="Q48" s="183">
        <f t="shared" si="15"/>
        <v>0</v>
      </c>
      <c r="R48" s="183">
        <f t="shared" si="15"/>
        <v>0.01</v>
      </c>
      <c r="S48" s="183">
        <f t="shared" si="15"/>
        <v>0</v>
      </c>
      <c r="T48" s="183">
        <f t="shared" si="15"/>
        <v>4.0000000000000001E-3</v>
      </c>
      <c r="U48" s="183">
        <f t="shared" si="15"/>
        <v>0</v>
      </c>
      <c r="V48" s="183">
        <f t="shared" si="15"/>
        <v>0</v>
      </c>
      <c r="W48" s="183">
        <f t="shared" si="15"/>
        <v>0</v>
      </c>
      <c r="X48" s="183">
        <f t="shared" si="15"/>
        <v>0</v>
      </c>
      <c r="Y48" s="183">
        <f t="shared" si="15"/>
        <v>0</v>
      </c>
      <c r="Z48" s="183">
        <f t="shared" si="15"/>
        <v>0</v>
      </c>
      <c r="AA48" s="183">
        <f t="shared" si="15"/>
        <v>0</v>
      </c>
      <c r="AB48" s="183">
        <f t="shared" si="15"/>
        <v>0</v>
      </c>
      <c r="AC48" s="183">
        <f t="shared" si="15"/>
        <v>0</v>
      </c>
      <c r="AD48" s="183">
        <f t="shared" si="15"/>
        <v>0</v>
      </c>
      <c r="AE48" s="183">
        <f t="shared" si="15"/>
        <v>0</v>
      </c>
      <c r="AF48" s="183">
        <f t="shared" si="15"/>
        <v>0</v>
      </c>
      <c r="AG48" s="183">
        <f t="shared" si="15"/>
        <v>0</v>
      </c>
      <c r="AH48" s="183">
        <f t="shared" si="7"/>
        <v>4.3999999999999997E-2</v>
      </c>
    </row>
    <row r="49" spans="1:34" ht="12.75">
      <c r="A49" s="1740" t="s">
        <v>85</v>
      </c>
      <c r="B49" s="159">
        <f t="shared" si="5"/>
        <v>1.7999999999999999E-2</v>
      </c>
      <c r="C49" s="183">
        <f t="shared" ref="C49:AG49" si="16">SUM(C66+C82)</f>
        <v>0</v>
      </c>
      <c r="D49" s="183">
        <f t="shared" si="16"/>
        <v>0</v>
      </c>
      <c r="E49" s="183">
        <f t="shared" si="16"/>
        <v>0</v>
      </c>
      <c r="F49" s="183">
        <f t="shared" si="16"/>
        <v>0</v>
      </c>
      <c r="G49" s="183">
        <f t="shared" si="16"/>
        <v>0</v>
      </c>
      <c r="H49" s="183">
        <f t="shared" si="16"/>
        <v>0</v>
      </c>
      <c r="I49" s="183">
        <v>1.7999999999999999E-2</v>
      </c>
      <c r="J49" s="183">
        <f t="shared" si="16"/>
        <v>0</v>
      </c>
      <c r="K49" s="183">
        <f t="shared" si="16"/>
        <v>0</v>
      </c>
      <c r="L49" s="183">
        <f t="shared" si="16"/>
        <v>0</v>
      </c>
      <c r="M49" s="183">
        <f t="shared" si="16"/>
        <v>0</v>
      </c>
      <c r="N49" s="183">
        <f t="shared" si="16"/>
        <v>0</v>
      </c>
      <c r="O49" s="183">
        <f t="shared" si="16"/>
        <v>0</v>
      </c>
      <c r="P49" s="183">
        <f t="shared" si="16"/>
        <v>0</v>
      </c>
      <c r="Q49" s="183">
        <f t="shared" si="16"/>
        <v>0</v>
      </c>
      <c r="R49" s="183">
        <f t="shared" si="16"/>
        <v>0</v>
      </c>
      <c r="S49" s="183">
        <f t="shared" si="16"/>
        <v>0</v>
      </c>
      <c r="T49" s="183">
        <f t="shared" si="16"/>
        <v>0</v>
      </c>
      <c r="U49" s="183">
        <f t="shared" si="16"/>
        <v>0</v>
      </c>
      <c r="V49" s="183">
        <f t="shared" si="16"/>
        <v>0</v>
      </c>
      <c r="W49" s="183">
        <f t="shared" si="16"/>
        <v>0</v>
      </c>
      <c r="X49" s="183">
        <f t="shared" si="16"/>
        <v>0</v>
      </c>
      <c r="Y49" s="183">
        <f t="shared" si="16"/>
        <v>0</v>
      </c>
      <c r="Z49" s="183">
        <f t="shared" si="16"/>
        <v>0</v>
      </c>
      <c r="AA49" s="183">
        <f t="shared" si="16"/>
        <v>0</v>
      </c>
      <c r="AB49" s="183">
        <f t="shared" si="16"/>
        <v>0</v>
      </c>
      <c r="AC49" s="183">
        <f t="shared" si="16"/>
        <v>0</v>
      </c>
      <c r="AD49" s="183">
        <f t="shared" si="16"/>
        <v>0</v>
      </c>
      <c r="AE49" s="183">
        <f t="shared" si="16"/>
        <v>0</v>
      </c>
      <c r="AF49" s="183">
        <f t="shared" si="16"/>
        <v>0</v>
      </c>
      <c r="AG49" s="183">
        <f t="shared" si="16"/>
        <v>0</v>
      </c>
      <c r="AH49" s="183">
        <f t="shared" si="7"/>
        <v>1.7999999999999999E-2</v>
      </c>
    </row>
    <row r="50" spans="1:34" ht="12.75">
      <c r="A50" s="1740" t="s">
        <v>86</v>
      </c>
      <c r="B50" s="159">
        <f t="shared" si="5"/>
        <v>0</v>
      </c>
      <c r="C50" s="183">
        <f t="shared" ref="C50:AG50" si="17">SUM(C67+C83)</f>
        <v>0</v>
      </c>
      <c r="D50" s="183">
        <f t="shared" si="17"/>
        <v>0</v>
      </c>
      <c r="E50" s="183">
        <f t="shared" si="17"/>
        <v>0</v>
      </c>
      <c r="F50" s="183">
        <f t="shared" si="17"/>
        <v>0</v>
      </c>
      <c r="G50" s="183">
        <f t="shared" si="17"/>
        <v>0</v>
      </c>
      <c r="H50" s="183">
        <f t="shared" si="17"/>
        <v>0</v>
      </c>
      <c r="I50" s="183">
        <f t="shared" si="17"/>
        <v>0</v>
      </c>
      <c r="J50" s="183">
        <f t="shared" si="17"/>
        <v>0</v>
      </c>
      <c r="K50" s="183">
        <f t="shared" si="17"/>
        <v>0</v>
      </c>
      <c r="L50" s="183">
        <f t="shared" si="17"/>
        <v>0</v>
      </c>
      <c r="M50" s="183">
        <f t="shared" si="17"/>
        <v>0</v>
      </c>
      <c r="N50" s="183">
        <f t="shared" si="17"/>
        <v>0</v>
      </c>
      <c r="O50" s="183">
        <f t="shared" si="17"/>
        <v>0</v>
      </c>
      <c r="P50" s="183">
        <f t="shared" si="17"/>
        <v>0</v>
      </c>
      <c r="Q50" s="183">
        <f t="shared" si="17"/>
        <v>0</v>
      </c>
      <c r="R50" s="183">
        <f t="shared" si="17"/>
        <v>0</v>
      </c>
      <c r="S50" s="183">
        <f t="shared" si="17"/>
        <v>0</v>
      </c>
      <c r="T50" s="183">
        <f t="shared" si="17"/>
        <v>0</v>
      </c>
      <c r="U50" s="183">
        <f t="shared" si="17"/>
        <v>0</v>
      </c>
      <c r="V50" s="183">
        <f t="shared" si="17"/>
        <v>0</v>
      </c>
      <c r="W50" s="183">
        <f t="shared" si="17"/>
        <v>0</v>
      </c>
      <c r="X50" s="183">
        <f t="shared" si="17"/>
        <v>0</v>
      </c>
      <c r="Y50" s="183">
        <f t="shared" si="17"/>
        <v>0</v>
      </c>
      <c r="Z50" s="183">
        <f t="shared" si="17"/>
        <v>0</v>
      </c>
      <c r="AA50" s="183">
        <f t="shared" si="17"/>
        <v>0</v>
      </c>
      <c r="AB50" s="183">
        <f t="shared" si="17"/>
        <v>0</v>
      </c>
      <c r="AC50" s="183">
        <f t="shared" si="17"/>
        <v>0</v>
      </c>
      <c r="AD50" s="183">
        <f t="shared" si="17"/>
        <v>0</v>
      </c>
      <c r="AE50" s="183">
        <f t="shared" si="17"/>
        <v>0</v>
      </c>
      <c r="AF50" s="183">
        <f t="shared" si="17"/>
        <v>0</v>
      </c>
      <c r="AG50" s="183">
        <f t="shared" si="17"/>
        <v>0</v>
      </c>
      <c r="AH50" s="183">
        <f t="shared" si="7"/>
        <v>0</v>
      </c>
    </row>
    <row r="51" spans="1:34" ht="12.75">
      <c r="A51" s="665" t="s">
        <v>74</v>
      </c>
      <c r="B51" s="838">
        <f>SUM(B39:B50)</f>
        <v>0.91700000000000004</v>
      </c>
      <c r="C51" s="183">
        <f t="shared" ref="C51:AH51" si="18">SUM(C39:C50)</f>
        <v>0</v>
      </c>
      <c r="D51" s="183">
        <f t="shared" si="18"/>
        <v>0</v>
      </c>
      <c r="E51" s="183">
        <f t="shared" si="18"/>
        <v>5.0000000000000001E-3</v>
      </c>
      <c r="F51" s="183">
        <f t="shared" si="18"/>
        <v>0</v>
      </c>
      <c r="G51" s="183">
        <f t="shared" si="18"/>
        <v>0.1</v>
      </c>
      <c r="H51" s="183">
        <f t="shared" si="18"/>
        <v>0.05</v>
      </c>
      <c r="I51" s="183">
        <f t="shared" si="18"/>
        <v>1.7999999999999999E-2</v>
      </c>
      <c r="J51" s="183">
        <f t="shared" si="18"/>
        <v>0.02</v>
      </c>
      <c r="K51" s="183">
        <f t="shared" si="18"/>
        <v>0.5</v>
      </c>
      <c r="L51" s="183">
        <f t="shared" si="18"/>
        <v>0</v>
      </c>
      <c r="M51" s="183">
        <f t="shared" si="18"/>
        <v>0</v>
      </c>
      <c r="N51" s="183">
        <f t="shared" si="18"/>
        <v>0</v>
      </c>
      <c r="O51" s="183">
        <f t="shared" si="18"/>
        <v>0.01</v>
      </c>
      <c r="P51" s="183">
        <f t="shared" si="18"/>
        <v>0</v>
      </c>
      <c r="Q51" s="183">
        <f t="shared" si="18"/>
        <v>0</v>
      </c>
      <c r="R51" s="183">
        <f t="shared" si="18"/>
        <v>0.01</v>
      </c>
      <c r="S51" s="183">
        <f t="shared" si="18"/>
        <v>0</v>
      </c>
      <c r="T51" s="183">
        <f t="shared" si="18"/>
        <v>4.0000000000000001E-3</v>
      </c>
      <c r="U51" s="183">
        <f t="shared" si="18"/>
        <v>0.2</v>
      </c>
      <c r="V51" s="183">
        <f t="shared" si="18"/>
        <v>0</v>
      </c>
      <c r="W51" s="183">
        <f t="shared" si="18"/>
        <v>0</v>
      </c>
      <c r="X51" s="183">
        <f t="shared" si="18"/>
        <v>0</v>
      </c>
      <c r="Y51" s="183">
        <f t="shared" si="18"/>
        <v>0</v>
      </c>
      <c r="Z51" s="183">
        <f t="shared" si="18"/>
        <v>0</v>
      </c>
      <c r="AA51" s="183">
        <f t="shared" si="18"/>
        <v>0</v>
      </c>
      <c r="AB51" s="183">
        <f t="shared" si="18"/>
        <v>0</v>
      </c>
      <c r="AC51" s="183">
        <f t="shared" si="18"/>
        <v>0</v>
      </c>
      <c r="AD51" s="183">
        <f t="shared" si="18"/>
        <v>0</v>
      </c>
      <c r="AE51" s="183">
        <f t="shared" si="18"/>
        <v>0</v>
      </c>
      <c r="AF51" s="183">
        <f t="shared" si="18"/>
        <v>0</v>
      </c>
      <c r="AG51" s="183">
        <f t="shared" si="18"/>
        <v>0</v>
      </c>
      <c r="AH51" s="183">
        <f t="shared" si="18"/>
        <v>0.91700000000000004</v>
      </c>
    </row>
    <row r="54" spans="1:34" ht="12.75">
      <c r="A54" s="3605" t="s">
        <v>601</v>
      </c>
      <c r="B54" s="3606"/>
      <c r="C54" s="3606"/>
      <c r="D54" s="3607"/>
      <c r="E54" s="64"/>
      <c r="F54" s="64"/>
      <c r="G54" s="64"/>
      <c r="H54" s="64"/>
      <c r="I54" s="64"/>
      <c r="J54" s="64"/>
      <c r="K54" s="64"/>
      <c r="L54" s="64"/>
      <c r="M54" s="64"/>
      <c r="N54" s="64"/>
      <c r="O54" s="64"/>
      <c r="P54" s="64"/>
      <c r="Q54" s="64"/>
      <c r="R54" s="64"/>
      <c r="S54" s="64"/>
      <c r="T54" s="64"/>
      <c r="U54" s="64"/>
      <c r="V54" s="64"/>
      <c r="W54" s="64"/>
      <c r="X54" s="64"/>
      <c r="Y54" s="64"/>
      <c r="Z54" s="64"/>
      <c r="AA54" s="64"/>
      <c r="AB54" s="64"/>
      <c r="AC54" s="64"/>
      <c r="AD54" s="64"/>
      <c r="AE54" s="64"/>
      <c r="AF54" s="64"/>
      <c r="AG54" s="64"/>
      <c r="AH54" s="177"/>
    </row>
    <row r="55" spans="1:34" ht="12.75">
      <c r="A55" s="178" t="s">
        <v>72</v>
      </c>
      <c r="B55" s="179" t="s">
        <v>73</v>
      </c>
      <c r="C55" s="178">
        <v>1</v>
      </c>
      <c r="D55" s="179">
        <v>2</v>
      </c>
      <c r="E55" s="179">
        <v>3</v>
      </c>
      <c r="F55" s="179">
        <v>4</v>
      </c>
      <c r="G55" s="179">
        <v>5</v>
      </c>
      <c r="H55" s="179">
        <v>6</v>
      </c>
      <c r="I55" s="179">
        <v>7</v>
      </c>
      <c r="J55" s="179">
        <v>8</v>
      </c>
      <c r="K55" s="179">
        <v>9</v>
      </c>
      <c r="L55" s="179">
        <v>10</v>
      </c>
      <c r="M55" s="179">
        <v>11</v>
      </c>
      <c r="N55" s="179">
        <v>12</v>
      </c>
      <c r="O55" s="179">
        <v>13</v>
      </c>
      <c r="P55" s="179">
        <v>14</v>
      </c>
      <c r="Q55" s="179">
        <v>15</v>
      </c>
      <c r="R55" s="179">
        <v>16</v>
      </c>
      <c r="S55" s="179">
        <v>17</v>
      </c>
      <c r="T55" s="179">
        <v>18</v>
      </c>
      <c r="U55" s="179">
        <v>19</v>
      </c>
      <c r="V55" s="179">
        <v>20</v>
      </c>
      <c r="W55" s="179">
        <v>21</v>
      </c>
      <c r="X55" s="179">
        <v>22</v>
      </c>
      <c r="Y55" s="179">
        <v>23</v>
      </c>
      <c r="Z55" s="179">
        <v>24</v>
      </c>
      <c r="AA55" s="179">
        <v>25</v>
      </c>
      <c r="AB55" s="179">
        <v>26</v>
      </c>
      <c r="AC55" s="179">
        <v>27</v>
      </c>
      <c r="AD55" s="179">
        <v>28</v>
      </c>
      <c r="AE55" s="179">
        <v>29</v>
      </c>
      <c r="AF55" s="179">
        <v>30</v>
      </c>
      <c r="AG55" s="179">
        <v>31</v>
      </c>
      <c r="AH55" s="178" t="s">
        <v>74</v>
      </c>
    </row>
    <row r="56" spans="1:34" ht="12.75">
      <c r="A56" s="1268" t="s">
        <v>75</v>
      </c>
      <c r="B56" s="159">
        <f t="shared" ref="B56:B67" si="19">+AH56</f>
        <v>0</v>
      </c>
      <c r="C56" s="1409">
        <v>0</v>
      </c>
      <c r="D56" s="1409">
        <v>0</v>
      </c>
      <c r="E56" s="1409">
        <v>0</v>
      </c>
      <c r="F56" s="1409">
        <v>0</v>
      </c>
      <c r="G56" s="1409">
        <v>0</v>
      </c>
      <c r="H56" s="1409">
        <v>0</v>
      </c>
      <c r="I56" s="1409">
        <v>0</v>
      </c>
      <c r="J56" s="1409">
        <v>0</v>
      </c>
      <c r="K56" s="1409">
        <v>0</v>
      </c>
      <c r="L56" s="1409">
        <v>0</v>
      </c>
      <c r="M56" s="1409">
        <v>0</v>
      </c>
      <c r="N56" s="159"/>
      <c r="O56" s="159"/>
      <c r="P56" s="159"/>
      <c r="Q56" s="159"/>
      <c r="R56" s="159"/>
      <c r="S56" s="159"/>
      <c r="T56" s="159"/>
      <c r="U56" s="159"/>
      <c r="V56" s="159"/>
      <c r="W56" s="159"/>
      <c r="X56" s="159"/>
      <c r="Y56" s="159"/>
      <c r="Z56" s="159"/>
      <c r="AA56" s="159"/>
      <c r="AB56" s="159"/>
      <c r="AC56" s="159"/>
      <c r="AD56" s="159"/>
      <c r="AE56" s="159"/>
      <c r="AF56" s="159"/>
      <c r="AG56" s="159"/>
      <c r="AH56" s="183">
        <f>SUM(C56:AG56)</f>
        <v>0</v>
      </c>
    </row>
    <row r="57" spans="1:34" ht="12.75">
      <c r="A57" s="1268" t="s">
        <v>76</v>
      </c>
      <c r="B57" s="159">
        <f t="shared" si="19"/>
        <v>0</v>
      </c>
      <c r="C57" s="183"/>
      <c r="D57" s="159"/>
      <c r="E57" s="159"/>
      <c r="F57" s="159"/>
      <c r="G57" s="159"/>
      <c r="H57" s="159"/>
      <c r="I57" s="159"/>
      <c r="J57" s="159"/>
      <c r="K57" s="159"/>
      <c r="L57" s="159"/>
      <c r="M57" s="159"/>
      <c r="N57" s="159"/>
      <c r="O57" s="159"/>
      <c r="P57" s="159"/>
      <c r="Q57" s="159"/>
      <c r="R57" s="159"/>
      <c r="S57" s="159"/>
      <c r="T57" s="159"/>
      <c r="U57" s="159"/>
      <c r="V57" s="159"/>
      <c r="W57" s="159"/>
      <c r="X57" s="159"/>
      <c r="Y57" s="159"/>
      <c r="Z57" s="159"/>
      <c r="AA57" s="159"/>
      <c r="AB57" s="159"/>
      <c r="AC57" s="159"/>
      <c r="AD57" s="159"/>
      <c r="AE57" s="159"/>
      <c r="AF57" s="159"/>
      <c r="AG57" s="159"/>
      <c r="AH57" s="183">
        <f t="shared" ref="AH57:AH67" si="20">SUM(C57:AG57)</f>
        <v>0</v>
      </c>
    </row>
    <row r="58" spans="1:34" ht="12.75">
      <c r="A58" s="1268" t="s">
        <v>77</v>
      </c>
      <c r="B58" s="159">
        <f t="shared" si="19"/>
        <v>0</v>
      </c>
      <c r="C58" s="183"/>
      <c r="D58" s="159"/>
      <c r="E58" s="159"/>
      <c r="F58" s="159"/>
      <c r="G58" s="159"/>
      <c r="H58" s="159"/>
      <c r="I58" s="159"/>
      <c r="J58" s="159"/>
      <c r="K58" s="159"/>
      <c r="L58" s="159"/>
      <c r="M58" s="159"/>
      <c r="N58" s="159"/>
      <c r="O58" s="159"/>
      <c r="P58" s="159"/>
      <c r="Q58" s="159"/>
      <c r="R58" s="159"/>
      <c r="S58" s="159"/>
      <c r="T58" s="159"/>
      <c r="U58" s="159"/>
      <c r="V58" s="159"/>
      <c r="W58" s="159"/>
      <c r="X58" s="159"/>
      <c r="Y58" s="159"/>
      <c r="Z58" s="159"/>
      <c r="AA58" s="159"/>
      <c r="AB58" s="159"/>
      <c r="AC58" s="159"/>
      <c r="AD58" s="159"/>
      <c r="AE58" s="159"/>
      <c r="AF58" s="159"/>
      <c r="AG58" s="159"/>
      <c r="AH58" s="183">
        <f t="shared" si="20"/>
        <v>0</v>
      </c>
    </row>
    <row r="59" spans="1:34" ht="12.75">
      <c r="A59" s="1268" t="s">
        <v>78</v>
      </c>
      <c r="B59" s="159">
        <f t="shared" si="19"/>
        <v>0</v>
      </c>
      <c r="C59" s="183"/>
      <c r="D59" s="1232"/>
      <c r="E59" s="159"/>
      <c r="F59" s="159"/>
      <c r="G59" s="159"/>
      <c r="H59" s="159"/>
      <c r="I59" s="159"/>
      <c r="J59" s="159"/>
      <c r="K59" s="159"/>
      <c r="L59" s="159"/>
      <c r="M59" s="159"/>
      <c r="N59" s="159"/>
      <c r="O59" s="159"/>
      <c r="P59" s="159"/>
      <c r="Q59" s="159"/>
      <c r="R59" s="159"/>
      <c r="S59" s="159"/>
      <c r="T59" s="159"/>
      <c r="U59" s="159"/>
      <c r="V59" s="159"/>
      <c r="W59" s="159"/>
      <c r="X59" s="159"/>
      <c r="Y59" s="159"/>
      <c r="Z59" s="159"/>
      <c r="AA59" s="159"/>
      <c r="AB59" s="159"/>
      <c r="AC59" s="159"/>
      <c r="AD59" s="159"/>
      <c r="AE59" s="159"/>
      <c r="AF59" s="159"/>
      <c r="AG59" s="159"/>
      <c r="AH59" s="183">
        <f t="shared" si="20"/>
        <v>0</v>
      </c>
    </row>
    <row r="60" spans="1:34" ht="12.75">
      <c r="A60" s="1268" t="s">
        <v>79</v>
      </c>
      <c r="B60" s="159">
        <f t="shared" si="19"/>
        <v>0</v>
      </c>
      <c r="C60" s="183"/>
      <c r="D60" s="159"/>
      <c r="E60" s="159"/>
      <c r="F60" s="159"/>
      <c r="G60" s="159"/>
      <c r="H60" s="159"/>
      <c r="I60" s="159"/>
      <c r="J60" s="159"/>
      <c r="K60" s="159"/>
      <c r="L60" s="159"/>
      <c r="M60" s="159"/>
      <c r="N60" s="159"/>
      <c r="O60" s="159"/>
      <c r="P60" s="159"/>
      <c r="Q60" s="159"/>
      <c r="R60" s="159"/>
      <c r="S60" s="159"/>
      <c r="T60" s="159"/>
      <c r="U60" s="159"/>
      <c r="V60" s="159"/>
      <c r="W60" s="159"/>
      <c r="X60" s="159"/>
      <c r="Y60" s="159"/>
      <c r="Z60" s="159"/>
      <c r="AA60" s="159"/>
      <c r="AB60" s="159"/>
      <c r="AC60" s="159"/>
      <c r="AD60" s="159"/>
      <c r="AE60" s="159"/>
      <c r="AF60" s="159"/>
      <c r="AG60" s="159"/>
      <c r="AH60" s="183">
        <f t="shared" si="20"/>
        <v>0</v>
      </c>
    </row>
    <row r="61" spans="1:34" ht="12.75">
      <c r="A61" s="1268" t="s">
        <v>80</v>
      </c>
      <c r="B61" s="159">
        <f t="shared" si="19"/>
        <v>0</v>
      </c>
      <c r="C61" s="183"/>
      <c r="D61" s="159"/>
      <c r="E61" s="159"/>
      <c r="F61" s="159"/>
      <c r="G61" s="159"/>
      <c r="H61" s="159"/>
      <c r="I61" s="159"/>
      <c r="J61" s="159"/>
      <c r="K61" s="159"/>
      <c r="L61" s="159"/>
      <c r="M61" s="159"/>
      <c r="N61" s="159"/>
      <c r="O61" s="159"/>
      <c r="P61" s="159"/>
      <c r="Q61" s="159"/>
      <c r="R61" s="159"/>
      <c r="S61" s="159"/>
      <c r="T61" s="159"/>
      <c r="U61" s="159"/>
      <c r="V61" s="159"/>
      <c r="W61" s="159"/>
      <c r="X61" s="159"/>
      <c r="Y61" s="159"/>
      <c r="Z61" s="159"/>
      <c r="AA61" s="159"/>
      <c r="AB61" s="159"/>
      <c r="AC61" s="159"/>
      <c r="AD61" s="159"/>
      <c r="AE61" s="159"/>
      <c r="AF61" s="159"/>
      <c r="AG61" s="159"/>
      <c r="AH61" s="183">
        <f t="shared" si="20"/>
        <v>0</v>
      </c>
    </row>
    <row r="62" spans="1:34" ht="12.75">
      <c r="A62" s="1268" t="s">
        <v>81</v>
      </c>
      <c r="B62" s="159">
        <f t="shared" si="19"/>
        <v>0</v>
      </c>
      <c r="C62" s="183"/>
      <c r="D62" s="159"/>
      <c r="E62" s="159"/>
      <c r="F62" s="159"/>
      <c r="G62" s="159"/>
      <c r="H62" s="159"/>
      <c r="I62" s="159"/>
      <c r="J62" s="159"/>
      <c r="K62" s="159"/>
      <c r="L62" s="159"/>
      <c r="M62" s="159"/>
      <c r="N62" s="159"/>
      <c r="O62" s="159"/>
      <c r="P62" s="159"/>
      <c r="Q62" s="159"/>
      <c r="R62" s="159"/>
      <c r="S62" s="159"/>
      <c r="T62" s="159"/>
      <c r="U62" s="159"/>
      <c r="V62" s="159"/>
      <c r="W62" s="159"/>
      <c r="X62" s="159"/>
      <c r="Y62" s="159"/>
      <c r="Z62" s="159"/>
      <c r="AA62" s="159"/>
      <c r="AB62" s="159"/>
      <c r="AC62" s="159"/>
      <c r="AD62" s="159"/>
      <c r="AE62" s="159"/>
      <c r="AF62" s="159"/>
      <c r="AG62" s="159"/>
      <c r="AH62" s="183">
        <f t="shared" si="20"/>
        <v>0</v>
      </c>
    </row>
    <row r="63" spans="1:34" ht="12.75">
      <c r="A63" s="1268" t="s">
        <v>82</v>
      </c>
      <c r="B63" s="159">
        <f t="shared" si="19"/>
        <v>0</v>
      </c>
      <c r="C63" s="183"/>
      <c r="D63" s="159"/>
      <c r="E63" s="159"/>
      <c r="F63" s="159"/>
      <c r="G63" s="159"/>
      <c r="H63" s="159"/>
      <c r="I63" s="159"/>
      <c r="J63" s="159"/>
      <c r="K63" s="159"/>
      <c r="L63" s="159"/>
      <c r="M63" s="159"/>
      <c r="N63" s="159"/>
      <c r="O63" s="159"/>
      <c r="P63" s="159"/>
      <c r="Q63" s="159"/>
      <c r="R63" s="159"/>
      <c r="S63" s="159"/>
      <c r="T63" s="159"/>
      <c r="U63" s="159"/>
      <c r="V63" s="159"/>
      <c r="W63" s="159"/>
      <c r="X63" s="159"/>
      <c r="Y63" s="159"/>
      <c r="Z63" s="159"/>
      <c r="AA63" s="159"/>
      <c r="AB63" s="159"/>
      <c r="AC63" s="159"/>
      <c r="AD63" s="159"/>
      <c r="AE63" s="159"/>
      <c r="AF63" s="159"/>
      <c r="AG63" s="159"/>
      <c r="AH63" s="183">
        <f t="shared" si="20"/>
        <v>0</v>
      </c>
    </row>
    <row r="64" spans="1:34" ht="12.75">
      <c r="A64" s="1268" t="s">
        <v>83</v>
      </c>
      <c r="B64" s="159">
        <f t="shared" si="19"/>
        <v>0</v>
      </c>
      <c r="C64" s="183"/>
      <c r="D64" s="159"/>
      <c r="E64" s="159"/>
      <c r="F64" s="159"/>
      <c r="G64" s="159"/>
      <c r="H64" s="159"/>
      <c r="I64" s="159"/>
      <c r="J64" s="159"/>
      <c r="K64" s="159"/>
      <c r="L64" s="159"/>
      <c r="M64" s="159"/>
      <c r="N64" s="159"/>
      <c r="O64" s="159"/>
      <c r="P64" s="159"/>
      <c r="Q64" s="159"/>
      <c r="R64" s="159"/>
      <c r="S64" s="159"/>
      <c r="T64" s="159"/>
      <c r="U64" s="159"/>
      <c r="V64" s="159"/>
      <c r="W64" s="159"/>
      <c r="X64" s="159"/>
      <c r="Y64" s="159"/>
      <c r="Z64" s="159"/>
      <c r="AA64" s="159"/>
      <c r="AB64" s="159"/>
      <c r="AC64" s="159"/>
      <c r="AD64" s="159"/>
      <c r="AE64" s="159"/>
      <c r="AF64" s="159"/>
      <c r="AG64" s="159"/>
      <c r="AH64" s="183">
        <f t="shared" si="20"/>
        <v>0</v>
      </c>
    </row>
    <row r="65" spans="1:34" ht="12.75">
      <c r="A65" s="1268" t="s">
        <v>84</v>
      </c>
      <c r="B65" s="159">
        <f t="shared" si="19"/>
        <v>0</v>
      </c>
      <c r="C65" s="183"/>
      <c r="D65" s="159"/>
      <c r="E65" s="159"/>
      <c r="F65" s="159"/>
      <c r="G65" s="159"/>
      <c r="H65" s="159"/>
      <c r="I65" s="159"/>
      <c r="J65" s="159"/>
      <c r="K65" s="159"/>
      <c r="L65" s="159"/>
      <c r="M65" s="159"/>
      <c r="N65" s="159"/>
      <c r="O65" s="159"/>
      <c r="P65" s="159"/>
      <c r="Q65" s="159"/>
      <c r="R65" s="159"/>
      <c r="S65" s="159"/>
      <c r="T65" s="159"/>
      <c r="U65" s="159"/>
      <c r="V65" s="159"/>
      <c r="W65" s="159"/>
      <c r="X65" s="159"/>
      <c r="Y65" s="159"/>
      <c r="Z65" s="159"/>
      <c r="AA65" s="159"/>
      <c r="AB65" s="159"/>
      <c r="AC65" s="159"/>
      <c r="AD65" s="159"/>
      <c r="AE65" s="159"/>
      <c r="AF65" s="159"/>
      <c r="AG65" s="159"/>
      <c r="AH65" s="183">
        <f t="shared" si="20"/>
        <v>0</v>
      </c>
    </row>
    <row r="66" spans="1:34" ht="12.75">
      <c r="A66" s="1740" t="s">
        <v>85</v>
      </c>
      <c r="B66" s="159">
        <f t="shared" si="19"/>
        <v>0</v>
      </c>
      <c r="C66" s="183"/>
      <c r="D66" s="159"/>
      <c r="E66" s="159"/>
      <c r="F66" s="159"/>
      <c r="G66" s="159"/>
      <c r="H66" s="159"/>
      <c r="I66" s="159"/>
      <c r="J66" s="159"/>
      <c r="K66" s="159"/>
      <c r="L66" s="159"/>
      <c r="M66" s="159"/>
      <c r="N66" s="159"/>
      <c r="O66" s="159"/>
      <c r="P66" s="159"/>
      <c r="Q66" s="159"/>
      <c r="R66" s="159"/>
      <c r="S66" s="159"/>
      <c r="T66" s="159"/>
      <c r="U66" s="159"/>
      <c r="V66" s="159"/>
      <c r="W66" s="159"/>
      <c r="X66" s="159"/>
      <c r="Y66" s="159"/>
      <c r="Z66" s="159"/>
      <c r="AA66" s="159"/>
      <c r="AB66" s="159"/>
      <c r="AC66" s="159"/>
      <c r="AD66" s="159"/>
      <c r="AE66" s="159"/>
      <c r="AF66" s="159"/>
      <c r="AG66" s="159"/>
      <c r="AH66" s="183">
        <f t="shared" si="20"/>
        <v>0</v>
      </c>
    </row>
    <row r="67" spans="1:34" ht="12.75">
      <c r="A67" s="1740" t="s">
        <v>86</v>
      </c>
      <c r="B67" s="159">
        <f t="shared" si="19"/>
        <v>0</v>
      </c>
      <c r="C67" s="183"/>
      <c r="D67" s="159"/>
      <c r="E67" s="159"/>
      <c r="F67" s="159"/>
      <c r="G67" s="159"/>
      <c r="H67" s="159"/>
      <c r="I67" s="159"/>
      <c r="J67" s="159"/>
      <c r="K67" s="159"/>
      <c r="L67" s="159"/>
      <c r="M67" s="159"/>
      <c r="N67" s="159"/>
      <c r="O67" s="159"/>
      <c r="P67" s="159"/>
      <c r="Q67" s="159"/>
      <c r="R67" s="159"/>
      <c r="S67" s="159"/>
      <c r="T67" s="159"/>
      <c r="U67" s="159"/>
      <c r="V67" s="159"/>
      <c r="W67" s="159"/>
      <c r="X67" s="159"/>
      <c r="Y67" s="159"/>
      <c r="Z67" s="159"/>
      <c r="AA67" s="159"/>
      <c r="AB67" s="159"/>
      <c r="AC67" s="159"/>
      <c r="AD67" s="159"/>
      <c r="AE67" s="159"/>
      <c r="AF67" s="159"/>
      <c r="AG67" s="159"/>
      <c r="AH67" s="183">
        <f t="shared" si="20"/>
        <v>0</v>
      </c>
    </row>
    <row r="68" spans="1:34" ht="12.75">
      <c r="A68" s="665" t="s">
        <v>74</v>
      </c>
      <c r="B68" s="838">
        <f>SUM(B56:B67)</f>
        <v>0</v>
      </c>
      <c r="C68" s="183">
        <f t="shared" ref="C68:AH68" si="21">SUM(C56:C67)</f>
        <v>0</v>
      </c>
      <c r="D68" s="183">
        <f t="shared" si="21"/>
        <v>0</v>
      </c>
      <c r="E68" s="183">
        <f t="shared" si="21"/>
        <v>0</v>
      </c>
      <c r="F68" s="183">
        <f t="shared" si="21"/>
        <v>0</v>
      </c>
      <c r="G68" s="183">
        <f t="shared" si="21"/>
        <v>0</v>
      </c>
      <c r="H68" s="183">
        <f t="shared" si="21"/>
        <v>0</v>
      </c>
      <c r="I68" s="183">
        <f t="shared" si="21"/>
        <v>0</v>
      </c>
      <c r="J68" s="183">
        <f t="shared" si="21"/>
        <v>0</v>
      </c>
      <c r="K68" s="183">
        <f t="shared" si="21"/>
        <v>0</v>
      </c>
      <c r="L68" s="183">
        <f t="shared" si="21"/>
        <v>0</v>
      </c>
      <c r="M68" s="183">
        <f t="shared" si="21"/>
        <v>0</v>
      </c>
      <c r="N68" s="183">
        <f t="shared" si="21"/>
        <v>0</v>
      </c>
      <c r="O68" s="183">
        <f t="shared" si="21"/>
        <v>0</v>
      </c>
      <c r="P68" s="183">
        <f t="shared" si="21"/>
        <v>0</v>
      </c>
      <c r="Q68" s="183">
        <f t="shared" si="21"/>
        <v>0</v>
      </c>
      <c r="R68" s="183">
        <f t="shared" si="21"/>
        <v>0</v>
      </c>
      <c r="S68" s="183">
        <f t="shared" si="21"/>
        <v>0</v>
      </c>
      <c r="T68" s="183">
        <f t="shared" si="21"/>
        <v>0</v>
      </c>
      <c r="U68" s="183">
        <f t="shared" si="21"/>
        <v>0</v>
      </c>
      <c r="V68" s="183">
        <f t="shared" si="21"/>
        <v>0</v>
      </c>
      <c r="W68" s="183">
        <f t="shared" si="21"/>
        <v>0</v>
      </c>
      <c r="X68" s="183">
        <f t="shared" si="21"/>
        <v>0</v>
      </c>
      <c r="Y68" s="183">
        <f t="shared" si="21"/>
        <v>0</v>
      </c>
      <c r="Z68" s="183">
        <f t="shared" si="21"/>
        <v>0</v>
      </c>
      <c r="AA68" s="183">
        <f t="shared" si="21"/>
        <v>0</v>
      </c>
      <c r="AB68" s="183">
        <f t="shared" si="21"/>
        <v>0</v>
      </c>
      <c r="AC68" s="183">
        <f t="shared" si="21"/>
        <v>0</v>
      </c>
      <c r="AD68" s="183">
        <f t="shared" si="21"/>
        <v>0</v>
      </c>
      <c r="AE68" s="183">
        <f t="shared" si="21"/>
        <v>0</v>
      </c>
      <c r="AF68" s="183">
        <f t="shared" si="21"/>
        <v>0</v>
      </c>
      <c r="AG68" s="183">
        <f t="shared" si="21"/>
        <v>0</v>
      </c>
      <c r="AH68" s="183">
        <f t="shared" si="21"/>
        <v>0</v>
      </c>
    </row>
    <row r="70" spans="1:34" ht="12.75">
      <c r="A70" s="3605" t="s">
        <v>602</v>
      </c>
      <c r="B70" s="3606"/>
      <c r="C70" s="3606"/>
      <c r="D70" s="3607"/>
      <c r="E70" s="64"/>
      <c r="F70" s="64"/>
      <c r="G70" s="64"/>
      <c r="H70" s="64"/>
      <c r="I70" s="64"/>
      <c r="J70" s="64"/>
      <c r="K70" s="64"/>
      <c r="L70" s="64"/>
      <c r="M70" s="64"/>
      <c r="N70" s="64"/>
      <c r="O70" s="64"/>
      <c r="P70" s="64"/>
      <c r="Q70" s="64"/>
      <c r="R70" s="64"/>
      <c r="S70" s="64"/>
      <c r="T70" s="64"/>
      <c r="U70" s="64"/>
      <c r="V70" s="64"/>
      <c r="W70" s="64"/>
      <c r="X70" s="64"/>
      <c r="Y70" s="64"/>
      <c r="Z70" s="64"/>
      <c r="AA70" s="64"/>
      <c r="AB70" s="64"/>
      <c r="AC70" s="64"/>
      <c r="AD70" s="64"/>
      <c r="AE70" s="64"/>
      <c r="AF70" s="64"/>
      <c r="AG70" s="64"/>
      <c r="AH70" s="177"/>
    </row>
    <row r="71" spans="1:34" ht="12.75">
      <c r="A71" s="178" t="s">
        <v>72</v>
      </c>
      <c r="B71" s="179" t="s">
        <v>73</v>
      </c>
      <c r="C71" s="178">
        <v>1</v>
      </c>
      <c r="D71" s="179">
        <v>2</v>
      </c>
      <c r="E71" s="179">
        <v>3</v>
      </c>
      <c r="F71" s="179">
        <v>4</v>
      </c>
      <c r="G71" s="179">
        <v>5</v>
      </c>
      <c r="H71" s="179">
        <v>6</v>
      </c>
      <c r="I71" s="179">
        <v>7</v>
      </c>
      <c r="J71" s="179">
        <v>8</v>
      </c>
      <c r="K71" s="179">
        <v>9</v>
      </c>
      <c r="L71" s="179">
        <v>10</v>
      </c>
      <c r="M71" s="179">
        <v>11</v>
      </c>
      <c r="N71" s="179">
        <v>12</v>
      </c>
      <c r="O71" s="179">
        <v>13</v>
      </c>
      <c r="P71" s="179">
        <v>14</v>
      </c>
      <c r="Q71" s="179">
        <v>15</v>
      </c>
      <c r="R71" s="179">
        <v>16</v>
      </c>
      <c r="S71" s="179">
        <v>17</v>
      </c>
      <c r="T71" s="179">
        <v>18</v>
      </c>
      <c r="U71" s="179">
        <v>19</v>
      </c>
      <c r="V71" s="179">
        <v>20</v>
      </c>
      <c r="W71" s="179">
        <v>21</v>
      </c>
      <c r="X71" s="179">
        <v>22</v>
      </c>
      <c r="Y71" s="179">
        <v>23</v>
      </c>
      <c r="Z71" s="179">
        <v>24</v>
      </c>
      <c r="AA71" s="179">
        <v>25</v>
      </c>
      <c r="AB71" s="179">
        <v>26</v>
      </c>
      <c r="AC71" s="179">
        <v>27</v>
      </c>
      <c r="AD71" s="179">
        <v>28</v>
      </c>
      <c r="AE71" s="179">
        <v>29</v>
      </c>
      <c r="AF71" s="179">
        <v>30</v>
      </c>
      <c r="AG71" s="179">
        <v>31</v>
      </c>
      <c r="AH71" s="178" t="s">
        <v>74</v>
      </c>
    </row>
    <row r="72" spans="1:34" ht="12.75">
      <c r="A72" s="1268" t="s">
        <v>75</v>
      </c>
      <c r="B72" s="3334">
        <f t="shared" ref="B72:B83" si="22">+AH72</f>
        <v>0.10500000000000001</v>
      </c>
      <c r="C72" s="1553"/>
      <c r="D72" s="1553"/>
      <c r="E72" s="1553">
        <v>5.0000000000000001E-3</v>
      </c>
      <c r="F72" s="1553"/>
      <c r="G72" s="1553">
        <v>0.1</v>
      </c>
      <c r="H72" s="1553"/>
      <c r="I72" s="1553"/>
      <c r="J72" s="1553"/>
      <c r="K72" s="1553"/>
      <c r="L72" s="1553"/>
      <c r="M72" s="1553"/>
      <c r="N72" s="159"/>
      <c r="O72" s="159"/>
      <c r="P72" s="159"/>
      <c r="Q72" s="159"/>
      <c r="R72" s="159"/>
      <c r="S72" s="159"/>
      <c r="T72" s="159"/>
      <c r="U72" s="159"/>
      <c r="V72" s="159"/>
      <c r="W72" s="159"/>
      <c r="X72" s="159"/>
      <c r="Y72" s="159"/>
      <c r="Z72" s="159"/>
      <c r="AA72" s="159"/>
      <c r="AB72" s="159"/>
      <c r="AC72" s="159"/>
      <c r="AD72" s="159"/>
      <c r="AE72" s="159"/>
      <c r="AF72" s="159"/>
      <c r="AG72" s="159"/>
      <c r="AH72" s="183">
        <f>SUM(C72:AG72)</f>
        <v>0.10500000000000001</v>
      </c>
    </row>
    <row r="73" spans="1:34" ht="12.75">
      <c r="A73" s="1268" t="s">
        <v>76</v>
      </c>
      <c r="B73" s="3334">
        <f t="shared" si="22"/>
        <v>0.05</v>
      </c>
      <c r="C73" s="183"/>
      <c r="D73" s="159"/>
      <c r="E73" s="159"/>
      <c r="F73" s="159"/>
      <c r="G73" s="159"/>
      <c r="H73" s="159">
        <v>0.05</v>
      </c>
      <c r="I73" s="159"/>
      <c r="J73" s="159"/>
      <c r="K73" s="159"/>
      <c r="L73" s="159"/>
      <c r="M73" s="159"/>
      <c r="N73" s="159"/>
      <c r="O73" s="159"/>
      <c r="P73" s="159"/>
      <c r="Q73" s="159"/>
      <c r="R73" s="159"/>
      <c r="S73" s="159"/>
      <c r="T73" s="159"/>
      <c r="U73" s="159"/>
      <c r="V73" s="159"/>
      <c r="W73" s="159"/>
      <c r="X73" s="159"/>
      <c r="Y73" s="159"/>
      <c r="Z73" s="159"/>
      <c r="AA73" s="159"/>
      <c r="AB73" s="159"/>
      <c r="AC73" s="159"/>
      <c r="AD73" s="159"/>
      <c r="AE73" s="159"/>
      <c r="AF73" s="159"/>
      <c r="AG73" s="159"/>
      <c r="AH73" s="183">
        <f t="shared" ref="AH73:AH83" si="23">SUM(C73:AG73)</f>
        <v>0.05</v>
      </c>
    </row>
    <row r="74" spans="1:34" ht="12.75">
      <c r="A74" s="1268" t="s">
        <v>77</v>
      </c>
      <c r="B74" s="3334">
        <f t="shared" si="22"/>
        <v>0</v>
      </c>
      <c r="C74" s="183"/>
      <c r="D74" s="159"/>
      <c r="E74" s="159"/>
      <c r="F74" s="159"/>
      <c r="G74" s="159"/>
      <c r="H74" s="159"/>
      <c r="I74" s="159"/>
      <c r="J74" s="159"/>
      <c r="K74" s="159"/>
      <c r="L74" s="159"/>
      <c r="M74" s="159"/>
      <c r="N74" s="159"/>
      <c r="O74" s="159"/>
      <c r="P74" s="159"/>
      <c r="Q74" s="159"/>
      <c r="R74" s="159"/>
      <c r="S74" s="159"/>
      <c r="T74" s="159"/>
      <c r="U74" s="159"/>
      <c r="V74" s="159"/>
      <c r="W74" s="159"/>
      <c r="X74" s="159"/>
      <c r="Y74" s="159"/>
      <c r="Z74" s="159"/>
      <c r="AA74" s="159"/>
      <c r="AB74" s="159"/>
      <c r="AC74" s="159"/>
      <c r="AD74" s="159"/>
      <c r="AE74" s="159"/>
      <c r="AF74" s="159"/>
      <c r="AG74" s="159"/>
      <c r="AH74" s="183">
        <f t="shared" si="23"/>
        <v>0</v>
      </c>
    </row>
    <row r="75" spans="1:34" ht="12.75">
      <c r="A75" s="1268" t="s">
        <v>78</v>
      </c>
      <c r="B75" s="3334">
        <f t="shared" si="22"/>
        <v>0</v>
      </c>
      <c r="C75" s="183"/>
      <c r="D75" s="1232"/>
      <c r="E75" s="159"/>
      <c r="F75" s="159"/>
      <c r="G75" s="159"/>
      <c r="H75" s="159"/>
      <c r="I75" s="159"/>
      <c r="J75" s="159"/>
      <c r="K75" s="159"/>
      <c r="L75" s="159"/>
      <c r="M75" s="159"/>
      <c r="N75" s="159"/>
      <c r="O75" s="159"/>
      <c r="P75" s="159"/>
      <c r="Q75" s="159"/>
      <c r="R75" s="159"/>
      <c r="S75" s="159"/>
      <c r="T75" s="159"/>
      <c r="U75" s="159"/>
      <c r="V75" s="159"/>
      <c r="W75" s="159"/>
      <c r="X75" s="159"/>
      <c r="Y75" s="159"/>
      <c r="Z75" s="159"/>
      <c r="AA75" s="159"/>
      <c r="AB75" s="159"/>
      <c r="AC75" s="159"/>
      <c r="AD75" s="159"/>
      <c r="AE75" s="159"/>
      <c r="AF75" s="159"/>
      <c r="AG75" s="159"/>
      <c r="AH75" s="183">
        <f t="shared" si="23"/>
        <v>0</v>
      </c>
    </row>
    <row r="76" spans="1:34" ht="12.75">
      <c r="A76" s="1268" t="s">
        <v>79</v>
      </c>
      <c r="B76" s="3334">
        <f t="shared" si="22"/>
        <v>0.7</v>
      </c>
      <c r="C76" s="183"/>
      <c r="D76" s="159"/>
      <c r="E76" s="159"/>
      <c r="F76" s="159"/>
      <c r="G76" s="159"/>
      <c r="H76" s="159"/>
      <c r="I76" s="159"/>
      <c r="J76" s="159"/>
      <c r="K76" s="159">
        <v>0.5</v>
      </c>
      <c r="L76" s="159"/>
      <c r="M76" s="159"/>
      <c r="N76" s="159"/>
      <c r="O76" s="159"/>
      <c r="P76" s="159"/>
      <c r="Q76" s="159"/>
      <c r="R76" s="159"/>
      <c r="S76" s="159"/>
      <c r="T76" s="159"/>
      <c r="U76" s="159">
        <v>0.2</v>
      </c>
      <c r="V76" s="159"/>
      <c r="W76" s="159"/>
      <c r="X76" s="159"/>
      <c r="Y76" s="159"/>
      <c r="Z76" s="159"/>
      <c r="AA76" s="159"/>
      <c r="AB76" s="159"/>
      <c r="AC76" s="159"/>
      <c r="AD76" s="159"/>
      <c r="AE76" s="159"/>
      <c r="AF76" s="159"/>
      <c r="AG76" s="159"/>
      <c r="AH76" s="183">
        <f t="shared" si="23"/>
        <v>0.7</v>
      </c>
    </row>
    <row r="77" spans="1:34" ht="12.75">
      <c r="A77" s="1268" t="s">
        <v>80</v>
      </c>
      <c r="B77" s="3334">
        <f t="shared" si="22"/>
        <v>0</v>
      </c>
      <c r="C77" s="183"/>
      <c r="D77" s="159"/>
      <c r="E77" s="159"/>
      <c r="F77" s="159"/>
      <c r="G77" s="159"/>
      <c r="H77" s="159"/>
      <c r="I77" s="159"/>
      <c r="J77" s="159"/>
      <c r="K77" s="159"/>
      <c r="L77" s="159"/>
      <c r="M77" s="159"/>
      <c r="N77" s="159"/>
      <c r="O77" s="159"/>
      <c r="P77" s="159"/>
      <c r="Q77" s="159"/>
      <c r="R77" s="159"/>
      <c r="S77" s="159"/>
      <c r="T77" s="159"/>
      <c r="U77" s="159"/>
      <c r="V77" s="159"/>
      <c r="W77" s="159"/>
      <c r="X77" s="159"/>
      <c r="Y77" s="159"/>
      <c r="Z77" s="159"/>
      <c r="AA77" s="159"/>
      <c r="AB77" s="159"/>
      <c r="AC77" s="159"/>
      <c r="AD77" s="159"/>
      <c r="AE77" s="159"/>
      <c r="AF77" s="159"/>
      <c r="AG77" s="159"/>
      <c r="AH77" s="183">
        <f t="shared" si="23"/>
        <v>0</v>
      </c>
    </row>
    <row r="78" spans="1:34" ht="12.75">
      <c r="A78" s="1268" t="s">
        <v>81</v>
      </c>
      <c r="B78" s="3334">
        <f t="shared" si="22"/>
        <v>0</v>
      </c>
      <c r="C78" s="183"/>
      <c r="D78" s="159"/>
      <c r="E78" s="159"/>
      <c r="F78" s="159"/>
      <c r="G78" s="159"/>
      <c r="H78" s="159"/>
      <c r="I78" s="159"/>
      <c r="J78" s="159"/>
      <c r="K78" s="159"/>
      <c r="L78" s="159"/>
      <c r="M78" s="159"/>
      <c r="N78" s="159"/>
      <c r="O78" s="159"/>
      <c r="P78" s="159"/>
      <c r="Q78" s="159"/>
      <c r="R78" s="159"/>
      <c r="S78" s="159"/>
      <c r="T78" s="159"/>
      <c r="U78" s="159"/>
      <c r="V78" s="159"/>
      <c r="W78" s="159"/>
      <c r="X78" s="159"/>
      <c r="Y78" s="159"/>
      <c r="Z78" s="159"/>
      <c r="AA78" s="159"/>
      <c r="AB78" s="159"/>
      <c r="AC78" s="159"/>
      <c r="AD78" s="159"/>
      <c r="AE78" s="159"/>
      <c r="AF78" s="159"/>
      <c r="AG78" s="159"/>
      <c r="AH78" s="183">
        <f t="shared" si="23"/>
        <v>0</v>
      </c>
    </row>
    <row r="79" spans="1:34" ht="12.75">
      <c r="A79" s="1268" t="s">
        <v>82</v>
      </c>
      <c r="B79" s="3334">
        <f t="shared" si="22"/>
        <v>0</v>
      </c>
      <c r="C79" s="183"/>
      <c r="D79" s="159"/>
      <c r="E79" s="159"/>
      <c r="F79" s="159"/>
      <c r="G79" s="159"/>
      <c r="H79" s="159"/>
      <c r="I79" s="159"/>
      <c r="J79" s="159"/>
      <c r="K79" s="159"/>
      <c r="L79" s="159"/>
      <c r="M79" s="159"/>
      <c r="N79" s="159"/>
      <c r="O79" s="159"/>
      <c r="P79" s="159"/>
      <c r="Q79" s="159"/>
      <c r="R79" s="159"/>
      <c r="S79" s="159"/>
      <c r="T79" s="159"/>
      <c r="U79" s="159"/>
      <c r="V79" s="159"/>
      <c r="W79" s="159"/>
      <c r="X79" s="159"/>
      <c r="Y79" s="159"/>
      <c r="Z79" s="159"/>
      <c r="AA79" s="159"/>
      <c r="AB79" s="159"/>
      <c r="AC79" s="159"/>
      <c r="AD79" s="159"/>
      <c r="AE79" s="159"/>
      <c r="AF79" s="159"/>
      <c r="AG79" s="159"/>
      <c r="AH79" s="183">
        <f t="shared" si="23"/>
        <v>0</v>
      </c>
    </row>
    <row r="80" spans="1:34" ht="12.75">
      <c r="A80" s="1268" t="s">
        <v>83</v>
      </c>
      <c r="B80" s="3334">
        <f t="shared" si="22"/>
        <v>0</v>
      </c>
      <c r="C80" s="183"/>
      <c r="D80" s="159"/>
      <c r="E80" s="159"/>
      <c r="F80" s="159"/>
      <c r="G80" s="159"/>
      <c r="H80" s="159"/>
      <c r="I80" s="159"/>
      <c r="J80" s="159"/>
      <c r="K80" s="159"/>
      <c r="L80" s="159"/>
      <c r="M80" s="159"/>
      <c r="N80" s="159"/>
      <c r="O80" s="159"/>
      <c r="P80" s="159"/>
      <c r="Q80" s="159"/>
      <c r="R80" s="159"/>
      <c r="S80" s="159"/>
      <c r="T80" s="159"/>
      <c r="U80" s="159"/>
      <c r="V80" s="159"/>
      <c r="W80" s="159"/>
      <c r="X80" s="159"/>
      <c r="Y80" s="159"/>
      <c r="Z80" s="159"/>
      <c r="AA80" s="159"/>
      <c r="AB80" s="159"/>
      <c r="AC80" s="159"/>
      <c r="AD80" s="159"/>
      <c r="AE80" s="159"/>
      <c r="AF80" s="159"/>
      <c r="AG80" s="159"/>
      <c r="AH80" s="183">
        <f t="shared" si="23"/>
        <v>0</v>
      </c>
    </row>
    <row r="81" spans="1:34" ht="12.75">
      <c r="A81" s="1268" t="s">
        <v>84</v>
      </c>
      <c r="B81" s="3334">
        <f t="shared" si="22"/>
        <v>4.3999999999999997E-2</v>
      </c>
      <c r="C81" s="183"/>
      <c r="D81" s="159"/>
      <c r="E81" s="159"/>
      <c r="F81" s="159"/>
      <c r="G81" s="159"/>
      <c r="H81" s="159"/>
      <c r="I81" s="159"/>
      <c r="J81" s="159">
        <v>0.02</v>
      </c>
      <c r="K81" s="159"/>
      <c r="L81" s="159"/>
      <c r="M81" s="159"/>
      <c r="N81" s="159"/>
      <c r="O81" s="159">
        <v>0.01</v>
      </c>
      <c r="P81" s="159"/>
      <c r="Q81" s="159"/>
      <c r="R81" s="159">
        <v>0.01</v>
      </c>
      <c r="S81" s="159"/>
      <c r="T81" s="159">
        <v>4.0000000000000001E-3</v>
      </c>
      <c r="U81" s="159"/>
      <c r="V81" s="159"/>
      <c r="W81" s="159"/>
      <c r="X81" s="159"/>
      <c r="Y81" s="159"/>
      <c r="Z81" s="159"/>
      <c r="AA81" s="159"/>
      <c r="AB81" s="159"/>
      <c r="AC81" s="159"/>
      <c r="AD81" s="159"/>
      <c r="AE81" s="159"/>
      <c r="AF81" s="159"/>
      <c r="AG81" s="159"/>
      <c r="AH81" s="183">
        <f t="shared" si="23"/>
        <v>4.3999999999999997E-2</v>
      </c>
    </row>
    <row r="82" spans="1:34" ht="12.75">
      <c r="A82" s="1740" t="s">
        <v>85</v>
      </c>
      <c r="B82" s="3334">
        <f t="shared" si="22"/>
        <v>1.7999999999999999E-2</v>
      </c>
      <c r="C82" s="183"/>
      <c r="D82" s="159"/>
      <c r="E82" s="159"/>
      <c r="F82" s="159"/>
      <c r="G82" s="159"/>
      <c r="H82" s="159"/>
      <c r="I82" s="159">
        <v>1.7999999999999999E-2</v>
      </c>
      <c r="J82" s="159"/>
      <c r="K82" s="159"/>
      <c r="L82" s="159"/>
      <c r="M82" s="159"/>
      <c r="N82" s="159"/>
      <c r="O82" s="159"/>
      <c r="P82" s="159"/>
      <c r="Q82" s="159"/>
      <c r="R82" s="159"/>
      <c r="S82" s="159"/>
      <c r="T82" s="159"/>
      <c r="U82" s="159"/>
      <c r="V82" s="159"/>
      <c r="W82" s="159"/>
      <c r="X82" s="159"/>
      <c r="Y82" s="159"/>
      <c r="Z82" s="159"/>
      <c r="AA82" s="159"/>
      <c r="AB82" s="159"/>
      <c r="AC82" s="159"/>
      <c r="AD82" s="159"/>
      <c r="AE82" s="159"/>
      <c r="AF82" s="159"/>
      <c r="AG82" s="159"/>
      <c r="AH82" s="183">
        <f t="shared" si="23"/>
        <v>1.7999999999999999E-2</v>
      </c>
    </row>
    <row r="83" spans="1:34" ht="12.75">
      <c r="A83" s="1740" t="s">
        <v>86</v>
      </c>
      <c r="B83" s="3334">
        <f t="shared" si="22"/>
        <v>0</v>
      </c>
      <c r="C83" s="183"/>
      <c r="D83" s="159"/>
      <c r="E83" s="159"/>
      <c r="F83" s="159"/>
      <c r="G83" s="159"/>
      <c r="H83" s="159"/>
      <c r="I83" s="159"/>
      <c r="J83" s="159"/>
      <c r="K83" s="159"/>
      <c r="L83" s="159"/>
      <c r="M83" s="159"/>
      <c r="N83" s="159"/>
      <c r="O83" s="159"/>
      <c r="P83" s="159"/>
      <c r="Q83" s="159"/>
      <c r="R83" s="159"/>
      <c r="S83" s="159"/>
      <c r="T83" s="159"/>
      <c r="U83" s="159"/>
      <c r="V83" s="159"/>
      <c r="W83" s="159"/>
      <c r="X83" s="159"/>
      <c r="Y83" s="159"/>
      <c r="Z83" s="159"/>
      <c r="AA83" s="159"/>
      <c r="AB83" s="159"/>
      <c r="AC83" s="159"/>
      <c r="AD83" s="159"/>
      <c r="AE83" s="159"/>
      <c r="AF83" s="159"/>
      <c r="AG83" s="159"/>
      <c r="AH83" s="183">
        <f t="shared" si="23"/>
        <v>0</v>
      </c>
    </row>
    <row r="84" spans="1:34" ht="12.75">
      <c r="A84" s="665" t="s">
        <v>74</v>
      </c>
      <c r="B84" s="838">
        <f>SUM(B72:B83)</f>
        <v>0.91700000000000004</v>
      </c>
      <c r="C84" s="183">
        <f t="shared" ref="C84:AH84" si="24">SUM(C72:C83)</f>
        <v>0</v>
      </c>
      <c r="D84" s="183">
        <f t="shared" si="24"/>
        <v>0</v>
      </c>
      <c r="E84" s="183">
        <f t="shared" si="24"/>
        <v>5.0000000000000001E-3</v>
      </c>
      <c r="F84" s="183">
        <f t="shared" si="24"/>
        <v>0</v>
      </c>
      <c r="G84" s="183">
        <f t="shared" si="24"/>
        <v>0.1</v>
      </c>
      <c r="H84" s="183">
        <f t="shared" si="24"/>
        <v>0.05</v>
      </c>
      <c r="I84" s="183">
        <f t="shared" si="24"/>
        <v>1.7999999999999999E-2</v>
      </c>
      <c r="J84" s="183">
        <f t="shared" si="24"/>
        <v>0.02</v>
      </c>
      <c r="K84" s="183">
        <f t="shared" si="24"/>
        <v>0.5</v>
      </c>
      <c r="L84" s="183">
        <f t="shared" si="24"/>
        <v>0</v>
      </c>
      <c r="M84" s="183">
        <f t="shared" si="24"/>
        <v>0</v>
      </c>
      <c r="N84" s="183">
        <f t="shared" si="24"/>
        <v>0</v>
      </c>
      <c r="O84" s="183">
        <f t="shared" si="24"/>
        <v>0.01</v>
      </c>
      <c r="P84" s="183">
        <f t="shared" si="24"/>
        <v>0</v>
      </c>
      <c r="Q84" s="183">
        <f t="shared" si="24"/>
        <v>0</v>
      </c>
      <c r="R84" s="183">
        <f t="shared" si="24"/>
        <v>0.01</v>
      </c>
      <c r="S84" s="183">
        <f t="shared" si="24"/>
        <v>0</v>
      </c>
      <c r="T84" s="183">
        <f t="shared" si="24"/>
        <v>4.0000000000000001E-3</v>
      </c>
      <c r="U84" s="183">
        <f t="shared" si="24"/>
        <v>0.2</v>
      </c>
      <c r="V84" s="183">
        <f t="shared" si="24"/>
        <v>0</v>
      </c>
      <c r="W84" s="183">
        <f t="shared" si="24"/>
        <v>0</v>
      </c>
      <c r="X84" s="183">
        <f t="shared" si="24"/>
        <v>0</v>
      </c>
      <c r="Y84" s="183">
        <f t="shared" si="24"/>
        <v>0</v>
      </c>
      <c r="Z84" s="183">
        <f t="shared" si="24"/>
        <v>0</v>
      </c>
      <c r="AA84" s="183">
        <f t="shared" si="24"/>
        <v>0</v>
      </c>
      <c r="AB84" s="183">
        <f t="shared" si="24"/>
        <v>0</v>
      </c>
      <c r="AC84" s="183">
        <f t="shared" si="24"/>
        <v>0</v>
      </c>
      <c r="AD84" s="183">
        <f t="shared" si="24"/>
        <v>0</v>
      </c>
      <c r="AE84" s="183">
        <f t="shared" si="24"/>
        <v>0</v>
      </c>
      <c r="AF84" s="183">
        <f t="shared" si="24"/>
        <v>0</v>
      </c>
      <c r="AG84" s="183">
        <f t="shared" si="24"/>
        <v>0</v>
      </c>
      <c r="AH84" s="183">
        <f t="shared" si="24"/>
        <v>0.91700000000000004</v>
      </c>
    </row>
  </sheetData>
  <mergeCells count="6">
    <mergeCell ref="A70:D70"/>
    <mergeCell ref="A2:T2"/>
    <mergeCell ref="A5:C5"/>
    <mergeCell ref="A21:C21"/>
    <mergeCell ref="A37:D37"/>
    <mergeCell ref="A54:D54"/>
  </mergeCells>
  <phoneticPr fontId="0" type="noConversion"/>
  <pageMargins left="0.75" right="0.75" top="1" bottom="1" header="0" footer="0"/>
  <pageSetup orientation="portrait" r:id="rId1"/>
  <headerFooter alignWithMargins="0"/>
  <legacyDrawing r:id="rId2"/>
</worksheet>
</file>

<file path=xl/worksheets/sheet14.xml><?xml version="1.0" encoding="utf-8"?>
<worksheet xmlns="http://schemas.openxmlformats.org/spreadsheetml/2006/main" xmlns:r="http://schemas.openxmlformats.org/officeDocument/2006/relationships">
  <sheetPr>
    <tabColor rgb="FF00B050"/>
  </sheetPr>
  <dimension ref="A1:P26"/>
  <sheetViews>
    <sheetView topLeftCell="A10" workbookViewId="0">
      <selection activeCell="F22" activeCellId="1" sqref="F11 F22"/>
    </sheetView>
  </sheetViews>
  <sheetFormatPr baseColWidth="10" defaultRowHeight="12.75"/>
  <cols>
    <col min="1" max="1" width="47.7109375" customWidth="1"/>
    <col min="3" max="3" width="18" customWidth="1"/>
    <col min="4" max="4" width="11.7109375" bestFit="1" customWidth="1"/>
    <col min="5" max="5" width="17.7109375" bestFit="1" customWidth="1"/>
    <col min="6" max="6" width="17" bestFit="1" customWidth="1"/>
    <col min="9" max="9" width="18.28515625" bestFit="1" customWidth="1"/>
    <col min="10" max="10" width="10.28515625" customWidth="1"/>
    <col min="11" max="11" width="13.28515625" customWidth="1"/>
  </cols>
  <sheetData>
    <row r="1" spans="1:16" ht="13.5">
      <c r="A1" s="3645" t="s">
        <v>600</v>
      </c>
      <c r="B1" s="3646"/>
      <c r="C1" s="1936"/>
      <c r="D1" s="1936"/>
      <c r="E1" s="1936"/>
      <c r="F1" s="1936"/>
      <c r="G1" s="1937"/>
      <c r="H1" s="1938"/>
      <c r="I1" s="1404"/>
    </row>
    <row r="2" spans="1:16" ht="13.5">
      <c r="A2" s="1939"/>
      <c r="B2" s="1938"/>
      <c r="C2" s="1936"/>
      <c r="D2" s="1936"/>
      <c r="E2" s="1936"/>
      <c r="F2" s="1937"/>
      <c r="G2" s="1937"/>
      <c r="H2" s="1940"/>
      <c r="I2" s="1404"/>
    </row>
    <row r="3" spans="1:16" ht="13.5">
      <c r="A3" s="1955" t="s">
        <v>47</v>
      </c>
      <c r="B3" s="1955" t="s">
        <v>48</v>
      </c>
      <c r="C3" s="1956" t="s">
        <v>49</v>
      </c>
      <c r="D3" s="1956" t="s">
        <v>184</v>
      </c>
      <c r="E3" s="1956" t="s">
        <v>50</v>
      </c>
      <c r="F3" s="1955" t="s">
        <v>20</v>
      </c>
      <c r="G3" s="1955" t="s">
        <v>21</v>
      </c>
      <c r="H3" s="1955" t="s">
        <v>51</v>
      </c>
      <c r="I3" s="1956" t="s">
        <v>23</v>
      </c>
    </row>
    <row r="4" spans="1:16" ht="15">
      <c r="A4" s="1294" t="s">
        <v>62</v>
      </c>
      <c r="B4" s="1405" t="s">
        <v>38</v>
      </c>
      <c r="C4" s="2100">
        <v>346</v>
      </c>
      <c r="D4" s="1942"/>
      <c r="E4" s="1310">
        <f>+C4-D4</f>
        <v>346</v>
      </c>
      <c r="F4" s="3087">
        <f>+SUM('Sardina austral X - XI'!B25:B30)</f>
        <v>345.21600000000001</v>
      </c>
      <c r="G4" s="1943">
        <f t="shared" ref="G4:G11" si="0">+E4-F4</f>
        <v>0.78399999999999181</v>
      </c>
      <c r="H4" s="2571">
        <f t="shared" ref="H4:H11" si="1">+G4/E4</f>
        <v>2.2658959537572017E-3</v>
      </c>
      <c r="I4" s="1944" t="s">
        <v>955</v>
      </c>
    </row>
    <row r="5" spans="1:16" ht="15">
      <c r="A5" s="1945" t="s">
        <v>594</v>
      </c>
      <c r="B5" s="1405" t="s">
        <v>38</v>
      </c>
      <c r="C5" s="2100">
        <v>2143</v>
      </c>
      <c r="D5" s="1942"/>
      <c r="E5" s="1310">
        <f t="shared" ref="E5:E11" si="2">+C5-D5</f>
        <v>2143</v>
      </c>
      <c r="F5" s="3087">
        <f>+SUM('Sardina austral X - XI'!B41:B46)</f>
        <v>2096.8940000000002</v>
      </c>
      <c r="G5" s="1943">
        <f t="shared" si="0"/>
        <v>46.105999999999767</v>
      </c>
      <c r="H5" s="2571">
        <f t="shared" si="1"/>
        <v>2.1514699020065222E-2</v>
      </c>
      <c r="I5" s="1944" t="s">
        <v>1148</v>
      </c>
    </row>
    <row r="6" spans="1:16" ht="15">
      <c r="A6" s="1029" t="s">
        <v>526</v>
      </c>
      <c r="B6" s="1405" t="s">
        <v>38</v>
      </c>
      <c r="C6" s="2100">
        <v>4218</v>
      </c>
      <c r="D6" s="1946"/>
      <c r="E6" s="1310">
        <f t="shared" si="2"/>
        <v>4218</v>
      </c>
      <c r="F6" s="3087">
        <f>+SUM('Sardina austral X - XI'!B57:B62)</f>
        <v>3727.6260000000002</v>
      </c>
      <c r="G6" s="1943">
        <f t="shared" si="0"/>
        <v>490.3739999999998</v>
      </c>
      <c r="H6" s="2571">
        <f t="shared" si="1"/>
        <v>0.11625746799431005</v>
      </c>
      <c r="I6" s="1944" t="s">
        <v>1149</v>
      </c>
    </row>
    <row r="7" spans="1:16" ht="15">
      <c r="A7" s="1945" t="s">
        <v>595</v>
      </c>
      <c r="B7" s="1405" t="s">
        <v>38</v>
      </c>
      <c r="C7" s="2100">
        <v>1342</v>
      </c>
      <c r="D7" s="1946"/>
      <c r="E7" s="1310">
        <f t="shared" si="2"/>
        <v>1342</v>
      </c>
      <c r="F7" s="3087">
        <f>+SUM('Sardina austral X - XI'!B73:B78)</f>
        <v>1394.5279999999998</v>
      </c>
      <c r="G7" s="1943">
        <f t="shared" si="0"/>
        <v>-52.527999999999793</v>
      </c>
      <c r="H7" s="2571">
        <f t="shared" si="1"/>
        <v>-3.9141579731743509E-2</v>
      </c>
      <c r="I7" s="1944" t="s">
        <v>1150</v>
      </c>
    </row>
    <row r="8" spans="1:16" ht="15">
      <c r="A8" s="1294" t="s">
        <v>63</v>
      </c>
      <c r="B8" s="1405" t="s">
        <v>38</v>
      </c>
      <c r="C8" s="2100">
        <v>1803</v>
      </c>
      <c r="D8" s="1942"/>
      <c r="E8" s="1310">
        <f t="shared" si="2"/>
        <v>1803</v>
      </c>
      <c r="F8" s="3087">
        <f>+SUM('Sardina austral X - XI'!B89:B94)</f>
        <v>2060.7489999999998</v>
      </c>
      <c r="G8" s="1943">
        <f t="shared" si="0"/>
        <v>-257.7489999999998</v>
      </c>
      <c r="H8" s="2571">
        <f t="shared" si="1"/>
        <v>-0.14295562950637813</v>
      </c>
      <c r="I8" s="1944" t="s">
        <v>1151</v>
      </c>
    </row>
    <row r="9" spans="1:16" ht="15">
      <c r="A9" s="1294" t="s">
        <v>64</v>
      </c>
      <c r="B9" s="1405" t="s">
        <v>38</v>
      </c>
      <c r="C9" s="2100">
        <v>1600</v>
      </c>
      <c r="D9" s="1942"/>
      <c r="E9" s="1310">
        <f t="shared" si="2"/>
        <v>1600</v>
      </c>
      <c r="F9" s="3087">
        <f>+SUM('Sardina austral X - XI'!B105:B110)</f>
        <v>1443.2849999999999</v>
      </c>
      <c r="G9" s="1943">
        <f t="shared" si="0"/>
        <v>156.71500000000015</v>
      </c>
      <c r="H9" s="2571">
        <f t="shared" si="1"/>
        <v>9.7946875000000086E-2</v>
      </c>
      <c r="I9" s="1944" t="s">
        <v>1152</v>
      </c>
      <c r="J9" s="2935"/>
    </row>
    <row r="10" spans="1:16" ht="15">
      <c r="A10" s="1294" t="s">
        <v>123</v>
      </c>
      <c r="B10" s="1405" t="s">
        <v>38</v>
      </c>
      <c r="C10" s="2100">
        <v>2755</v>
      </c>
      <c r="D10" s="1942"/>
      <c r="E10" s="1310">
        <f t="shared" si="2"/>
        <v>2755</v>
      </c>
      <c r="F10" s="3087">
        <f>+SUM('Sardina austral X - XI'!B121:B126)</f>
        <v>2347.1010000000001</v>
      </c>
      <c r="G10" s="1943">
        <f t="shared" si="0"/>
        <v>407.89899999999989</v>
      </c>
      <c r="H10" s="2571">
        <f t="shared" si="1"/>
        <v>0.14805771324863878</v>
      </c>
      <c r="I10" s="1944"/>
    </row>
    <row r="11" spans="1:16" ht="15">
      <c r="A11" s="1294" t="s">
        <v>60</v>
      </c>
      <c r="B11" s="1405" t="s">
        <v>38</v>
      </c>
      <c r="C11" s="2100">
        <v>2793</v>
      </c>
      <c r="D11" s="1942"/>
      <c r="E11" s="1310">
        <f t="shared" si="2"/>
        <v>2793</v>
      </c>
      <c r="F11" s="3087">
        <f>+SUM('Sardina austral X - XI'!B137:B142)</f>
        <v>1954.953</v>
      </c>
      <c r="G11" s="1943">
        <f t="shared" si="0"/>
        <v>838.04700000000003</v>
      </c>
      <c r="H11" s="2571">
        <f t="shared" si="1"/>
        <v>0.3000526315789474</v>
      </c>
      <c r="I11" s="1944"/>
    </row>
    <row r="12" spans="1:16" ht="13.5">
      <c r="A12" s="1941" t="s">
        <v>52</v>
      </c>
      <c r="B12" s="2431" t="s">
        <v>38</v>
      </c>
      <c r="C12" s="2098">
        <f>SUM(C4:C11)</f>
        <v>17000</v>
      </c>
      <c r="D12" s="1947"/>
      <c r="E12" s="1957">
        <f>SUM(E4:E11)</f>
        <v>17000</v>
      </c>
      <c r="F12" s="1948">
        <f>SUM(F4:F11)</f>
        <v>15370.352000000001</v>
      </c>
      <c r="G12" s="3018">
        <f>+E12-F12</f>
        <v>1629.6479999999992</v>
      </c>
      <c r="H12" s="1940"/>
      <c r="I12" s="1404"/>
    </row>
    <row r="13" spans="1:16" ht="13.5">
      <c r="A13" s="1949"/>
      <c r="B13" s="1950"/>
      <c r="C13" s="1951"/>
      <c r="D13" s="1951"/>
      <c r="E13" s="1958"/>
      <c r="F13" s="1952"/>
      <c r="G13" s="1953"/>
      <c r="H13" s="1940"/>
      <c r="I13" s="1404"/>
    </row>
    <row r="14" spans="1:16" ht="13.5">
      <c r="A14" s="1955" t="s">
        <v>47</v>
      </c>
      <c r="B14" s="1955" t="s">
        <v>48</v>
      </c>
      <c r="C14" s="1956" t="s">
        <v>49</v>
      </c>
      <c r="D14" s="1956" t="s">
        <v>184</v>
      </c>
      <c r="E14" s="1959" t="s">
        <v>50</v>
      </c>
      <c r="F14" s="1955" t="s">
        <v>20</v>
      </c>
      <c r="G14" s="1955" t="s">
        <v>21</v>
      </c>
      <c r="H14" s="1955" t="s">
        <v>51</v>
      </c>
      <c r="I14" s="1956" t="s">
        <v>23</v>
      </c>
    </row>
    <row r="15" spans="1:16" ht="15">
      <c r="A15" s="1294" t="s">
        <v>62</v>
      </c>
      <c r="B15" s="1405" t="s">
        <v>39</v>
      </c>
      <c r="C15" s="3333">
        <v>6.46</v>
      </c>
      <c r="D15" s="1942"/>
      <c r="E15" s="1942">
        <f>+C15+G4+D15</f>
        <v>7.2439999999999918</v>
      </c>
      <c r="F15" s="1943">
        <f>+SUM('Sardina austral X - XI'!B31:B36)</f>
        <v>0</v>
      </c>
      <c r="G15" s="1943">
        <f t="shared" ref="G15:G22" si="3">+E15-F15</f>
        <v>7.2439999999999918</v>
      </c>
      <c r="H15" s="2571">
        <f t="shared" ref="H15:H22" si="4">+G15/E15</f>
        <v>1</v>
      </c>
      <c r="I15" s="1944" t="s">
        <v>1199</v>
      </c>
      <c r="J15" s="3265">
        <f>+F4+F15</f>
        <v>345.21600000000001</v>
      </c>
    </row>
    <row r="16" spans="1:16" ht="15">
      <c r="A16" s="1945" t="s">
        <v>594</v>
      </c>
      <c r="B16" s="1405" t="s">
        <v>39</v>
      </c>
      <c r="C16" s="3333">
        <v>588.59</v>
      </c>
      <c r="D16" s="1942"/>
      <c r="E16" s="1310">
        <f>+C16+G5+D16</f>
        <v>634.6959999999998</v>
      </c>
      <c r="F16" s="1943">
        <f>+SUM('Sardina austral X - XI'!B47:B52)</f>
        <v>634.38199999999995</v>
      </c>
      <c r="G16" s="3173">
        <f t="shared" si="3"/>
        <v>0.31399999999985084</v>
      </c>
      <c r="H16" s="2571">
        <f t="shared" si="4"/>
        <v>4.9472503371669415E-4</v>
      </c>
      <c r="I16" s="1944"/>
      <c r="J16" s="3265">
        <f t="shared" ref="J16:J22" si="5">+F5+F16</f>
        <v>2731.2760000000003</v>
      </c>
      <c r="P16" s="3356" t="s">
        <v>404</v>
      </c>
    </row>
    <row r="17" spans="1:13" ht="15">
      <c r="A17" s="1029" t="s">
        <v>526</v>
      </c>
      <c r="B17" s="1405" t="s">
        <v>39</v>
      </c>
      <c r="C17" s="3333">
        <v>1158.6400000000001</v>
      </c>
      <c r="D17" s="1942"/>
      <c r="E17" s="1310">
        <f>+C17+G6+D17</f>
        <v>1649.0139999999999</v>
      </c>
      <c r="F17" s="1943">
        <f>+SUM('Sardina austral X - XI'!B63:B68)</f>
        <v>1587.0260000000001</v>
      </c>
      <c r="G17" s="1943">
        <f t="shared" si="3"/>
        <v>61.987999999999829</v>
      </c>
      <c r="H17" s="2571">
        <f t="shared" si="4"/>
        <v>3.7590948287885874E-2</v>
      </c>
      <c r="I17" s="3359">
        <v>41631</v>
      </c>
      <c r="J17" s="3436">
        <f>+F6+F17</f>
        <v>5314.652</v>
      </c>
    </row>
    <row r="18" spans="1:13" ht="15">
      <c r="A18" s="1945" t="s">
        <v>595</v>
      </c>
      <c r="B18" s="1405" t="s">
        <v>39</v>
      </c>
      <c r="C18" s="3333">
        <v>368.77</v>
      </c>
      <c r="D18" s="1942"/>
      <c r="E18" s="1310">
        <f>+C18+G7+D18</f>
        <v>316.24200000000019</v>
      </c>
      <c r="F18" s="1943">
        <f>+SUM('Sardina austral X - XI'!B79:B84)</f>
        <v>308.79899999999998</v>
      </c>
      <c r="G18" s="3173">
        <f t="shared" si="3"/>
        <v>7.443000000000211</v>
      </c>
      <c r="H18" s="2571">
        <f t="shared" si="4"/>
        <v>2.3535773236952103E-2</v>
      </c>
      <c r="I18" s="3359">
        <v>41638</v>
      </c>
      <c r="J18" s="3265">
        <f t="shared" si="5"/>
        <v>1703.3269999999998</v>
      </c>
    </row>
    <row r="19" spans="1:13" ht="15">
      <c r="A19" s="1294" t="s">
        <v>63</v>
      </c>
      <c r="B19" s="1405" t="s">
        <v>39</v>
      </c>
      <c r="C19" s="3333">
        <v>495.37</v>
      </c>
      <c r="D19" s="1942"/>
      <c r="E19" s="1310">
        <f>+C19+G8+D19</f>
        <v>237.62100000000021</v>
      </c>
      <c r="F19" s="1943">
        <f>+SUM('Sardina austral X - XI'!B95:B100)</f>
        <v>278.32600000000002</v>
      </c>
      <c r="G19" s="3173">
        <f t="shared" si="3"/>
        <v>-40.704999999999814</v>
      </c>
      <c r="H19" s="2571">
        <f t="shared" si="4"/>
        <v>-0.17130219972140415</v>
      </c>
      <c r="I19" s="1944" t="s">
        <v>1154</v>
      </c>
      <c r="J19" s="3265">
        <f t="shared" si="5"/>
        <v>2339.0749999999998</v>
      </c>
    </row>
    <row r="20" spans="1:13" ht="15">
      <c r="A20" s="3341" t="s">
        <v>64</v>
      </c>
      <c r="B20" s="3342" t="s">
        <v>39</v>
      </c>
      <c r="C20" s="3343">
        <v>439.49</v>
      </c>
      <c r="D20" s="3344"/>
      <c r="E20" s="3345">
        <f t="shared" ref="E20:E22" si="6">+C20+G9+D20</f>
        <v>596.20500000000015</v>
      </c>
      <c r="F20" s="3346">
        <f>+SUM('Sardina austral X - XI'!B111:B116)</f>
        <v>586.14499999999998</v>
      </c>
      <c r="G20" s="3346">
        <f t="shared" si="3"/>
        <v>10.060000000000173</v>
      </c>
      <c r="H20" s="3347">
        <f t="shared" si="4"/>
        <v>1.6873390863880997E-2</v>
      </c>
      <c r="I20" s="3348" t="s">
        <v>1153</v>
      </c>
      <c r="J20" s="3460">
        <f t="shared" si="5"/>
        <v>2029.4299999999998</v>
      </c>
      <c r="K20" s="3349" t="s">
        <v>1198</v>
      </c>
      <c r="L20" s="3131"/>
      <c r="M20" s="3131"/>
    </row>
    <row r="21" spans="1:13" ht="15">
      <c r="A21" s="1294" t="s">
        <v>123</v>
      </c>
      <c r="B21" s="1405" t="s">
        <v>39</v>
      </c>
      <c r="C21" s="3333">
        <v>845.5</v>
      </c>
      <c r="D21" s="1942"/>
      <c r="E21" s="1310">
        <f t="shared" si="6"/>
        <v>1253.3989999999999</v>
      </c>
      <c r="F21" s="1943">
        <f>+SUM('Sardina austral X - XI'!B127:B132)</f>
        <v>1199.4319999999998</v>
      </c>
      <c r="G21" s="1943">
        <f t="shared" si="3"/>
        <v>53.967000000000098</v>
      </c>
      <c r="H21" s="2571">
        <f t="shared" si="4"/>
        <v>4.305652070888847E-2</v>
      </c>
      <c r="I21" s="1944"/>
      <c r="J21" s="3436">
        <f t="shared" si="5"/>
        <v>3546.5329999999999</v>
      </c>
      <c r="K21" s="3269"/>
    </row>
    <row r="22" spans="1:13" ht="15">
      <c r="A22" s="1294" t="s">
        <v>60</v>
      </c>
      <c r="B22" s="1405" t="s">
        <v>39</v>
      </c>
      <c r="C22" s="3333">
        <v>766.93</v>
      </c>
      <c r="D22" s="1942"/>
      <c r="E22" s="1310">
        <f t="shared" si="6"/>
        <v>1604.9769999999999</v>
      </c>
      <c r="F22" s="1943">
        <f>+SUM('Sardina austral X - XI'!B143:B148)</f>
        <v>1852.4160000000002</v>
      </c>
      <c r="G22" s="1943">
        <f t="shared" si="3"/>
        <v>-247.43900000000031</v>
      </c>
      <c r="H22" s="2571">
        <f t="shared" si="4"/>
        <v>-0.15416981053311066</v>
      </c>
      <c r="I22" s="3374">
        <v>41635</v>
      </c>
      <c r="J22" s="3436">
        <f t="shared" si="5"/>
        <v>3807.3690000000001</v>
      </c>
      <c r="K22" s="3269"/>
    </row>
    <row r="23" spans="1:13" ht="13.5">
      <c r="A23" s="1941" t="s">
        <v>52</v>
      </c>
      <c r="B23" s="2431" t="s">
        <v>39</v>
      </c>
      <c r="C23" s="2099">
        <f>SUM(C15:C22)</f>
        <v>4669.75</v>
      </c>
      <c r="D23" s="1948"/>
      <c r="E23" s="1296">
        <f>+C23+G12</f>
        <v>6299.3979999999992</v>
      </c>
      <c r="F23" s="1948">
        <f>SUM(F15:F22)</f>
        <v>6446.5259999999998</v>
      </c>
      <c r="G23" s="1954">
        <f>+E23-F23</f>
        <v>-147.12800000000061</v>
      </c>
      <c r="H23" s="1940"/>
      <c r="I23" s="1404"/>
      <c r="J23" s="103">
        <f>SUM(J15:J22)</f>
        <v>21816.877999999997</v>
      </c>
    </row>
    <row r="24" spans="1:13" ht="13.5">
      <c r="B24" s="1405" t="s">
        <v>645</v>
      </c>
      <c r="C24" s="3463">
        <f>+C12+C23</f>
        <v>21669.75</v>
      </c>
      <c r="F24" s="1291">
        <f>+F12+F23</f>
        <v>21816.878000000001</v>
      </c>
    </row>
    <row r="25" spans="1:13">
      <c r="E25" s="1316"/>
    </row>
    <row r="26" spans="1:13">
      <c r="C26" s="1316">
        <f>+C22+C11</f>
        <v>3559.93</v>
      </c>
      <c r="G26" s="3449"/>
    </row>
  </sheetData>
  <mergeCells count="1">
    <mergeCell ref="A1:B1"/>
  </mergeCells>
  <conditionalFormatting sqref="H4:H11">
    <cfRule type="cellIs" dxfId="14" priority="5" operator="lessThan">
      <formula>0.05</formula>
    </cfRule>
    <cfRule type="cellIs" dxfId="13" priority="6" operator="lessThan">
      <formula>0.1</formula>
    </cfRule>
    <cfRule type="cellIs" dxfId="12" priority="7" operator="lessThan">
      <formula>0.2</formula>
    </cfRule>
    <cfRule type="cellIs" dxfId="11" priority="8" operator="lessThan">
      <formula>0.5</formula>
    </cfRule>
  </conditionalFormatting>
  <conditionalFormatting sqref="H15:H22">
    <cfRule type="cellIs" dxfId="10" priority="1" operator="lessThan">
      <formula>0.05</formula>
    </cfRule>
    <cfRule type="cellIs" dxfId="9" priority="2" operator="lessThan">
      <formula>0.1</formula>
    </cfRule>
    <cfRule type="cellIs" dxfId="8" priority="3" operator="lessThan">
      <formula>0.2</formula>
    </cfRule>
    <cfRule type="cellIs" dxfId="7" priority="4" operator="lessThan">
      <formula>0.5</formula>
    </cfRule>
  </conditionalFormatting>
  <pageMargins left="0.7" right="0.7" top="0.75" bottom="0.75" header="0.3" footer="0.3"/>
  <pageSetup orientation="portrait" r:id="rId1"/>
  <legacyDrawing r:id="rId2"/>
</worksheet>
</file>

<file path=xl/worksheets/sheet15.xml><?xml version="1.0" encoding="utf-8"?>
<worksheet xmlns="http://schemas.openxmlformats.org/spreadsheetml/2006/main" xmlns:r="http://schemas.openxmlformats.org/officeDocument/2006/relationships">
  <sheetPr>
    <tabColor rgb="FF00B050"/>
  </sheetPr>
  <dimension ref="A1:AH173"/>
  <sheetViews>
    <sheetView workbookViewId="0">
      <selection sqref="A1:T1"/>
    </sheetView>
  </sheetViews>
  <sheetFormatPr baseColWidth="10" defaultRowHeight="12.75"/>
  <cols>
    <col min="2" max="2" width="29.140625" customWidth="1"/>
    <col min="3" max="14" width="11.28515625" customWidth="1"/>
    <col min="16" max="16" width="11.7109375" bestFit="1" customWidth="1"/>
    <col min="18" max="18" width="17.85546875" customWidth="1"/>
  </cols>
  <sheetData>
    <row r="1" spans="1:34" ht="15">
      <c r="A1" s="3569" t="s">
        <v>571</v>
      </c>
      <c r="B1" s="3570"/>
      <c r="C1" s="3570"/>
      <c r="D1" s="3570"/>
      <c r="E1" s="3570"/>
      <c r="F1" s="3570"/>
      <c r="G1" s="3570"/>
      <c r="H1" s="3570"/>
      <c r="I1" s="3570"/>
      <c r="J1" s="3570"/>
      <c r="K1" s="3570"/>
      <c r="L1" s="3570"/>
      <c r="M1" s="3570"/>
      <c r="N1" s="3570"/>
      <c r="O1" s="3570"/>
      <c r="P1" s="3570"/>
      <c r="Q1" s="3570"/>
      <c r="R1" s="3570"/>
      <c r="S1" s="3570"/>
      <c r="T1" s="3571"/>
    </row>
    <row r="3" spans="1:34" ht="15">
      <c r="A3" s="1"/>
      <c r="B3" s="1"/>
      <c r="C3" s="1"/>
      <c r="D3" s="11"/>
      <c r="E3" s="11"/>
      <c r="F3" s="11"/>
      <c r="G3" s="11"/>
      <c r="H3" s="11"/>
      <c r="I3" s="11"/>
      <c r="J3" s="1433"/>
      <c r="K3" s="11"/>
      <c r="L3" s="44"/>
      <c r="M3" s="11"/>
      <c r="N3" s="11"/>
      <c r="O3" s="11"/>
      <c r="P3" s="11"/>
      <c r="Q3" s="11"/>
      <c r="R3" s="11"/>
      <c r="S3" s="11"/>
      <c r="T3" s="11"/>
      <c r="U3" s="11"/>
      <c r="V3" s="11"/>
      <c r="W3" s="11"/>
      <c r="X3" s="11"/>
      <c r="Y3" s="11"/>
      <c r="Z3" s="11"/>
      <c r="AA3" s="11"/>
      <c r="AB3" s="11"/>
      <c r="AC3" s="11"/>
      <c r="AD3" s="11"/>
      <c r="AE3" s="11"/>
      <c r="AF3" s="11"/>
      <c r="AG3" s="11"/>
      <c r="AH3" s="1"/>
    </row>
    <row r="4" spans="1:34" ht="15">
      <c r="A4" s="3569" t="s">
        <v>330</v>
      </c>
      <c r="B4" s="3570"/>
      <c r="C4" s="3571"/>
      <c r="D4" s="11"/>
      <c r="E4" s="11"/>
      <c r="F4" s="11"/>
      <c r="G4" s="11"/>
      <c r="H4" s="11"/>
      <c r="I4" s="11"/>
      <c r="J4" s="11"/>
      <c r="K4" s="11"/>
      <c r="L4" s="11"/>
      <c r="M4" s="44"/>
      <c r="N4" s="11"/>
      <c r="O4" s="11"/>
      <c r="P4" s="11"/>
      <c r="Q4" s="11"/>
      <c r="R4" s="11"/>
      <c r="S4" s="11"/>
      <c r="T4" s="11"/>
      <c r="U4" s="11"/>
      <c r="V4" s="11"/>
      <c r="W4" s="11"/>
      <c r="X4" s="11"/>
      <c r="Y4" s="11"/>
      <c r="Z4" s="11"/>
      <c r="AA4" s="11"/>
      <c r="AB4" s="11"/>
      <c r="AC4" s="11"/>
      <c r="AD4" s="11"/>
      <c r="AE4" s="11"/>
      <c r="AF4" s="11"/>
      <c r="AG4" s="11"/>
      <c r="AH4" s="1"/>
    </row>
    <row r="5" spans="1:34" ht="15">
      <c r="A5" s="5" t="s">
        <v>72</v>
      </c>
      <c r="B5" s="30" t="s">
        <v>73</v>
      </c>
      <c r="C5" s="5">
        <v>1</v>
      </c>
      <c r="D5" s="30">
        <v>2</v>
      </c>
      <c r="E5" s="30">
        <v>3</v>
      </c>
      <c r="F5" s="30">
        <v>4</v>
      </c>
      <c r="G5" s="30">
        <v>5</v>
      </c>
      <c r="H5" s="30">
        <v>6</v>
      </c>
      <c r="I5" s="30">
        <v>7</v>
      </c>
      <c r="J5" s="30">
        <v>8</v>
      </c>
      <c r="K5" s="30">
        <v>9</v>
      </c>
      <c r="L5" s="30">
        <v>10</v>
      </c>
      <c r="M5" s="30">
        <v>11</v>
      </c>
      <c r="N5" s="30">
        <v>12</v>
      </c>
      <c r="O5" s="30">
        <v>13</v>
      </c>
      <c r="P5" s="30">
        <v>14</v>
      </c>
      <c r="Q5" s="30">
        <v>15</v>
      </c>
      <c r="R5" s="30">
        <v>16</v>
      </c>
      <c r="S5" s="30">
        <v>17</v>
      </c>
      <c r="T5" s="30">
        <v>18</v>
      </c>
      <c r="U5" s="30">
        <v>19</v>
      </c>
      <c r="V5" s="30">
        <v>20</v>
      </c>
      <c r="W5" s="30">
        <v>21</v>
      </c>
      <c r="X5" s="30">
        <v>22</v>
      </c>
      <c r="Y5" s="30">
        <v>23</v>
      </c>
      <c r="Z5" s="30">
        <v>24</v>
      </c>
      <c r="AA5" s="30">
        <v>25</v>
      </c>
      <c r="AB5" s="30">
        <v>26</v>
      </c>
      <c r="AC5" s="30">
        <v>27</v>
      </c>
      <c r="AD5" s="30">
        <v>28</v>
      </c>
      <c r="AE5" s="30">
        <v>29</v>
      </c>
      <c r="AF5" s="30">
        <v>30</v>
      </c>
      <c r="AG5" s="30">
        <v>31</v>
      </c>
      <c r="AH5" s="39" t="s">
        <v>74</v>
      </c>
    </row>
    <row r="6" spans="1:34" ht="15">
      <c r="A6" s="1960" t="s">
        <v>75</v>
      </c>
      <c r="B6" s="18">
        <f t="shared" ref="B6:B17" si="0">+AH6</f>
        <v>556.92999999999995</v>
      </c>
      <c r="C6" s="1759"/>
      <c r="D6" s="1759"/>
      <c r="E6" s="1759"/>
      <c r="F6" s="1759"/>
      <c r="G6" s="1759"/>
      <c r="H6" s="1759"/>
      <c r="I6" s="1761"/>
      <c r="J6" s="1761"/>
      <c r="K6" s="1761"/>
      <c r="L6" s="1761"/>
      <c r="M6" s="1761"/>
      <c r="N6" s="1761">
        <v>47.18</v>
      </c>
      <c r="O6" s="1761"/>
      <c r="P6" s="1761">
        <v>93.32</v>
      </c>
      <c r="Q6" s="1761">
        <v>42.24</v>
      </c>
      <c r="R6" s="1761">
        <v>93.96</v>
      </c>
      <c r="S6" s="1761">
        <v>126.22</v>
      </c>
      <c r="T6" s="1761"/>
      <c r="U6" s="1761">
        <v>91.28</v>
      </c>
      <c r="V6" s="1761"/>
      <c r="W6" s="1761">
        <v>30.24</v>
      </c>
      <c r="X6" s="1761">
        <v>32.49</v>
      </c>
      <c r="Y6" s="1761"/>
      <c r="Z6" s="1761"/>
      <c r="AA6" s="1761"/>
      <c r="AB6" s="1761"/>
      <c r="AC6" s="1761"/>
      <c r="AD6" s="1761"/>
      <c r="AE6" s="1761"/>
      <c r="AF6" s="1761"/>
      <c r="AG6" s="1761"/>
      <c r="AH6" s="46">
        <f>SUM(C6:AG6)</f>
        <v>556.92999999999995</v>
      </c>
    </row>
    <row r="7" spans="1:34" ht="15">
      <c r="A7" s="1960" t="s">
        <v>76</v>
      </c>
      <c r="B7" s="18">
        <f t="shared" si="0"/>
        <v>1310.8100000000002</v>
      </c>
      <c r="C7" s="1759">
        <v>45.49</v>
      </c>
      <c r="D7" s="1759">
        <v>100.59</v>
      </c>
      <c r="E7" s="1759"/>
      <c r="F7" s="1759">
        <v>94.33</v>
      </c>
      <c r="G7" s="1759">
        <v>74.62</v>
      </c>
      <c r="H7" s="1759">
        <v>84.259999999999991</v>
      </c>
      <c r="I7" s="1762">
        <v>72.62</v>
      </c>
      <c r="J7" s="1762">
        <v>147.36000000000001</v>
      </c>
      <c r="K7" s="1762">
        <v>172.54</v>
      </c>
      <c r="L7" s="1762"/>
      <c r="M7" s="1762"/>
      <c r="N7" s="1762">
        <v>83.65</v>
      </c>
      <c r="O7" s="1762"/>
      <c r="P7" s="1762"/>
      <c r="Q7" s="1762">
        <v>27.62</v>
      </c>
      <c r="R7" s="1762">
        <v>76.709999999999994</v>
      </c>
      <c r="S7" s="1762"/>
      <c r="T7" s="1762">
        <v>75.72</v>
      </c>
      <c r="U7" s="1762">
        <v>114.93</v>
      </c>
      <c r="V7" s="1762">
        <v>71.960000000000008</v>
      </c>
      <c r="W7" s="1762">
        <v>68.41</v>
      </c>
      <c r="X7" s="1762"/>
      <c r="Y7" s="1761"/>
      <c r="Z7" s="1761"/>
      <c r="AA7" s="1761"/>
      <c r="AB7" s="1761"/>
      <c r="AC7" s="1761"/>
      <c r="AD7" s="1761"/>
      <c r="AE7" s="1761"/>
      <c r="AF7" s="1761"/>
      <c r="AG7" s="1761"/>
      <c r="AH7" s="46">
        <f t="shared" ref="AH7:AH17" si="1">SUM(C7:AG7)</f>
        <v>1310.8100000000002</v>
      </c>
    </row>
    <row r="8" spans="1:34" ht="15">
      <c r="A8" s="1960" t="s">
        <v>77</v>
      </c>
      <c r="B8" s="18">
        <f t="shared" si="0"/>
        <v>1242.1409999999998</v>
      </c>
      <c r="C8" s="1759"/>
      <c r="D8" s="1759">
        <v>29.88</v>
      </c>
      <c r="E8" s="1759"/>
      <c r="F8" s="1759">
        <v>25.78</v>
      </c>
      <c r="G8" s="1759">
        <v>132.78</v>
      </c>
      <c r="H8" s="1759"/>
      <c r="I8" s="1764">
        <v>71.180000000000007</v>
      </c>
      <c r="J8" s="1763">
        <v>42.08</v>
      </c>
      <c r="K8" s="1763">
        <v>72.989999999999995</v>
      </c>
      <c r="L8" s="1763"/>
      <c r="M8" s="1763">
        <v>42.15</v>
      </c>
      <c r="N8" s="1763">
        <v>116.21</v>
      </c>
      <c r="O8" s="1763">
        <v>167.17</v>
      </c>
      <c r="P8" s="1764">
        <v>142.02000000000001</v>
      </c>
      <c r="Q8" s="1764">
        <v>50.3</v>
      </c>
      <c r="R8" s="1764">
        <v>66.959999999999994</v>
      </c>
      <c r="S8" s="1764"/>
      <c r="T8" s="1764">
        <v>77.98</v>
      </c>
      <c r="U8" s="1764">
        <v>112.5</v>
      </c>
      <c r="V8" s="1764">
        <v>49.28</v>
      </c>
      <c r="W8" s="1764">
        <v>42.881</v>
      </c>
      <c r="X8" s="1764"/>
      <c r="Y8" s="1764"/>
      <c r="Z8" s="1764"/>
      <c r="AA8" s="1764"/>
      <c r="AB8" s="1764"/>
      <c r="AC8" s="1764"/>
      <c r="AD8" s="1764"/>
      <c r="AE8" s="1765"/>
      <c r="AF8" s="1763"/>
      <c r="AG8" s="1763"/>
      <c r="AH8" s="46">
        <f t="shared" si="1"/>
        <v>1242.1409999999998</v>
      </c>
    </row>
    <row r="9" spans="1:34" ht="15">
      <c r="A9" s="1960" t="s">
        <v>78</v>
      </c>
      <c r="B9" s="18">
        <f t="shared" si="0"/>
        <v>85.71</v>
      </c>
      <c r="C9" s="1760"/>
      <c r="D9" s="1760"/>
      <c r="E9" s="1760"/>
      <c r="F9" s="1760"/>
      <c r="G9" s="1760"/>
      <c r="H9" s="1760"/>
      <c r="I9" s="1764"/>
      <c r="J9" s="1764"/>
      <c r="K9" s="1764"/>
      <c r="L9" s="1764"/>
      <c r="M9" s="1763"/>
      <c r="N9" s="1763"/>
      <c r="O9" s="1763"/>
      <c r="P9" s="1763"/>
      <c r="Q9" s="1764"/>
      <c r="R9" s="1764"/>
      <c r="S9" s="1764"/>
      <c r="T9" s="1764"/>
      <c r="U9" s="1763">
        <v>37.58</v>
      </c>
      <c r="V9" s="1764"/>
      <c r="W9" s="1764"/>
      <c r="X9" s="1764">
        <v>48.129999999999995</v>
      </c>
      <c r="Y9" s="1764"/>
      <c r="Z9" s="1764"/>
      <c r="AA9" s="1764"/>
      <c r="AB9" s="1764"/>
      <c r="AC9" s="1763"/>
      <c r="AD9" s="1764"/>
      <c r="AE9" s="1764"/>
      <c r="AF9" s="1763"/>
      <c r="AG9" s="1763"/>
      <c r="AH9" s="46">
        <f t="shared" si="1"/>
        <v>85.71</v>
      </c>
    </row>
    <row r="10" spans="1:34" ht="15">
      <c r="A10" s="1960" t="s">
        <v>79</v>
      </c>
      <c r="B10" s="18">
        <f t="shared" si="0"/>
        <v>729.71000000000015</v>
      </c>
      <c r="C10" s="1760"/>
      <c r="D10" s="1760">
        <v>51.16</v>
      </c>
      <c r="E10" s="1760">
        <v>62.82</v>
      </c>
      <c r="F10" s="1759"/>
      <c r="G10" s="1760">
        <v>48.83</v>
      </c>
      <c r="H10" s="1759"/>
      <c r="I10" s="1761"/>
      <c r="J10" s="1761">
        <v>70.239999999999995</v>
      </c>
      <c r="K10" s="1761">
        <v>21.03</v>
      </c>
      <c r="L10" s="1761">
        <v>49.42</v>
      </c>
      <c r="M10" s="1761">
        <v>93.22</v>
      </c>
      <c r="N10" s="1761"/>
      <c r="O10" s="1761"/>
      <c r="P10" s="1761">
        <v>40.79</v>
      </c>
      <c r="Q10" s="1761">
        <v>27.32</v>
      </c>
      <c r="R10" s="1761">
        <v>107.73</v>
      </c>
      <c r="S10" s="1761">
        <v>78.58</v>
      </c>
      <c r="T10" s="1761">
        <v>49.97</v>
      </c>
      <c r="U10" s="1761"/>
      <c r="V10" s="1761">
        <v>28.6</v>
      </c>
      <c r="W10" s="1761"/>
      <c r="X10" s="1761"/>
      <c r="Y10" s="1761"/>
      <c r="Z10" s="1761"/>
      <c r="AA10" s="1761"/>
      <c r="AB10" s="1761"/>
      <c r="AC10" s="1761"/>
      <c r="AD10" s="1761"/>
      <c r="AE10" s="1761"/>
      <c r="AF10" s="1761"/>
      <c r="AG10" s="1761"/>
      <c r="AH10" s="46">
        <f t="shared" si="1"/>
        <v>729.71000000000015</v>
      </c>
    </row>
    <row r="11" spans="1:34" ht="15">
      <c r="A11" s="1960" t="s">
        <v>80</v>
      </c>
      <c r="B11" s="18">
        <f t="shared" si="0"/>
        <v>0</v>
      </c>
      <c r="C11" s="1760"/>
      <c r="D11" s="1760"/>
      <c r="E11" s="1760"/>
      <c r="F11" s="1760"/>
      <c r="G11" s="1760"/>
      <c r="H11" s="1760"/>
      <c r="I11" s="1761"/>
      <c r="J11" s="1761"/>
      <c r="K11" s="1761"/>
      <c r="L11" s="1761"/>
      <c r="M11" s="1761"/>
      <c r="N11" s="1761"/>
      <c r="O11" s="1761"/>
      <c r="P11" s="1761"/>
      <c r="Q11" s="1761"/>
      <c r="R11" s="1761"/>
      <c r="S11" s="1761"/>
      <c r="T11" s="1761"/>
      <c r="U11" s="1761"/>
      <c r="V11" s="1761"/>
      <c r="W11" s="1761"/>
      <c r="X11" s="1761"/>
      <c r="Y11" s="1761"/>
      <c r="Z11" s="1761"/>
      <c r="AA11" s="1761"/>
      <c r="AB11" s="1761"/>
      <c r="AC11" s="1761"/>
      <c r="AD11" s="1761"/>
      <c r="AE11" s="1761"/>
      <c r="AF11" s="1761"/>
      <c r="AG11" s="1761"/>
      <c r="AH11" s="46">
        <f t="shared" si="1"/>
        <v>0</v>
      </c>
    </row>
    <row r="12" spans="1:34" ht="15">
      <c r="A12" s="30" t="s">
        <v>81</v>
      </c>
      <c r="B12" s="18">
        <f t="shared" si="0"/>
        <v>0</v>
      </c>
      <c r="C12" s="1761"/>
      <c r="D12" s="1761"/>
      <c r="E12" s="1761"/>
      <c r="F12" s="1761"/>
      <c r="G12" s="1761"/>
      <c r="H12" s="1761"/>
      <c r="I12" s="1761"/>
      <c r="J12" s="1761"/>
      <c r="K12" s="1761"/>
      <c r="L12" s="1761"/>
      <c r="M12" s="1761"/>
      <c r="N12" s="45"/>
      <c r="O12" s="45"/>
      <c r="P12" s="45"/>
      <c r="Q12" s="45"/>
      <c r="R12" s="45"/>
      <c r="S12" s="45"/>
      <c r="T12" s="45"/>
      <c r="U12" s="45"/>
      <c r="V12" s="45"/>
      <c r="W12" s="45"/>
      <c r="X12" s="45"/>
      <c r="Y12" s="45"/>
      <c r="Z12" s="45"/>
      <c r="AA12" s="45"/>
      <c r="AB12" s="45"/>
      <c r="AC12" s="45"/>
      <c r="AD12" s="45"/>
      <c r="AE12" s="45"/>
      <c r="AF12" s="45"/>
      <c r="AG12" s="45"/>
      <c r="AH12" s="46">
        <f t="shared" si="1"/>
        <v>0</v>
      </c>
    </row>
    <row r="13" spans="1:34" ht="15">
      <c r="A13" s="30" t="s">
        <v>82</v>
      </c>
      <c r="B13" s="18">
        <f t="shared" si="0"/>
        <v>0</v>
      </c>
      <c r="C13" s="45"/>
      <c r="D13" s="45"/>
      <c r="E13" s="45"/>
      <c r="F13" s="45"/>
      <c r="G13" s="45"/>
      <c r="H13" s="45"/>
      <c r="I13" s="45"/>
      <c r="J13" s="45"/>
      <c r="K13" s="45"/>
      <c r="L13" s="45"/>
      <c r="M13" s="45"/>
      <c r="N13" s="45"/>
      <c r="O13" s="45"/>
      <c r="P13" s="45"/>
      <c r="Q13" s="45"/>
      <c r="R13" s="45"/>
      <c r="S13" s="45"/>
      <c r="T13" s="45"/>
      <c r="U13" s="45"/>
      <c r="V13" s="45"/>
      <c r="W13" s="45"/>
      <c r="X13" s="45"/>
      <c r="Y13" s="45"/>
      <c r="Z13" s="45"/>
      <c r="AA13" s="45"/>
      <c r="AB13" s="45"/>
      <c r="AC13" s="45"/>
      <c r="AD13" s="45"/>
      <c r="AE13" s="45"/>
      <c r="AF13" s="45"/>
      <c r="AG13" s="45"/>
      <c r="AH13" s="46">
        <f t="shared" si="1"/>
        <v>0</v>
      </c>
    </row>
    <row r="14" spans="1:34" ht="15">
      <c r="A14" s="30" t="s">
        <v>83</v>
      </c>
      <c r="B14" s="18">
        <f t="shared" si="0"/>
        <v>78.649999999999991</v>
      </c>
      <c r="C14" s="45"/>
      <c r="D14" s="45">
        <v>42.39</v>
      </c>
      <c r="E14" s="45"/>
      <c r="F14" s="45"/>
      <c r="G14" s="45"/>
      <c r="H14" s="45"/>
      <c r="I14" s="45"/>
      <c r="J14" s="45"/>
      <c r="K14" s="45"/>
      <c r="L14" s="45"/>
      <c r="M14" s="45"/>
      <c r="N14" s="45"/>
      <c r="O14" s="45">
        <v>25.38</v>
      </c>
      <c r="P14" s="45"/>
      <c r="Q14" s="134"/>
      <c r="R14" s="134">
        <v>10.88</v>
      </c>
      <c r="S14" s="134"/>
      <c r="T14" s="134"/>
      <c r="U14" s="134"/>
      <c r="V14" s="134"/>
      <c r="W14" s="134"/>
      <c r="X14" s="134"/>
      <c r="Y14" s="134"/>
      <c r="Z14" s="134"/>
      <c r="AA14" s="134"/>
      <c r="AB14" s="134"/>
      <c r="AC14" s="134"/>
      <c r="AD14" s="134"/>
      <c r="AE14" s="134"/>
      <c r="AF14" s="134"/>
      <c r="AG14" s="134"/>
      <c r="AH14" s="46">
        <f t="shared" si="1"/>
        <v>78.649999999999991</v>
      </c>
    </row>
    <row r="15" spans="1:34" ht="15">
      <c r="A15" s="30" t="s">
        <v>84</v>
      </c>
      <c r="B15" s="18">
        <f t="shared" si="0"/>
        <v>0</v>
      </c>
      <c r="C15" s="134"/>
      <c r="D15" s="1961"/>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c r="AC15" s="134"/>
      <c r="AD15" s="134"/>
      <c r="AE15" s="134"/>
      <c r="AF15" s="134"/>
      <c r="AG15" s="134"/>
      <c r="AH15" s="46">
        <f t="shared" si="1"/>
        <v>0</v>
      </c>
    </row>
    <row r="16" spans="1:34" ht="15">
      <c r="A16" s="30" t="s">
        <v>85</v>
      </c>
      <c r="B16" s="18">
        <f t="shared" si="0"/>
        <v>268.71999999999997</v>
      </c>
      <c r="C16" s="134"/>
      <c r="D16" s="1961"/>
      <c r="E16" s="134"/>
      <c r="F16" s="134"/>
      <c r="G16" s="134"/>
      <c r="H16" s="134"/>
      <c r="I16" s="134"/>
      <c r="J16" s="134"/>
      <c r="K16" s="134"/>
      <c r="L16" s="134"/>
      <c r="M16" s="134"/>
      <c r="N16" s="134"/>
      <c r="O16" s="134"/>
      <c r="P16" s="134"/>
      <c r="Q16" s="134"/>
      <c r="R16" s="48"/>
      <c r="S16" s="48"/>
      <c r="T16" s="48"/>
      <c r="U16" s="48"/>
      <c r="V16" s="48"/>
      <c r="W16" s="48"/>
      <c r="X16" s="48"/>
      <c r="Y16" s="3358">
        <v>37.299999999999997</v>
      </c>
      <c r="Z16" s="3358"/>
      <c r="AA16" s="3358">
        <v>53.43</v>
      </c>
      <c r="AB16" s="3358">
        <v>69.239999999999995</v>
      </c>
      <c r="AC16" s="3358"/>
      <c r="AD16" s="3358"/>
      <c r="AE16" s="3358">
        <v>76.739999999999995</v>
      </c>
      <c r="AF16" s="3358">
        <v>32.01</v>
      </c>
      <c r="AG16" s="45"/>
      <c r="AH16" s="46">
        <f>SUM(C16:AG16)</f>
        <v>268.71999999999997</v>
      </c>
    </row>
    <row r="17" spans="1:34" ht="15">
      <c r="A17" s="30" t="s">
        <v>86</v>
      </c>
      <c r="B17" s="18">
        <f t="shared" si="0"/>
        <v>1547.09</v>
      </c>
      <c r="C17" s="45"/>
      <c r="D17" s="48">
        <v>21.6</v>
      </c>
      <c r="E17" s="3358">
        <v>34.14</v>
      </c>
      <c r="F17" s="3358"/>
      <c r="G17" s="3358"/>
      <c r="H17" s="3358"/>
      <c r="I17" s="3358">
        <v>155.72999999999999</v>
      </c>
      <c r="J17" s="3358"/>
      <c r="K17" s="3358">
        <v>145.76</v>
      </c>
      <c r="L17" s="3358">
        <v>39.630000000000003</v>
      </c>
      <c r="M17" s="45">
        <v>15.71</v>
      </c>
      <c r="N17" s="45"/>
      <c r="O17" s="45"/>
      <c r="P17" s="45"/>
      <c r="Q17" s="45"/>
      <c r="R17" s="45"/>
      <c r="S17" s="45"/>
      <c r="T17" s="45"/>
      <c r="U17" s="45"/>
      <c r="V17" s="45"/>
      <c r="W17" s="45">
        <v>33.299999999999997</v>
      </c>
      <c r="X17" s="45"/>
      <c r="Y17" s="45">
        <v>179.13</v>
      </c>
      <c r="Z17" s="45">
        <v>103.18</v>
      </c>
      <c r="AA17" s="45"/>
      <c r="AB17" s="45">
        <v>110.76</v>
      </c>
      <c r="AC17" s="45">
        <v>43.42</v>
      </c>
      <c r="AD17" s="45">
        <v>563.33000000000004</v>
      </c>
      <c r="AE17" s="45">
        <v>2</v>
      </c>
      <c r="AF17" s="45">
        <v>83.31</v>
      </c>
      <c r="AG17" s="45">
        <v>16.09</v>
      </c>
      <c r="AH17" s="46">
        <f t="shared" si="1"/>
        <v>1547.09</v>
      </c>
    </row>
    <row r="18" spans="1:34" ht="15">
      <c r="A18" s="88" t="s">
        <v>74</v>
      </c>
      <c r="B18" s="89">
        <f>SUM(B6:B17)</f>
        <v>5819.7610000000004</v>
      </c>
      <c r="C18" s="46"/>
      <c r="D18" s="46"/>
      <c r="E18" s="46"/>
      <c r="F18" s="46"/>
      <c r="G18" s="46"/>
      <c r="H18" s="46"/>
      <c r="I18" s="46"/>
      <c r="J18" s="46"/>
      <c r="K18" s="46"/>
      <c r="L18" s="46"/>
      <c r="M18" s="46"/>
      <c r="N18" s="46"/>
      <c r="O18" s="46"/>
      <c r="P18" s="46"/>
      <c r="Q18" s="46"/>
      <c r="R18" s="46"/>
      <c r="S18" s="46"/>
      <c r="T18" s="46"/>
      <c r="U18" s="46"/>
      <c r="V18" s="46"/>
      <c r="W18" s="46"/>
      <c r="X18" s="46"/>
      <c r="Y18" s="46"/>
      <c r="Z18" s="46"/>
      <c r="AA18" s="46"/>
      <c r="AB18" s="46"/>
      <c r="AC18" s="46"/>
      <c r="AD18" s="46"/>
      <c r="AE18" s="46"/>
      <c r="AF18" s="46"/>
      <c r="AG18" s="46"/>
      <c r="AH18" s="46">
        <f>SUM(AH6:AH17)</f>
        <v>5819.7610000000004</v>
      </c>
    </row>
    <row r="21" spans="1:34" ht="15">
      <c r="A21" s="3591" t="s">
        <v>61</v>
      </c>
      <c r="B21" s="3592"/>
      <c r="C21" s="3592"/>
      <c r="D21" s="3592"/>
      <c r="E21" s="3592"/>
      <c r="F21" s="3592"/>
      <c r="G21" s="3592"/>
      <c r="H21" s="3592"/>
      <c r="I21" s="3592"/>
      <c r="J21" s="3592"/>
      <c r="K21" s="3592"/>
      <c r="L21" s="3592"/>
      <c r="M21" s="3592"/>
      <c r="N21" s="3592"/>
      <c r="O21" s="3592"/>
      <c r="P21" s="3592"/>
      <c r="Q21" s="3592"/>
      <c r="R21" s="3593"/>
      <c r="S21" s="11"/>
      <c r="T21" s="11"/>
      <c r="U21" s="11"/>
      <c r="V21" s="11"/>
      <c r="W21" s="11"/>
      <c r="X21" s="11"/>
      <c r="Y21" s="11"/>
      <c r="Z21" s="11"/>
      <c r="AA21" s="11"/>
      <c r="AB21" s="11"/>
      <c r="AC21" s="11"/>
      <c r="AD21" s="11"/>
      <c r="AE21" s="11"/>
      <c r="AF21" s="11"/>
      <c r="AG21" s="11"/>
      <c r="AH21" s="11"/>
    </row>
    <row r="22" spans="1:34" ht="15">
      <c r="A22" s="50"/>
      <c r="B22" s="73"/>
      <c r="C22" s="50"/>
      <c r="D22" s="50"/>
      <c r="E22" s="50"/>
      <c r="F22" s="50"/>
      <c r="G22" s="50"/>
      <c r="H22" s="50"/>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row>
    <row r="23" spans="1:34" ht="15">
      <c r="A23" s="3585" t="s">
        <v>62</v>
      </c>
      <c r="B23" s="3586"/>
      <c r="C23" s="3586"/>
      <c r="D23" s="3586"/>
      <c r="E23" s="3586"/>
      <c r="F23" s="3586"/>
      <c r="G23" s="3586"/>
      <c r="H23" s="3587"/>
      <c r="I23" s="82"/>
      <c r="J23" s="82"/>
      <c r="K23" s="82"/>
      <c r="L23" s="82"/>
      <c r="M23" s="82"/>
      <c r="N23" s="82"/>
      <c r="O23" s="82"/>
      <c r="P23" s="82"/>
      <c r="Q23" s="82"/>
      <c r="R23" s="82"/>
      <c r="S23" s="82"/>
      <c r="T23" s="82"/>
      <c r="U23" s="82"/>
      <c r="V23" s="82"/>
      <c r="W23" s="82"/>
      <c r="X23" s="82"/>
      <c r="Y23" s="82"/>
      <c r="Z23" s="82"/>
      <c r="AA23" s="82"/>
      <c r="AB23" s="82"/>
      <c r="AC23" s="82"/>
      <c r="AD23" s="82"/>
      <c r="AE23" s="82"/>
      <c r="AF23" s="82"/>
      <c r="AG23" s="82"/>
      <c r="AH23" s="82"/>
    </row>
    <row r="24" spans="1:34" ht="15">
      <c r="A24" s="5" t="s">
        <v>91</v>
      </c>
      <c r="B24" s="71" t="s">
        <v>73</v>
      </c>
      <c r="C24" s="1249">
        <v>1</v>
      </c>
      <c r="D24" s="30">
        <v>2</v>
      </c>
      <c r="E24" s="30">
        <v>3</v>
      </c>
      <c r="F24" s="30">
        <v>4</v>
      </c>
      <c r="G24" s="30">
        <v>5</v>
      </c>
      <c r="H24" s="30">
        <v>6</v>
      </c>
      <c r="I24" s="30">
        <v>7</v>
      </c>
      <c r="J24" s="30">
        <v>8</v>
      </c>
      <c r="K24" s="30">
        <v>9</v>
      </c>
      <c r="L24" s="30">
        <v>10</v>
      </c>
      <c r="M24" s="30">
        <v>11</v>
      </c>
      <c r="N24" s="30">
        <v>12</v>
      </c>
      <c r="O24" s="30">
        <v>13</v>
      </c>
      <c r="P24" s="30">
        <v>14</v>
      </c>
      <c r="Q24" s="30">
        <v>15</v>
      </c>
      <c r="R24" s="30">
        <v>16</v>
      </c>
      <c r="S24" s="30">
        <v>17</v>
      </c>
      <c r="T24" s="30">
        <v>18</v>
      </c>
      <c r="U24" s="30">
        <v>19</v>
      </c>
      <c r="V24" s="30">
        <v>20</v>
      </c>
      <c r="W24" s="30">
        <v>21</v>
      </c>
      <c r="X24" s="30">
        <v>22</v>
      </c>
      <c r="Y24" s="30">
        <v>23</v>
      </c>
      <c r="Z24" s="30">
        <v>24</v>
      </c>
      <c r="AA24" s="30">
        <v>25</v>
      </c>
      <c r="AB24" s="30">
        <v>26</v>
      </c>
      <c r="AC24" s="30">
        <v>27</v>
      </c>
      <c r="AD24" s="30">
        <v>28</v>
      </c>
      <c r="AE24" s="30">
        <v>29</v>
      </c>
      <c r="AF24" s="30">
        <v>30</v>
      </c>
      <c r="AG24" s="30">
        <v>31</v>
      </c>
      <c r="AH24" s="39" t="s">
        <v>74</v>
      </c>
    </row>
    <row r="25" spans="1:34" ht="15">
      <c r="A25" s="1962" t="s">
        <v>75</v>
      </c>
      <c r="B25" s="1286">
        <f t="shared" ref="B25:B36" si="2">+AH25</f>
        <v>0</v>
      </c>
      <c r="C25" s="49"/>
      <c r="D25" s="18"/>
      <c r="E25" s="18"/>
      <c r="F25" s="18"/>
      <c r="G25" s="18"/>
      <c r="H25" s="18"/>
      <c r="I25" s="18"/>
      <c r="J25" s="18"/>
      <c r="K25" s="18"/>
      <c r="L25" s="18"/>
      <c r="M25" s="18"/>
      <c r="N25" s="18"/>
      <c r="O25" s="18"/>
      <c r="P25" s="18"/>
      <c r="Q25" s="67"/>
      <c r="R25" s="67"/>
      <c r="S25" s="67"/>
      <c r="T25" s="67"/>
      <c r="U25" s="67"/>
      <c r="V25" s="67"/>
      <c r="W25" s="67"/>
      <c r="X25" s="67"/>
      <c r="Y25" s="67"/>
      <c r="Z25" s="67"/>
      <c r="AA25" s="67"/>
      <c r="AB25" s="67"/>
      <c r="AC25" s="67"/>
      <c r="AD25" s="67"/>
      <c r="AE25" s="67"/>
      <c r="AF25" s="67"/>
      <c r="AG25" s="67"/>
      <c r="AH25" s="53">
        <f>SUM(C25:AG25)</f>
        <v>0</v>
      </c>
    </row>
    <row r="26" spans="1:34" ht="15">
      <c r="A26" s="1962" t="s">
        <v>76</v>
      </c>
      <c r="B26" s="1286">
        <f t="shared" si="2"/>
        <v>0</v>
      </c>
      <c r="C26" s="49"/>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53">
        <f t="shared" ref="AH26:AH36" si="3">SUM(C26:AG26)</f>
        <v>0</v>
      </c>
    </row>
    <row r="27" spans="1:34" ht="15">
      <c r="A27" s="1962" t="s">
        <v>77</v>
      </c>
      <c r="B27" s="1286">
        <f t="shared" si="2"/>
        <v>239.43799999999999</v>
      </c>
      <c r="C27" s="49"/>
      <c r="D27" s="18">
        <v>51.87</v>
      </c>
      <c r="E27" s="18"/>
      <c r="F27" s="18">
        <v>49.15</v>
      </c>
      <c r="G27" s="18"/>
      <c r="H27" s="18">
        <v>44.134999999999998</v>
      </c>
      <c r="I27" s="18"/>
      <c r="J27" s="18"/>
      <c r="K27" s="18"/>
      <c r="L27" s="18"/>
      <c r="M27" s="18"/>
      <c r="N27" s="18">
        <v>27.45</v>
      </c>
      <c r="O27" s="18">
        <v>32.975000000000001</v>
      </c>
      <c r="P27" s="18">
        <v>33.857999999999997</v>
      </c>
      <c r="Q27" s="1280"/>
      <c r="R27" s="1280"/>
      <c r="S27" s="1280"/>
      <c r="T27" s="1280"/>
      <c r="U27" s="1280"/>
      <c r="V27" s="1280"/>
      <c r="W27" s="1280"/>
      <c r="X27" s="1280"/>
      <c r="Y27" s="1280"/>
      <c r="Z27" s="1280"/>
      <c r="AA27" s="1280"/>
      <c r="AB27" s="1280"/>
      <c r="AC27" s="1280"/>
      <c r="AD27" s="1280"/>
      <c r="AE27" s="1280"/>
      <c r="AF27" s="1280"/>
      <c r="AG27" s="1280"/>
      <c r="AH27" s="53">
        <f t="shared" si="3"/>
        <v>239.43799999999999</v>
      </c>
    </row>
    <row r="28" spans="1:34" ht="15">
      <c r="A28" s="1962" t="s">
        <v>78</v>
      </c>
      <c r="B28" s="1286">
        <f t="shared" si="2"/>
        <v>105.77800000000001</v>
      </c>
      <c r="C28" s="1280"/>
      <c r="D28" s="1280"/>
      <c r="E28" s="1280"/>
      <c r="F28" s="1280"/>
      <c r="G28" s="1280"/>
      <c r="H28" s="1280"/>
      <c r="I28" s="1280"/>
      <c r="J28" s="1280"/>
      <c r="K28" s="1280"/>
      <c r="L28" s="1280"/>
      <c r="M28" s="1280"/>
      <c r="N28" s="3246">
        <v>48.56</v>
      </c>
      <c r="O28" s="3246">
        <v>32.307000000000002</v>
      </c>
      <c r="P28" s="3246"/>
      <c r="Q28" s="3246">
        <v>24.911000000000001</v>
      </c>
      <c r="R28" s="1280"/>
      <c r="S28" s="1280"/>
      <c r="T28" s="1280"/>
      <c r="U28" s="1280"/>
      <c r="V28" s="1280"/>
      <c r="W28" s="1280"/>
      <c r="X28" s="1280"/>
      <c r="Y28" s="1280"/>
      <c r="Z28" s="1280"/>
      <c r="AA28" s="1280"/>
      <c r="AB28" s="1280"/>
      <c r="AC28" s="1280"/>
      <c r="AD28" s="1280"/>
      <c r="AE28" s="1280"/>
      <c r="AF28" s="1280" t="s">
        <v>112</v>
      </c>
      <c r="AG28" s="1280" t="s">
        <v>112</v>
      </c>
      <c r="AH28" s="53">
        <f t="shared" si="3"/>
        <v>105.77800000000001</v>
      </c>
    </row>
    <row r="29" spans="1:34" ht="15">
      <c r="A29" s="1962" t="s">
        <v>79</v>
      </c>
      <c r="B29" s="1286">
        <f t="shared" si="2"/>
        <v>0</v>
      </c>
      <c r="C29" s="1280" t="s">
        <v>112</v>
      </c>
      <c r="D29" s="1280" t="s">
        <v>112</v>
      </c>
      <c r="E29" s="1280" t="s">
        <v>112</v>
      </c>
      <c r="F29" s="1280" t="s">
        <v>112</v>
      </c>
      <c r="G29" s="1280" t="s">
        <v>112</v>
      </c>
      <c r="H29" s="1280" t="s">
        <v>112</v>
      </c>
      <c r="I29" s="1280" t="s">
        <v>112</v>
      </c>
      <c r="J29" s="1280" t="s">
        <v>112</v>
      </c>
      <c r="K29" s="1280" t="s">
        <v>112</v>
      </c>
      <c r="L29" s="1280" t="s">
        <v>112</v>
      </c>
      <c r="M29" s="1280" t="s">
        <v>112</v>
      </c>
      <c r="N29" s="1280" t="s">
        <v>112</v>
      </c>
      <c r="O29" s="1280" t="s">
        <v>112</v>
      </c>
      <c r="P29" s="1280" t="s">
        <v>112</v>
      </c>
      <c r="Q29" s="1280" t="s">
        <v>112</v>
      </c>
      <c r="R29" s="18"/>
      <c r="S29" s="18"/>
      <c r="T29" s="18"/>
      <c r="U29" s="18"/>
      <c r="V29" s="18"/>
      <c r="W29" s="18"/>
      <c r="X29" s="18"/>
      <c r="Y29" s="18"/>
      <c r="Z29" s="18"/>
      <c r="AA29" s="18"/>
      <c r="AB29" s="18"/>
      <c r="AC29" s="18"/>
      <c r="AD29" s="18"/>
      <c r="AE29" s="18"/>
      <c r="AF29" s="18"/>
      <c r="AG29" s="18"/>
      <c r="AH29" s="53">
        <f t="shared" si="3"/>
        <v>0</v>
      </c>
    </row>
    <row r="30" spans="1:34" ht="15">
      <c r="A30" s="1962" t="s">
        <v>80</v>
      </c>
      <c r="B30" s="1286">
        <f t="shared" si="2"/>
        <v>0</v>
      </c>
      <c r="C30" s="49"/>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53">
        <f t="shared" si="3"/>
        <v>0</v>
      </c>
    </row>
    <row r="31" spans="1:34" ht="15">
      <c r="A31" s="1249" t="s">
        <v>81</v>
      </c>
      <c r="B31" s="1286">
        <f t="shared" si="2"/>
        <v>0</v>
      </c>
      <c r="C31" s="49"/>
      <c r="D31" s="53"/>
      <c r="E31" s="53"/>
      <c r="F31" s="53"/>
      <c r="G31" s="18"/>
      <c r="H31" s="18"/>
      <c r="I31" s="18"/>
      <c r="J31" s="57"/>
      <c r="K31" s="57"/>
      <c r="L31" s="53"/>
      <c r="M31" s="53"/>
      <c r="N31" s="53"/>
      <c r="O31" s="53"/>
      <c r="P31" s="53"/>
      <c r="Q31" s="53"/>
      <c r="R31" s="53"/>
      <c r="S31" s="53"/>
      <c r="T31" s="53"/>
      <c r="U31" s="53"/>
      <c r="V31" s="53"/>
      <c r="W31" s="53"/>
      <c r="X31" s="53"/>
      <c r="Y31" s="53"/>
      <c r="Z31" s="53"/>
      <c r="AA31" s="53"/>
      <c r="AB31" s="53"/>
      <c r="AC31" s="53"/>
      <c r="AD31" s="53"/>
      <c r="AE31" s="53"/>
      <c r="AF31" s="53"/>
      <c r="AG31" s="53"/>
      <c r="AH31" s="53">
        <f t="shared" si="3"/>
        <v>0</v>
      </c>
    </row>
    <row r="32" spans="1:34" ht="15">
      <c r="A32" s="1249" t="s">
        <v>82</v>
      </c>
      <c r="B32" s="1286">
        <f t="shared" si="2"/>
        <v>0</v>
      </c>
      <c r="C32" s="49"/>
      <c r="D32" s="18"/>
      <c r="E32" s="18"/>
      <c r="F32" s="18"/>
      <c r="G32" s="18"/>
      <c r="H32" s="18"/>
      <c r="I32" s="18"/>
      <c r="J32" s="57"/>
      <c r="K32" s="57"/>
      <c r="L32" s="53"/>
      <c r="M32" s="53"/>
      <c r="N32" s="53"/>
      <c r="O32" s="53"/>
      <c r="P32" s="53"/>
      <c r="Q32" s="53"/>
      <c r="R32" s="53"/>
      <c r="S32" s="53"/>
      <c r="T32" s="53"/>
      <c r="U32" s="53"/>
      <c r="V32" s="53"/>
      <c r="W32" s="53"/>
      <c r="X32" s="53"/>
      <c r="Y32" s="53"/>
      <c r="Z32" s="53"/>
      <c r="AA32" s="53"/>
      <c r="AB32" s="53"/>
      <c r="AC32" s="53"/>
      <c r="AD32" s="53"/>
      <c r="AE32" s="53"/>
      <c r="AF32" s="53"/>
      <c r="AG32" s="53"/>
      <c r="AH32" s="53">
        <f t="shared" si="3"/>
        <v>0</v>
      </c>
    </row>
    <row r="33" spans="1:34" ht="15">
      <c r="A33" s="1249" t="s">
        <v>83</v>
      </c>
      <c r="B33" s="1286">
        <f t="shared" si="2"/>
        <v>0</v>
      </c>
      <c r="C33" s="45"/>
      <c r="D33" s="45"/>
      <c r="E33" s="45"/>
      <c r="F33" s="45"/>
      <c r="G33" s="45"/>
      <c r="H33" s="45"/>
      <c r="I33" s="45"/>
      <c r="J33" s="45"/>
      <c r="K33" s="45"/>
      <c r="L33" s="45"/>
      <c r="M33" s="45"/>
      <c r="N33" s="45"/>
      <c r="O33" s="45"/>
      <c r="P33" s="45"/>
      <c r="Q33" s="134" t="s">
        <v>401</v>
      </c>
      <c r="R33" s="134" t="s">
        <v>401</v>
      </c>
      <c r="S33" s="134" t="s">
        <v>401</v>
      </c>
      <c r="T33" s="134" t="s">
        <v>401</v>
      </c>
      <c r="U33" s="134" t="s">
        <v>401</v>
      </c>
      <c r="V33" s="134" t="s">
        <v>401</v>
      </c>
      <c r="W33" s="134" t="s">
        <v>401</v>
      </c>
      <c r="X33" s="134" t="s">
        <v>401</v>
      </c>
      <c r="Y33" s="134" t="s">
        <v>401</v>
      </c>
      <c r="Z33" s="134" t="s">
        <v>401</v>
      </c>
      <c r="AA33" s="134" t="s">
        <v>401</v>
      </c>
      <c r="AB33" s="134" t="s">
        <v>401</v>
      </c>
      <c r="AC33" s="134" t="s">
        <v>401</v>
      </c>
      <c r="AD33" s="134" t="s">
        <v>401</v>
      </c>
      <c r="AE33" s="134" t="s">
        <v>401</v>
      </c>
      <c r="AF33" s="134" t="s">
        <v>401</v>
      </c>
      <c r="AG33" s="134" t="s">
        <v>401</v>
      </c>
      <c r="AH33" s="53">
        <f t="shared" si="3"/>
        <v>0</v>
      </c>
    </row>
    <row r="34" spans="1:34" ht="15">
      <c r="A34" s="1249" t="s">
        <v>84</v>
      </c>
      <c r="B34" s="36">
        <f t="shared" si="2"/>
        <v>0</v>
      </c>
      <c r="C34" s="134" t="s">
        <v>112</v>
      </c>
      <c r="D34" s="1961" t="s">
        <v>112</v>
      </c>
      <c r="E34" s="134" t="s">
        <v>112</v>
      </c>
      <c r="F34" s="134" t="s">
        <v>112</v>
      </c>
      <c r="G34" s="134" t="s">
        <v>112</v>
      </c>
      <c r="H34" s="134" t="s">
        <v>112</v>
      </c>
      <c r="I34" s="134" t="s">
        <v>112</v>
      </c>
      <c r="J34" s="134" t="s">
        <v>112</v>
      </c>
      <c r="K34" s="134" t="s">
        <v>112</v>
      </c>
      <c r="L34" s="134" t="s">
        <v>112</v>
      </c>
      <c r="M34" s="134" t="s">
        <v>112</v>
      </c>
      <c r="N34" s="134" t="s">
        <v>112</v>
      </c>
      <c r="O34" s="134" t="s">
        <v>112</v>
      </c>
      <c r="P34" s="134" t="s">
        <v>112</v>
      </c>
      <c r="Q34" s="134" t="s">
        <v>112</v>
      </c>
      <c r="R34" s="134" t="s">
        <v>112</v>
      </c>
      <c r="S34" s="134" t="s">
        <v>112</v>
      </c>
      <c r="T34" s="134" t="s">
        <v>112</v>
      </c>
      <c r="U34" s="134" t="s">
        <v>112</v>
      </c>
      <c r="V34" s="134" t="s">
        <v>112</v>
      </c>
      <c r="W34" s="134" t="s">
        <v>112</v>
      </c>
      <c r="X34" s="134" t="s">
        <v>112</v>
      </c>
      <c r="Y34" s="134" t="s">
        <v>112</v>
      </c>
      <c r="Z34" s="134" t="s">
        <v>112</v>
      </c>
      <c r="AA34" s="134" t="s">
        <v>112</v>
      </c>
      <c r="AB34" s="134" t="s">
        <v>112</v>
      </c>
      <c r="AC34" s="134" t="s">
        <v>112</v>
      </c>
      <c r="AD34" s="134" t="s">
        <v>112</v>
      </c>
      <c r="AE34" s="134" t="s">
        <v>112</v>
      </c>
      <c r="AF34" s="134" t="s">
        <v>112</v>
      </c>
      <c r="AG34" s="134" t="s">
        <v>112</v>
      </c>
      <c r="AH34" s="53">
        <f t="shared" si="3"/>
        <v>0</v>
      </c>
    </row>
    <row r="35" spans="1:34" ht="15">
      <c r="A35" s="1249" t="s">
        <v>85</v>
      </c>
      <c r="B35" s="36">
        <f t="shared" si="2"/>
        <v>0</v>
      </c>
      <c r="C35" s="134" t="s">
        <v>112</v>
      </c>
      <c r="D35" s="1961" t="s">
        <v>112</v>
      </c>
      <c r="E35" s="134" t="s">
        <v>112</v>
      </c>
      <c r="F35" s="134" t="s">
        <v>112</v>
      </c>
      <c r="G35" s="134" t="s">
        <v>112</v>
      </c>
      <c r="H35" s="134" t="s">
        <v>112</v>
      </c>
      <c r="I35" s="134" t="s">
        <v>112</v>
      </c>
      <c r="J35" s="134" t="s">
        <v>112</v>
      </c>
      <c r="K35" s="134" t="s">
        <v>112</v>
      </c>
      <c r="L35" s="134" t="s">
        <v>112</v>
      </c>
      <c r="M35" s="134" t="s">
        <v>112</v>
      </c>
      <c r="N35" s="134" t="s">
        <v>112</v>
      </c>
      <c r="O35" s="134" t="s">
        <v>112</v>
      </c>
      <c r="P35" s="134" t="s">
        <v>112</v>
      </c>
      <c r="Q35" s="134" t="s">
        <v>112</v>
      </c>
      <c r="R35" s="48"/>
      <c r="S35" s="48"/>
      <c r="T35" s="48"/>
      <c r="U35" s="48"/>
      <c r="V35" s="48"/>
      <c r="W35" s="48"/>
      <c r="X35" s="48"/>
      <c r="Y35" s="48"/>
      <c r="Z35" s="48"/>
      <c r="AA35" s="48"/>
      <c r="AB35" s="48"/>
      <c r="AC35" s="48"/>
      <c r="AD35" s="48"/>
      <c r="AE35" s="48"/>
      <c r="AF35" s="48"/>
      <c r="AG35" s="45"/>
      <c r="AH35" s="53">
        <f t="shared" si="3"/>
        <v>0</v>
      </c>
    </row>
    <row r="36" spans="1:34" ht="15">
      <c r="A36" s="1249" t="s">
        <v>86</v>
      </c>
      <c r="B36" s="36">
        <f t="shared" si="2"/>
        <v>0</v>
      </c>
      <c r="C36" s="49"/>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53"/>
      <c r="AF36" s="18"/>
      <c r="AG36" s="53"/>
      <c r="AH36" s="53">
        <f t="shared" si="3"/>
        <v>0</v>
      </c>
    </row>
    <row r="37" spans="1:34" ht="15">
      <c r="A37" s="88" t="s">
        <v>74</v>
      </c>
      <c r="B37" s="91">
        <f>SUM(B25:B36)</f>
        <v>345.21600000000001</v>
      </c>
      <c r="C37" s="46">
        <f>SUM(C25:C35)</f>
        <v>0</v>
      </c>
      <c r="D37" s="53">
        <f>SUM(D25:D35)</f>
        <v>51.87</v>
      </c>
      <c r="E37" s="53">
        <v>0</v>
      </c>
      <c r="F37" s="53">
        <f t="shared" ref="F37:AC37" si="4">SUM(F25:F35)</f>
        <v>49.15</v>
      </c>
      <c r="G37" s="53">
        <f t="shared" si="4"/>
        <v>0</v>
      </c>
      <c r="H37" s="53">
        <f t="shared" si="4"/>
        <v>44.134999999999998</v>
      </c>
      <c r="I37" s="53">
        <f t="shared" si="4"/>
        <v>0</v>
      </c>
      <c r="J37" s="53">
        <f t="shared" si="4"/>
        <v>0</v>
      </c>
      <c r="K37" s="53">
        <f t="shared" si="4"/>
        <v>0</v>
      </c>
      <c r="L37" s="53">
        <f t="shared" si="4"/>
        <v>0</v>
      </c>
      <c r="M37" s="53">
        <f t="shared" si="4"/>
        <v>0</v>
      </c>
      <c r="N37" s="53">
        <f t="shared" si="4"/>
        <v>76.010000000000005</v>
      </c>
      <c r="O37" s="53">
        <f t="shared" si="4"/>
        <v>65.282000000000011</v>
      </c>
      <c r="P37" s="53">
        <f t="shared" si="4"/>
        <v>33.857999999999997</v>
      </c>
      <c r="Q37" s="53">
        <f t="shared" si="4"/>
        <v>24.911000000000001</v>
      </c>
      <c r="R37" s="53">
        <f t="shared" si="4"/>
        <v>0</v>
      </c>
      <c r="S37" s="53">
        <f t="shared" si="4"/>
        <v>0</v>
      </c>
      <c r="T37" s="53">
        <f t="shared" si="4"/>
        <v>0</v>
      </c>
      <c r="U37" s="53">
        <f t="shared" si="4"/>
        <v>0</v>
      </c>
      <c r="V37" s="53">
        <f t="shared" si="4"/>
        <v>0</v>
      </c>
      <c r="W37" s="53">
        <f t="shared" si="4"/>
        <v>0</v>
      </c>
      <c r="X37" s="53">
        <f t="shared" si="4"/>
        <v>0</v>
      </c>
      <c r="Y37" s="53">
        <f t="shared" si="4"/>
        <v>0</v>
      </c>
      <c r="Z37" s="53">
        <f t="shared" si="4"/>
        <v>0</v>
      </c>
      <c r="AA37" s="53">
        <f t="shared" si="4"/>
        <v>0</v>
      </c>
      <c r="AB37" s="53">
        <f t="shared" si="4"/>
        <v>0</v>
      </c>
      <c r="AC37" s="53">
        <f t="shared" si="4"/>
        <v>0</v>
      </c>
      <c r="AD37" s="53">
        <v>0</v>
      </c>
      <c r="AE37" s="53">
        <f>SUM(AE25:AE35)</f>
        <v>0</v>
      </c>
      <c r="AF37" s="53">
        <f>SUM(AF25:AF35)</f>
        <v>0</v>
      </c>
      <c r="AG37" s="53">
        <f>SUM(AG25:AG35)</f>
        <v>0</v>
      </c>
      <c r="AH37" s="46">
        <f>SUM(AH25:AH36)</f>
        <v>345.21600000000001</v>
      </c>
    </row>
    <row r="38" spans="1:34" ht="15">
      <c r="A38" s="14"/>
      <c r="B38" s="70"/>
      <c r="C38" s="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row>
    <row r="39" spans="1:34" ht="15">
      <c r="A39" s="3634" t="s">
        <v>594</v>
      </c>
      <c r="B39" s="3635"/>
      <c r="C39" s="3635"/>
      <c r="D39" s="3635"/>
      <c r="E39" s="3635"/>
      <c r="F39" s="3635"/>
      <c r="G39" s="3635"/>
      <c r="H39" s="3636"/>
      <c r="I39" s="82"/>
      <c r="J39" s="82"/>
      <c r="K39" s="82"/>
      <c r="L39" s="82"/>
      <c r="M39" s="82"/>
      <c r="N39" s="82"/>
      <c r="O39" s="82"/>
      <c r="P39" s="82"/>
      <c r="Q39" s="82"/>
      <c r="R39" s="82"/>
      <c r="S39" s="82"/>
      <c r="T39" s="82"/>
      <c r="U39" s="82"/>
      <c r="V39" s="82"/>
      <c r="W39" s="82"/>
      <c r="X39" s="82"/>
      <c r="Y39" s="82"/>
      <c r="Z39" s="82"/>
      <c r="AA39" s="82"/>
      <c r="AB39" s="82"/>
      <c r="AC39" s="82"/>
      <c r="AD39" s="82"/>
      <c r="AE39" s="82"/>
      <c r="AF39" s="82"/>
      <c r="AG39" s="82"/>
      <c r="AH39" s="82"/>
    </row>
    <row r="40" spans="1:34" ht="15">
      <c r="A40" s="5" t="s">
        <v>91</v>
      </c>
      <c r="B40" s="71" t="s">
        <v>73</v>
      </c>
      <c r="C40" s="1249">
        <v>1</v>
      </c>
      <c r="D40" s="30">
        <v>2</v>
      </c>
      <c r="E40" s="30">
        <v>3</v>
      </c>
      <c r="F40" s="30">
        <v>4</v>
      </c>
      <c r="G40" s="30">
        <v>5</v>
      </c>
      <c r="H40" s="30">
        <v>6</v>
      </c>
      <c r="I40" s="30">
        <v>7</v>
      </c>
      <c r="J40" s="30">
        <v>8</v>
      </c>
      <c r="K40" s="30">
        <v>9</v>
      </c>
      <c r="L40" s="30">
        <v>10</v>
      </c>
      <c r="M40" s="30">
        <v>11</v>
      </c>
      <c r="N40" s="30">
        <v>12</v>
      </c>
      <c r="O40" s="30">
        <v>13</v>
      </c>
      <c r="P40" s="30">
        <v>14</v>
      </c>
      <c r="Q40" s="30">
        <v>15</v>
      </c>
      <c r="R40" s="30">
        <v>16</v>
      </c>
      <c r="S40" s="30">
        <v>17</v>
      </c>
      <c r="T40" s="30">
        <v>18</v>
      </c>
      <c r="U40" s="30">
        <v>19</v>
      </c>
      <c r="V40" s="30">
        <v>20</v>
      </c>
      <c r="W40" s="30">
        <v>21</v>
      </c>
      <c r="X40" s="30">
        <v>22</v>
      </c>
      <c r="Y40" s="30">
        <v>23</v>
      </c>
      <c r="Z40" s="30">
        <v>24</v>
      </c>
      <c r="AA40" s="30">
        <v>25</v>
      </c>
      <c r="AB40" s="30">
        <v>26</v>
      </c>
      <c r="AC40" s="30">
        <v>27</v>
      </c>
      <c r="AD40" s="30">
        <v>28</v>
      </c>
      <c r="AE40" s="30">
        <v>29</v>
      </c>
      <c r="AF40" s="30">
        <v>30</v>
      </c>
      <c r="AG40" s="30">
        <v>31</v>
      </c>
      <c r="AH40" s="39" t="s">
        <v>74</v>
      </c>
    </row>
    <row r="41" spans="1:34" ht="15">
      <c r="A41" s="1962" t="s">
        <v>75</v>
      </c>
      <c r="B41" s="1250">
        <f t="shared" ref="B41:B52" si="5">+AH41</f>
        <v>121.47</v>
      </c>
      <c r="C41" s="1287"/>
      <c r="D41" s="1287"/>
      <c r="E41" s="1287"/>
      <c r="F41" s="1287"/>
      <c r="G41" s="1287"/>
      <c r="H41" s="1287"/>
      <c r="I41" s="1287"/>
      <c r="J41" s="1287"/>
      <c r="K41" s="1287"/>
      <c r="L41" s="1287"/>
      <c r="M41" s="1287"/>
      <c r="N41" s="1287"/>
      <c r="O41" s="1287"/>
      <c r="P41" s="1287"/>
      <c r="Q41" s="1815"/>
      <c r="R41" s="1815"/>
      <c r="S41" s="1815"/>
      <c r="T41" s="1815"/>
      <c r="U41" s="1815"/>
      <c r="V41" s="1815"/>
      <c r="W41" s="1815"/>
      <c r="X41" s="1815"/>
      <c r="Y41" s="1815"/>
      <c r="Z41" s="1815"/>
      <c r="AA41" s="1815"/>
      <c r="AB41" s="1815"/>
      <c r="AC41" s="1815"/>
      <c r="AD41" s="1815"/>
      <c r="AE41" s="2930">
        <v>49.14</v>
      </c>
      <c r="AF41" s="2930">
        <v>72.33</v>
      </c>
      <c r="AG41" s="1815"/>
      <c r="AH41" s="53">
        <f>SUM(C41:AG41)</f>
        <v>121.47</v>
      </c>
    </row>
    <row r="42" spans="1:34" ht="15">
      <c r="A42" s="1962" t="s">
        <v>76</v>
      </c>
      <c r="B42" s="1250">
        <f t="shared" si="5"/>
        <v>1261.722</v>
      </c>
      <c r="C42" s="1287"/>
      <c r="D42" s="3327">
        <f>48.62+9.37</f>
        <v>57.989999999999995</v>
      </c>
      <c r="E42" s="1287"/>
      <c r="F42" s="1287"/>
      <c r="G42" s="1287"/>
      <c r="H42" s="3327">
        <v>42.226999999999997</v>
      </c>
      <c r="I42" s="1287"/>
      <c r="J42" s="3327">
        <f>78.17+67.698+72.52</f>
        <v>218.38799999999998</v>
      </c>
      <c r="K42" s="1287"/>
      <c r="L42" s="3327">
        <v>54.79</v>
      </c>
      <c r="M42" s="3327">
        <f>74.2+64.18</f>
        <v>138.38</v>
      </c>
      <c r="N42" s="1287"/>
      <c r="O42" s="1287"/>
      <c r="P42" s="1287"/>
      <c r="Q42" s="3327">
        <f>73.378+70.429</f>
        <v>143.80700000000002</v>
      </c>
      <c r="R42" s="3327">
        <v>43.08</v>
      </c>
      <c r="S42" s="1287"/>
      <c r="T42" s="3327">
        <f>76.78+65.6</f>
        <v>142.38</v>
      </c>
      <c r="U42" s="3327">
        <f>60.58+65.37</f>
        <v>125.95</v>
      </c>
      <c r="V42" s="3327">
        <f>49.4+75.5+78.47</f>
        <v>203.37</v>
      </c>
      <c r="W42" s="3327">
        <v>58.28</v>
      </c>
      <c r="X42" s="3327">
        <v>33.08</v>
      </c>
      <c r="Y42" s="1287"/>
      <c r="Z42" s="1287"/>
      <c r="AA42" s="1287"/>
      <c r="AB42" s="1287"/>
      <c r="AC42" s="1287"/>
      <c r="AD42" s="1287"/>
      <c r="AE42" s="1287"/>
      <c r="AF42" s="1287"/>
      <c r="AG42" s="1287"/>
      <c r="AH42" s="53">
        <f t="shared" ref="AH42:AH52" si="6">SUM(C42:AG42)</f>
        <v>1261.722</v>
      </c>
    </row>
    <row r="43" spans="1:34" ht="15">
      <c r="A43" s="1962" t="s">
        <v>77</v>
      </c>
      <c r="B43" s="1250">
        <f t="shared" si="5"/>
        <v>679.23</v>
      </c>
      <c r="C43" s="3461">
        <v>52.22</v>
      </c>
      <c r="D43" s="18"/>
      <c r="E43" s="18"/>
      <c r="F43" s="3458">
        <v>49.05</v>
      </c>
      <c r="G43" s="18"/>
      <c r="H43" s="3458">
        <f>62.08+62.02+43.427</f>
        <v>167.52699999999999</v>
      </c>
      <c r="I43" s="3458">
        <v>36.61</v>
      </c>
      <c r="J43" s="18"/>
      <c r="K43" s="3458">
        <f>70.373+46.881</f>
        <v>117.254</v>
      </c>
      <c r="L43" s="18"/>
      <c r="M43" s="18"/>
      <c r="N43" s="18"/>
      <c r="O43" s="18"/>
      <c r="P43" s="3458">
        <v>49.7</v>
      </c>
      <c r="Q43" s="3451">
        <v>31.402000000000001</v>
      </c>
      <c r="R43" s="3451">
        <v>48.734999999999999</v>
      </c>
      <c r="S43" s="3246"/>
      <c r="T43" s="3246"/>
      <c r="U43" s="3246"/>
      <c r="V43" s="3451">
        <v>61.97</v>
      </c>
      <c r="W43" s="3451">
        <v>7.45</v>
      </c>
      <c r="X43" s="3451">
        <v>57.311999999999998</v>
      </c>
      <c r="Y43" s="1280"/>
      <c r="Z43" s="1280"/>
      <c r="AA43" s="1280"/>
      <c r="AB43" s="1280"/>
      <c r="AC43" s="1280"/>
      <c r="AD43" s="1280"/>
      <c r="AE43" s="1280"/>
      <c r="AF43" s="1280"/>
      <c r="AG43" s="1280"/>
      <c r="AH43" s="53">
        <f t="shared" si="6"/>
        <v>679.23</v>
      </c>
    </row>
    <row r="44" spans="1:34" ht="15">
      <c r="A44" s="1962" t="s">
        <v>78</v>
      </c>
      <c r="B44" s="1250">
        <f t="shared" si="5"/>
        <v>0</v>
      </c>
      <c r="C44" s="1280"/>
      <c r="D44" s="1280"/>
      <c r="E44" s="1280"/>
      <c r="F44" s="1280"/>
      <c r="G44" s="1280"/>
      <c r="H44" s="1280"/>
      <c r="I44" s="1280"/>
      <c r="J44" s="1280"/>
      <c r="K44" s="1280"/>
      <c r="L44" s="1280"/>
      <c r="M44" s="1280"/>
      <c r="N44" s="1280"/>
      <c r="O44" s="1280"/>
      <c r="P44" s="1280"/>
      <c r="Q44" s="1280"/>
      <c r="R44" s="1280"/>
      <c r="S44" s="1280"/>
      <c r="T44" s="1280"/>
      <c r="U44" s="1280"/>
      <c r="V44" s="1280"/>
      <c r="W44" s="1280"/>
      <c r="X44" s="1280"/>
      <c r="Y44" s="1280"/>
      <c r="Z44" s="1280"/>
      <c r="AA44" s="1280"/>
      <c r="AB44" s="1280"/>
      <c r="AC44" s="1280"/>
      <c r="AD44" s="1280"/>
      <c r="AE44" s="1280"/>
      <c r="AF44" s="1280" t="s">
        <v>112</v>
      </c>
      <c r="AG44" s="1280" t="s">
        <v>112</v>
      </c>
      <c r="AH44" s="53">
        <f t="shared" si="6"/>
        <v>0</v>
      </c>
    </row>
    <row r="45" spans="1:34" ht="15">
      <c r="A45" s="1962" t="s">
        <v>79</v>
      </c>
      <c r="B45" s="1250">
        <f t="shared" si="5"/>
        <v>34.472000000000001</v>
      </c>
      <c r="C45" s="1280" t="s">
        <v>112</v>
      </c>
      <c r="D45" s="1280" t="s">
        <v>112</v>
      </c>
      <c r="E45" s="1280" t="s">
        <v>112</v>
      </c>
      <c r="F45" s="1280" t="s">
        <v>112</v>
      </c>
      <c r="G45" s="1280" t="s">
        <v>112</v>
      </c>
      <c r="H45" s="1280" t="s">
        <v>112</v>
      </c>
      <c r="I45" s="1280" t="s">
        <v>112</v>
      </c>
      <c r="J45" s="1280" t="s">
        <v>112</v>
      </c>
      <c r="K45" s="1280" t="s">
        <v>112</v>
      </c>
      <c r="L45" s="1280" t="s">
        <v>112</v>
      </c>
      <c r="M45" s="1280" t="s">
        <v>112</v>
      </c>
      <c r="N45" s="1280" t="s">
        <v>112</v>
      </c>
      <c r="O45" s="1280" t="s">
        <v>112</v>
      </c>
      <c r="P45" s="1280" t="s">
        <v>112</v>
      </c>
      <c r="Q45" s="1280" t="s">
        <v>112</v>
      </c>
      <c r="R45" s="18"/>
      <c r="S45" s="18"/>
      <c r="T45" s="18"/>
      <c r="U45" s="18"/>
      <c r="V45" s="18">
        <v>34.472000000000001</v>
      </c>
      <c r="W45" s="18"/>
      <c r="X45" s="18"/>
      <c r="Y45" s="18"/>
      <c r="Z45" s="18"/>
      <c r="AA45" s="18"/>
      <c r="AB45" s="18"/>
      <c r="AC45" s="18"/>
      <c r="AD45" s="18"/>
      <c r="AE45" s="18"/>
      <c r="AF45" s="18"/>
      <c r="AG45" s="18"/>
      <c r="AH45" s="53">
        <f t="shared" si="6"/>
        <v>34.472000000000001</v>
      </c>
    </row>
    <row r="46" spans="1:34" ht="15">
      <c r="A46" s="1962" t="s">
        <v>80</v>
      </c>
      <c r="B46" s="1250">
        <f t="shared" si="5"/>
        <v>0</v>
      </c>
      <c r="C46" s="1287"/>
      <c r="D46" s="1287"/>
      <c r="E46" s="1287"/>
      <c r="F46" s="1287"/>
      <c r="G46" s="1287"/>
      <c r="H46" s="1287"/>
      <c r="I46" s="1287"/>
      <c r="J46" s="1287"/>
      <c r="K46" s="1287"/>
      <c r="L46" s="1287"/>
      <c r="M46" s="1287"/>
      <c r="N46" s="1287"/>
      <c r="O46" s="1287"/>
      <c r="P46" s="1287"/>
      <c r="Q46" s="1287"/>
      <c r="R46" s="1287"/>
      <c r="S46" s="1287"/>
      <c r="T46" s="1287"/>
      <c r="U46" s="1287"/>
      <c r="V46" s="1287"/>
      <c r="W46" s="1287"/>
      <c r="X46" s="1287"/>
      <c r="Y46" s="1287"/>
      <c r="Z46" s="1287"/>
      <c r="AA46" s="1287"/>
      <c r="AB46" s="1287"/>
      <c r="AC46" s="1287"/>
      <c r="AD46" s="1287"/>
      <c r="AE46" s="1287"/>
      <c r="AF46" s="1287"/>
      <c r="AG46" s="1287"/>
      <c r="AH46" s="53">
        <f t="shared" si="6"/>
        <v>0</v>
      </c>
    </row>
    <row r="47" spans="1:34" ht="15">
      <c r="A47" s="1249" t="s">
        <v>81</v>
      </c>
      <c r="B47" s="1250">
        <f t="shared" si="5"/>
        <v>0</v>
      </c>
      <c r="C47" s="49"/>
      <c r="D47" s="53"/>
      <c r="E47" s="53"/>
      <c r="F47" s="53"/>
      <c r="G47" s="18"/>
      <c r="H47" s="18"/>
      <c r="I47" s="18"/>
      <c r="J47" s="57"/>
      <c r="K47" s="57"/>
      <c r="L47" s="53"/>
      <c r="M47" s="53"/>
      <c r="N47" s="53"/>
      <c r="O47" s="53"/>
      <c r="P47" s="53"/>
      <c r="Q47" s="1488"/>
      <c r="R47" s="1488"/>
      <c r="S47" s="1488"/>
      <c r="T47" s="1488"/>
      <c r="U47" s="1488"/>
      <c r="V47" s="1488"/>
      <c r="W47" s="1488"/>
      <c r="X47" s="1488"/>
      <c r="Y47" s="1488"/>
      <c r="Z47" s="1488"/>
      <c r="AA47" s="1488"/>
      <c r="AB47" s="1488"/>
      <c r="AC47" s="1488"/>
      <c r="AD47" s="1488"/>
      <c r="AE47" s="1488"/>
      <c r="AF47" s="1488"/>
      <c r="AG47" s="1488"/>
      <c r="AH47" s="53">
        <f t="shared" si="6"/>
        <v>0</v>
      </c>
    </row>
    <row r="48" spans="1:34" ht="15">
      <c r="A48" s="1249" t="s">
        <v>82</v>
      </c>
      <c r="B48" s="1250">
        <f t="shared" si="5"/>
        <v>286.23699999999997</v>
      </c>
      <c r="C48" s="49">
        <f>59.77+48.807</f>
        <v>108.577</v>
      </c>
      <c r="D48" s="18"/>
      <c r="E48" s="18">
        <f>50.76+47.26+79.64</f>
        <v>177.66</v>
      </c>
      <c r="F48" s="18"/>
      <c r="G48" s="18"/>
      <c r="H48" s="18"/>
      <c r="I48" s="18"/>
      <c r="J48" s="57"/>
      <c r="K48" s="57"/>
      <c r="L48" s="53"/>
      <c r="M48" s="53"/>
      <c r="N48" s="53"/>
      <c r="O48" s="53"/>
      <c r="P48" s="53"/>
      <c r="Q48" s="53"/>
      <c r="R48" s="53"/>
      <c r="S48" s="53"/>
      <c r="T48" s="53"/>
      <c r="U48" s="53"/>
      <c r="V48" s="53"/>
      <c r="W48" s="53"/>
      <c r="X48" s="53"/>
      <c r="Y48" s="53"/>
      <c r="Z48" s="53"/>
      <c r="AA48" s="53"/>
      <c r="AB48" s="53"/>
      <c r="AC48" s="53"/>
      <c r="AD48" s="53"/>
      <c r="AE48" s="53"/>
      <c r="AF48" s="53"/>
      <c r="AG48" s="53"/>
      <c r="AH48" s="53">
        <f t="shared" si="6"/>
        <v>286.23699999999997</v>
      </c>
    </row>
    <row r="49" spans="1:34" ht="15">
      <c r="A49" s="1249" t="s">
        <v>83</v>
      </c>
      <c r="B49" s="1250">
        <f t="shared" si="5"/>
        <v>42.464999999999996</v>
      </c>
      <c r="C49" s="45"/>
      <c r="D49" s="45"/>
      <c r="E49" s="45"/>
      <c r="F49" s="45"/>
      <c r="G49" s="45"/>
      <c r="H49" s="45"/>
      <c r="I49" s="45"/>
      <c r="J49" s="45"/>
      <c r="K49" s="45"/>
      <c r="L49" s="45"/>
      <c r="M49" s="45">
        <v>12.084</v>
      </c>
      <c r="N49" s="45"/>
      <c r="O49" s="45">
        <v>20.295999999999999</v>
      </c>
      <c r="P49" s="45">
        <v>9.4849999999999994</v>
      </c>
      <c r="Q49" s="134" t="s">
        <v>401</v>
      </c>
      <c r="R49" s="3324">
        <v>0.6</v>
      </c>
      <c r="S49" s="134" t="s">
        <v>401</v>
      </c>
      <c r="T49" s="134" t="s">
        <v>401</v>
      </c>
      <c r="U49" s="134" t="s">
        <v>401</v>
      </c>
      <c r="V49" s="134" t="s">
        <v>401</v>
      </c>
      <c r="W49" s="134" t="s">
        <v>401</v>
      </c>
      <c r="X49" s="134" t="s">
        <v>401</v>
      </c>
      <c r="Y49" s="134" t="s">
        <v>401</v>
      </c>
      <c r="Z49" s="134" t="s">
        <v>401</v>
      </c>
      <c r="AA49" s="134" t="s">
        <v>401</v>
      </c>
      <c r="AB49" s="134" t="s">
        <v>401</v>
      </c>
      <c r="AC49" s="134" t="s">
        <v>401</v>
      </c>
      <c r="AD49" s="134" t="s">
        <v>401</v>
      </c>
      <c r="AE49" s="134" t="s">
        <v>401</v>
      </c>
      <c r="AF49" s="134" t="s">
        <v>401</v>
      </c>
      <c r="AG49" s="134" t="s">
        <v>401</v>
      </c>
      <c r="AH49" s="53">
        <f t="shared" si="6"/>
        <v>42.464999999999996</v>
      </c>
    </row>
    <row r="50" spans="1:34" ht="15">
      <c r="A50" s="1249" t="s">
        <v>84</v>
      </c>
      <c r="B50" s="28">
        <f t="shared" si="5"/>
        <v>0</v>
      </c>
      <c r="C50" s="134" t="s">
        <v>112</v>
      </c>
      <c r="D50" s="1961" t="s">
        <v>112</v>
      </c>
      <c r="E50" s="134" t="s">
        <v>112</v>
      </c>
      <c r="F50" s="134" t="s">
        <v>112</v>
      </c>
      <c r="G50" s="134" t="s">
        <v>112</v>
      </c>
      <c r="H50" s="134" t="s">
        <v>112</v>
      </c>
      <c r="I50" s="134" t="s">
        <v>112</v>
      </c>
      <c r="J50" s="134" t="s">
        <v>112</v>
      </c>
      <c r="K50" s="134" t="s">
        <v>112</v>
      </c>
      <c r="L50" s="134" t="s">
        <v>112</v>
      </c>
      <c r="M50" s="134" t="s">
        <v>112</v>
      </c>
      <c r="N50" s="134" t="s">
        <v>112</v>
      </c>
      <c r="O50" s="134" t="s">
        <v>112</v>
      </c>
      <c r="P50" s="134" t="s">
        <v>112</v>
      </c>
      <c r="Q50" s="134" t="s">
        <v>112</v>
      </c>
      <c r="R50" s="134" t="s">
        <v>112</v>
      </c>
      <c r="S50" s="134" t="s">
        <v>112</v>
      </c>
      <c r="T50" s="134" t="s">
        <v>112</v>
      </c>
      <c r="U50" s="134" t="s">
        <v>112</v>
      </c>
      <c r="V50" s="134" t="s">
        <v>112</v>
      </c>
      <c r="W50" s="134" t="s">
        <v>112</v>
      </c>
      <c r="X50" s="134" t="s">
        <v>112</v>
      </c>
      <c r="Y50" s="134" t="s">
        <v>112</v>
      </c>
      <c r="Z50" s="134" t="s">
        <v>112</v>
      </c>
      <c r="AA50" s="134" t="s">
        <v>112</v>
      </c>
      <c r="AB50" s="134" t="s">
        <v>112</v>
      </c>
      <c r="AC50" s="134" t="s">
        <v>112</v>
      </c>
      <c r="AD50" s="134" t="s">
        <v>112</v>
      </c>
      <c r="AE50" s="134" t="s">
        <v>112</v>
      </c>
      <c r="AF50" s="134" t="s">
        <v>112</v>
      </c>
      <c r="AG50" s="134" t="s">
        <v>112</v>
      </c>
      <c r="AH50" s="53">
        <f t="shared" si="6"/>
        <v>0</v>
      </c>
    </row>
    <row r="51" spans="1:34" ht="15">
      <c r="A51" s="1249" t="s">
        <v>85</v>
      </c>
      <c r="B51" s="28">
        <f t="shared" si="5"/>
        <v>60.909000000000006</v>
      </c>
      <c r="C51" s="134" t="s">
        <v>112</v>
      </c>
      <c r="D51" s="1961" t="s">
        <v>112</v>
      </c>
      <c r="E51" s="134" t="s">
        <v>112</v>
      </c>
      <c r="F51" s="134" t="s">
        <v>112</v>
      </c>
      <c r="G51" s="134" t="s">
        <v>112</v>
      </c>
      <c r="H51" s="134" t="s">
        <v>112</v>
      </c>
      <c r="I51" s="134" t="s">
        <v>112</v>
      </c>
      <c r="J51" s="134" t="s">
        <v>112</v>
      </c>
      <c r="K51" s="134" t="s">
        <v>112</v>
      </c>
      <c r="L51" s="134" t="s">
        <v>112</v>
      </c>
      <c r="M51" s="134" t="s">
        <v>112</v>
      </c>
      <c r="N51" s="134" t="s">
        <v>112</v>
      </c>
      <c r="O51" s="134" t="s">
        <v>112</v>
      </c>
      <c r="P51" s="134" t="s">
        <v>112</v>
      </c>
      <c r="Q51" s="134" t="s">
        <v>112</v>
      </c>
      <c r="R51" s="48"/>
      <c r="S51" s="48"/>
      <c r="T51" s="48"/>
      <c r="U51" s="48"/>
      <c r="V51" s="48"/>
      <c r="W51" s="48"/>
      <c r="X51" s="48"/>
      <c r="Y51" s="48"/>
      <c r="Z51" s="48"/>
      <c r="AA51" s="48"/>
      <c r="AB51" s="48"/>
      <c r="AC51" s="48"/>
      <c r="AD51" s="48">
        <f>21.762+22.635+16.512</f>
        <v>60.909000000000006</v>
      </c>
      <c r="AE51" s="48"/>
      <c r="AF51" s="48"/>
      <c r="AG51" s="45"/>
      <c r="AH51" s="53">
        <f t="shared" si="6"/>
        <v>60.909000000000006</v>
      </c>
    </row>
    <row r="52" spans="1:34" ht="15">
      <c r="A52" s="1249" t="s">
        <v>86</v>
      </c>
      <c r="B52" s="28">
        <f t="shared" si="5"/>
        <v>244.77100000000002</v>
      </c>
      <c r="C52" s="49"/>
      <c r="D52" s="18"/>
      <c r="E52" s="18">
        <v>157.07900000000001</v>
      </c>
      <c r="F52" s="18"/>
      <c r="G52" s="18">
        <f>30.586+37.962+19.144</f>
        <v>87.692000000000007</v>
      </c>
      <c r="H52" s="18"/>
      <c r="I52" s="18"/>
      <c r="J52" s="18"/>
      <c r="K52" s="18"/>
      <c r="L52" s="18"/>
      <c r="M52" s="18"/>
      <c r="N52" s="18"/>
      <c r="O52" s="18"/>
      <c r="P52" s="18"/>
      <c r="Q52" s="18"/>
      <c r="R52" s="18"/>
      <c r="S52" s="18"/>
      <c r="T52" s="18"/>
      <c r="U52" s="18"/>
      <c r="V52" s="18"/>
      <c r="W52" s="18"/>
      <c r="X52" s="18"/>
      <c r="Y52" s="18"/>
      <c r="Z52" s="18"/>
      <c r="AA52" s="18"/>
      <c r="AB52" s="18"/>
      <c r="AC52" s="18"/>
      <c r="AD52" s="18"/>
      <c r="AE52" s="53"/>
      <c r="AF52" s="18"/>
      <c r="AG52" s="53"/>
      <c r="AH52" s="53">
        <f t="shared" si="6"/>
        <v>244.77100000000002</v>
      </c>
    </row>
    <row r="53" spans="1:34" ht="15">
      <c r="A53" s="88" t="s">
        <v>74</v>
      </c>
      <c r="B53" s="90">
        <f>SUM(B41:B52)</f>
        <v>2731.2760000000007</v>
      </c>
      <c r="C53" s="46">
        <f>SUM(C41:C51)</f>
        <v>160.797</v>
      </c>
      <c r="D53" s="53">
        <f>SUM(D41:D51)</f>
        <v>57.989999999999995</v>
      </c>
      <c r="E53" s="53">
        <v>0</v>
      </c>
      <c r="F53" s="53">
        <f t="shared" ref="F53:AC53" si="7">SUM(F41:F51)</f>
        <v>49.05</v>
      </c>
      <c r="G53" s="53">
        <f t="shared" si="7"/>
        <v>0</v>
      </c>
      <c r="H53" s="53">
        <f t="shared" si="7"/>
        <v>209.75399999999999</v>
      </c>
      <c r="I53" s="53">
        <f t="shared" si="7"/>
        <v>36.61</v>
      </c>
      <c r="J53" s="53">
        <f t="shared" si="7"/>
        <v>218.38799999999998</v>
      </c>
      <c r="K53" s="53">
        <f t="shared" si="7"/>
        <v>117.254</v>
      </c>
      <c r="L53" s="53">
        <f t="shared" si="7"/>
        <v>54.79</v>
      </c>
      <c r="M53" s="53">
        <f t="shared" si="7"/>
        <v>150.464</v>
      </c>
      <c r="N53" s="53">
        <f t="shared" si="7"/>
        <v>0</v>
      </c>
      <c r="O53" s="53">
        <f t="shared" si="7"/>
        <v>20.295999999999999</v>
      </c>
      <c r="P53" s="53">
        <f t="shared" si="7"/>
        <v>59.185000000000002</v>
      </c>
      <c r="Q53" s="53">
        <f t="shared" si="7"/>
        <v>175.209</v>
      </c>
      <c r="R53" s="53">
        <f t="shared" si="7"/>
        <v>92.414999999999992</v>
      </c>
      <c r="S53" s="53">
        <f t="shared" si="7"/>
        <v>0</v>
      </c>
      <c r="T53" s="53">
        <f t="shared" si="7"/>
        <v>142.38</v>
      </c>
      <c r="U53" s="53">
        <f t="shared" si="7"/>
        <v>125.95</v>
      </c>
      <c r="V53" s="53">
        <f t="shared" si="7"/>
        <v>299.81200000000001</v>
      </c>
      <c r="W53" s="53">
        <f t="shared" si="7"/>
        <v>65.73</v>
      </c>
      <c r="X53" s="53">
        <f t="shared" si="7"/>
        <v>90.391999999999996</v>
      </c>
      <c r="Y53" s="53">
        <f t="shared" si="7"/>
        <v>0</v>
      </c>
      <c r="Z53" s="53">
        <f t="shared" si="7"/>
        <v>0</v>
      </c>
      <c r="AA53" s="53">
        <f t="shared" si="7"/>
        <v>0</v>
      </c>
      <c r="AB53" s="53">
        <f t="shared" si="7"/>
        <v>0</v>
      </c>
      <c r="AC53" s="53">
        <f t="shared" si="7"/>
        <v>0</v>
      </c>
      <c r="AD53" s="53">
        <v>0</v>
      </c>
      <c r="AE53" s="53">
        <f>SUM(AE41:AE51)</f>
        <v>49.14</v>
      </c>
      <c r="AF53" s="53">
        <f>SUM(AF41:AF51)</f>
        <v>72.33</v>
      </c>
      <c r="AG53" s="53">
        <f>SUM(AG41:AG51)</f>
        <v>0</v>
      </c>
      <c r="AH53" s="46">
        <f>SUM(AH41:AH52)</f>
        <v>2731.2760000000007</v>
      </c>
    </row>
    <row r="54" spans="1:34" ht="15">
      <c r="A54" s="14"/>
      <c r="B54" s="70"/>
      <c r="C54" s="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row>
    <row r="55" spans="1:34" ht="15">
      <c r="A55" s="3585" t="s">
        <v>603</v>
      </c>
      <c r="B55" s="3586"/>
      <c r="C55" s="3586"/>
      <c r="D55" s="3586"/>
      <c r="E55" s="3586"/>
      <c r="F55" s="3586"/>
      <c r="G55" s="3586"/>
      <c r="H55" s="3587"/>
      <c r="I55" s="82"/>
      <c r="J55" s="82"/>
      <c r="K55" s="82"/>
      <c r="L55" s="82"/>
      <c r="M55" s="82"/>
      <c r="N55" s="82"/>
      <c r="O55" s="82"/>
      <c r="P55" s="82"/>
      <c r="Q55" s="82"/>
      <c r="R55" s="82"/>
      <c r="S55" s="82"/>
      <c r="T55" s="82"/>
      <c r="U55" s="82"/>
      <c r="V55" s="82"/>
      <c r="W55" s="82"/>
      <c r="X55" s="82"/>
      <c r="Y55" s="82"/>
      <c r="Z55" s="82"/>
      <c r="AA55" s="82"/>
      <c r="AB55" s="82"/>
      <c r="AC55" s="82"/>
      <c r="AD55" s="82"/>
      <c r="AE55" s="82"/>
      <c r="AF55" s="82"/>
      <c r="AG55" s="82"/>
      <c r="AH55" s="82"/>
    </row>
    <row r="56" spans="1:34" ht="15">
      <c r="A56" s="5" t="s">
        <v>91</v>
      </c>
      <c r="B56" s="71" t="s">
        <v>73</v>
      </c>
      <c r="C56" s="1249">
        <v>1</v>
      </c>
      <c r="D56" s="30">
        <v>2</v>
      </c>
      <c r="E56" s="30">
        <v>3</v>
      </c>
      <c r="F56" s="30">
        <v>4</v>
      </c>
      <c r="G56" s="30">
        <v>5</v>
      </c>
      <c r="H56" s="30">
        <v>6</v>
      </c>
      <c r="I56" s="30">
        <v>7</v>
      </c>
      <c r="J56" s="30">
        <v>8</v>
      </c>
      <c r="K56" s="30">
        <v>9</v>
      </c>
      <c r="L56" s="30">
        <v>10</v>
      </c>
      <c r="M56" s="30">
        <v>11</v>
      </c>
      <c r="N56" s="30">
        <v>12</v>
      </c>
      <c r="O56" s="30">
        <v>13</v>
      </c>
      <c r="P56" s="30">
        <v>14</v>
      </c>
      <c r="Q56" s="30">
        <v>15</v>
      </c>
      <c r="R56" s="30">
        <v>16</v>
      </c>
      <c r="S56" s="30">
        <v>17</v>
      </c>
      <c r="T56" s="30">
        <v>18</v>
      </c>
      <c r="U56" s="30">
        <v>19</v>
      </c>
      <c r="V56" s="30">
        <v>20</v>
      </c>
      <c r="W56" s="30">
        <v>21</v>
      </c>
      <c r="X56" s="30">
        <v>22</v>
      </c>
      <c r="Y56" s="30">
        <v>23</v>
      </c>
      <c r="Z56" s="30">
        <v>24</v>
      </c>
      <c r="AA56" s="30">
        <v>25</v>
      </c>
      <c r="AB56" s="30">
        <v>26</v>
      </c>
      <c r="AC56" s="30">
        <v>27</v>
      </c>
      <c r="AD56" s="30">
        <v>28</v>
      </c>
      <c r="AE56" s="30">
        <v>29</v>
      </c>
      <c r="AF56" s="30">
        <v>30</v>
      </c>
      <c r="AG56" s="30">
        <v>31</v>
      </c>
      <c r="AH56" s="39" t="s">
        <v>74</v>
      </c>
    </row>
    <row r="57" spans="1:34" ht="15">
      <c r="A57" s="1962" t="s">
        <v>75</v>
      </c>
      <c r="B57" s="1286">
        <f t="shared" ref="B57:B68" si="8">+AH57</f>
        <v>68.099999999999994</v>
      </c>
      <c r="C57" s="124"/>
      <c r="D57" s="124"/>
      <c r="E57" s="124"/>
      <c r="F57" s="124"/>
      <c r="G57" s="124"/>
      <c r="H57" s="124"/>
      <c r="I57" s="124"/>
      <c r="J57" s="124"/>
      <c r="K57" s="124"/>
      <c r="L57" s="124"/>
      <c r="M57" s="124"/>
      <c r="N57" s="124"/>
      <c r="O57" s="124"/>
      <c r="P57" s="124"/>
      <c r="Q57" s="124"/>
      <c r="R57" s="124"/>
      <c r="S57" s="124"/>
      <c r="T57" s="124"/>
      <c r="U57" s="124"/>
      <c r="V57" s="124"/>
      <c r="W57" s="124"/>
      <c r="X57" s="124"/>
      <c r="Y57" s="124"/>
      <c r="Z57" s="124"/>
      <c r="AA57" s="124"/>
      <c r="AB57" s="124"/>
      <c r="AC57" s="124"/>
      <c r="AD57" s="124"/>
      <c r="AE57" s="124"/>
      <c r="AF57" s="124"/>
      <c r="AG57" s="124">
        <v>68.099999999999994</v>
      </c>
      <c r="AH57" s="118">
        <f>SUM(C57:AG57)</f>
        <v>68.099999999999994</v>
      </c>
    </row>
    <row r="58" spans="1:34" ht="15">
      <c r="A58" s="1962" t="s">
        <v>76</v>
      </c>
      <c r="B58" s="1286">
        <f t="shared" si="8"/>
        <v>2266.46</v>
      </c>
      <c r="C58" s="1815">
        <v>37.799999999999997</v>
      </c>
      <c r="D58" s="1815"/>
      <c r="E58" s="1815"/>
      <c r="F58" s="1815"/>
      <c r="G58" s="1815">
        <v>49.186</v>
      </c>
      <c r="H58" s="1815"/>
      <c r="I58" s="1815">
        <v>157.76</v>
      </c>
      <c r="J58" s="1815">
        <v>195.59899999999999</v>
      </c>
      <c r="K58" s="1815">
        <v>181.21199999999999</v>
      </c>
      <c r="L58" s="1815"/>
      <c r="M58" s="1815">
        <v>40.055999999999997</v>
      </c>
      <c r="N58" s="1815">
        <v>173.73</v>
      </c>
      <c r="O58" s="1815">
        <v>138.31399999999999</v>
      </c>
      <c r="P58" s="1815">
        <v>64.369</v>
      </c>
      <c r="Q58" s="1815">
        <v>249.815</v>
      </c>
      <c r="R58" s="1815">
        <v>69.528999999999996</v>
      </c>
      <c r="S58" s="1815"/>
      <c r="T58" s="1815">
        <v>340.41699999999997</v>
      </c>
      <c r="U58" s="1815"/>
      <c r="V58" s="1815">
        <v>157.99</v>
      </c>
      <c r="W58" s="1815">
        <v>23.53</v>
      </c>
      <c r="X58" s="1815">
        <v>287.447</v>
      </c>
      <c r="Y58" s="1815"/>
      <c r="Z58" s="1815"/>
      <c r="AA58" s="1815">
        <v>59.5</v>
      </c>
      <c r="AB58" s="67"/>
      <c r="AC58" s="67"/>
      <c r="AD58" s="67">
        <v>40.206000000000003</v>
      </c>
      <c r="AE58" s="67"/>
      <c r="AF58" s="67"/>
      <c r="AG58" s="67"/>
      <c r="AH58" s="53">
        <f>SUM(C58:AG58)</f>
        <v>2266.46</v>
      </c>
    </row>
    <row r="59" spans="1:34" ht="15">
      <c r="A59" s="1962" t="s">
        <v>77</v>
      </c>
      <c r="B59" s="1286">
        <f t="shared" si="8"/>
        <v>1393.066</v>
      </c>
      <c r="C59" s="3461">
        <v>73.7</v>
      </c>
      <c r="D59" s="18"/>
      <c r="E59" s="18"/>
      <c r="F59" s="3458">
        <v>159.94</v>
      </c>
      <c r="G59" s="3458">
        <v>33.770000000000003</v>
      </c>
      <c r="H59" s="3458">
        <v>113.328</v>
      </c>
      <c r="I59" s="3458">
        <v>38.94</v>
      </c>
      <c r="J59" s="3458">
        <v>31.95</v>
      </c>
      <c r="K59" s="18"/>
      <c r="L59" s="18"/>
      <c r="M59" s="3458">
        <v>52.725000000000001</v>
      </c>
      <c r="N59" s="3458">
        <v>53.7</v>
      </c>
      <c r="O59" s="3458">
        <v>208.94399999999999</v>
      </c>
      <c r="P59" s="3458">
        <v>209.97300000000001</v>
      </c>
      <c r="Q59" s="3451">
        <v>41.750999999999998</v>
      </c>
      <c r="R59" s="3451">
        <v>76.527000000000001</v>
      </c>
      <c r="S59" s="1280"/>
      <c r="T59" s="1280"/>
      <c r="U59" s="1280"/>
      <c r="V59" s="3451">
        <f>53.035+40.454+39.253</f>
        <v>132.74200000000002</v>
      </c>
      <c r="W59" s="1280"/>
      <c r="X59" s="3451">
        <v>43.53</v>
      </c>
      <c r="Y59" s="1280">
        <v>23.631</v>
      </c>
      <c r="Z59" s="1280"/>
      <c r="AA59" s="3451">
        <v>60.25</v>
      </c>
      <c r="AB59" s="1280"/>
      <c r="AC59" s="1280"/>
      <c r="AD59" s="3451">
        <v>37.664999999999999</v>
      </c>
      <c r="AE59" s="1280"/>
      <c r="AF59" s="1280"/>
      <c r="AG59" s="1280"/>
      <c r="AH59" s="118">
        <f>SUM(C59:AG59)</f>
        <v>1393.066</v>
      </c>
    </row>
    <row r="60" spans="1:34" ht="15">
      <c r="A60" s="1962" t="s">
        <v>78</v>
      </c>
      <c r="B60" s="1286">
        <f t="shared" si="8"/>
        <v>0</v>
      </c>
      <c r="C60" s="1280"/>
      <c r="D60" s="1280"/>
      <c r="E60" s="1280"/>
      <c r="F60" s="1280"/>
      <c r="G60" s="1280"/>
      <c r="H60" s="1280"/>
      <c r="I60" s="1280"/>
      <c r="J60" s="1280"/>
      <c r="K60" s="1280"/>
      <c r="L60" s="1280"/>
      <c r="M60" s="1280"/>
      <c r="N60" s="1280"/>
      <c r="O60" s="1280"/>
      <c r="P60" s="1280"/>
      <c r="Q60" s="1280"/>
      <c r="R60" s="1280"/>
      <c r="S60" s="1280"/>
      <c r="T60" s="1280"/>
      <c r="U60" s="1280"/>
      <c r="V60" s="1280"/>
      <c r="W60" s="1280"/>
      <c r="X60" s="1280"/>
      <c r="Y60" s="1280"/>
      <c r="Z60" s="1280"/>
      <c r="AA60" s="1280"/>
      <c r="AB60" s="1280"/>
      <c r="AC60" s="1280"/>
      <c r="AD60" s="1280"/>
      <c r="AE60" s="1280"/>
      <c r="AF60" s="1280" t="s">
        <v>112</v>
      </c>
      <c r="AG60" s="1280" t="s">
        <v>112</v>
      </c>
      <c r="AH60" s="53">
        <f t="shared" ref="AH60:AH68" si="9">SUM(C60:AG60)</f>
        <v>0</v>
      </c>
    </row>
    <row r="61" spans="1:34" ht="15">
      <c r="A61" s="1962" t="s">
        <v>79</v>
      </c>
      <c r="B61" s="1286">
        <f t="shared" si="8"/>
        <v>0</v>
      </c>
      <c r="C61" s="1280" t="s">
        <v>112</v>
      </c>
      <c r="D61" s="1280" t="s">
        <v>112</v>
      </c>
      <c r="E61" s="1280" t="s">
        <v>112</v>
      </c>
      <c r="F61" s="1280" t="s">
        <v>112</v>
      </c>
      <c r="G61" s="1280" t="s">
        <v>112</v>
      </c>
      <c r="H61" s="1280" t="s">
        <v>112</v>
      </c>
      <c r="I61" s="1280" t="s">
        <v>112</v>
      </c>
      <c r="J61" s="1280" t="s">
        <v>112</v>
      </c>
      <c r="K61" s="1280" t="s">
        <v>112</v>
      </c>
      <c r="L61" s="1280" t="s">
        <v>112</v>
      </c>
      <c r="M61" s="1280" t="s">
        <v>112</v>
      </c>
      <c r="N61" s="1280" t="s">
        <v>112</v>
      </c>
      <c r="O61" s="1280" t="s">
        <v>112</v>
      </c>
      <c r="P61" s="1280" t="s">
        <v>112</v>
      </c>
      <c r="Q61" s="1280" t="s">
        <v>112</v>
      </c>
      <c r="R61" s="18"/>
      <c r="S61" s="18"/>
      <c r="T61" s="18"/>
      <c r="U61" s="18"/>
      <c r="V61" s="18"/>
      <c r="W61" s="18"/>
      <c r="X61" s="18"/>
      <c r="Y61" s="18"/>
      <c r="Z61" s="18"/>
      <c r="AA61" s="18"/>
      <c r="AB61" s="18"/>
      <c r="AC61" s="18"/>
      <c r="AD61" s="18"/>
      <c r="AE61" s="18"/>
      <c r="AF61" s="18"/>
      <c r="AG61" s="18"/>
      <c r="AH61" s="53">
        <f t="shared" si="9"/>
        <v>0</v>
      </c>
    </row>
    <row r="62" spans="1:34" ht="15">
      <c r="A62" s="1962" t="s">
        <v>80</v>
      </c>
      <c r="B62" s="1286">
        <f t="shared" si="8"/>
        <v>0</v>
      </c>
      <c r="C62" s="209"/>
      <c r="D62" s="67"/>
      <c r="E62" s="67"/>
      <c r="F62" s="67"/>
      <c r="G62" s="67"/>
      <c r="H62" s="67"/>
      <c r="I62" s="67"/>
      <c r="J62" s="67"/>
      <c r="K62" s="67"/>
      <c r="L62" s="67"/>
      <c r="M62" s="67"/>
      <c r="N62" s="1815"/>
      <c r="O62" s="1815"/>
      <c r="P62" s="1815"/>
      <c r="Q62" s="1815"/>
      <c r="R62" s="1815"/>
      <c r="S62" s="1815"/>
      <c r="T62" s="1815"/>
      <c r="U62" s="1815"/>
      <c r="V62" s="1815"/>
      <c r="W62" s="1815"/>
      <c r="X62" s="1815"/>
      <c r="Y62" s="1815"/>
      <c r="Z62" s="1815"/>
      <c r="AA62" s="1815"/>
      <c r="AB62" s="1815"/>
      <c r="AC62" s="1815"/>
      <c r="AD62" s="1815"/>
      <c r="AE62" s="1815"/>
      <c r="AF62" s="1815"/>
      <c r="AG62" s="1815"/>
      <c r="AH62" s="53">
        <f t="shared" si="9"/>
        <v>0</v>
      </c>
    </row>
    <row r="63" spans="1:34" ht="15">
      <c r="A63" s="1249" t="s">
        <v>81</v>
      </c>
      <c r="B63" s="1286">
        <f t="shared" si="8"/>
        <v>0</v>
      </c>
      <c r="C63" s="209"/>
      <c r="D63" s="67"/>
      <c r="E63" s="67"/>
      <c r="F63" s="67"/>
      <c r="G63" s="67"/>
      <c r="H63" s="67"/>
      <c r="I63" s="67"/>
      <c r="J63" s="209"/>
      <c r="K63" s="209"/>
      <c r="L63" s="67"/>
      <c r="M63" s="67"/>
      <c r="N63" s="1815"/>
      <c r="O63" s="1815"/>
      <c r="P63" s="1815"/>
      <c r="Q63" s="1815"/>
      <c r="R63" s="1815"/>
      <c r="S63" s="1815"/>
      <c r="T63" s="1815"/>
      <c r="U63" s="1815"/>
      <c r="V63" s="1815"/>
      <c r="W63" s="1815"/>
      <c r="X63" s="1815"/>
      <c r="Y63" s="1815"/>
      <c r="Z63" s="1815"/>
      <c r="AA63" s="1815"/>
      <c r="AB63" s="1815"/>
      <c r="AC63" s="1815"/>
      <c r="AD63" s="1815"/>
      <c r="AE63" s="1815"/>
      <c r="AF63" s="1815"/>
      <c r="AG63" s="1815"/>
      <c r="AH63" s="53">
        <f t="shared" si="9"/>
        <v>0</v>
      </c>
    </row>
    <row r="64" spans="1:34" ht="15">
      <c r="A64" s="1249" t="s">
        <v>82</v>
      </c>
      <c r="B64" s="3462">
        <f t="shared" si="8"/>
        <v>176.85400000000001</v>
      </c>
      <c r="C64" s="49"/>
      <c r="D64" s="18"/>
      <c r="E64" s="18"/>
      <c r="F64" s="18"/>
      <c r="G64" s="18"/>
      <c r="H64" s="18"/>
      <c r="I64" s="18">
        <v>49.26</v>
      </c>
      <c r="J64" s="49"/>
      <c r="K64" s="49"/>
      <c r="L64" s="18"/>
      <c r="M64" s="18"/>
      <c r="N64" s="18">
        <f>65.35+36.99</f>
        <v>102.34</v>
      </c>
      <c r="O64" s="18"/>
      <c r="P64" s="18">
        <f>6.184+11.21</f>
        <v>17.394000000000002</v>
      </c>
      <c r="Q64" s="18"/>
      <c r="R64" s="18"/>
      <c r="S64" s="18">
        <v>7.86</v>
      </c>
      <c r="T64" s="18"/>
      <c r="U64" s="18"/>
      <c r="V64" s="18"/>
      <c r="W64" s="18"/>
      <c r="X64" s="18"/>
      <c r="Y64" s="18"/>
      <c r="Z64" s="18"/>
      <c r="AA64" s="18"/>
      <c r="AB64" s="18"/>
      <c r="AC64" s="18"/>
      <c r="AD64" s="18"/>
      <c r="AE64" s="18"/>
      <c r="AF64" s="18"/>
      <c r="AG64" s="18"/>
      <c r="AH64" s="53">
        <f t="shared" si="9"/>
        <v>176.85400000000001</v>
      </c>
    </row>
    <row r="65" spans="1:34" ht="15">
      <c r="A65" s="1249" t="s">
        <v>83</v>
      </c>
      <c r="B65" s="3462">
        <f t="shared" si="8"/>
        <v>160.37899999999999</v>
      </c>
      <c r="C65" s="45"/>
      <c r="D65" s="45"/>
      <c r="E65" s="45">
        <v>50.009</v>
      </c>
      <c r="F65" s="45"/>
      <c r="G65" s="45"/>
      <c r="H65" s="45">
        <f>57.08+11.14</f>
        <v>68.22</v>
      </c>
      <c r="I65" s="45"/>
      <c r="J65" s="45"/>
      <c r="K65" s="45"/>
      <c r="L65" s="45"/>
      <c r="M65" s="45"/>
      <c r="N65" s="45">
        <v>2.5</v>
      </c>
      <c r="O65" s="45">
        <v>39.65</v>
      </c>
      <c r="P65" s="45"/>
      <c r="Q65" s="134" t="s">
        <v>401</v>
      </c>
      <c r="R65" s="134" t="s">
        <v>401</v>
      </c>
      <c r="S65" s="134" t="s">
        <v>401</v>
      </c>
      <c r="T65" s="134" t="s">
        <v>401</v>
      </c>
      <c r="U65" s="134" t="s">
        <v>401</v>
      </c>
      <c r="V65" s="134" t="s">
        <v>401</v>
      </c>
      <c r="W65" s="134" t="s">
        <v>401</v>
      </c>
      <c r="X65" s="134" t="s">
        <v>401</v>
      </c>
      <c r="Y65" s="134" t="s">
        <v>401</v>
      </c>
      <c r="Z65" s="134" t="s">
        <v>401</v>
      </c>
      <c r="AA65" s="134" t="s">
        <v>401</v>
      </c>
      <c r="AB65" s="134" t="s">
        <v>401</v>
      </c>
      <c r="AC65" s="134" t="s">
        <v>401</v>
      </c>
      <c r="AD65" s="134" t="s">
        <v>401</v>
      </c>
      <c r="AE65" s="134" t="s">
        <v>401</v>
      </c>
      <c r="AF65" s="134" t="s">
        <v>401</v>
      </c>
      <c r="AG65" s="134" t="s">
        <v>401</v>
      </c>
      <c r="AH65" s="53">
        <f t="shared" si="9"/>
        <v>160.37899999999999</v>
      </c>
    </row>
    <row r="66" spans="1:34" ht="15">
      <c r="A66" s="1249" t="s">
        <v>84</v>
      </c>
      <c r="B66" s="3462">
        <f t="shared" si="8"/>
        <v>0</v>
      </c>
      <c r="C66" s="134" t="s">
        <v>112</v>
      </c>
      <c r="D66" s="1961" t="s">
        <v>112</v>
      </c>
      <c r="E66" s="134" t="s">
        <v>112</v>
      </c>
      <c r="F66" s="134" t="s">
        <v>112</v>
      </c>
      <c r="G66" s="134" t="s">
        <v>112</v>
      </c>
      <c r="H66" s="134" t="s">
        <v>112</v>
      </c>
      <c r="I66" s="134" t="s">
        <v>112</v>
      </c>
      <c r="J66" s="134" t="s">
        <v>112</v>
      </c>
      <c r="K66" s="134" t="s">
        <v>112</v>
      </c>
      <c r="L66" s="134" t="s">
        <v>112</v>
      </c>
      <c r="M66" s="134" t="s">
        <v>112</v>
      </c>
      <c r="N66" s="134" t="s">
        <v>112</v>
      </c>
      <c r="O66" s="134" t="s">
        <v>112</v>
      </c>
      <c r="P66" s="134" t="s">
        <v>112</v>
      </c>
      <c r="Q66" s="134" t="s">
        <v>112</v>
      </c>
      <c r="R66" s="134" t="s">
        <v>112</v>
      </c>
      <c r="S66" s="134" t="s">
        <v>112</v>
      </c>
      <c r="T66" s="134" t="s">
        <v>112</v>
      </c>
      <c r="U66" s="134" t="s">
        <v>112</v>
      </c>
      <c r="V66" s="134" t="s">
        <v>112</v>
      </c>
      <c r="W66" s="134" t="s">
        <v>112</v>
      </c>
      <c r="X66" s="134" t="s">
        <v>112</v>
      </c>
      <c r="Y66" s="134" t="s">
        <v>112</v>
      </c>
      <c r="Z66" s="134" t="s">
        <v>112</v>
      </c>
      <c r="AA66" s="134" t="s">
        <v>112</v>
      </c>
      <c r="AB66" s="134" t="s">
        <v>112</v>
      </c>
      <c r="AC66" s="134" t="s">
        <v>112</v>
      </c>
      <c r="AD66" s="134" t="s">
        <v>112</v>
      </c>
      <c r="AE66" s="134" t="s">
        <v>112</v>
      </c>
      <c r="AF66" s="134" t="s">
        <v>112</v>
      </c>
      <c r="AG66" s="134" t="s">
        <v>112</v>
      </c>
      <c r="AH66" s="53">
        <f t="shared" si="9"/>
        <v>0</v>
      </c>
    </row>
    <row r="67" spans="1:34" ht="15">
      <c r="A67" s="1249" t="s">
        <v>85</v>
      </c>
      <c r="B67" s="3462">
        <f t="shared" si="8"/>
        <v>424.28300000000002</v>
      </c>
      <c r="C67" s="134" t="s">
        <v>112</v>
      </c>
      <c r="D67" s="1961" t="s">
        <v>112</v>
      </c>
      <c r="E67" s="134" t="s">
        <v>112</v>
      </c>
      <c r="F67" s="134" t="s">
        <v>112</v>
      </c>
      <c r="G67" s="134" t="s">
        <v>112</v>
      </c>
      <c r="H67" s="134" t="s">
        <v>112</v>
      </c>
      <c r="I67" s="134" t="s">
        <v>112</v>
      </c>
      <c r="J67" s="134" t="s">
        <v>112</v>
      </c>
      <c r="K67" s="134" t="s">
        <v>112</v>
      </c>
      <c r="L67" s="134" t="s">
        <v>112</v>
      </c>
      <c r="M67" s="134" t="s">
        <v>112</v>
      </c>
      <c r="N67" s="134" t="s">
        <v>112</v>
      </c>
      <c r="O67" s="134" t="s">
        <v>112</v>
      </c>
      <c r="P67" s="134" t="s">
        <v>112</v>
      </c>
      <c r="Q67" s="134" t="s">
        <v>112</v>
      </c>
      <c r="R67" s="48"/>
      <c r="S67" s="48"/>
      <c r="T67" s="48"/>
      <c r="U67" s="48">
        <v>66.599999999999994</v>
      </c>
      <c r="V67" s="48">
        <f>41.38+68.89</f>
        <v>110.27000000000001</v>
      </c>
      <c r="W67" s="48">
        <v>45.77</v>
      </c>
      <c r="X67" s="48"/>
      <c r="Y67" s="48"/>
      <c r="Z67" s="48"/>
      <c r="AA67" s="48">
        <v>24.864999999999998</v>
      </c>
      <c r="AB67" s="48"/>
      <c r="AC67" s="48">
        <v>42.29</v>
      </c>
      <c r="AD67" s="48">
        <f>48.98+39.088</f>
        <v>88.067999999999998</v>
      </c>
      <c r="AE67" s="48">
        <v>46.42</v>
      </c>
      <c r="AF67" s="48"/>
      <c r="AG67" s="45"/>
      <c r="AH67" s="53">
        <f t="shared" si="9"/>
        <v>424.28300000000002</v>
      </c>
    </row>
    <row r="68" spans="1:34" ht="15">
      <c r="A68" s="1249" t="s">
        <v>86</v>
      </c>
      <c r="B68" s="36">
        <f t="shared" si="8"/>
        <v>825.51</v>
      </c>
      <c r="C68" s="49"/>
      <c r="D68" s="18">
        <f>43.17+53.21</f>
        <v>96.38</v>
      </c>
      <c r="E68" s="18"/>
      <c r="F68" s="18">
        <v>10.374000000000001</v>
      </c>
      <c r="G68" s="18">
        <v>100.84099999999999</v>
      </c>
      <c r="H68" s="18">
        <v>48.56</v>
      </c>
      <c r="I68" s="18">
        <f>70.39+39.04</f>
        <v>109.43</v>
      </c>
      <c r="J68" s="18"/>
      <c r="K68" s="18">
        <v>68.501999999999995</v>
      </c>
      <c r="L68" s="18">
        <v>131.75800000000001</v>
      </c>
      <c r="M68" s="18">
        <v>66.27</v>
      </c>
      <c r="N68" s="18"/>
      <c r="O68" s="18"/>
      <c r="P68" s="18">
        <v>45.43</v>
      </c>
      <c r="Q68" s="18"/>
      <c r="R68" s="18"/>
      <c r="S68" s="18">
        <v>47.66</v>
      </c>
      <c r="T68" s="18"/>
      <c r="U68" s="18">
        <v>55.1</v>
      </c>
      <c r="V68" s="18">
        <v>9.07</v>
      </c>
      <c r="W68" s="18"/>
      <c r="X68" s="18"/>
      <c r="Y68" s="18"/>
      <c r="Z68" s="18"/>
      <c r="AA68" s="18"/>
      <c r="AB68" s="18"/>
      <c r="AC68" s="18">
        <f>7.399+28.736</f>
        <v>36.134999999999998</v>
      </c>
      <c r="AD68" s="18"/>
      <c r="AE68" s="53"/>
      <c r="AF68" s="18"/>
      <c r="AG68" s="53"/>
      <c r="AH68" s="53">
        <f t="shared" si="9"/>
        <v>825.51</v>
      </c>
    </row>
    <row r="69" spans="1:34" ht="15">
      <c r="A69" s="88" t="s">
        <v>74</v>
      </c>
      <c r="B69" s="91">
        <f>SUM(B57:B68)</f>
        <v>5314.652</v>
      </c>
      <c r="C69" s="46">
        <f>SUM(C57:C67)</f>
        <v>111.5</v>
      </c>
      <c r="D69" s="53">
        <f>SUM(D57:D67)</f>
        <v>0</v>
      </c>
      <c r="E69" s="53">
        <v>0</v>
      </c>
      <c r="F69" s="53">
        <f t="shared" ref="F69:AC69" si="10">SUM(F57:F67)</f>
        <v>159.94</v>
      </c>
      <c r="G69" s="53">
        <f t="shared" si="10"/>
        <v>82.956000000000003</v>
      </c>
      <c r="H69" s="53">
        <f t="shared" si="10"/>
        <v>181.548</v>
      </c>
      <c r="I69" s="53">
        <f t="shared" si="10"/>
        <v>245.95999999999998</v>
      </c>
      <c r="J69" s="53">
        <f t="shared" si="10"/>
        <v>227.54899999999998</v>
      </c>
      <c r="K69" s="53">
        <f t="shared" si="10"/>
        <v>181.21199999999999</v>
      </c>
      <c r="L69" s="53">
        <f t="shared" si="10"/>
        <v>0</v>
      </c>
      <c r="M69" s="53">
        <f t="shared" si="10"/>
        <v>92.781000000000006</v>
      </c>
      <c r="N69" s="53">
        <f t="shared" si="10"/>
        <v>332.27</v>
      </c>
      <c r="O69" s="53">
        <f t="shared" si="10"/>
        <v>386.90799999999996</v>
      </c>
      <c r="P69" s="53">
        <f t="shared" si="10"/>
        <v>291.73599999999999</v>
      </c>
      <c r="Q69" s="53">
        <f t="shared" si="10"/>
        <v>291.56599999999997</v>
      </c>
      <c r="R69" s="53">
        <f t="shared" si="10"/>
        <v>146.05599999999998</v>
      </c>
      <c r="S69" s="53">
        <f t="shared" si="10"/>
        <v>7.86</v>
      </c>
      <c r="T69" s="53">
        <f t="shared" si="10"/>
        <v>340.41699999999997</v>
      </c>
      <c r="U69" s="53">
        <f t="shared" si="10"/>
        <v>66.599999999999994</v>
      </c>
      <c r="V69" s="53">
        <f t="shared" si="10"/>
        <v>401.00200000000007</v>
      </c>
      <c r="W69" s="53">
        <f t="shared" si="10"/>
        <v>69.300000000000011</v>
      </c>
      <c r="X69" s="53">
        <f t="shared" si="10"/>
        <v>330.97699999999998</v>
      </c>
      <c r="Y69" s="53">
        <f t="shared" si="10"/>
        <v>23.631</v>
      </c>
      <c r="Z69" s="53">
        <f t="shared" si="10"/>
        <v>0</v>
      </c>
      <c r="AA69" s="53">
        <f t="shared" si="10"/>
        <v>144.61500000000001</v>
      </c>
      <c r="AB69" s="53">
        <f t="shared" si="10"/>
        <v>0</v>
      </c>
      <c r="AC69" s="53">
        <f t="shared" si="10"/>
        <v>42.29</v>
      </c>
      <c r="AD69" s="53">
        <v>0</v>
      </c>
      <c r="AE69" s="53">
        <f>SUM(AE57:AE67)</f>
        <v>46.42</v>
      </c>
      <c r="AF69" s="53">
        <f>SUM(AF57:AF67)</f>
        <v>0</v>
      </c>
      <c r="AG69" s="53">
        <f>SUM(AG57:AG67)</f>
        <v>68.099999999999994</v>
      </c>
      <c r="AH69" s="46">
        <f>SUM(AH57:AH68)</f>
        <v>5314.652</v>
      </c>
    </row>
    <row r="70" spans="1:34" ht="15">
      <c r="A70" s="1934"/>
      <c r="B70" s="1928"/>
      <c r="C70" s="1923"/>
      <c r="D70" s="1923"/>
      <c r="E70" s="1923"/>
      <c r="F70" s="1923"/>
      <c r="G70" s="1923"/>
      <c r="H70" s="52"/>
      <c r="I70" s="52"/>
      <c r="J70" s="52"/>
      <c r="K70" s="52"/>
      <c r="L70" s="52"/>
      <c r="M70" s="52"/>
      <c r="N70" s="52"/>
      <c r="O70" s="52"/>
      <c r="P70" s="52"/>
      <c r="Q70" s="52"/>
      <c r="R70" s="52"/>
      <c r="S70" s="52"/>
      <c r="T70" s="52"/>
      <c r="U70" s="52"/>
      <c r="V70" s="52"/>
      <c r="W70" s="52"/>
      <c r="X70" s="52"/>
      <c r="Y70" s="52"/>
      <c r="Z70" s="52"/>
      <c r="AA70" s="52"/>
      <c r="AB70" s="52"/>
      <c r="AC70" s="52"/>
      <c r="AD70" s="52"/>
      <c r="AE70" s="52"/>
      <c r="AF70" s="52"/>
      <c r="AG70" s="52"/>
      <c r="AH70" s="13"/>
    </row>
    <row r="71" spans="1:34" ht="15">
      <c r="A71" s="3634" t="s">
        <v>613</v>
      </c>
      <c r="B71" s="3635"/>
      <c r="C71" s="3635"/>
      <c r="D71" s="3635"/>
      <c r="E71" s="3635"/>
      <c r="F71" s="3635"/>
      <c r="G71" s="3635"/>
      <c r="H71" s="3636"/>
      <c r="I71" s="82"/>
      <c r="J71" s="82"/>
      <c r="K71" s="82"/>
      <c r="L71" s="82"/>
      <c r="M71" s="82"/>
      <c r="N71" s="82"/>
      <c r="O71" s="82"/>
      <c r="P71" s="82"/>
      <c r="Q71" s="82"/>
      <c r="R71" s="82"/>
      <c r="S71" s="82"/>
      <c r="T71" s="82"/>
      <c r="U71" s="82"/>
      <c r="V71" s="82"/>
      <c r="W71" s="82"/>
      <c r="X71" s="82"/>
      <c r="Y71" s="82"/>
      <c r="Z71" s="82"/>
      <c r="AA71" s="82"/>
      <c r="AB71" s="82"/>
      <c r="AC71" s="82"/>
      <c r="AD71" s="82"/>
      <c r="AE71" s="82"/>
      <c r="AF71" s="82"/>
      <c r="AG71" s="82"/>
      <c r="AH71" s="82"/>
    </row>
    <row r="72" spans="1:34" ht="15">
      <c r="A72" s="5" t="s">
        <v>91</v>
      </c>
      <c r="B72" s="71" t="s">
        <v>73</v>
      </c>
      <c r="C72" s="1249">
        <v>1</v>
      </c>
      <c r="D72" s="30">
        <v>2</v>
      </c>
      <c r="E72" s="30">
        <v>3</v>
      </c>
      <c r="F72" s="30">
        <v>4</v>
      </c>
      <c r="G72" s="30">
        <v>5</v>
      </c>
      <c r="H72" s="30">
        <v>6</v>
      </c>
      <c r="I72" s="30">
        <v>7</v>
      </c>
      <c r="J72" s="30">
        <v>8</v>
      </c>
      <c r="K72" s="30">
        <v>9</v>
      </c>
      <c r="L72" s="30">
        <v>10</v>
      </c>
      <c r="M72" s="30">
        <v>11</v>
      </c>
      <c r="N72" s="30">
        <v>12</v>
      </c>
      <c r="O72" s="30">
        <v>13</v>
      </c>
      <c r="P72" s="30">
        <v>14</v>
      </c>
      <c r="Q72" s="30">
        <v>15</v>
      </c>
      <c r="R72" s="30">
        <v>16</v>
      </c>
      <c r="S72" s="30">
        <v>17</v>
      </c>
      <c r="T72" s="30">
        <v>18</v>
      </c>
      <c r="U72" s="30">
        <v>19</v>
      </c>
      <c r="V72" s="30">
        <v>20</v>
      </c>
      <c r="W72" s="30">
        <v>21</v>
      </c>
      <c r="X72" s="30">
        <v>22</v>
      </c>
      <c r="Y72" s="30">
        <v>23</v>
      </c>
      <c r="Z72" s="30">
        <v>24</v>
      </c>
      <c r="AA72" s="30">
        <v>25</v>
      </c>
      <c r="AB72" s="30">
        <v>26</v>
      </c>
      <c r="AC72" s="30">
        <v>27</v>
      </c>
      <c r="AD72" s="30">
        <v>28</v>
      </c>
      <c r="AE72" s="30">
        <v>29</v>
      </c>
      <c r="AF72" s="30">
        <v>30</v>
      </c>
      <c r="AG72" s="30">
        <v>31</v>
      </c>
      <c r="AH72" s="39" t="s">
        <v>74</v>
      </c>
    </row>
    <row r="73" spans="1:34" ht="15">
      <c r="A73" s="1962" t="s">
        <v>75</v>
      </c>
      <c r="B73" s="1250">
        <f t="shared" ref="B73:B84" si="11">+AH73</f>
        <v>74.44</v>
      </c>
      <c r="C73" s="112"/>
      <c r="D73" s="112"/>
      <c r="E73" s="112"/>
      <c r="F73" s="112"/>
      <c r="G73" s="1287"/>
      <c r="H73" s="1287"/>
      <c r="I73" s="1287"/>
      <c r="J73" s="1287"/>
      <c r="K73" s="1287"/>
      <c r="L73" s="1287"/>
      <c r="M73" s="1287"/>
      <c r="N73" s="1287"/>
      <c r="O73" s="1287"/>
      <c r="P73" s="1287"/>
      <c r="Q73" s="1287"/>
      <c r="R73" s="1287"/>
      <c r="S73" s="1287"/>
      <c r="T73" s="1287"/>
      <c r="U73" s="1287"/>
      <c r="V73" s="1287"/>
      <c r="W73" s="1287"/>
      <c r="X73" s="1287"/>
      <c r="Y73" s="1287"/>
      <c r="Z73" s="1287"/>
      <c r="AA73" s="1287"/>
      <c r="AB73" s="1287"/>
      <c r="AC73" s="1287"/>
      <c r="AD73" s="1287"/>
      <c r="AE73" s="1287">
        <v>74.44</v>
      </c>
      <c r="AF73" s="1287"/>
      <c r="AG73" s="112"/>
      <c r="AH73" s="118">
        <f>SUM(C73:AG73)</f>
        <v>74.44</v>
      </c>
    </row>
    <row r="74" spans="1:34" ht="15">
      <c r="A74" s="1962" t="s">
        <v>76</v>
      </c>
      <c r="B74" s="1250">
        <f t="shared" si="11"/>
        <v>517.86900000000003</v>
      </c>
      <c r="C74" s="49"/>
      <c r="D74" s="49"/>
      <c r="E74" s="18"/>
      <c r="F74" s="18"/>
      <c r="G74" s="1287"/>
      <c r="H74" s="1287">
        <f>54.02+12.388</f>
        <v>66.408000000000001</v>
      </c>
      <c r="I74" s="1287">
        <f>66.111+77.47</f>
        <v>143.58100000000002</v>
      </c>
      <c r="J74" s="1287"/>
      <c r="K74" s="1287"/>
      <c r="L74" s="1287"/>
      <c r="M74" s="1287"/>
      <c r="N74" s="1287"/>
      <c r="O74" s="1287"/>
      <c r="P74" s="1287"/>
      <c r="Q74" s="1287">
        <v>59.09</v>
      </c>
      <c r="R74" s="1287"/>
      <c r="S74" s="1287"/>
      <c r="T74" s="1287">
        <v>77.78</v>
      </c>
      <c r="U74" s="1287">
        <v>77.59</v>
      </c>
      <c r="V74" s="1287"/>
      <c r="W74" s="1287"/>
      <c r="X74" s="1287">
        <f>19.91+47.49</f>
        <v>67.400000000000006</v>
      </c>
      <c r="Y74" s="1287">
        <v>26.02</v>
      </c>
      <c r="Z74" s="1287"/>
      <c r="AA74" s="1287"/>
      <c r="AB74" s="1287"/>
      <c r="AC74" s="1287"/>
      <c r="AD74" s="1287"/>
      <c r="AE74" s="1287"/>
      <c r="AF74" s="1287"/>
      <c r="AG74" s="18"/>
      <c r="AH74" s="118">
        <f t="shared" ref="AH74:AH84" si="12">SUM(C74:AG74)</f>
        <v>517.86900000000003</v>
      </c>
    </row>
    <row r="75" spans="1:34" ht="15">
      <c r="A75" s="1962" t="s">
        <v>77</v>
      </c>
      <c r="B75" s="1250">
        <f t="shared" si="11"/>
        <v>454.24399999999997</v>
      </c>
      <c r="C75" s="49"/>
      <c r="D75" s="18"/>
      <c r="E75" s="18"/>
      <c r="F75" s="18"/>
      <c r="G75" s="18">
        <v>41.32</v>
      </c>
      <c r="H75" s="18">
        <f>35.3+77</f>
        <v>112.3</v>
      </c>
      <c r="I75" s="18"/>
      <c r="J75" s="18"/>
      <c r="K75" s="18"/>
      <c r="L75" s="18"/>
      <c r="M75" s="18">
        <v>45.664000000000001</v>
      </c>
      <c r="N75" s="18"/>
      <c r="O75" s="18"/>
      <c r="P75" s="18">
        <f>77.16+75.165</f>
        <v>152.32499999999999</v>
      </c>
      <c r="Q75" s="1280"/>
      <c r="R75" s="1280">
        <f>31.675+70.96</f>
        <v>102.63499999999999</v>
      </c>
      <c r="S75" s="1280"/>
      <c r="T75" s="1280"/>
      <c r="U75" s="1280"/>
      <c r="V75" s="1280"/>
      <c r="W75" s="1280"/>
      <c r="X75" s="1280"/>
      <c r="Y75" s="1280"/>
      <c r="Z75" s="1280"/>
      <c r="AA75" s="1280"/>
      <c r="AB75" s="1280"/>
      <c r="AC75" s="1280"/>
      <c r="AD75" s="1280"/>
      <c r="AE75" s="1280"/>
      <c r="AF75" s="1280"/>
      <c r="AG75" s="1280"/>
      <c r="AH75" s="118">
        <f t="shared" si="12"/>
        <v>454.24399999999997</v>
      </c>
    </row>
    <row r="76" spans="1:34" ht="15">
      <c r="A76" s="1962" t="s">
        <v>78</v>
      </c>
      <c r="B76" s="1250">
        <f t="shared" si="11"/>
        <v>347.97500000000002</v>
      </c>
      <c r="C76" s="1280"/>
      <c r="D76" s="1280"/>
      <c r="E76" s="1280"/>
      <c r="F76" s="1280"/>
      <c r="G76" s="1280"/>
      <c r="H76" s="1280">
        <f>67.87+73.6</f>
        <v>141.47</v>
      </c>
      <c r="I76" s="1280"/>
      <c r="J76" s="1280">
        <f>73.01+66.443+67.052</f>
        <v>206.505</v>
      </c>
      <c r="K76" s="1280"/>
      <c r="L76" s="1280"/>
      <c r="M76" s="1280"/>
      <c r="N76" s="1280"/>
      <c r="O76" s="1280"/>
      <c r="P76" s="1280"/>
      <c r="Q76" s="1280"/>
      <c r="R76" s="1280"/>
      <c r="S76" s="1280"/>
      <c r="T76" s="1280"/>
      <c r="U76" s="1280"/>
      <c r="V76" s="1280"/>
      <c r="W76" s="1280"/>
      <c r="X76" s="1280"/>
      <c r="Y76" s="1280"/>
      <c r="Z76" s="1280"/>
      <c r="AA76" s="1280"/>
      <c r="AB76" s="1280"/>
      <c r="AC76" s="1280"/>
      <c r="AD76" s="1280"/>
      <c r="AE76" s="1280"/>
      <c r="AF76" s="1280" t="s">
        <v>112</v>
      </c>
      <c r="AG76" s="1280" t="s">
        <v>112</v>
      </c>
      <c r="AH76" s="118">
        <f t="shared" si="12"/>
        <v>347.97500000000002</v>
      </c>
    </row>
    <row r="77" spans="1:34" ht="15">
      <c r="A77" s="1962" t="s">
        <v>79</v>
      </c>
      <c r="B77" s="1250">
        <f t="shared" si="11"/>
        <v>0</v>
      </c>
      <c r="C77" s="1280" t="s">
        <v>112</v>
      </c>
      <c r="D77" s="1280" t="s">
        <v>112</v>
      </c>
      <c r="E77" s="1280" t="s">
        <v>112</v>
      </c>
      <c r="F77" s="1280" t="s">
        <v>112</v>
      </c>
      <c r="G77" s="1280" t="s">
        <v>112</v>
      </c>
      <c r="H77" s="1280" t="s">
        <v>112</v>
      </c>
      <c r="I77" s="1280" t="s">
        <v>112</v>
      </c>
      <c r="J77" s="1280" t="s">
        <v>112</v>
      </c>
      <c r="K77" s="1280" t="s">
        <v>112</v>
      </c>
      <c r="L77" s="1280" t="s">
        <v>112</v>
      </c>
      <c r="M77" s="1280" t="s">
        <v>112</v>
      </c>
      <c r="N77" s="1280" t="s">
        <v>112</v>
      </c>
      <c r="O77" s="1280" t="s">
        <v>112</v>
      </c>
      <c r="P77" s="1280" t="s">
        <v>112</v>
      </c>
      <c r="Q77" s="1280" t="s">
        <v>112</v>
      </c>
      <c r="R77" s="18"/>
      <c r="S77" s="18"/>
      <c r="T77" s="18"/>
      <c r="U77" s="18"/>
      <c r="V77" s="18"/>
      <c r="W77" s="18"/>
      <c r="X77" s="18"/>
      <c r="Y77" s="18"/>
      <c r="Z77" s="18"/>
      <c r="AA77" s="18"/>
      <c r="AB77" s="18"/>
      <c r="AC77" s="18"/>
      <c r="AD77" s="18"/>
      <c r="AE77" s="18"/>
      <c r="AF77" s="18"/>
      <c r="AG77" s="18"/>
      <c r="AH77" s="118">
        <f t="shared" si="12"/>
        <v>0</v>
      </c>
    </row>
    <row r="78" spans="1:34" ht="15">
      <c r="A78" s="1962" t="s">
        <v>80</v>
      </c>
      <c r="B78" s="1250">
        <f t="shared" si="11"/>
        <v>0</v>
      </c>
      <c r="C78" s="1287"/>
      <c r="D78" s="1287"/>
      <c r="E78" s="1287"/>
      <c r="F78" s="1287"/>
      <c r="G78" s="1287">
        <v>0</v>
      </c>
      <c r="H78" s="1287"/>
      <c r="I78" s="1287"/>
      <c r="J78" s="1287"/>
      <c r="K78" s="1287"/>
      <c r="L78" s="1287"/>
      <c r="M78" s="1287"/>
      <c r="N78" s="1287"/>
      <c r="O78" s="1287"/>
      <c r="P78" s="1287"/>
      <c r="Q78" s="18"/>
      <c r="R78" s="18"/>
      <c r="S78" s="18"/>
      <c r="T78" s="18"/>
      <c r="U78" s="18"/>
      <c r="V78" s="18"/>
      <c r="W78" s="18"/>
      <c r="X78" s="18"/>
      <c r="Y78" s="18"/>
      <c r="Z78" s="18"/>
      <c r="AA78" s="18"/>
      <c r="AB78" s="18"/>
      <c r="AC78" s="18"/>
      <c r="AD78" s="18"/>
      <c r="AE78" s="18"/>
      <c r="AF78" s="18"/>
      <c r="AG78" s="18"/>
      <c r="AH78" s="118">
        <f t="shared" si="12"/>
        <v>0</v>
      </c>
    </row>
    <row r="79" spans="1:34" ht="15">
      <c r="A79" s="1249" t="s">
        <v>81</v>
      </c>
      <c r="B79" s="1250">
        <f t="shared" si="11"/>
        <v>0</v>
      </c>
      <c r="C79" s="49"/>
      <c r="D79" s="18"/>
      <c r="E79" s="18"/>
      <c r="F79" s="18"/>
      <c r="G79" s="18"/>
      <c r="H79" s="18"/>
      <c r="I79" s="18"/>
      <c r="J79" s="49"/>
      <c r="K79" s="49"/>
      <c r="L79" s="18"/>
      <c r="M79" s="18"/>
      <c r="N79" s="18"/>
      <c r="O79" s="18"/>
      <c r="P79" s="18"/>
      <c r="Q79" s="18"/>
      <c r="R79" s="18"/>
      <c r="S79" s="18"/>
      <c r="T79" s="18"/>
      <c r="U79" s="18"/>
      <c r="V79" s="18"/>
      <c r="W79" s="18"/>
      <c r="X79" s="18"/>
      <c r="Y79" s="18"/>
      <c r="Z79" s="18"/>
      <c r="AA79" s="18"/>
      <c r="AB79" s="18"/>
      <c r="AC79" s="18"/>
      <c r="AD79" s="18"/>
      <c r="AE79" s="18"/>
      <c r="AF79" s="18"/>
      <c r="AG79" s="18"/>
      <c r="AH79" s="118">
        <f t="shared" si="12"/>
        <v>0</v>
      </c>
    </row>
    <row r="80" spans="1:34" ht="15">
      <c r="A80" s="1249" t="s">
        <v>82</v>
      </c>
      <c r="B80" s="1250">
        <f t="shared" si="11"/>
        <v>53.41</v>
      </c>
      <c r="C80" s="49"/>
      <c r="D80" s="18"/>
      <c r="E80" s="18"/>
      <c r="F80" s="18"/>
      <c r="G80" s="18"/>
      <c r="H80" s="18"/>
      <c r="I80" s="18"/>
      <c r="J80" s="49"/>
      <c r="K80" s="49"/>
      <c r="L80" s="18"/>
      <c r="M80" s="18"/>
      <c r="N80" s="18"/>
      <c r="O80" s="18">
        <v>53.41</v>
      </c>
      <c r="P80" s="18"/>
      <c r="Q80" s="18"/>
      <c r="R80" s="18"/>
      <c r="S80" s="18"/>
      <c r="T80" s="18"/>
      <c r="U80" s="18"/>
      <c r="V80" s="18"/>
      <c r="W80" s="18"/>
      <c r="X80" s="18"/>
      <c r="Y80" s="18"/>
      <c r="Z80" s="18"/>
      <c r="AA80" s="18"/>
      <c r="AB80" s="18"/>
      <c r="AC80" s="18"/>
      <c r="AD80" s="18"/>
      <c r="AE80" s="18"/>
      <c r="AF80" s="18"/>
      <c r="AG80" s="18"/>
      <c r="AH80" s="118">
        <f t="shared" si="12"/>
        <v>53.41</v>
      </c>
    </row>
    <row r="81" spans="1:34" ht="15">
      <c r="A81" s="1249" t="s">
        <v>83</v>
      </c>
      <c r="B81" s="1250">
        <f t="shared" si="11"/>
        <v>12.117000000000001</v>
      </c>
      <c r="C81" s="45"/>
      <c r="D81" s="45"/>
      <c r="E81" s="45">
        <v>12.117000000000001</v>
      </c>
      <c r="F81" s="45"/>
      <c r="G81" s="45"/>
      <c r="H81" s="45"/>
      <c r="I81" s="45"/>
      <c r="J81" s="45"/>
      <c r="K81" s="45"/>
      <c r="L81" s="45"/>
      <c r="M81" s="45"/>
      <c r="N81" s="45"/>
      <c r="O81" s="45"/>
      <c r="P81" s="45"/>
      <c r="Q81" s="134" t="s">
        <v>401</v>
      </c>
      <c r="R81" s="134" t="s">
        <v>401</v>
      </c>
      <c r="S81" s="134" t="s">
        <v>401</v>
      </c>
      <c r="T81" s="134" t="s">
        <v>401</v>
      </c>
      <c r="U81" s="134" t="s">
        <v>401</v>
      </c>
      <c r="V81" s="134" t="s">
        <v>401</v>
      </c>
      <c r="W81" s="134" t="s">
        <v>401</v>
      </c>
      <c r="X81" s="134" t="s">
        <v>401</v>
      </c>
      <c r="Y81" s="134" t="s">
        <v>401</v>
      </c>
      <c r="Z81" s="134" t="s">
        <v>401</v>
      </c>
      <c r="AA81" s="134" t="s">
        <v>401</v>
      </c>
      <c r="AB81" s="134" t="s">
        <v>401</v>
      </c>
      <c r="AC81" s="134" t="s">
        <v>401</v>
      </c>
      <c r="AD81" s="134" t="s">
        <v>401</v>
      </c>
      <c r="AE81" s="134" t="s">
        <v>401</v>
      </c>
      <c r="AF81" s="134" t="s">
        <v>401</v>
      </c>
      <c r="AG81" s="134" t="s">
        <v>401</v>
      </c>
      <c r="AH81" s="118">
        <f t="shared" si="12"/>
        <v>12.117000000000001</v>
      </c>
    </row>
    <row r="82" spans="1:34" ht="15">
      <c r="A82" s="1249" t="s">
        <v>84</v>
      </c>
      <c r="B82" s="28">
        <f t="shared" si="11"/>
        <v>0</v>
      </c>
      <c r="C82" s="134" t="s">
        <v>112</v>
      </c>
      <c r="D82" s="1961" t="s">
        <v>112</v>
      </c>
      <c r="E82" s="134" t="s">
        <v>112</v>
      </c>
      <c r="F82" s="134" t="s">
        <v>112</v>
      </c>
      <c r="G82" s="134" t="s">
        <v>112</v>
      </c>
      <c r="H82" s="134" t="s">
        <v>112</v>
      </c>
      <c r="I82" s="134" t="s">
        <v>112</v>
      </c>
      <c r="J82" s="134" t="s">
        <v>112</v>
      </c>
      <c r="K82" s="134" t="s">
        <v>112</v>
      </c>
      <c r="L82" s="134" t="s">
        <v>112</v>
      </c>
      <c r="M82" s="134" t="s">
        <v>112</v>
      </c>
      <c r="N82" s="134" t="s">
        <v>112</v>
      </c>
      <c r="O82" s="134" t="s">
        <v>112</v>
      </c>
      <c r="P82" s="134" t="s">
        <v>112</v>
      </c>
      <c r="Q82" s="134" t="s">
        <v>112</v>
      </c>
      <c r="R82" s="134" t="s">
        <v>112</v>
      </c>
      <c r="S82" s="134" t="s">
        <v>112</v>
      </c>
      <c r="T82" s="134" t="s">
        <v>112</v>
      </c>
      <c r="U82" s="134" t="s">
        <v>112</v>
      </c>
      <c r="V82" s="134" t="s">
        <v>112</v>
      </c>
      <c r="W82" s="134" t="s">
        <v>112</v>
      </c>
      <c r="X82" s="134" t="s">
        <v>112</v>
      </c>
      <c r="Y82" s="134" t="s">
        <v>112</v>
      </c>
      <c r="Z82" s="134" t="s">
        <v>112</v>
      </c>
      <c r="AA82" s="134" t="s">
        <v>112</v>
      </c>
      <c r="AB82" s="134" t="s">
        <v>112</v>
      </c>
      <c r="AC82" s="134" t="s">
        <v>112</v>
      </c>
      <c r="AD82" s="134" t="s">
        <v>112</v>
      </c>
      <c r="AE82" s="134" t="s">
        <v>112</v>
      </c>
      <c r="AF82" s="134" t="s">
        <v>112</v>
      </c>
      <c r="AG82" s="134" t="s">
        <v>112</v>
      </c>
      <c r="AH82" s="118">
        <f t="shared" si="12"/>
        <v>0</v>
      </c>
    </row>
    <row r="83" spans="1:34" ht="15">
      <c r="A83" s="1249" t="s">
        <v>85</v>
      </c>
      <c r="B83" s="28">
        <f t="shared" si="11"/>
        <v>134.46199999999999</v>
      </c>
      <c r="C83" s="134" t="s">
        <v>112</v>
      </c>
      <c r="D83" s="1961" t="s">
        <v>112</v>
      </c>
      <c r="E83" s="134" t="s">
        <v>112</v>
      </c>
      <c r="F83" s="134" t="s">
        <v>112</v>
      </c>
      <c r="G83" s="134" t="s">
        <v>112</v>
      </c>
      <c r="H83" s="134" t="s">
        <v>112</v>
      </c>
      <c r="I83" s="134" t="s">
        <v>112</v>
      </c>
      <c r="J83" s="134" t="s">
        <v>112</v>
      </c>
      <c r="K83" s="134" t="s">
        <v>112</v>
      </c>
      <c r="L83" s="134" t="s">
        <v>112</v>
      </c>
      <c r="M83" s="134" t="s">
        <v>112</v>
      </c>
      <c r="N83" s="134" t="s">
        <v>112</v>
      </c>
      <c r="O83" s="134" t="s">
        <v>112</v>
      </c>
      <c r="P83" s="134" t="s">
        <v>112</v>
      </c>
      <c r="Q83" s="134" t="s">
        <v>112</v>
      </c>
      <c r="R83" s="48"/>
      <c r="S83" s="48"/>
      <c r="T83" s="48"/>
      <c r="U83" s="48"/>
      <c r="V83" s="48"/>
      <c r="W83" s="48">
        <v>34.1</v>
      </c>
      <c r="X83" s="48"/>
      <c r="Y83" s="48">
        <v>33.585999999999999</v>
      </c>
      <c r="Z83" s="48"/>
      <c r="AA83" s="48"/>
      <c r="AB83" s="48"/>
      <c r="AC83" s="48"/>
      <c r="AD83" s="48">
        <v>19.847999999999999</v>
      </c>
      <c r="AE83" s="48">
        <v>46.927999999999997</v>
      </c>
      <c r="AF83" s="48"/>
      <c r="AG83" s="45"/>
      <c r="AH83" s="118">
        <f t="shared" si="12"/>
        <v>134.46199999999999</v>
      </c>
    </row>
    <row r="84" spans="1:34" ht="15">
      <c r="A84" s="1249" t="s">
        <v>86</v>
      </c>
      <c r="B84" s="28">
        <f t="shared" si="11"/>
        <v>108.81</v>
      </c>
      <c r="C84" s="49"/>
      <c r="D84" s="18"/>
      <c r="E84" s="18"/>
      <c r="F84" s="18"/>
      <c r="G84" s="18"/>
      <c r="H84" s="18"/>
      <c r="I84" s="18"/>
      <c r="J84" s="18"/>
      <c r="K84" s="18"/>
      <c r="L84" s="18"/>
      <c r="M84" s="18"/>
      <c r="N84" s="18"/>
      <c r="O84" s="18"/>
      <c r="P84" s="18"/>
      <c r="Q84" s="18"/>
      <c r="R84" s="18"/>
      <c r="S84" s="18"/>
      <c r="T84" s="18"/>
      <c r="U84" s="18">
        <v>10.42</v>
      </c>
      <c r="V84" s="18"/>
      <c r="W84" s="18"/>
      <c r="X84" s="18"/>
      <c r="Y84" s="18">
        <v>30.93</v>
      </c>
      <c r="Z84" s="18"/>
      <c r="AA84" s="18"/>
      <c r="AB84" s="18"/>
      <c r="AC84" s="18"/>
      <c r="AD84" s="18"/>
      <c r="AE84" s="53"/>
      <c r="AF84" s="18">
        <v>67.459999999999994</v>
      </c>
      <c r="AG84" s="53"/>
      <c r="AH84" s="118">
        <f t="shared" si="12"/>
        <v>108.81</v>
      </c>
    </row>
    <row r="85" spans="1:34" ht="15">
      <c r="A85" s="88" t="s">
        <v>74</v>
      </c>
      <c r="B85" s="91">
        <f>SUM(B73:B84)</f>
        <v>1703.3269999999998</v>
      </c>
      <c r="C85" s="46">
        <f>SUM(C73:C83)</f>
        <v>0</v>
      </c>
      <c r="D85" s="53">
        <f>SUM(D73:D83)</f>
        <v>0</v>
      </c>
      <c r="E85" s="53">
        <v>0</v>
      </c>
      <c r="F85" s="53">
        <f t="shared" ref="F85:AC85" si="13">SUM(F73:F83)</f>
        <v>0</v>
      </c>
      <c r="G85" s="53">
        <f t="shared" si="13"/>
        <v>41.32</v>
      </c>
      <c r="H85" s="53">
        <f t="shared" si="13"/>
        <v>320.178</v>
      </c>
      <c r="I85" s="53">
        <f t="shared" si="13"/>
        <v>143.58100000000002</v>
      </c>
      <c r="J85" s="53">
        <f t="shared" si="13"/>
        <v>206.505</v>
      </c>
      <c r="K85" s="53">
        <f t="shared" si="13"/>
        <v>0</v>
      </c>
      <c r="L85" s="53">
        <f t="shared" si="13"/>
        <v>0</v>
      </c>
      <c r="M85" s="53">
        <f t="shared" si="13"/>
        <v>45.664000000000001</v>
      </c>
      <c r="N85" s="53">
        <f t="shared" si="13"/>
        <v>0</v>
      </c>
      <c r="O85" s="53">
        <f t="shared" si="13"/>
        <v>53.41</v>
      </c>
      <c r="P85" s="53">
        <f t="shared" si="13"/>
        <v>152.32499999999999</v>
      </c>
      <c r="Q85" s="53">
        <f t="shared" si="13"/>
        <v>59.09</v>
      </c>
      <c r="R85" s="53">
        <f t="shared" si="13"/>
        <v>102.63499999999999</v>
      </c>
      <c r="S85" s="53">
        <f t="shared" si="13"/>
        <v>0</v>
      </c>
      <c r="T85" s="53">
        <f t="shared" si="13"/>
        <v>77.78</v>
      </c>
      <c r="U85" s="53">
        <f t="shared" si="13"/>
        <v>77.59</v>
      </c>
      <c r="V85" s="53">
        <f t="shared" si="13"/>
        <v>0</v>
      </c>
      <c r="W85" s="53">
        <f t="shared" si="13"/>
        <v>34.1</v>
      </c>
      <c r="X85" s="53">
        <f t="shared" si="13"/>
        <v>67.400000000000006</v>
      </c>
      <c r="Y85" s="53">
        <f t="shared" si="13"/>
        <v>59.605999999999995</v>
      </c>
      <c r="Z85" s="53">
        <f t="shared" si="13"/>
        <v>0</v>
      </c>
      <c r="AA85" s="53">
        <f t="shared" si="13"/>
        <v>0</v>
      </c>
      <c r="AB85" s="53">
        <f t="shared" si="13"/>
        <v>0</v>
      </c>
      <c r="AC85" s="53">
        <f t="shared" si="13"/>
        <v>0</v>
      </c>
      <c r="AD85" s="53">
        <v>0</v>
      </c>
      <c r="AE85" s="53">
        <f>SUM(AE73:AE83)</f>
        <v>121.36799999999999</v>
      </c>
      <c r="AF85" s="53">
        <f>SUM(AF73:AF83)</f>
        <v>0</v>
      </c>
      <c r="AG85" s="53">
        <f>SUM(AG73:AG83)</f>
        <v>0</v>
      </c>
      <c r="AH85" s="46">
        <f>SUM(AH73:AH84)</f>
        <v>1703.3269999999998</v>
      </c>
    </row>
    <row r="86" spans="1:34" ht="15">
      <c r="A86" s="1781"/>
      <c r="B86" s="1929"/>
      <c r="C86" s="1433"/>
      <c r="D86" s="1433"/>
      <c r="E86" s="1433"/>
      <c r="F86" s="1433"/>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row>
    <row r="87" spans="1:34" ht="15">
      <c r="A87" s="3585" t="s">
        <v>63</v>
      </c>
      <c r="B87" s="3586"/>
      <c r="C87" s="3586"/>
      <c r="D87" s="3586"/>
      <c r="E87" s="3586"/>
      <c r="F87" s="3586"/>
      <c r="G87" s="3586"/>
      <c r="H87" s="3587"/>
      <c r="I87" s="960"/>
      <c r="J87" s="960"/>
      <c r="K87" s="960"/>
      <c r="L87" s="82"/>
      <c r="M87" s="82"/>
      <c r="N87" s="82"/>
      <c r="O87" s="82"/>
      <c r="P87" s="82"/>
      <c r="Q87" s="82"/>
      <c r="R87" s="82"/>
      <c r="S87" s="82"/>
      <c r="T87" s="82"/>
      <c r="U87" s="82"/>
      <c r="V87" s="82"/>
      <c r="W87" s="82"/>
      <c r="X87" s="82"/>
      <c r="Y87" s="82"/>
      <c r="Z87" s="82"/>
      <c r="AA87" s="82"/>
      <c r="AB87" s="82"/>
      <c r="AC87" s="82"/>
      <c r="AD87" s="82"/>
      <c r="AE87" s="82"/>
      <c r="AF87" s="82"/>
      <c r="AG87" s="82"/>
      <c r="AH87" s="82"/>
    </row>
    <row r="88" spans="1:34" ht="15">
      <c r="A88" s="5" t="s">
        <v>91</v>
      </c>
      <c r="B88" s="71" t="s">
        <v>73</v>
      </c>
      <c r="C88" s="1249">
        <v>1</v>
      </c>
      <c r="D88" s="30">
        <v>2</v>
      </c>
      <c r="E88" s="30">
        <v>3</v>
      </c>
      <c r="F88" s="30">
        <v>4</v>
      </c>
      <c r="G88" s="30">
        <v>5</v>
      </c>
      <c r="H88" s="30">
        <v>6</v>
      </c>
      <c r="I88" s="30">
        <v>7</v>
      </c>
      <c r="J88" s="30">
        <v>8</v>
      </c>
      <c r="K88" s="30">
        <v>9</v>
      </c>
      <c r="L88" s="30">
        <v>10</v>
      </c>
      <c r="M88" s="30">
        <v>11</v>
      </c>
      <c r="N88" s="30">
        <v>12</v>
      </c>
      <c r="O88" s="30">
        <v>13</v>
      </c>
      <c r="P88" s="30">
        <v>14</v>
      </c>
      <c r="Q88" s="30">
        <v>15</v>
      </c>
      <c r="R88" s="30">
        <v>16</v>
      </c>
      <c r="S88" s="30">
        <v>17</v>
      </c>
      <c r="T88" s="30">
        <v>18</v>
      </c>
      <c r="U88" s="30">
        <v>19</v>
      </c>
      <c r="V88" s="30">
        <v>20</v>
      </c>
      <c r="W88" s="30">
        <v>21</v>
      </c>
      <c r="X88" s="30">
        <v>22</v>
      </c>
      <c r="Y88" s="30">
        <v>23</v>
      </c>
      <c r="Z88" s="30">
        <v>24</v>
      </c>
      <c r="AA88" s="30">
        <v>25</v>
      </c>
      <c r="AB88" s="30">
        <v>26</v>
      </c>
      <c r="AC88" s="30">
        <v>27</v>
      </c>
      <c r="AD88" s="30">
        <v>28</v>
      </c>
      <c r="AE88" s="30">
        <v>29</v>
      </c>
      <c r="AF88" s="30">
        <v>30</v>
      </c>
      <c r="AG88" s="30">
        <v>31</v>
      </c>
      <c r="AH88" s="39" t="s">
        <v>74</v>
      </c>
    </row>
    <row r="89" spans="1:34" ht="15">
      <c r="A89" s="1962" t="s">
        <v>75</v>
      </c>
      <c r="B89" s="1250">
        <f t="shared" ref="B89:B100" si="14">+AH89</f>
        <v>0</v>
      </c>
      <c r="C89" s="49"/>
      <c r="D89" s="49"/>
      <c r="E89" s="49"/>
      <c r="F89" s="49"/>
      <c r="G89" s="49"/>
      <c r="H89" s="49"/>
      <c r="I89" s="49"/>
      <c r="J89" s="49"/>
      <c r="K89" s="49"/>
      <c r="L89" s="49"/>
      <c r="M89" s="49"/>
      <c r="N89" s="49"/>
      <c r="O89" s="49"/>
      <c r="P89" s="49"/>
      <c r="Q89" s="49"/>
      <c r="R89" s="49"/>
      <c r="S89" s="49"/>
      <c r="T89" s="49"/>
      <c r="U89" s="49"/>
      <c r="V89" s="49"/>
      <c r="W89" s="49"/>
      <c r="X89" s="49"/>
      <c r="Y89" s="49"/>
      <c r="Z89" s="49"/>
      <c r="AA89" s="49"/>
      <c r="AB89" s="49"/>
      <c r="AC89" s="49"/>
      <c r="AD89" s="49"/>
      <c r="AE89" s="49"/>
      <c r="AF89" s="49"/>
      <c r="AG89" s="49"/>
      <c r="AH89" s="53">
        <f>SUM(C89:AG89)</f>
        <v>0</v>
      </c>
    </row>
    <row r="90" spans="1:34" ht="15">
      <c r="A90" s="1962" t="s">
        <v>76</v>
      </c>
      <c r="B90" s="1250">
        <f t="shared" si="14"/>
        <v>411.61199999999997</v>
      </c>
      <c r="C90" s="49">
        <v>22.54</v>
      </c>
      <c r="D90" s="49"/>
      <c r="E90" s="49"/>
      <c r="F90" s="49"/>
      <c r="G90" s="49"/>
      <c r="H90" s="49">
        <v>44.963999999999999</v>
      </c>
      <c r="I90" s="49">
        <v>9.82</v>
      </c>
      <c r="J90" s="49">
        <v>34.89</v>
      </c>
      <c r="K90" s="49">
        <v>14.69</v>
      </c>
      <c r="L90" s="49"/>
      <c r="M90" s="49"/>
      <c r="N90" s="49"/>
      <c r="O90" s="49">
        <v>37.840000000000003</v>
      </c>
      <c r="P90" s="49"/>
      <c r="Q90" s="49">
        <v>4.18</v>
      </c>
      <c r="R90" s="49"/>
      <c r="S90" s="49"/>
      <c r="T90" s="49">
        <v>33.18</v>
      </c>
      <c r="U90" s="49"/>
      <c r="V90" s="49"/>
      <c r="W90" s="2432">
        <v>24.9</v>
      </c>
      <c r="X90" s="49">
        <v>66.147000000000006</v>
      </c>
      <c r="Y90" s="49">
        <v>3.4209999999999998</v>
      </c>
      <c r="Z90" s="49"/>
      <c r="AA90" s="49">
        <v>70.77</v>
      </c>
      <c r="AB90" s="49"/>
      <c r="AC90" s="49"/>
      <c r="AD90" s="49">
        <v>44.27</v>
      </c>
      <c r="AE90" s="49"/>
      <c r="AF90" s="49"/>
      <c r="AG90" s="49"/>
      <c r="AH90" s="53">
        <f t="shared" ref="AH90:AH100" si="15">SUM(C90:AG90)</f>
        <v>411.61199999999997</v>
      </c>
    </row>
    <row r="91" spans="1:34" ht="15">
      <c r="A91" s="1962" t="s">
        <v>77</v>
      </c>
      <c r="B91" s="1250">
        <f t="shared" si="14"/>
        <v>1119.829</v>
      </c>
      <c r="C91" s="49"/>
      <c r="D91" s="18">
        <v>25.48</v>
      </c>
      <c r="E91" s="18"/>
      <c r="F91" s="18"/>
      <c r="G91" s="18">
        <v>105.34</v>
      </c>
      <c r="H91" s="18">
        <v>37.533999999999999</v>
      </c>
      <c r="I91" s="18">
        <v>131.14500000000001</v>
      </c>
      <c r="J91" s="18"/>
      <c r="K91" s="18">
        <v>56.767000000000003</v>
      </c>
      <c r="L91" s="18"/>
      <c r="M91" s="18">
        <v>85.233000000000004</v>
      </c>
      <c r="N91" s="18"/>
      <c r="O91" s="18"/>
      <c r="P91" s="18">
        <v>163.703</v>
      </c>
      <c r="Q91" s="1280"/>
      <c r="R91" s="1280">
        <v>116.851</v>
      </c>
      <c r="S91" s="1280"/>
      <c r="T91" s="1280"/>
      <c r="U91" s="1280"/>
      <c r="V91" s="1280">
        <v>24.91</v>
      </c>
      <c r="W91" s="1280">
        <v>100.468</v>
      </c>
      <c r="X91" s="1280"/>
      <c r="Y91" s="1280">
        <v>88.293000000000006</v>
      </c>
      <c r="Z91" s="1280">
        <v>3.74</v>
      </c>
      <c r="AA91" s="1280">
        <v>23.132999999999999</v>
      </c>
      <c r="AB91" s="1280">
        <v>85.191000000000003</v>
      </c>
      <c r="AC91" s="1280">
        <v>14.170999999999999</v>
      </c>
      <c r="AD91" s="1280">
        <v>57.87</v>
      </c>
      <c r="AE91" s="1280"/>
      <c r="AF91" s="1280"/>
      <c r="AG91" s="1280"/>
      <c r="AH91" s="53">
        <f t="shared" si="15"/>
        <v>1119.829</v>
      </c>
    </row>
    <row r="92" spans="1:34" ht="15">
      <c r="A92" s="1962" t="s">
        <v>78</v>
      </c>
      <c r="B92" s="1250">
        <f t="shared" si="14"/>
        <v>527.30799999999999</v>
      </c>
      <c r="C92" s="1280">
        <v>29.15</v>
      </c>
      <c r="D92" s="1280"/>
      <c r="E92" s="1280">
        <v>105.458</v>
      </c>
      <c r="F92" s="1280">
        <v>84.807000000000002</v>
      </c>
      <c r="G92" s="1280">
        <v>72.578999999999994</v>
      </c>
      <c r="H92" s="1280">
        <v>88.27</v>
      </c>
      <c r="I92" s="1280"/>
      <c r="J92" s="1280">
        <v>36.378</v>
      </c>
      <c r="K92" s="1280">
        <v>110.666</v>
      </c>
      <c r="L92" s="1280"/>
      <c r="M92" s="1280"/>
      <c r="N92" s="1280"/>
      <c r="O92" s="1280"/>
      <c r="P92" s="1280"/>
      <c r="Q92" s="1280"/>
      <c r="R92" s="1280"/>
      <c r="S92" s="1280"/>
      <c r="T92" s="1280"/>
      <c r="U92" s="1280"/>
      <c r="V92" s="1280"/>
      <c r="W92" s="1280"/>
      <c r="X92" s="1280"/>
      <c r="Y92" s="1280"/>
      <c r="Z92" s="1280"/>
      <c r="AA92" s="1280"/>
      <c r="AB92" s="1280"/>
      <c r="AC92" s="1280"/>
      <c r="AD92" s="1280"/>
      <c r="AE92" s="1280"/>
      <c r="AF92" s="1280" t="s">
        <v>112</v>
      </c>
      <c r="AG92" s="1280" t="s">
        <v>112</v>
      </c>
      <c r="AH92" s="53">
        <f t="shared" si="15"/>
        <v>527.30799999999999</v>
      </c>
    </row>
    <row r="93" spans="1:34" ht="15">
      <c r="A93" s="1962" t="s">
        <v>79</v>
      </c>
      <c r="B93" s="1250">
        <f t="shared" si="14"/>
        <v>0</v>
      </c>
      <c r="C93" s="1280" t="s">
        <v>112</v>
      </c>
      <c r="D93" s="1280" t="s">
        <v>112</v>
      </c>
      <c r="E93" s="1280" t="s">
        <v>112</v>
      </c>
      <c r="F93" s="1280" t="s">
        <v>112</v>
      </c>
      <c r="G93" s="1280" t="s">
        <v>112</v>
      </c>
      <c r="H93" s="1280" t="s">
        <v>112</v>
      </c>
      <c r="I93" s="1280" t="s">
        <v>112</v>
      </c>
      <c r="J93" s="1280" t="s">
        <v>112</v>
      </c>
      <c r="K93" s="1280" t="s">
        <v>112</v>
      </c>
      <c r="L93" s="1280" t="s">
        <v>112</v>
      </c>
      <c r="M93" s="1280" t="s">
        <v>112</v>
      </c>
      <c r="N93" s="1280" t="s">
        <v>112</v>
      </c>
      <c r="O93" s="1280" t="s">
        <v>112</v>
      </c>
      <c r="P93" s="1280" t="s">
        <v>112</v>
      </c>
      <c r="Q93" s="1280" t="s">
        <v>112</v>
      </c>
      <c r="R93" s="18"/>
      <c r="S93" s="18"/>
      <c r="T93" s="18"/>
      <c r="U93" s="18"/>
      <c r="V93" s="18"/>
      <c r="W93" s="18"/>
      <c r="X93" s="18"/>
      <c r="Y93" s="18"/>
      <c r="Z93" s="18"/>
      <c r="AA93" s="18"/>
      <c r="AB93" s="18"/>
      <c r="AC93" s="18"/>
      <c r="AD93" s="18"/>
      <c r="AE93" s="18"/>
      <c r="AF93" s="18"/>
      <c r="AG93" s="18"/>
      <c r="AH93" s="53">
        <f t="shared" si="15"/>
        <v>0</v>
      </c>
    </row>
    <row r="94" spans="1:34" ht="15">
      <c r="A94" s="1962" t="s">
        <v>80</v>
      </c>
      <c r="B94" s="1250">
        <f t="shared" si="14"/>
        <v>2</v>
      </c>
      <c r="C94" s="1287"/>
      <c r="D94" s="1287"/>
      <c r="E94" s="1287"/>
      <c r="F94" s="1287"/>
      <c r="G94" s="1287">
        <v>0</v>
      </c>
      <c r="H94" s="1287"/>
      <c r="I94" s="1287">
        <v>2</v>
      </c>
      <c r="J94" s="1287"/>
      <c r="K94" s="1287"/>
      <c r="L94" s="1287"/>
      <c r="M94" s="1287"/>
      <c r="N94" s="1287"/>
      <c r="O94" s="1287"/>
      <c r="P94" s="1287"/>
      <c r="Q94" s="1287"/>
      <c r="R94" s="1287"/>
      <c r="S94" s="1287"/>
      <c r="T94" s="1287"/>
      <c r="U94" s="1287"/>
      <c r="V94" s="1287"/>
      <c r="W94" s="1287"/>
      <c r="X94" s="1287"/>
      <c r="Y94" s="1287"/>
      <c r="Z94" s="1287"/>
      <c r="AA94" s="1287"/>
      <c r="AB94" s="1287"/>
      <c r="AC94" s="1287"/>
      <c r="AD94" s="1287"/>
      <c r="AE94" s="1287"/>
      <c r="AF94" s="1287"/>
      <c r="AG94" s="1287"/>
      <c r="AH94" s="53">
        <f t="shared" si="15"/>
        <v>2</v>
      </c>
    </row>
    <row r="95" spans="1:34" ht="15">
      <c r="A95" s="1249" t="s">
        <v>81</v>
      </c>
      <c r="B95" s="1250">
        <f t="shared" si="14"/>
        <v>1.5</v>
      </c>
      <c r="C95" s="49"/>
      <c r="D95" s="18"/>
      <c r="E95" s="18"/>
      <c r="F95" s="18"/>
      <c r="G95" s="18"/>
      <c r="H95" s="18"/>
      <c r="I95" s="18"/>
      <c r="J95" s="49"/>
      <c r="K95" s="49"/>
      <c r="L95" s="18"/>
      <c r="M95" s="18"/>
      <c r="N95" s="18"/>
      <c r="O95" s="18"/>
      <c r="P95" s="18"/>
      <c r="Q95" s="18"/>
      <c r="R95" s="18"/>
      <c r="S95" s="18"/>
      <c r="T95" s="18"/>
      <c r="U95" s="18"/>
      <c r="V95" s="18"/>
      <c r="W95" s="18"/>
      <c r="X95" s="18"/>
      <c r="Y95" s="18"/>
      <c r="Z95" s="18"/>
      <c r="AA95" s="18"/>
      <c r="AB95" s="18"/>
      <c r="AC95" s="18"/>
      <c r="AD95" s="18"/>
      <c r="AE95" s="18"/>
      <c r="AF95" s="18"/>
      <c r="AG95" s="18">
        <v>1.5</v>
      </c>
      <c r="AH95" s="53">
        <f t="shared" si="15"/>
        <v>1.5</v>
      </c>
    </row>
    <row r="96" spans="1:34" ht="15">
      <c r="A96" s="1249" t="s">
        <v>82</v>
      </c>
      <c r="B96" s="1250">
        <f t="shared" si="14"/>
        <v>274.82600000000002</v>
      </c>
      <c r="C96" s="49">
        <f>77.32+53.48</f>
        <v>130.79999999999998</v>
      </c>
      <c r="D96" s="18"/>
      <c r="E96" s="18">
        <f>17.256+77.58+49.19</f>
        <v>144.02600000000001</v>
      </c>
      <c r="F96" s="18"/>
      <c r="G96" s="18"/>
      <c r="H96" s="18"/>
      <c r="I96" s="18"/>
      <c r="J96" s="49"/>
      <c r="K96" s="49"/>
      <c r="L96" s="18"/>
      <c r="M96" s="18"/>
      <c r="N96" s="18"/>
      <c r="O96" s="18"/>
      <c r="P96" s="18"/>
      <c r="Q96" s="18"/>
      <c r="R96" s="18"/>
      <c r="S96" s="18"/>
      <c r="T96" s="18"/>
      <c r="U96" s="18"/>
      <c r="V96" s="18"/>
      <c r="W96" s="18"/>
      <c r="X96" s="18"/>
      <c r="Y96" s="18"/>
      <c r="Z96" s="18"/>
      <c r="AA96" s="18"/>
      <c r="AB96" s="18"/>
      <c r="AC96" s="18"/>
      <c r="AD96" s="18"/>
      <c r="AE96" s="18"/>
      <c r="AF96" s="18"/>
      <c r="AG96" s="18"/>
      <c r="AH96" s="53">
        <f t="shared" si="15"/>
        <v>274.82600000000002</v>
      </c>
    </row>
    <row r="97" spans="1:34" ht="15">
      <c r="A97" s="1249" t="s">
        <v>83</v>
      </c>
      <c r="B97" s="1250">
        <f t="shared" si="14"/>
        <v>0</v>
      </c>
      <c r="C97" s="45"/>
      <c r="D97" s="45"/>
      <c r="E97" s="45"/>
      <c r="F97" s="45"/>
      <c r="G97" s="45"/>
      <c r="H97" s="45"/>
      <c r="I97" s="45"/>
      <c r="J97" s="45"/>
      <c r="K97" s="45"/>
      <c r="L97" s="45"/>
      <c r="M97" s="45"/>
      <c r="N97" s="45"/>
      <c r="O97" s="45"/>
      <c r="P97" s="45"/>
      <c r="Q97" s="134" t="s">
        <v>401</v>
      </c>
      <c r="R97" s="134" t="s">
        <v>401</v>
      </c>
      <c r="S97" s="134" t="s">
        <v>401</v>
      </c>
      <c r="T97" s="134" t="s">
        <v>401</v>
      </c>
      <c r="U97" s="134" t="s">
        <v>401</v>
      </c>
      <c r="V97" s="134" t="s">
        <v>401</v>
      </c>
      <c r="W97" s="134" t="s">
        <v>401</v>
      </c>
      <c r="X97" s="134" t="s">
        <v>401</v>
      </c>
      <c r="Y97" s="134" t="s">
        <v>401</v>
      </c>
      <c r="Z97" s="134" t="s">
        <v>401</v>
      </c>
      <c r="AA97" s="134" t="s">
        <v>401</v>
      </c>
      <c r="AB97" s="134" t="s">
        <v>401</v>
      </c>
      <c r="AC97" s="134" t="s">
        <v>401</v>
      </c>
      <c r="AD97" s="134" t="s">
        <v>401</v>
      </c>
      <c r="AE97" s="134" t="s">
        <v>401</v>
      </c>
      <c r="AF97" s="134" t="s">
        <v>401</v>
      </c>
      <c r="AG97" s="134" t="s">
        <v>401</v>
      </c>
      <c r="AH97" s="53">
        <f t="shared" si="15"/>
        <v>0</v>
      </c>
    </row>
    <row r="98" spans="1:34" ht="15">
      <c r="A98" s="1249" t="s">
        <v>84</v>
      </c>
      <c r="B98" s="1250">
        <f t="shared" si="14"/>
        <v>0</v>
      </c>
      <c r="C98" s="134" t="s">
        <v>112</v>
      </c>
      <c r="D98" s="1961" t="s">
        <v>112</v>
      </c>
      <c r="E98" s="134" t="s">
        <v>112</v>
      </c>
      <c r="F98" s="134" t="s">
        <v>112</v>
      </c>
      <c r="G98" s="134" t="s">
        <v>112</v>
      </c>
      <c r="H98" s="134" t="s">
        <v>112</v>
      </c>
      <c r="I98" s="134" t="s">
        <v>112</v>
      </c>
      <c r="J98" s="134" t="s">
        <v>112</v>
      </c>
      <c r="K98" s="134" t="s">
        <v>112</v>
      </c>
      <c r="L98" s="134" t="s">
        <v>112</v>
      </c>
      <c r="M98" s="134" t="s">
        <v>112</v>
      </c>
      <c r="N98" s="134" t="s">
        <v>112</v>
      </c>
      <c r="O98" s="134" t="s">
        <v>112</v>
      </c>
      <c r="P98" s="134" t="s">
        <v>112</v>
      </c>
      <c r="Q98" s="134" t="s">
        <v>112</v>
      </c>
      <c r="R98" s="134" t="s">
        <v>112</v>
      </c>
      <c r="S98" s="134" t="s">
        <v>112</v>
      </c>
      <c r="T98" s="134" t="s">
        <v>112</v>
      </c>
      <c r="U98" s="134" t="s">
        <v>112</v>
      </c>
      <c r="V98" s="134" t="s">
        <v>112</v>
      </c>
      <c r="W98" s="134" t="s">
        <v>112</v>
      </c>
      <c r="X98" s="134" t="s">
        <v>112</v>
      </c>
      <c r="Y98" s="134" t="s">
        <v>112</v>
      </c>
      <c r="Z98" s="134" t="s">
        <v>112</v>
      </c>
      <c r="AA98" s="134" t="s">
        <v>112</v>
      </c>
      <c r="AB98" s="134" t="s">
        <v>112</v>
      </c>
      <c r="AC98" s="134" t="s">
        <v>112</v>
      </c>
      <c r="AD98" s="134" t="s">
        <v>112</v>
      </c>
      <c r="AE98" s="134" t="s">
        <v>112</v>
      </c>
      <c r="AF98" s="134" t="s">
        <v>112</v>
      </c>
      <c r="AG98" s="134" t="s">
        <v>112</v>
      </c>
      <c r="AH98" s="53">
        <f t="shared" si="15"/>
        <v>0</v>
      </c>
    </row>
    <row r="99" spans="1:34" ht="15">
      <c r="A99" s="1249" t="s">
        <v>85</v>
      </c>
      <c r="B99" s="28">
        <f t="shared" si="14"/>
        <v>2</v>
      </c>
      <c r="C99" s="134" t="s">
        <v>112</v>
      </c>
      <c r="D99" s="1961" t="s">
        <v>112</v>
      </c>
      <c r="E99" s="134" t="s">
        <v>112</v>
      </c>
      <c r="F99" s="134" t="s">
        <v>112</v>
      </c>
      <c r="G99" s="134">
        <v>2</v>
      </c>
      <c r="H99" s="134" t="s">
        <v>112</v>
      </c>
      <c r="I99" s="134" t="s">
        <v>112</v>
      </c>
      <c r="J99" s="134" t="s">
        <v>112</v>
      </c>
      <c r="K99" s="134" t="s">
        <v>112</v>
      </c>
      <c r="L99" s="134" t="s">
        <v>112</v>
      </c>
      <c r="M99" s="134" t="s">
        <v>112</v>
      </c>
      <c r="N99" s="134" t="s">
        <v>112</v>
      </c>
      <c r="O99" s="134" t="s">
        <v>112</v>
      </c>
      <c r="P99" s="134" t="s">
        <v>112</v>
      </c>
      <c r="Q99" s="134" t="s">
        <v>112</v>
      </c>
      <c r="R99" s="48"/>
      <c r="S99" s="48"/>
      <c r="T99" s="48"/>
      <c r="U99" s="48"/>
      <c r="V99" s="48"/>
      <c r="W99" s="48"/>
      <c r="X99" s="48"/>
      <c r="Y99" s="48"/>
      <c r="Z99" s="48"/>
      <c r="AA99" s="48"/>
      <c r="AB99" s="48"/>
      <c r="AC99" s="48"/>
      <c r="AD99" s="48"/>
      <c r="AE99" s="48"/>
      <c r="AF99" s="48"/>
      <c r="AG99" s="45"/>
      <c r="AH99" s="53">
        <f t="shared" si="15"/>
        <v>2</v>
      </c>
    </row>
    <row r="100" spans="1:34" ht="15">
      <c r="A100" s="1249" t="s">
        <v>86</v>
      </c>
      <c r="B100" s="28">
        <f t="shared" si="14"/>
        <v>0</v>
      </c>
      <c r="C100" s="49"/>
      <c r="D100" s="18"/>
      <c r="E100" s="18"/>
      <c r="F100" s="18"/>
      <c r="G100" s="18"/>
      <c r="H100" s="18"/>
      <c r="I100" s="18"/>
      <c r="J100" s="49"/>
      <c r="K100" s="49"/>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53">
        <f t="shared" si="15"/>
        <v>0</v>
      </c>
    </row>
    <row r="101" spans="1:34" ht="15">
      <c r="A101" s="88" t="s">
        <v>74</v>
      </c>
      <c r="B101" s="90">
        <f>SUM(B89:B100)</f>
        <v>2339.0749999999998</v>
      </c>
      <c r="C101" s="46">
        <f>SUM(C89:C99)</f>
        <v>182.48999999999998</v>
      </c>
      <c r="D101" s="53">
        <f>SUM(D89:D99)</f>
        <v>25.48</v>
      </c>
      <c r="E101" s="53">
        <v>0</v>
      </c>
      <c r="F101" s="53">
        <f t="shared" ref="F101:AC101" si="16">SUM(F89:F99)</f>
        <v>84.807000000000002</v>
      </c>
      <c r="G101" s="53">
        <f t="shared" si="16"/>
        <v>179.91899999999998</v>
      </c>
      <c r="H101" s="53">
        <f t="shared" si="16"/>
        <v>170.76799999999997</v>
      </c>
      <c r="I101" s="53">
        <f t="shared" si="16"/>
        <v>142.965</v>
      </c>
      <c r="J101" s="53">
        <f t="shared" si="16"/>
        <v>71.268000000000001</v>
      </c>
      <c r="K101" s="53">
        <f t="shared" si="16"/>
        <v>182.12299999999999</v>
      </c>
      <c r="L101" s="53">
        <f t="shared" si="16"/>
        <v>0</v>
      </c>
      <c r="M101" s="53">
        <f t="shared" si="16"/>
        <v>85.233000000000004</v>
      </c>
      <c r="N101" s="53">
        <f t="shared" si="16"/>
        <v>0</v>
      </c>
      <c r="O101" s="53">
        <f t="shared" si="16"/>
        <v>37.840000000000003</v>
      </c>
      <c r="P101" s="53">
        <f t="shared" si="16"/>
        <v>163.703</v>
      </c>
      <c r="Q101" s="53">
        <f t="shared" si="16"/>
        <v>4.18</v>
      </c>
      <c r="R101" s="53">
        <f t="shared" si="16"/>
        <v>116.851</v>
      </c>
      <c r="S101" s="53">
        <f t="shared" si="16"/>
        <v>0</v>
      </c>
      <c r="T101" s="53">
        <f t="shared" si="16"/>
        <v>33.18</v>
      </c>
      <c r="U101" s="53">
        <f t="shared" si="16"/>
        <v>0</v>
      </c>
      <c r="V101" s="53">
        <f t="shared" si="16"/>
        <v>24.91</v>
      </c>
      <c r="W101" s="53">
        <f t="shared" si="16"/>
        <v>125.36799999999999</v>
      </c>
      <c r="X101" s="53">
        <f t="shared" si="16"/>
        <v>66.147000000000006</v>
      </c>
      <c r="Y101" s="53">
        <f t="shared" si="16"/>
        <v>91.714000000000013</v>
      </c>
      <c r="Z101" s="53">
        <f t="shared" si="16"/>
        <v>3.74</v>
      </c>
      <c r="AA101" s="53">
        <f t="shared" si="16"/>
        <v>93.902999999999992</v>
      </c>
      <c r="AB101" s="53">
        <f t="shared" si="16"/>
        <v>85.191000000000003</v>
      </c>
      <c r="AC101" s="53">
        <f t="shared" si="16"/>
        <v>14.170999999999999</v>
      </c>
      <c r="AD101" s="53">
        <v>0</v>
      </c>
      <c r="AE101" s="53">
        <f>SUM(AE89:AE99)</f>
        <v>0</v>
      </c>
      <c r="AF101" s="53">
        <f>SUM(AF89:AF99)</f>
        <v>0</v>
      </c>
      <c r="AG101" s="53">
        <f>SUM(AG89:AG99)</f>
        <v>1.5</v>
      </c>
      <c r="AH101" s="46">
        <f>SUM(AH89:AH100)</f>
        <v>2339.0749999999998</v>
      </c>
    </row>
    <row r="102" spans="1:34" ht="15">
      <c r="A102" s="14"/>
      <c r="B102" s="70"/>
      <c r="C102" s="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row>
    <row r="103" spans="1:34" ht="15">
      <c r="A103" s="3585" t="s">
        <v>64</v>
      </c>
      <c r="B103" s="3586"/>
      <c r="C103" s="3586"/>
      <c r="D103" s="3586"/>
      <c r="E103" s="3586"/>
      <c r="F103" s="3586"/>
      <c r="G103" s="3586"/>
      <c r="H103" s="3587"/>
      <c r="I103" s="960"/>
      <c r="J103" s="82"/>
      <c r="K103" s="82"/>
      <c r="L103" s="82"/>
      <c r="M103" s="82"/>
      <c r="N103" s="82"/>
      <c r="O103" s="82"/>
      <c r="P103" s="82"/>
      <c r="Q103" s="82"/>
      <c r="R103" s="82"/>
      <c r="S103" s="82"/>
      <c r="T103" s="82"/>
      <c r="U103" s="82"/>
      <c r="V103" s="82"/>
      <c r="W103" s="82"/>
      <c r="X103" s="82"/>
      <c r="Y103" s="82"/>
      <c r="Z103" s="82"/>
      <c r="AA103" s="82"/>
      <c r="AB103" s="82"/>
      <c r="AC103" s="82"/>
      <c r="AD103" s="82"/>
      <c r="AE103" s="82"/>
      <c r="AF103" s="82"/>
      <c r="AG103" s="82"/>
      <c r="AH103" s="82"/>
    </row>
    <row r="104" spans="1:34" ht="15">
      <c r="A104" s="5" t="s">
        <v>91</v>
      </c>
      <c r="B104" s="71" t="s">
        <v>73</v>
      </c>
      <c r="C104" s="1249">
        <v>1</v>
      </c>
      <c r="D104" s="30">
        <v>2</v>
      </c>
      <c r="E104" s="30">
        <v>3</v>
      </c>
      <c r="F104" s="30">
        <v>4</v>
      </c>
      <c r="G104" s="30">
        <v>5</v>
      </c>
      <c r="H104" s="30">
        <v>6</v>
      </c>
      <c r="I104" s="30">
        <v>7</v>
      </c>
      <c r="J104" s="30">
        <v>8</v>
      </c>
      <c r="K104" s="30">
        <v>9</v>
      </c>
      <c r="L104" s="30">
        <v>10</v>
      </c>
      <c r="M104" s="30">
        <v>11</v>
      </c>
      <c r="N104" s="30">
        <v>12</v>
      </c>
      <c r="O104" s="30">
        <v>13</v>
      </c>
      <c r="P104" s="30">
        <v>14</v>
      </c>
      <c r="Q104" s="30">
        <v>15</v>
      </c>
      <c r="R104" s="30">
        <v>16</v>
      </c>
      <c r="S104" s="30">
        <v>17</v>
      </c>
      <c r="T104" s="30">
        <v>18</v>
      </c>
      <c r="U104" s="30">
        <v>19</v>
      </c>
      <c r="V104" s="30">
        <v>20</v>
      </c>
      <c r="W104" s="30">
        <v>21</v>
      </c>
      <c r="X104" s="30">
        <v>22</v>
      </c>
      <c r="Y104" s="30">
        <v>23</v>
      </c>
      <c r="Z104" s="30">
        <v>24</v>
      </c>
      <c r="AA104" s="30">
        <v>25</v>
      </c>
      <c r="AB104" s="30">
        <v>26</v>
      </c>
      <c r="AC104" s="30">
        <v>27</v>
      </c>
      <c r="AD104" s="30">
        <v>28</v>
      </c>
      <c r="AE104" s="30">
        <v>29</v>
      </c>
      <c r="AF104" s="30">
        <v>30</v>
      </c>
      <c r="AG104" s="30">
        <v>31</v>
      </c>
      <c r="AH104" s="39" t="s">
        <v>74</v>
      </c>
    </row>
    <row r="105" spans="1:34" ht="15">
      <c r="A105" s="1962" t="s">
        <v>75</v>
      </c>
      <c r="B105" s="1250">
        <f t="shared" ref="B105:B116" si="17">+AH105</f>
        <v>196</v>
      </c>
      <c r="C105" s="49"/>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49">
        <v>79.239999999999995</v>
      </c>
      <c r="AF105" s="18">
        <v>116.76</v>
      </c>
      <c r="AG105" s="18"/>
      <c r="AH105" s="53">
        <f>SUM(C105:AG105)</f>
        <v>196</v>
      </c>
    </row>
    <row r="106" spans="1:34" ht="15">
      <c r="A106" s="1962" t="s">
        <v>76</v>
      </c>
      <c r="B106" s="1250">
        <f t="shared" si="17"/>
        <v>592.74199999999996</v>
      </c>
      <c r="C106" s="1287"/>
      <c r="D106" s="1287"/>
      <c r="E106" s="1287"/>
      <c r="F106" s="1287"/>
      <c r="G106" s="1287"/>
      <c r="H106" s="1287">
        <v>37.686</v>
      </c>
      <c r="I106" s="1287"/>
      <c r="J106" s="1287">
        <v>94.78</v>
      </c>
      <c r="K106" s="1287"/>
      <c r="L106" s="1287">
        <v>60.067999999999998</v>
      </c>
      <c r="M106" s="1287"/>
      <c r="N106" s="1287"/>
      <c r="O106" s="1287">
        <v>6.1</v>
      </c>
      <c r="P106" s="1287">
        <f>72.92+43.81</f>
        <v>116.73</v>
      </c>
      <c r="Q106" s="1287"/>
      <c r="R106" s="1287">
        <v>33.619999999999997</v>
      </c>
      <c r="S106" s="1287"/>
      <c r="T106" s="1287"/>
      <c r="U106" s="1287">
        <v>19.667999999999999</v>
      </c>
      <c r="V106" s="1287">
        <f>67.86+18.59</f>
        <v>86.45</v>
      </c>
      <c r="W106" s="1287"/>
      <c r="X106" s="1287">
        <v>68.84</v>
      </c>
      <c r="Y106" s="1287">
        <v>68.8</v>
      </c>
      <c r="Z106" s="1287"/>
      <c r="AA106" s="1287"/>
      <c r="AB106" s="1287"/>
      <c r="AC106" s="1287"/>
      <c r="AD106" s="1287"/>
      <c r="AE106" s="1287"/>
      <c r="AF106" s="1287"/>
      <c r="AG106" s="1287"/>
      <c r="AH106" s="53">
        <f t="shared" ref="AH106:AH116" si="18">SUM(C106:AG106)</f>
        <v>592.74199999999996</v>
      </c>
    </row>
    <row r="107" spans="1:34" ht="15">
      <c r="A107" s="1962" t="s">
        <v>77</v>
      </c>
      <c r="B107" s="1250">
        <f t="shared" si="17"/>
        <v>262.02</v>
      </c>
      <c r="C107" s="49"/>
      <c r="D107" s="18"/>
      <c r="E107" s="18"/>
      <c r="F107" s="18"/>
      <c r="G107" s="18">
        <f>63.671+12.359</f>
        <v>76.03</v>
      </c>
      <c r="H107" s="18">
        <v>71.89</v>
      </c>
      <c r="I107" s="3441">
        <f>62.68+14.7</f>
        <v>77.38</v>
      </c>
      <c r="J107" s="18"/>
      <c r="K107" s="18"/>
      <c r="L107" s="18"/>
      <c r="M107" s="3441">
        <v>36.72</v>
      </c>
      <c r="N107" s="18"/>
      <c r="O107" s="18"/>
      <c r="P107" s="18"/>
      <c r="Q107" s="1280"/>
      <c r="R107" s="1280"/>
      <c r="S107" s="1280"/>
      <c r="T107" s="1280"/>
      <c r="U107" s="1280"/>
      <c r="V107" s="1280"/>
      <c r="W107" s="1280"/>
      <c r="X107" s="1280"/>
      <c r="Y107" s="1280"/>
      <c r="Z107" s="1280"/>
      <c r="AA107" s="1280"/>
      <c r="AB107" s="1280"/>
      <c r="AC107" s="1280"/>
      <c r="AD107" s="1280"/>
      <c r="AE107" s="1280"/>
      <c r="AF107" s="1280"/>
      <c r="AG107" s="1280"/>
      <c r="AH107" s="53">
        <f t="shared" si="18"/>
        <v>262.02</v>
      </c>
    </row>
    <row r="108" spans="1:34" ht="15">
      <c r="A108" s="1962" t="s">
        <v>78</v>
      </c>
      <c r="B108" s="1250">
        <f t="shared" si="17"/>
        <v>323.96299999999997</v>
      </c>
      <c r="C108" s="3441">
        <v>72.852999999999994</v>
      </c>
      <c r="D108" s="1280"/>
      <c r="E108" s="3441">
        <v>27.24</v>
      </c>
      <c r="F108" s="3441">
        <f>29.78+68.07</f>
        <v>97.85</v>
      </c>
      <c r="G108" s="1280"/>
      <c r="H108" s="3441">
        <v>22.21</v>
      </c>
      <c r="I108" s="1280"/>
      <c r="J108" s="1280"/>
      <c r="K108" s="3441">
        <v>38.53</v>
      </c>
      <c r="L108" s="1280"/>
      <c r="M108" s="1280"/>
      <c r="N108" s="1280"/>
      <c r="O108" s="3441">
        <f>21.57+43.71</f>
        <v>65.28</v>
      </c>
      <c r="P108" s="1280"/>
      <c r="Q108" s="1280"/>
      <c r="R108" s="1280"/>
      <c r="S108" s="1280"/>
      <c r="T108" s="1280"/>
      <c r="U108" s="1280"/>
      <c r="V108" s="1280"/>
      <c r="W108" s="1280"/>
      <c r="X108" s="1280"/>
      <c r="Y108" s="1280"/>
      <c r="Z108" s="1280"/>
      <c r="AA108" s="1280"/>
      <c r="AB108" s="1280"/>
      <c r="AC108" s="1280"/>
      <c r="AD108" s="1280"/>
      <c r="AE108" s="1280"/>
      <c r="AF108" s="1280" t="s">
        <v>112</v>
      </c>
      <c r="AG108" s="1280" t="s">
        <v>112</v>
      </c>
      <c r="AH108" s="53">
        <f t="shared" si="18"/>
        <v>323.96299999999997</v>
      </c>
    </row>
    <row r="109" spans="1:34" ht="15">
      <c r="A109" s="1962" t="s">
        <v>79</v>
      </c>
      <c r="B109" s="1250">
        <f t="shared" si="17"/>
        <v>68.56</v>
      </c>
      <c r="C109" s="1280" t="s">
        <v>112</v>
      </c>
      <c r="D109" s="1280" t="s">
        <v>112</v>
      </c>
      <c r="E109" s="1280" t="s">
        <v>112</v>
      </c>
      <c r="F109" s="1280" t="s">
        <v>112</v>
      </c>
      <c r="G109" s="1280" t="s">
        <v>112</v>
      </c>
      <c r="H109" s="1280" t="s">
        <v>112</v>
      </c>
      <c r="I109" s="1280" t="s">
        <v>112</v>
      </c>
      <c r="J109" s="1280" t="s">
        <v>112</v>
      </c>
      <c r="K109" s="1280" t="s">
        <v>112</v>
      </c>
      <c r="L109" s="1280" t="s">
        <v>112</v>
      </c>
      <c r="M109" s="1280" t="s">
        <v>112</v>
      </c>
      <c r="N109" s="1280" t="s">
        <v>112</v>
      </c>
      <c r="O109" s="1280" t="s">
        <v>112</v>
      </c>
      <c r="P109" s="1280" t="s">
        <v>112</v>
      </c>
      <c r="Q109" s="1280" t="s">
        <v>112</v>
      </c>
      <c r="R109" s="18"/>
      <c r="S109" s="3441">
        <v>68.56</v>
      </c>
      <c r="T109" s="18"/>
      <c r="U109" s="18"/>
      <c r="V109" s="18"/>
      <c r="W109" s="18"/>
      <c r="X109" s="18"/>
      <c r="Y109" s="18"/>
      <c r="Z109" s="18"/>
      <c r="AA109" s="18"/>
      <c r="AB109" s="18"/>
      <c r="AC109" s="18"/>
      <c r="AD109" s="18"/>
      <c r="AE109" s="18"/>
      <c r="AF109" s="18"/>
      <c r="AG109" s="18"/>
      <c r="AH109" s="53">
        <f t="shared" si="18"/>
        <v>68.56</v>
      </c>
    </row>
    <row r="110" spans="1:34" ht="15">
      <c r="A110" s="1962" t="s">
        <v>80</v>
      </c>
      <c r="B110" s="1250">
        <f t="shared" si="17"/>
        <v>0</v>
      </c>
      <c r="C110" s="1287"/>
      <c r="D110" s="1287"/>
      <c r="E110" s="1287"/>
      <c r="F110" s="1287"/>
      <c r="G110" s="1287">
        <v>0</v>
      </c>
      <c r="H110" s="1287"/>
      <c r="I110" s="1287"/>
      <c r="J110" s="1287"/>
      <c r="K110" s="1287"/>
      <c r="L110" s="1287"/>
      <c r="M110" s="1287"/>
      <c r="N110" s="1287"/>
      <c r="O110" s="1287"/>
      <c r="P110" s="1287"/>
      <c r="Q110" s="1287"/>
      <c r="R110" s="1287"/>
      <c r="S110" s="1287"/>
      <c r="T110" s="1287"/>
      <c r="U110" s="1287"/>
      <c r="V110" s="1287"/>
      <c r="W110" s="1287"/>
      <c r="X110" s="1287"/>
      <c r="Y110" s="1287"/>
      <c r="Z110" s="1287"/>
      <c r="AA110" s="1287"/>
      <c r="AB110" s="1287"/>
      <c r="AC110" s="1287"/>
      <c r="AD110" s="1287"/>
      <c r="AE110" s="1287"/>
      <c r="AF110" s="1287"/>
      <c r="AG110" s="1287"/>
      <c r="AH110" s="53">
        <f t="shared" si="18"/>
        <v>0</v>
      </c>
    </row>
    <row r="111" spans="1:34" ht="15">
      <c r="A111" s="1249" t="s">
        <v>81</v>
      </c>
      <c r="B111" s="1250">
        <f t="shared" si="17"/>
        <v>129.68</v>
      </c>
      <c r="C111" s="1287"/>
      <c r="D111" s="1287"/>
      <c r="E111" s="1287"/>
      <c r="F111" s="1287"/>
      <c r="G111" s="1287"/>
      <c r="H111" s="3441">
        <v>68.72</v>
      </c>
      <c r="I111" s="1287"/>
      <c r="J111" s="3441">
        <v>60.96</v>
      </c>
      <c r="K111" s="1287"/>
      <c r="L111" s="1287"/>
      <c r="M111" s="1287"/>
      <c r="N111" s="1287"/>
      <c r="O111" s="1287"/>
      <c r="P111" s="1287"/>
      <c r="Q111" s="1287"/>
      <c r="R111" s="1287"/>
      <c r="S111" s="1287"/>
      <c r="T111" s="1287"/>
      <c r="U111" s="1287"/>
      <c r="V111" s="1287"/>
      <c r="W111" s="1287"/>
      <c r="X111" s="1287"/>
      <c r="Y111" s="1287"/>
      <c r="Z111" s="1287"/>
      <c r="AA111" s="1287"/>
      <c r="AB111" s="1287"/>
      <c r="AC111" s="1287"/>
      <c r="AD111" s="1287"/>
      <c r="AE111" s="1287"/>
      <c r="AF111" s="1287"/>
      <c r="AG111" s="1287"/>
      <c r="AH111" s="53">
        <f t="shared" si="18"/>
        <v>129.68</v>
      </c>
    </row>
    <row r="112" spans="1:34" ht="15">
      <c r="A112" s="1249" t="s">
        <v>82</v>
      </c>
      <c r="B112" s="1250">
        <f t="shared" si="17"/>
        <v>105.49</v>
      </c>
      <c r="C112" s="49"/>
      <c r="D112" s="18"/>
      <c r="E112" s="18"/>
      <c r="F112" s="18"/>
      <c r="G112" s="18"/>
      <c r="H112" s="18"/>
      <c r="I112" s="18"/>
      <c r="J112" s="49"/>
      <c r="K112" s="3441">
        <v>56.12</v>
      </c>
      <c r="L112" s="18"/>
      <c r="M112" s="18"/>
      <c r="N112" s="18"/>
      <c r="O112" s="18"/>
      <c r="P112" s="3441">
        <v>49.37</v>
      </c>
      <c r="Q112" s="18"/>
      <c r="R112" s="18"/>
      <c r="S112" s="18"/>
      <c r="T112" s="18"/>
      <c r="U112" s="18"/>
      <c r="V112" s="18"/>
      <c r="W112" s="18"/>
      <c r="X112" s="18"/>
      <c r="Y112" s="18"/>
      <c r="Z112" s="18"/>
      <c r="AA112" s="18"/>
      <c r="AB112" s="18"/>
      <c r="AC112" s="18"/>
      <c r="AD112" s="18"/>
      <c r="AE112" s="18"/>
      <c r="AF112" s="18"/>
      <c r="AG112" s="18"/>
      <c r="AH112" s="53">
        <f t="shared" si="18"/>
        <v>105.49</v>
      </c>
    </row>
    <row r="113" spans="1:34" ht="15">
      <c r="A113" s="1249" t="s">
        <v>83</v>
      </c>
      <c r="B113" s="1250">
        <f t="shared" si="17"/>
        <v>5.5640000000000001</v>
      </c>
      <c r="C113" s="45"/>
      <c r="D113" s="45"/>
      <c r="E113" s="45"/>
      <c r="F113" s="3440">
        <v>5.5640000000000001</v>
      </c>
      <c r="G113" s="45"/>
      <c r="H113" s="45"/>
      <c r="I113" s="45"/>
      <c r="J113" s="45"/>
      <c r="K113" s="45"/>
      <c r="L113" s="45"/>
      <c r="M113" s="45"/>
      <c r="N113" s="45"/>
      <c r="O113" s="45"/>
      <c r="P113" s="45"/>
      <c r="Q113" s="134" t="s">
        <v>401</v>
      </c>
      <c r="R113" s="134" t="s">
        <v>401</v>
      </c>
      <c r="S113" s="134" t="s">
        <v>401</v>
      </c>
      <c r="T113" s="134" t="s">
        <v>401</v>
      </c>
      <c r="U113" s="134" t="s">
        <v>401</v>
      </c>
      <c r="V113" s="134" t="s">
        <v>401</v>
      </c>
      <c r="W113" s="134" t="s">
        <v>401</v>
      </c>
      <c r="X113" s="134" t="s">
        <v>401</v>
      </c>
      <c r="Y113" s="134" t="s">
        <v>401</v>
      </c>
      <c r="Z113" s="134" t="s">
        <v>401</v>
      </c>
      <c r="AA113" s="134" t="s">
        <v>401</v>
      </c>
      <c r="AB113" s="134" t="s">
        <v>401</v>
      </c>
      <c r="AC113" s="134" t="s">
        <v>401</v>
      </c>
      <c r="AD113" s="134" t="s">
        <v>401</v>
      </c>
      <c r="AE113" s="134" t="s">
        <v>401</v>
      </c>
      <c r="AF113" s="134" t="s">
        <v>401</v>
      </c>
      <c r="AG113" s="134" t="s">
        <v>401</v>
      </c>
      <c r="AH113" s="53">
        <f t="shared" si="18"/>
        <v>5.5640000000000001</v>
      </c>
    </row>
    <row r="114" spans="1:34" ht="15">
      <c r="A114" s="1249" t="s">
        <v>84</v>
      </c>
      <c r="B114" s="28">
        <f t="shared" si="17"/>
        <v>1.2</v>
      </c>
      <c r="C114" s="134" t="s">
        <v>112</v>
      </c>
      <c r="D114" s="1961" t="s">
        <v>112</v>
      </c>
      <c r="E114" s="134" t="s">
        <v>112</v>
      </c>
      <c r="F114" s="134" t="s">
        <v>112</v>
      </c>
      <c r="G114" s="134" t="s">
        <v>112</v>
      </c>
      <c r="H114" s="134" t="s">
        <v>112</v>
      </c>
      <c r="I114" s="134" t="s">
        <v>112</v>
      </c>
      <c r="J114" s="134" t="s">
        <v>112</v>
      </c>
      <c r="K114" s="134" t="s">
        <v>112</v>
      </c>
      <c r="L114" s="134" t="s">
        <v>112</v>
      </c>
      <c r="M114" s="3440">
        <v>1</v>
      </c>
      <c r="N114" s="134" t="s">
        <v>112</v>
      </c>
      <c r="O114" s="134" t="s">
        <v>112</v>
      </c>
      <c r="P114" s="134" t="s">
        <v>112</v>
      </c>
      <c r="Q114" s="134" t="s">
        <v>112</v>
      </c>
      <c r="R114" s="134" t="s">
        <v>112</v>
      </c>
      <c r="S114" s="3440">
        <v>0.2</v>
      </c>
      <c r="T114" s="134" t="s">
        <v>112</v>
      </c>
      <c r="U114" s="134" t="s">
        <v>112</v>
      </c>
      <c r="V114" s="134" t="s">
        <v>112</v>
      </c>
      <c r="W114" s="134" t="s">
        <v>112</v>
      </c>
      <c r="X114" s="134" t="s">
        <v>112</v>
      </c>
      <c r="Y114" s="134" t="s">
        <v>112</v>
      </c>
      <c r="Z114" s="134" t="s">
        <v>112</v>
      </c>
      <c r="AA114" s="134" t="s">
        <v>112</v>
      </c>
      <c r="AB114" s="134" t="s">
        <v>112</v>
      </c>
      <c r="AC114" s="134" t="s">
        <v>112</v>
      </c>
      <c r="AD114" s="134" t="s">
        <v>112</v>
      </c>
      <c r="AE114" s="134" t="s">
        <v>112</v>
      </c>
      <c r="AF114" s="134" t="s">
        <v>112</v>
      </c>
      <c r="AG114" s="134" t="s">
        <v>112</v>
      </c>
      <c r="AH114" s="53">
        <f t="shared" si="18"/>
        <v>1.2</v>
      </c>
    </row>
    <row r="115" spans="1:34" ht="15">
      <c r="A115" s="1249" t="s">
        <v>85</v>
      </c>
      <c r="B115" s="28">
        <f t="shared" si="17"/>
        <v>344.21099999999996</v>
      </c>
      <c r="C115" s="134" t="s">
        <v>112</v>
      </c>
      <c r="D115" s="1961" t="s">
        <v>112</v>
      </c>
      <c r="E115" s="134" t="s">
        <v>112</v>
      </c>
      <c r="F115" s="134" t="s">
        <v>112</v>
      </c>
      <c r="G115" s="134" t="s">
        <v>112</v>
      </c>
      <c r="H115" s="134" t="s">
        <v>112</v>
      </c>
      <c r="I115" s="134" t="s">
        <v>112</v>
      </c>
      <c r="J115" s="134" t="s">
        <v>112</v>
      </c>
      <c r="K115" s="134" t="s">
        <v>112</v>
      </c>
      <c r="L115" s="134" t="s">
        <v>112</v>
      </c>
      <c r="M115" s="134" t="s">
        <v>112</v>
      </c>
      <c r="N115" s="134" t="s">
        <v>112</v>
      </c>
      <c r="O115" s="134" t="s">
        <v>112</v>
      </c>
      <c r="P115" s="134" t="s">
        <v>112</v>
      </c>
      <c r="Q115" s="134" t="s">
        <v>112</v>
      </c>
      <c r="R115" s="48"/>
      <c r="S115" s="48"/>
      <c r="T115" s="48"/>
      <c r="U115" s="48"/>
      <c r="V115" s="3439">
        <v>56.54</v>
      </c>
      <c r="W115" s="48"/>
      <c r="X115" s="3439">
        <v>49.652999999999999</v>
      </c>
      <c r="Y115" s="3439">
        <v>54.18</v>
      </c>
      <c r="Z115" s="48"/>
      <c r="AA115" s="48"/>
      <c r="AB115" s="3439">
        <v>62.56</v>
      </c>
      <c r="AC115" s="3439">
        <v>66.709999999999994</v>
      </c>
      <c r="AD115" s="48"/>
      <c r="AE115" s="48"/>
      <c r="AF115" s="3439">
        <v>54.567999999999998</v>
      </c>
      <c r="AG115" s="45"/>
      <c r="AH115" s="53">
        <f t="shared" si="18"/>
        <v>344.21099999999996</v>
      </c>
    </row>
    <row r="116" spans="1:34" ht="15">
      <c r="A116" s="1249" t="s">
        <v>86</v>
      </c>
      <c r="B116" s="28">
        <f t="shared" si="17"/>
        <v>0</v>
      </c>
      <c r="C116" s="49"/>
      <c r="D116" s="49"/>
      <c r="E116" s="49"/>
      <c r="F116" s="49"/>
      <c r="G116" s="49"/>
      <c r="H116" s="49"/>
      <c r="I116" s="49"/>
      <c r="J116" s="49"/>
      <c r="K116" s="49"/>
      <c r="L116" s="49"/>
      <c r="M116" s="49"/>
      <c r="N116" s="49"/>
      <c r="O116" s="18"/>
      <c r="P116" s="18"/>
      <c r="Q116" s="18"/>
      <c r="R116" s="18"/>
      <c r="S116" s="18"/>
      <c r="T116" s="18"/>
      <c r="U116" s="18"/>
      <c r="V116" s="18"/>
      <c r="W116" s="18"/>
      <c r="X116" s="18"/>
      <c r="Y116" s="18"/>
      <c r="Z116" s="18"/>
      <c r="AA116" s="18"/>
      <c r="AB116" s="18"/>
      <c r="AC116" s="18"/>
      <c r="AD116" s="18"/>
      <c r="AE116" s="53"/>
      <c r="AF116" s="18"/>
      <c r="AG116" s="53"/>
      <c r="AH116" s="53">
        <f t="shared" si="18"/>
        <v>0</v>
      </c>
    </row>
    <row r="117" spans="1:34" ht="15">
      <c r="A117" s="88" t="s">
        <v>74</v>
      </c>
      <c r="B117" s="90">
        <f>SUM(B105:B116)</f>
        <v>2029.43</v>
      </c>
      <c r="C117" s="46">
        <f>SUM(C105:C115)</f>
        <v>72.852999999999994</v>
      </c>
      <c r="D117" s="53">
        <f>SUM(D105:D115)</f>
        <v>0</v>
      </c>
      <c r="E117" s="53">
        <v>0</v>
      </c>
      <c r="F117" s="53">
        <f t="shared" ref="F117:AC117" si="19">SUM(F105:F115)</f>
        <v>103.41399999999999</v>
      </c>
      <c r="G117" s="53">
        <f t="shared" si="19"/>
        <v>76.03</v>
      </c>
      <c r="H117" s="53">
        <f t="shared" si="19"/>
        <v>200.506</v>
      </c>
      <c r="I117" s="53">
        <f t="shared" si="19"/>
        <v>77.38</v>
      </c>
      <c r="J117" s="53">
        <f t="shared" si="19"/>
        <v>155.74</v>
      </c>
      <c r="K117" s="53">
        <f t="shared" si="19"/>
        <v>94.65</v>
      </c>
      <c r="L117" s="53">
        <f t="shared" si="19"/>
        <v>60.067999999999998</v>
      </c>
      <c r="M117" s="53">
        <f t="shared" si="19"/>
        <v>37.72</v>
      </c>
      <c r="N117" s="53">
        <f t="shared" si="19"/>
        <v>0</v>
      </c>
      <c r="O117" s="53">
        <f t="shared" si="19"/>
        <v>71.38</v>
      </c>
      <c r="P117" s="53">
        <f t="shared" si="19"/>
        <v>166.1</v>
      </c>
      <c r="Q117" s="53">
        <f t="shared" si="19"/>
        <v>0</v>
      </c>
      <c r="R117" s="53">
        <f t="shared" si="19"/>
        <v>33.619999999999997</v>
      </c>
      <c r="S117" s="53">
        <f t="shared" si="19"/>
        <v>68.760000000000005</v>
      </c>
      <c r="T117" s="53">
        <f t="shared" si="19"/>
        <v>0</v>
      </c>
      <c r="U117" s="53">
        <f t="shared" si="19"/>
        <v>19.667999999999999</v>
      </c>
      <c r="V117" s="53">
        <f t="shared" si="19"/>
        <v>142.99</v>
      </c>
      <c r="W117" s="53">
        <f t="shared" si="19"/>
        <v>0</v>
      </c>
      <c r="X117" s="53">
        <f t="shared" si="19"/>
        <v>118.49299999999999</v>
      </c>
      <c r="Y117" s="53">
        <f t="shared" si="19"/>
        <v>122.97999999999999</v>
      </c>
      <c r="Z117" s="53">
        <f t="shared" si="19"/>
        <v>0</v>
      </c>
      <c r="AA117" s="53">
        <f t="shared" si="19"/>
        <v>0</v>
      </c>
      <c r="AB117" s="53">
        <f t="shared" si="19"/>
        <v>62.56</v>
      </c>
      <c r="AC117" s="53">
        <f t="shared" si="19"/>
        <v>66.709999999999994</v>
      </c>
      <c r="AD117" s="53">
        <v>0</v>
      </c>
      <c r="AE117" s="53">
        <f>SUM(AE105:AE115)</f>
        <v>79.239999999999995</v>
      </c>
      <c r="AF117" s="53">
        <f>SUM(AF105:AF115)</f>
        <v>171.328</v>
      </c>
      <c r="AG117" s="53">
        <f>SUM(AG105:AG115)</f>
        <v>0</v>
      </c>
      <c r="AH117" s="46">
        <f>SUM(AH105:AH116)</f>
        <v>2029.43</v>
      </c>
    </row>
    <row r="118" spans="1:34" ht="15">
      <c r="A118" s="14"/>
      <c r="B118" s="14"/>
      <c r="C118" s="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
    </row>
    <row r="119" spans="1:34" ht="15">
      <c r="A119" s="3585" t="s">
        <v>123</v>
      </c>
      <c r="B119" s="3586"/>
      <c r="C119" s="3586"/>
      <c r="D119" s="3586"/>
      <c r="E119" s="3586"/>
      <c r="F119" s="3586"/>
      <c r="G119" s="3586"/>
      <c r="H119" s="3587"/>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row>
    <row r="120" spans="1:34" ht="16.5">
      <c r="A120" s="5" t="s">
        <v>72</v>
      </c>
      <c r="B120" s="5" t="s">
        <v>73</v>
      </c>
      <c r="C120" s="1495">
        <v>1</v>
      </c>
      <c r="D120" s="30">
        <v>2</v>
      </c>
      <c r="E120" s="30">
        <v>3</v>
      </c>
      <c r="F120" s="30">
        <v>4</v>
      </c>
      <c r="G120" s="30">
        <v>5</v>
      </c>
      <c r="H120" s="30">
        <v>6</v>
      </c>
      <c r="I120" s="30">
        <v>7</v>
      </c>
      <c r="J120" s="30">
        <v>8</v>
      </c>
      <c r="K120" s="30">
        <v>9</v>
      </c>
      <c r="L120" s="30">
        <v>10</v>
      </c>
      <c r="M120" s="30">
        <v>11</v>
      </c>
      <c r="N120" s="30">
        <v>12</v>
      </c>
      <c r="O120" s="30">
        <v>13</v>
      </c>
      <c r="P120" s="30">
        <v>14</v>
      </c>
      <c r="Q120" s="30">
        <v>15</v>
      </c>
      <c r="R120" s="30">
        <v>16</v>
      </c>
      <c r="S120" s="30">
        <v>17</v>
      </c>
      <c r="T120" s="30">
        <v>18</v>
      </c>
      <c r="U120" s="30">
        <v>19</v>
      </c>
      <c r="V120" s="30">
        <v>20</v>
      </c>
      <c r="W120" s="30">
        <v>21</v>
      </c>
      <c r="X120" s="30">
        <v>22</v>
      </c>
      <c r="Y120" s="30">
        <v>23</v>
      </c>
      <c r="Z120" s="30">
        <v>24</v>
      </c>
      <c r="AA120" s="30">
        <v>25</v>
      </c>
      <c r="AB120" s="30">
        <v>26</v>
      </c>
      <c r="AC120" s="30">
        <v>27</v>
      </c>
      <c r="AD120" s="30">
        <v>28</v>
      </c>
      <c r="AE120" s="30">
        <v>29</v>
      </c>
      <c r="AF120" s="30">
        <v>30</v>
      </c>
      <c r="AG120" s="30">
        <v>31</v>
      </c>
      <c r="AH120" s="39" t="s">
        <v>74</v>
      </c>
    </row>
    <row r="121" spans="1:34" ht="15">
      <c r="A121" s="1962" t="s">
        <v>75</v>
      </c>
      <c r="B121" s="1287">
        <f t="shared" ref="B121:B132" si="20">+AH121</f>
        <v>45.67</v>
      </c>
      <c r="C121" s="49"/>
      <c r="D121" s="53"/>
      <c r="E121" s="53"/>
      <c r="F121" s="53"/>
      <c r="G121" s="18"/>
      <c r="H121" s="18"/>
      <c r="I121" s="18"/>
      <c r="J121" s="18"/>
      <c r="K121" s="18"/>
      <c r="L121" s="18"/>
      <c r="M121" s="18"/>
      <c r="N121" s="18"/>
      <c r="O121" s="18"/>
      <c r="P121" s="18"/>
      <c r="Q121" s="53"/>
      <c r="R121" s="18"/>
      <c r="S121" s="18"/>
      <c r="T121" s="18"/>
      <c r="U121" s="18"/>
      <c r="V121" s="53"/>
      <c r="W121" s="53"/>
      <c r="X121" s="18"/>
      <c r="Y121" s="18"/>
      <c r="Z121" s="18"/>
      <c r="AA121" s="18"/>
      <c r="AB121" s="18"/>
      <c r="AC121" s="18"/>
      <c r="AD121" s="53"/>
      <c r="AE121" s="18"/>
      <c r="AF121" s="18">
        <v>45.67</v>
      </c>
      <c r="AG121" s="18"/>
      <c r="AH121" s="53">
        <f>SUM(C121:AG121)</f>
        <v>45.67</v>
      </c>
    </row>
    <row r="122" spans="1:34" ht="15">
      <c r="A122" s="1962" t="s">
        <v>76</v>
      </c>
      <c r="B122" s="1815">
        <f t="shared" si="20"/>
        <v>1373.625</v>
      </c>
      <c r="C122" s="49">
        <v>51.24</v>
      </c>
      <c r="D122" s="18">
        <v>64.13</v>
      </c>
      <c r="E122" s="18"/>
      <c r="F122" s="18">
        <f>12.9+14.856</f>
        <v>27.756</v>
      </c>
      <c r="G122" s="18">
        <v>25.65</v>
      </c>
      <c r="H122" s="18">
        <v>155.75200000000001</v>
      </c>
      <c r="I122" s="18">
        <v>85.84</v>
      </c>
      <c r="J122" s="18">
        <v>188.81</v>
      </c>
      <c r="K122" s="18">
        <v>104.64</v>
      </c>
      <c r="L122" s="18"/>
      <c r="M122" s="18">
        <v>85.724000000000004</v>
      </c>
      <c r="N122" s="18">
        <v>53.703000000000003</v>
      </c>
      <c r="O122" s="18"/>
      <c r="P122" s="18">
        <v>46.02</v>
      </c>
      <c r="Q122" s="18">
        <v>50.13</v>
      </c>
      <c r="R122" s="18">
        <v>70.37</v>
      </c>
      <c r="S122" s="18"/>
      <c r="T122" s="18">
        <v>175.67</v>
      </c>
      <c r="U122" s="18"/>
      <c r="V122" s="18">
        <v>101.08</v>
      </c>
      <c r="W122" s="18"/>
      <c r="X122" s="18">
        <v>87.11</v>
      </c>
      <c r="Y122" s="18"/>
      <c r="Z122" s="18"/>
      <c r="AA122" s="18"/>
      <c r="AB122" s="18"/>
      <c r="AC122" s="18"/>
      <c r="AD122" s="18"/>
      <c r="AE122" s="18"/>
      <c r="AF122" s="18"/>
      <c r="AG122" s="18"/>
      <c r="AH122" s="53">
        <f t="shared" ref="AH122:AH132" si="21">SUM(C122:AG122)</f>
        <v>1373.625</v>
      </c>
    </row>
    <row r="123" spans="1:34" ht="15">
      <c r="A123" s="1962" t="s">
        <v>77</v>
      </c>
      <c r="B123" s="1815">
        <f t="shared" si="20"/>
        <v>554.04799999999989</v>
      </c>
      <c r="C123" s="49"/>
      <c r="D123" s="18">
        <v>10.41</v>
      </c>
      <c r="E123" s="18"/>
      <c r="F123" s="18"/>
      <c r="G123" s="18">
        <v>58.81</v>
      </c>
      <c r="H123" s="18"/>
      <c r="I123" s="18"/>
      <c r="J123" s="18"/>
      <c r="K123" s="18"/>
      <c r="L123" s="18"/>
      <c r="M123" s="18">
        <v>93.581999999999994</v>
      </c>
      <c r="N123" s="18"/>
      <c r="O123" s="18">
        <v>111.685</v>
      </c>
      <c r="P123" s="18">
        <v>52.19</v>
      </c>
      <c r="Q123" s="1280">
        <v>46.631</v>
      </c>
      <c r="R123" s="1280">
        <v>67.709999999999994</v>
      </c>
      <c r="S123" s="1280"/>
      <c r="T123" s="1280"/>
      <c r="U123" s="1280"/>
      <c r="V123" s="1280"/>
      <c r="W123" s="1280">
        <v>73.239999999999995</v>
      </c>
      <c r="X123" s="1280"/>
      <c r="Y123" s="1280"/>
      <c r="Z123" s="1280"/>
      <c r="AA123" s="1280"/>
      <c r="AB123" s="1280">
        <v>39.79</v>
      </c>
      <c r="AC123" s="1280"/>
      <c r="AD123" s="1280"/>
      <c r="AE123" s="1280"/>
      <c r="AF123" s="1280"/>
      <c r="AG123" s="1280"/>
      <c r="AH123" s="53">
        <f t="shared" si="21"/>
        <v>554.04799999999989</v>
      </c>
    </row>
    <row r="124" spans="1:34" ht="15">
      <c r="A124" s="1962" t="s">
        <v>78</v>
      </c>
      <c r="B124" s="1815">
        <f t="shared" si="20"/>
        <v>270.89800000000002</v>
      </c>
      <c r="C124" s="1280"/>
      <c r="D124" s="1280"/>
      <c r="E124" s="1280"/>
      <c r="F124" s="1280">
        <v>28.56</v>
      </c>
      <c r="G124" s="1280">
        <v>72.932000000000002</v>
      </c>
      <c r="H124" s="1280"/>
      <c r="I124" s="1280"/>
      <c r="J124" s="1280">
        <v>73.346000000000004</v>
      </c>
      <c r="K124" s="1280">
        <v>49.71</v>
      </c>
      <c r="L124" s="1280"/>
      <c r="M124" s="1280"/>
      <c r="N124" s="1280">
        <v>46.35</v>
      </c>
      <c r="O124" s="1280"/>
      <c r="P124" s="1280"/>
      <c r="Q124" s="1280"/>
      <c r="R124" s="1280"/>
      <c r="S124" s="1280"/>
      <c r="T124" s="1280"/>
      <c r="U124" s="1280"/>
      <c r="V124" s="1280"/>
      <c r="W124" s="1280"/>
      <c r="X124" s="1280"/>
      <c r="Y124" s="1280"/>
      <c r="Z124" s="1280"/>
      <c r="AA124" s="1280"/>
      <c r="AB124" s="1280"/>
      <c r="AC124" s="1280"/>
      <c r="AD124" s="1280"/>
      <c r="AE124" s="1280"/>
      <c r="AF124" s="1280" t="s">
        <v>112</v>
      </c>
      <c r="AG124" s="1280" t="s">
        <v>112</v>
      </c>
      <c r="AH124" s="53">
        <f t="shared" si="21"/>
        <v>270.89800000000002</v>
      </c>
    </row>
    <row r="125" spans="1:34" ht="15">
      <c r="A125" s="1962" t="s">
        <v>79</v>
      </c>
      <c r="B125" s="1815">
        <f t="shared" si="20"/>
        <v>49.15</v>
      </c>
      <c r="C125" s="1280" t="s">
        <v>112</v>
      </c>
      <c r="D125" s="1280" t="s">
        <v>112</v>
      </c>
      <c r="E125" s="1280" t="s">
        <v>112</v>
      </c>
      <c r="F125" s="1280" t="s">
        <v>112</v>
      </c>
      <c r="G125" s="1280" t="s">
        <v>112</v>
      </c>
      <c r="H125" s="1280" t="s">
        <v>112</v>
      </c>
      <c r="I125" s="1280" t="s">
        <v>112</v>
      </c>
      <c r="J125" s="1280" t="s">
        <v>112</v>
      </c>
      <c r="K125" s="1280" t="s">
        <v>112</v>
      </c>
      <c r="L125" s="1280" t="s">
        <v>112</v>
      </c>
      <c r="M125" s="1280" t="s">
        <v>112</v>
      </c>
      <c r="N125" s="1280" t="s">
        <v>112</v>
      </c>
      <c r="O125" s="1280" t="s">
        <v>112</v>
      </c>
      <c r="P125" s="1280" t="s">
        <v>112</v>
      </c>
      <c r="Q125" s="1280" t="s">
        <v>112</v>
      </c>
      <c r="R125" s="18"/>
      <c r="S125" s="18">
        <v>49.15</v>
      </c>
      <c r="T125" s="18"/>
      <c r="U125" s="18"/>
      <c r="V125" s="18"/>
      <c r="W125" s="18"/>
      <c r="X125" s="18"/>
      <c r="Y125" s="18"/>
      <c r="Z125" s="18"/>
      <c r="AA125" s="18"/>
      <c r="AB125" s="18"/>
      <c r="AC125" s="18"/>
      <c r="AD125" s="18"/>
      <c r="AE125" s="18"/>
      <c r="AF125" s="18"/>
      <c r="AG125" s="18"/>
      <c r="AH125" s="53">
        <f t="shared" si="21"/>
        <v>49.15</v>
      </c>
    </row>
    <row r="126" spans="1:34" ht="15">
      <c r="A126" s="1962" t="s">
        <v>80</v>
      </c>
      <c r="B126" s="1815">
        <f t="shared" si="20"/>
        <v>53.71</v>
      </c>
      <c r="C126" s="46"/>
      <c r="D126" s="53"/>
      <c r="E126" s="53"/>
      <c r="F126" s="53"/>
      <c r="G126" s="53"/>
      <c r="H126" s="53"/>
      <c r="I126" s="53">
        <v>53.71</v>
      </c>
      <c r="J126" s="53"/>
      <c r="K126" s="53"/>
      <c r="L126" s="53"/>
      <c r="M126" s="53"/>
      <c r="N126" s="53"/>
      <c r="O126" s="53"/>
      <c r="P126" s="53"/>
      <c r="Q126" s="1488"/>
      <c r="R126" s="1488"/>
      <c r="S126" s="1488"/>
      <c r="T126" s="1488"/>
      <c r="U126" s="1488"/>
      <c r="V126" s="1488"/>
      <c r="W126" s="1488"/>
      <c r="X126" s="1488"/>
      <c r="Y126" s="1488"/>
      <c r="Z126" s="1488"/>
      <c r="AA126" s="1488"/>
      <c r="AB126" s="1488"/>
      <c r="AC126" s="1488"/>
      <c r="AD126" s="1488"/>
      <c r="AE126" s="1488"/>
      <c r="AF126" s="1488"/>
      <c r="AG126" s="1488"/>
      <c r="AH126" s="53">
        <f t="shared" si="21"/>
        <v>53.71</v>
      </c>
    </row>
    <row r="127" spans="1:34" ht="15">
      <c r="A127" s="1249" t="s">
        <v>81</v>
      </c>
      <c r="B127" s="1815">
        <f t="shared" si="20"/>
        <v>0</v>
      </c>
      <c r="C127" s="49"/>
      <c r="D127" s="53"/>
      <c r="E127" s="53"/>
      <c r="F127" s="53"/>
      <c r="G127" s="18"/>
      <c r="H127" s="18"/>
      <c r="I127" s="18"/>
      <c r="J127" s="57"/>
      <c r="K127" s="57"/>
      <c r="L127" s="53"/>
      <c r="M127" s="53"/>
      <c r="N127" s="53"/>
      <c r="O127" s="53"/>
      <c r="P127" s="53"/>
      <c r="Q127" s="53"/>
      <c r="R127" s="53"/>
      <c r="S127" s="53"/>
      <c r="T127" s="53"/>
      <c r="U127" s="53"/>
      <c r="V127" s="53"/>
      <c r="W127" s="53"/>
      <c r="X127" s="53"/>
      <c r="Y127" s="53"/>
      <c r="Z127" s="53"/>
      <c r="AA127" s="53"/>
      <c r="AB127" s="53"/>
      <c r="AC127" s="53"/>
      <c r="AD127" s="53"/>
      <c r="AE127" s="53"/>
      <c r="AF127" s="53"/>
      <c r="AG127" s="53"/>
      <c r="AH127" s="53">
        <f t="shared" si="21"/>
        <v>0</v>
      </c>
    </row>
    <row r="128" spans="1:34" ht="15">
      <c r="A128" s="1249" t="s">
        <v>82</v>
      </c>
      <c r="B128" s="1815">
        <f t="shared" si="20"/>
        <v>13.444000000000001</v>
      </c>
      <c r="C128" s="49"/>
      <c r="D128" s="18"/>
      <c r="E128" s="18"/>
      <c r="F128" s="18"/>
      <c r="G128" s="18"/>
      <c r="H128" s="18"/>
      <c r="I128" s="18"/>
      <c r="J128" s="57"/>
      <c r="K128" s="57"/>
      <c r="L128" s="53"/>
      <c r="M128" s="53"/>
      <c r="N128" s="53"/>
      <c r="O128" s="53">
        <v>13.444000000000001</v>
      </c>
      <c r="P128" s="53"/>
      <c r="Q128" s="53"/>
      <c r="R128" s="53"/>
      <c r="S128" s="53"/>
      <c r="T128" s="53"/>
      <c r="U128" s="53"/>
      <c r="V128" s="53"/>
      <c r="W128" s="53"/>
      <c r="X128" s="53"/>
      <c r="Y128" s="53"/>
      <c r="Z128" s="53"/>
      <c r="AA128" s="53"/>
      <c r="AB128" s="53"/>
      <c r="AC128" s="53"/>
      <c r="AD128" s="53"/>
      <c r="AE128" s="53"/>
      <c r="AF128" s="53"/>
      <c r="AG128" s="53"/>
      <c r="AH128" s="53">
        <f t="shared" si="21"/>
        <v>13.444000000000001</v>
      </c>
    </row>
    <row r="129" spans="1:34" ht="15">
      <c r="A129" s="1249" t="s">
        <v>83</v>
      </c>
      <c r="B129" s="1815">
        <f t="shared" si="20"/>
        <v>11.321</v>
      </c>
      <c r="C129" s="45"/>
      <c r="D129" s="45"/>
      <c r="E129" s="45"/>
      <c r="F129" s="45"/>
      <c r="G129" s="45"/>
      <c r="H129" s="45">
        <v>10.445</v>
      </c>
      <c r="I129" s="45"/>
      <c r="J129" s="45"/>
      <c r="K129" s="45"/>
      <c r="L129" s="45"/>
      <c r="M129" s="45"/>
      <c r="N129" s="45"/>
      <c r="O129" s="45">
        <v>0.876</v>
      </c>
      <c r="P129" s="45"/>
      <c r="Q129" s="134" t="s">
        <v>401</v>
      </c>
      <c r="R129" s="134" t="s">
        <v>401</v>
      </c>
      <c r="S129" s="134" t="s">
        <v>401</v>
      </c>
      <c r="T129" s="134" t="s">
        <v>401</v>
      </c>
      <c r="U129" s="134" t="s">
        <v>401</v>
      </c>
      <c r="V129" s="134" t="s">
        <v>401</v>
      </c>
      <c r="W129" s="134" t="s">
        <v>401</v>
      </c>
      <c r="X129" s="134" t="s">
        <v>401</v>
      </c>
      <c r="Y129" s="134" t="s">
        <v>401</v>
      </c>
      <c r="Z129" s="134" t="s">
        <v>401</v>
      </c>
      <c r="AA129" s="134" t="s">
        <v>401</v>
      </c>
      <c r="AB129" s="134" t="s">
        <v>401</v>
      </c>
      <c r="AC129" s="134" t="s">
        <v>401</v>
      </c>
      <c r="AD129" s="134" t="s">
        <v>401</v>
      </c>
      <c r="AE129" s="134" t="s">
        <v>401</v>
      </c>
      <c r="AF129" s="134" t="s">
        <v>401</v>
      </c>
      <c r="AG129" s="134" t="s">
        <v>401</v>
      </c>
      <c r="AH129" s="53">
        <f t="shared" si="21"/>
        <v>11.321</v>
      </c>
    </row>
    <row r="130" spans="1:34" ht="15">
      <c r="A130" s="1249" t="s">
        <v>84</v>
      </c>
      <c r="B130" s="1815">
        <f t="shared" si="20"/>
        <v>0</v>
      </c>
      <c r="C130" s="134" t="s">
        <v>112</v>
      </c>
      <c r="D130" s="1961" t="s">
        <v>112</v>
      </c>
      <c r="E130" s="134" t="s">
        <v>112</v>
      </c>
      <c r="F130" s="134" t="s">
        <v>112</v>
      </c>
      <c r="G130" s="134" t="s">
        <v>112</v>
      </c>
      <c r="H130" s="134" t="s">
        <v>112</v>
      </c>
      <c r="I130" s="134" t="s">
        <v>112</v>
      </c>
      <c r="J130" s="134" t="s">
        <v>112</v>
      </c>
      <c r="K130" s="134" t="s">
        <v>112</v>
      </c>
      <c r="L130" s="134" t="s">
        <v>112</v>
      </c>
      <c r="M130" s="134" t="s">
        <v>112</v>
      </c>
      <c r="N130" s="134" t="s">
        <v>112</v>
      </c>
      <c r="O130" s="134" t="s">
        <v>112</v>
      </c>
      <c r="P130" s="134" t="s">
        <v>112</v>
      </c>
      <c r="Q130" s="134" t="s">
        <v>112</v>
      </c>
      <c r="R130" s="134" t="s">
        <v>112</v>
      </c>
      <c r="S130" s="134" t="s">
        <v>112</v>
      </c>
      <c r="T130" s="134" t="s">
        <v>112</v>
      </c>
      <c r="U130" s="134" t="s">
        <v>112</v>
      </c>
      <c r="V130" s="134" t="s">
        <v>112</v>
      </c>
      <c r="W130" s="134" t="s">
        <v>112</v>
      </c>
      <c r="X130" s="134" t="s">
        <v>112</v>
      </c>
      <c r="Y130" s="134" t="s">
        <v>112</v>
      </c>
      <c r="Z130" s="134" t="s">
        <v>112</v>
      </c>
      <c r="AA130" s="134" t="s">
        <v>112</v>
      </c>
      <c r="AB130" s="134" t="s">
        <v>112</v>
      </c>
      <c r="AC130" s="134" t="s">
        <v>112</v>
      </c>
      <c r="AD130" s="134" t="s">
        <v>112</v>
      </c>
      <c r="AE130" s="134" t="s">
        <v>112</v>
      </c>
      <c r="AF130" s="134" t="s">
        <v>112</v>
      </c>
      <c r="AG130" s="134" t="s">
        <v>112</v>
      </c>
      <c r="AH130" s="53">
        <f t="shared" si="21"/>
        <v>0</v>
      </c>
    </row>
    <row r="131" spans="1:34" ht="15">
      <c r="A131" s="1249" t="s">
        <v>85</v>
      </c>
      <c r="B131" s="1815">
        <f t="shared" si="20"/>
        <v>413.61799999999994</v>
      </c>
      <c r="C131" s="134" t="s">
        <v>112</v>
      </c>
      <c r="D131" s="1961" t="s">
        <v>112</v>
      </c>
      <c r="E131" s="134" t="s">
        <v>112</v>
      </c>
      <c r="F131" s="134" t="s">
        <v>112</v>
      </c>
      <c r="G131" s="134" t="s">
        <v>112</v>
      </c>
      <c r="H131" s="134" t="s">
        <v>112</v>
      </c>
      <c r="I131" s="134" t="s">
        <v>112</v>
      </c>
      <c r="J131" s="134" t="s">
        <v>112</v>
      </c>
      <c r="K131" s="134" t="s">
        <v>112</v>
      </c>
      <c r="L131" s="134" t="s">
        <v>112</v>
      </c>
      <c r="M131" s="134" t="s">
        <v>112</v>
      </c>
      <c r="N131" s="134" t="s">
        <v>112</v>
      </c>
      <c r="O131" s="134" t="s">
        <v>112</v>
      </c>
      <c r="P131" s="134" t="s">
        <v>112</v>
      </c>
      <c r="Q131" s="134" t="s">
        <v>112</v>
      </c>
      <c r="R131" s="48">
        <v>56.47</v>
      </c>
      <c r="S131" s="48"/>
      <c r="T131" s="48"/>
      <c r="U131" s="48">
        <v>55.95</v>
      </c>
      <c r="V131" s="48"/>
      <c r="W131" s="48">
        <v>65.91</v>
      </c>
      <c r="X131" s="48"/>
      <c r="Y131" s="48">
        <v>12.67</v>
      </c>
      <c r="Z131" s="48"/>
      <c r="AA131" s="48"/>
      <c r="AB131" s="48"/>
      <c r="AC131" s="48">
        <v>38.36</v>
      </c>
      <c r="AD131" s="48">
        <f>43.608+58.31</f>
        <v>101.91800000000001</v>
      </c>
      <c r="AE131" s="48">
        <f>39.291+2.785+40.264</f>
        <v>82.34</v>
      </c>
      <c r="AF131" s="48"/>
      <c r="AG131" s="45"/>
      <c r="AH131" s="53">
        <f t="shared" si="21"/>
        <v>413.61799999999994</v>
      </c>
    </row>
    <row r="132" spans="1:34" ht="15">
      <c r="A132" s="1249" t="s">
        <v>86</v>
      </c>
      <c r="B132" s="1815">
        <f t="shared" si="20"/>
        <v>761.04899999999998</v>
      </c>
      <c r="C132" s="49"/>
      <c r="D132" s="18"/>
      <c r="E132" s="18"/>
      <c r="F132" s="18">
        <v>34.512999999999998</v>
      </c>
      <c r="G132" s="18"/>
      <c r="H132" s="18">
        <v>114.497</v>
      </c>
      <c r="I132" s="18"/>
      <c r="J132" s="18"/>
      <c r="K132" s="18">
        <f>77.23+65.77</f>
        <v>143</v>
      </c>
      <c r="L132" s="18">
        <v>53.48</v>
      </c>
      <c r="M132" s="18">
        <v>8.0879999999999992</v>
      </c>
      <c r="N132" s="18"/>
      <c r="O132" s="18"/>
      <c r="P132" s="18">
        <v>51.86</v>
      </c>
      <c r="Q132" s="18"/>
      <c r="R132" s="18">
        <v>75.37</v>
      </c>
      <c r="S132" s="18">
        <v>52.96</v>
      </c>
      <c r="T132" s="18">
        <f>17.55+1.2</f>
        <v>18.75</v>
      </c>
      <c r="U132" s="18"/>
      <c r="V132" s="18"/>
      <c r="W132" s="18">
        <v>17.559999999999999</v>
      </c>
      <c r="X132" s="18"/>
      <c r="Y132" s="18"/>
      <c r="Z132" s="18"/>
      <c r="AA132" s="18"/>
      <c r="AB132" s="18"/>
      <c r="AC132" s="18">
        <f>6.581+21.34</f>
        <v>27.920999999999999</v>
      </c>
      <c r="AD132" s="18">
        <f>75.21+50.19</f>
        <v>125.39999999999999</v>
      </c>
      <c r="AE132" s="53"/>
      <c r="AF132" s="18">
        <v>37.65</v>
      </c>
      <c r="AG132" s="53"/>
      <c r="AH132" s="53">
        <f t="shared" si="21"/>
        <v>761.04899999999998</v>
      </c>
    </row>
    <row r="133" spans="1:34" ht="15">
      <c r="A133" s="88" t="s">
        <v>74</v>
      </c>
      <c r="B133" s="89">
        <f>SUM(B121:B132)</f>
        <v>3546.5329999999999</v>
      </c>
      <c r="C133" s="46">
        <f>SUM(C121:C131)</f>
        <v>51.24</v>
      </c>
      <c r="D133" s="53">
        <f>SUM(D121:D131)</f>
        <v>74.539999999999992</v>
      </c>
      <c r="E133" s="53">
        <v>0</v>
      </c>
      <c r="F133" s="53">
        <f t="shared" ref="F133:AC133" si="22">SUM(F121:F131)</f>
        <v>56.316000000000003</v>
      </c>
      <c r="G133" s="53">
        <f t="shared" si="22"/>
        <v>157.392</v>
      </c>
      <c r="H133" s="53">
        <f t="shared" si="22"/>
        <v>166.197</v>
      </c>
      <c r="I133" s="53">
        <f t="shared" si="22"/>
        <v>139.55000000000001</v>
      </c>
      <c r="J133" s="53">
        <f t="shared" si="22"/>
        <v>262.15600000000001</v>
      </c>
      <c r="K133" s="53">
        <f t="shared" si="22"/>
        <v>154.35</v>
      </c>
      <c r="L133" s="53">
        <f t="shared" si="22"/>
        <v>0</v>
      </c>
      <c r="M133" s="53">
        <f t="shared" si="22"/>
        <v>179.30599999999998</v>
      </c>
      <c r="N133" s="53">
        <f t="shared" si="22"/>
        <v>100.053</v>
      </c>
      <c r="O133" s="53">
        <f t="shared" si="22"/>
        <v>126.00500000000001</v>
      </c>
      <c r="P133" s="53">
        <f t="shared" si="22"/>
        <v>98.210000000000008</v>
      </c>
      <c r="Q133" s="53">
        <f t="shared" si="22"/>
        <v>96.760999999999996</v>
      </c>
      <c r="R133" s="53">
        <f t="shared" si="22"/>
        <v>194.54999999999998</v>
      </c>
      <c r="S133" s="53">
        <f t="shared" si="22"/>
        <v>49.15</v>
      </c>
      <c r="T133" s="53">
        <f t="shared" si="22"/>
        <v>175.67</v>
      </c>
      <c r="U133" s="53">
        <f t="shared" si="22"/>
        <v>55.95</v>
      </c>
      <c r="V133" s="53">
        <f t="shared" si="22"/>
        <v>101.08</v>
      </c>
      <c r="W133" s="53">
        <f t="shared" si="22"/>
        <v>139.14999999999998</v>
      </c>
      <c r="X133" s="53">
        <f t="shared" si="22"/>
        <v>87.11</v>
      </c>
      <c r="Y133" s="53">
        <f t="shared" si="22"/>
        <v>12.67</v>
      </c>
      <c r="Z133" s="53">
        <f t="shared" si="22"/>
        <v>0</v>
      </c>
      <c r="AA133" s="53">
        <f t="shared" si="22"/>
        <v>0</v>
      </c>
      <c r="AB133" s="53">
        <f t="shared" si="22"/>
        <v>39.79</v>
      </c>
      <c r="AC133" s="53">
        <f t="shared" si="22"/>
        <v>38.36</v>
      </c>
      <c r="AD133" s="53">
        <v>0</v>
      </c>
      <c r="AE133" s="53">
        <f>SUM(AE121:AE131)</f>
        <v>82.34</v>
      </c>
      <c r="AF133" s="53">
        <f>SUM(AF121:AF131)</f>
        <v>45.67</v>
      </c>
      <c r="AG133" s="53">
        <f>SUM(AG121:AG131)</f>
        <v>0</v>
      </c>
      <c r="AH133" s="46">
        <f>SUM(AH121:AH131)</f>
        <v>2785.4839999999999</v>
      </c>
    </row>
    <row r="134" spans="1:34">
      <c r="A134" s="82"/>
      <c r="B134" s="85"/>
      <c r="C134" s="82"/>
      <c r="D134" s="82"/>
      <c r="E134" s="82"/>
      <c r="F134" s="82"/>
      <c r="G134" s="82"/>
      <c r="H134" s="82"/>
      <c r="I134" s="82"/>
      <c r="J134" s="82"/>
      <c r="K134" s="82"/>
      <c r="L134" s="82"/>
      <c r="M134" s="82"/>
      <c r="N134" s="82"/>
      <c r="O134" s="82"/>
      <c r="P134" s="82"/>
      <c r="Q134" s="82"/>
      <c r="R134" s="82"/>
      <c r="S134" s="82"/>
      <c r="T134" s="82"/>
      <c r="U134" s="82"/>
      <c r="V134" s="82"/>
      <c r="W134" s="82"/>
      <c r="X134" s="82"/>
      <c r="Y134" s="82"/>
      <c r="Z134" s="82"/>
      <c r="AA134" s="82"/>
      <c r="AB134" s="82"/>
      <c r="AC134" s="82"/>
      <c r="AD134" s="82"/>
      <c r="AE134" s="82"/>
      <c r="AF134" s="82"/>
      <c r="AG134" s="82"/>
      <c r="AH134" s="82"/>
    </row>
    <row r="135" spans="1:34" s="1935" customFormat="1" ht="15">
      <c r="A135" s="3585" t="s">
        <v>60</v>
      </c>
      <c r="B135" s="3586"/>
      <c r="C135" s="3586"/>
      <c r="D135" s="3586"/>
      <c r="E135" s="3586"/>
      <c r="F135" s="3586"/>
      <c r="G135" s="3586"/>
      <c r="H135" s="3587"/>
      <c r="I135" s="82"/>
      <c r="J135" s="82"/>
      <c r="K135" s="82"/>
      <c r="L135" s="82"/>
      <c r="M135" s="82"/>
      <c r="N135" s="82"/>
      <c r="O135" s="82"/>
      <c r="P135" s="82"/>
      <c r="Q135" s="82"/>
      <c r="R135" s="82"/>
      <c r="S135" s="82"/>
      <c r="T135" s="82"/>
      <c r="U135" s="82"/>
      <c r="V135" s="82"/>
      <c r="W135" s="82"/>
      <c r="X135" s="82"/>
      <c r="Y135" s="82"/>
      <c r="Z135" s="82"/>
      <c r="AA135" s="82"/>
      <c r="AB135" s="82"/>
      <c r="AC135" s="82"/>
      <c r="AD135" s="82"/>
      <c r="AE135" s="82"/>
      <c r="AF135" s="82"/>
      <c r="AG135" s="82"/>
      <c r="AH135" s="82"/>
    </row>
    <row r="136" spans="1:34" s="1935" customFormat="1" ht="15">
      <c r="A136" s="5" t="s">
        <v>91</v>
      </c>
      <c r="B136" s="71" t="s">
        <v>73</v>
      </c>
      <c r="C136" s="1249">
        <v>1</v>
      </c>
      <c r="D136" s="30">
        <v>2</v>
      </c>
      <c r="E136" s="30">
        <v>3</v>
      </c>
      <c r="F136" s="30">
        <v>4</v>
      </c>
      <c r="G136" s="30">
        <v>5</v>
      </c>
      <c r="H136" s="30">
        <v>6</v>
      </c>
      <c r="I136" s="30">
        <v>7</v>
      </c>
      <c r="J136" s="30">
        <v>8</v>
      </c>
      <c r="K136" s="30">
        <v>9</v>
      </c>
      <c r="L136" s="30">
        <v>10</v>
      </c>
      <c r="M136" s="30">
        <v>11</v>
      </c>
      <c r="N136" s="30">
        <v>12</v>
      </c>
      <c r="O136" s="30">
        <v>13</v>
      </c>
      <c r="P136" s="30">
        <v>14</v>
      </c>
      <c r="Q136" s="30">
        <v>15</v>
      </c>
      <c r="R136" s="30">
        <v>16</v>
      </c>
      <c r="S136" s="30">
        <v>17</v>
      </c>
      <c r="T136" s="30">
        <v>18</v>
      </c>
      <c r="U136" s="30">
        <v>19</v>
      </c>
      <c r="V136" s="30">
        <v>20</v>
      </c>
      <c r="W136" s="30">
        <v>21</v>
      </c>
      <c r="X136" s="30">
        <v>22</v>
      </c>
      <c r="Y136" s="30">
        <v>23</v>
      </c>
      <c r="Z136" s="30">
        <v>24</v>
      </c>
      <c r="AA136" s="30">
        <v>25</v>
      </c>
      <c r="AB136" s="30">
        <v>26</v>
      </c>
      <c r="AC136" s="30">
        <v>27</v>
      </c>
      <c r="AD136" s="30">
        <v>28</v>
      </c>
      <c r="AE136" s="30">
        <v>29</v>
      </c>
      <c r="AF136" s="30">
        <v>30</v>
      </c>
      <c r="AG136" s="30">
        <v>31</v>
      </c>
      <c r="AH136" s="39" t="s">
        <v>74</v>
      </c>
    </row>
    <row r="137" spans="1:34" s="1935" customFormat="1" ht="15">
      <c r="A137" s="1962" t="s">
        <v>75</v>
      </c>
      <c r="B137" s="1286">
        <f t="shared" ref="B137:B148" si="23">+AH137</f>
        <v>2.4820000000000002</v>
      </c>
      <c r="C137" s="1287"/>
      <c r="D137" s="1488"/>
      <c r="E137" s="1488"/>
      <c r="F137" s="1488"/>
      <c r="G137" s="1287"/>
      <c r="H137" s="1287"/>
      <c r="I137" s="1287"/>
      <c r="J137" s="1287"/>
      <c r="K137" s="1287"/>
      <c r="L137" s="1287"/>
      <c r="M137" s="1287"/>
      <c r="N137" s="1287"/>
      <c r="O137" s="1287"/>
      <c r="P137" s="1287"/>
      <c r="Q137" s="1488"/>
      <c r="R137" s="1287"/>
      <c r="S137" s="1287"/>
      <c r="T137" s="1287"/>
      <c r="U137" s="1287"/>
      <c r="V137" s="1488"/>
      <c r="W137" s="1488"/>
      <c r="X137" s="1287"/>
      <c r="Y137" s="1287"/>
      <c r="Z137" s="1287"/>
      <c r="AA137" s="1287"/>
      <c r="AB137" s="1287"/>
      <c r="AC137" s="1287"/>
      <c r="AD137" s="1488"/>
      <c r="AE137" s="1287">
        <v>2.4820000000000002</v>
      </c>
      <c r="AF137" s="1287"/>
      <c r="AG137" s="1287"/>
      <c r="AH137" s="53">
        <f>SUM(C137:AG137)</f>
        <v>2.4820000000000002</v>
      </c>
    </row>
    <row r="138" spans="1:34" s="1935" customFormat="1" ht="15">
      <c r="A138" s="1962" t="s">
        <v>76</v>
      </c>
      <c r="B138" s="1286">
        <f t="shared" si="23"/>
        <v>112.74400000000001</v>
      </c>
      <c r="C138" s="1287" t="s">
        <v>130</v>
      </c>
      <c r="D138" s="1287"/>
      <c r="E138" s="1287"/>
      <c r="F138" s="1287"/>
      <c r="G138" s="1287"/>
      <c r="H138" s="1287">
        <f>11.35+6.29+7.914</f>
        <v>25.554000000000002</v>
      </c>
      <c r="I138" s="1287"/>
      <c r="J138" s="1287">
        <v>29.26</v>
      </c>
      <c r="K138" s="1287"/>
      <c r="L138" s="1287">
        <v>12.65</v>
      </c>
      <c r="M138" s="1287">
        <f>4.27+7.92</f>
        <v>12.19</v>
      </c>
      <c r="N138" s="1287"/>
      <c r="O138" s="1287"/>
      <c r="P138" s="1287" t="s">
        <v>130</v>
      </c>
      <c r="Q138" s="1287"/>
      <c r="R138" s="1287"/>
      <c r="S138" s="1287"/>
      <c r="T138" s="1287">
        <v>4.5199999999999996</v>
      </c>
      <c r="U138" s="1287">
        <v>10.06</v>
      </c>
      <c r="V138" s="1287"/>
      <c r="W138" s="1287"/>
      <c r="X138" s="1287"/>
      <c r="Y138" s="1287"/>
      <c r="Z138" s="1287">
        <v>4.2</v>
      </c>
      <c r="AA138" s="1287">
        <f>11.35+2.96</f>
        <v>14.309999999999999</v>
      </c>
      <c r="AB138" s="1287"/>
      <c r="AC138" s="1287"/>
      <c r="AD138" s="1287"/>
      <c r="AE138" s="1287"/>
      <c r="AF138" s="1287"/>
      <c r="AG138" s="1287"/>
      <c r="AH138" s="53">
        <f t="shared" ref="AH138:AH148" si="24">SUM(C138:AG138)</f>
        <v>112.74400000000001</v>
      </c>
    </row>
    <row r="139" spans="1:34" s="1935" customFormat="1" ht="15">
      <c r="A139" s="1962" t="s">
        <v>77</v>
      </c>
      <c r="B139" s="1286">
        <f t="shared" si="23"/>
        <v>620.21699999999987</v>
      </c>
      <c r="C139" s="49">
        <v>3.57</v>
      </c>
      <c r="D139" s="18">
        <v>17.38</v>
      </c>
      <c r="E139" s="18"/>
      <c r="F139" s="18">
        <f>3.86+12.29</f>
        <v>16.149999999999999</v>
      </c>
      <c r="G139" s="18">
        <f>4.05+6.17</f>
        <v>10.219999999999999</v>
      </c>
      <c r="H139" s="18"/>
      <c r="I139" s="18">
        <v>21.398</v>
      </c>
      <c r="J139" s="18"/>
      <c r="K139" s="18">
        <v>25.245000000000001</v>
      </c>
      <c r="L139" s="18"/>
      <c r="M139" s="18">
        <f>4.82+22.86+5.2</f>
        <v>32.880000000000003</v>
      </c>
      <c r="N139" s="18">
        <f>12.24+3.06</f>
        <v>15.3</v>
      </c>
      <c r="O139" s="18">
        <f>14.484+6.5+5.45</f>
        <v>26.434000000000001</v>
      </c>
      <c r="P139" s="18">
        <f>28.547+26.84+23.52+23.72+16.76</f>
        <v>119.387</v>
      </c>
      <c r="Q139" s="1280">
        <v>15.05</v>
      </c>
      <c r="R139" s="1280">
        <v>22.98</v>
      </c>
      <c r="S139" s="1280">
        <v>0</v>
      </c>
      <c r="T139" s="1280">
        <v>0</v>
      </c>
      <c r="U139" s="1280">
        <v>0</v>
      </c>
      <c r="V139" s="1280">
        <f>29.96+22.06+18.28</f>
        <v>70.3</v>
      </c>
      <c r="W139" s="1280">
        <v>3.68</v>
      </c>
      <c r="X139" s="1280">
        <f>26.86+22.21+13.07+8.3+22.07+11.79+15.41</f>
        <v>119.70999999999998</v>
      </c>
      <c r="Y139" s="1280">
        <f>24.413+22.08</f>
        <v>46.492999999999995</v>
      </c>
      <c r="Z139" s="1280">
        <v>0</v>
      </c>
      <c r="AA139" s="1280">
        <f>14.75+14.44</f>
        <v>29.189999999999998</v>
      </c>
      <c r="AB139" s="1280">
        <v>1.81</v>
      </c>
      <c r="AC139" s="1280">
        <v>0</v>
      </c>
      <c r="AD139" s="1280">
        <v>23.04</v>
      </c>
      <c r="AE139" s="1280"/>
      <c r="AF139" s="1280"/>
      <c r="AG139" s="1280"/>
      <c r="AH139" s="53">
        <f t="shared" si="24"/>
        <v>620.21699999999987</v>
      </c>
    </row>
    <row r="140" spans="1:34" s="1935" customFormat="1" ht="15">
      <c r="A140" s="1962" t="s">
        <v>78</v>
      </c>
      <c r="B140" s="1286">
        <f t="shared" si="23"/>
        <v>493.64399999999995</v>
      </c>
      <c r="C140" s="1280">
        <v>21.17</v>
      </c>
      <c r="D140" s="1280"/>
      <c r="E140" s="1280">
        <f>19.68+23.36+21.39+21.66+10.04</f>
        <v>96.13</v>
      </c>
      <c r="F140" s="1280">
        <f>26.88+21.83+19.22+11.84+21.12</f>
        <v>100.89</v>
      </c>
      <c r="G140" s="1280">
        <v>12.3</v>
      </c>
      <c r="H140" s="1280"/>
      <c r="I140" s="1280"/>
      <c r="J140" s="1280">
        <f>22.05+11.37+11.81+1.55</f>
        <v>46.78</v>
      </c>
      <c r="K140" s="1280">
        <f>25.59+24.9+5.89</f>
        <v>56.379999999999995</v>
      </c>
      <c r="L140" s="1280"/>
      <c r="M140" s="1280">
        <v>24.803999999999998</v>
      </c>
      <c r="N140" s="1280">
        <f>25.82+14.94+5.04+4.48</f>
        <v>50.28</v>
      </c>
      <c r="O140" s="1280">
        <f>12.12+5.8</f>
        <v>17.919999999999998</v>
      </c>
      <c r="P140" s="1280">
        <v>28.23</v>
      </c>
      <c r="Q140" s="1280">
        <f>10.15+28.61</f>
        <v>38.76</v>
      </c>
      <c r="R140" s="1280"/>
      <c r="S140" s="1280"/>
      <c r="T140" s="1280"/>
      <c r="U140" s="1280"/>
      <c r="V140" s="1280"/>
      <c r="W140" s="1280"/>
      <c r="X140" s="1280"/>
      <c r="Y140" s="1280"/>
      <c r="Z140" s="1280"/>
      <c r="AA140" s="1280"/>
      <c r="AB140" s="1280"/>
      <c r="AC140" s="1280"/>
      <c r="AD140" s="1280"/>
      <c r="AE140" s="1280"/>
      <c r="AF140" s="1280" t="s">
        <v>112</v>
      </c>
      <c r="AG140" s="1280" t="s">
        <v>112</v>
      </c>
      <c r="AH140" s="53">
        <f t="shared" si="24"/>
        <v>493.64399999999995</v>
      </c>
    </row>
    <row r="141" spans="1:34" s="1935" customFormat="1" ht="15">
      <c r="A141" s="1962" t="s">
        <v>79</v>
      </c>
      <c r="B141" s="1286">
        <f t="shared" si="23"/>
        <v>144.32</v>
      </c>
      <c r="C141" s="1280" t="s">
        <v>112</v>
      </c>
      <c r="D141" s="1280" t="s">
        <v>112</v>
      </c>
      <c r="E141" s="1280">
        <v>0.01</v>
      </c>
      <c r="F141" s="1280" t="s">
        <v>112</v>
      </c>
      <c r="G141" s="1280" t="s">
        <v>112</v>
      </c>
      <c r="H141" s="1280" t="s">
        <v>112</v>
      </c>
      <c r="I141" s="1280" t="s">
        <v>112</v>
      </c>
      <c r="J141" s="1280" t="s">
        <v>112</v>
      </c>
      <c r="K141" s="1280" t="s">
        <v>112</v>
      </c>
      <c r="L141" s="1280" t="s">
        <v>112</v>
      </c>
      <c r="M141" s="1280" t="s">
        <v>112</v>
      </c>
      <c r="N141" s="1280" t="s">
        <v>112</v>
      </c>
      <c r="O141" s="1280" t="s">
        <v>112</v>
      </c>
      <c r="P141" s="1280" t="s">
        <v>112</v>
      </c>
      <c r="Q141" s="1280" t="s">
        <v>112</v>
      </c>
      <c r="R141" s="18">
        <v>7.57</v>
      </c>
      <c r="S141" s="18">
        <v>24.93</v>
      </c>
      <c r="T141" s="18">
        <v>30.08</v>
      </c>
      <c r="U141" s="18"/>
      <c r="V141" s="18">
        <f>18.99+17.39+4.85+9.17+11.93</f>
        <v>62.33</v>
      </c>
      <c r="W141" s="18"/>
      <c r="X141" s="18"/>
      <c r="Y141" s="18">
        <v>5.29</v>
      </c>
      <c r="Z141" s="18"/>
      <c r="AA141" s="18"/>
      <c r="AB141" s="18"/>
      <c r="AC141" s="18"/>
      <c r="AD141" s="18"/>
      <c r="AE141" s="18"/>
      <c r="AF141" s="18"/>
      <c r="AG141" s="18">
        <v>14.11</v>
      </c>
      <c r="AH141" s="53">
        <f t="shared" si="24"/>
        <v>144.32</v>
      </c>
    </row>
    <row r="142" spans="1:34" s="1935" customFormat="1" ht="15">
      <c r="A142" s="1962" t="s">
        <v>80</v>
      </c>
      <c r="B142" s="1286">
        <f t="shared" si="23"/>
        <v>581.54600000000016</v>
      </c>
      <c r="C142" s="1488"/>
      <c r="D142" s="1488">
        <v>12.65</v>
      </c>
      <c r="E142" s="1488"/>
      <c r="F142" s="1488">
        <v>23.46</v>
      </c>
      <c r="G142" s="1488"/>
      <c r="H142" s="1488">
        <f>15.464+29.05</f>
        <v>44.514000000000003</v>
      </c>
      <c r="I142" s="1488">
        <f>26.21+21.79+18.38+6.91+7.95</f>
        <v>81.239999999999995</v>
      </c>
      <c r="J142" s="1488">
        <f>14.672+5.504+22.71+31.52+24.86</f>
        <v>99.266000000000005</v>
      </c>
      <c r="K142" s="1488"/>
      <c r="L142" s="1488">
        <f>11.224+29.404</f>
        <v>40.628</v>
      </c>
      <c r="M142" s="1488">
        <v>18.25</v>
      </c>
      <c r="N142" s="1488">
        <v>9.5039999999999996</v>
      </c>
      <c r="O142" s="1488">
        <f>30+27.407</f>
        <v>57.406999999999996</v>
      </c>
      <c r="P142" s="1488">
        <f>25.556+16.598+4.5</f>
        <v>46.653999999999996</v>
      </c>
      <c r="Q142" s="1488"/>
      <c r="R142" s="1488"/>
      <c r="S142" s="1488">
        <f>34.33+11.856+4.282</f>
        <v>50.468000000000004</v>
      </c>
      <c r="T142" s="1488">
        <v>29.28</v>
      </c>
      <c r="U142" s="1488"/>
      <c r="V142" s="1488">
        <f>11.058+17.898+6.072</f>
        <v>35.027999999999999</v>
      </c>
      <c r="W142" s="1488">
        <v>10.622999999999999</v>
      </c>
      <c r="X142" s="1488">
        <v>7.7140000000000004</v>
      </c>
      <c r="Y142" s="1488"/>
      <c r="Z142" s="1488">
        <v>14.86</v>
      </c>
      <c r="AA142" s="1488"/>
      <c r="AB142" s="1488"/>
      <c r="AC142" s="1488"/>
      <c r="AD142" s="1488"/>
      <c r="AE142" s="1488"/>
      <c r="AF142" s="1488"/>
      <c r="AG142" s="1488"/>
      <c r="AH142" s="53">
        <f t="shared" si="24"/>
        <v>581.54600000000016</v>
      </c>
    </row>
    <row r="143" spans="1:34" s="1935" customFormat="1" ht="15">
      <c r="A143" s="1249" t="s">
        <v>81</v>
      </c>
      <c r="B143" s="1286">
        <f t="shared" si="23"/>
        <v>226.50199999999998</v>
      </c>
      <c r="C143" s="1287"/>
      <c r="D143" s="1488"/>
      <c r="E143" s="1488"/>
      <c r="F143" s="1488"/>
      <c r="G143" s="1287">
        <v>7.742</v>
      </c>
      <c r="H143" s="1287">
        <f>31.77+23.4</f>
        <v>55.17</v>
      </c>
      <c r="I143" s="1287"/>
      <c r="J143" s="2466"/>
      <c r="K143" s="2466"/>
      <c r="L143" s="1488">
        <f>29.51+24.9</f>
        <v>54.41</v>
      </c>
      <c r="M143" s="1488">
        <f>19.56+8+21.88</f>
        <v>49.44</v>
      </c>
      <c r="N143" s="1488"/>
      <c r="O143" s="1488"/>
      <c r="P143" s="1488"/>
      <c r="Q143" s="1488">
        <f>10.194+17.3+6.796</f>
        <v>34.29</v>
      </c>
      <c r="R143" s="1488"/>
      <c r="S143" s="1488">
        <v>25.45</v>
      </c>
      <c r="T143" s="1488"/>
      <c r="U143" s="1488"/>
      <c r="V143" s="1488"/>
      <c r="W143" s="1488"/>
      <c r="X143" s="1488"/>
      <c r="Y143" s="1488"/>
      <c r="Z143" s="1488"/>
      <c r="AA143" s="1488"/>
      <c r="AB143" s="1488"/>
      <c r="AC143" s="1488"/>
      <c r="AD143" s="1488"/>
      <c r="AE143" s="1488"/>
      <c r="AF143" s="1488"/>
      <c r="AG143" s="1488"/>
      <c r="AH143" s="53">
        <f t="shared" si="24"/>
        <v>226.50199999999998</v>
      </c>
    </row>
    <row r="144" spans="1:34" s="1935" customFormat="1" ht="15">
      <c r="A144" s="1249" t="s">
        <v>82</v>
      </c>
      <c r="B144" s="1286">
        <f t="shared" si="23"/>
        <v>91.930999999999997</v>
      </c>
      <c r="C144" s="1287">
        <f>7.493+13.64</f>
        <v>21.133000000000003</v>
      </c>
      <c r="D144" s="1287">
        <v>9.11</v>
      </c>
      <c r="E144" s="1287">
        <v>2.964</v>
      </c>
      <c r="F144" s="1287"/>
      <c r="G144" s="1287"/>
      <c r="H144" s="1287"/>
      <c r="I144" s="1287"/>
      <c r="J144" s="2466"/>
      <c r="K144" s="2466">
        <v>9.49</v>
      </c>
      <c r="L144" s="1488">
        <v>15.08</v>
      </c>
      <c r="M144" s="1488"/>
      <c r="N144" s="1488"/>
      <c r="O144" s="1488"/>
      <c r="P144" s="1488">
        <v>7.6539999999999999</v>
      </c>
      <c r="Q144" s="1488"/>
      <c r="R144" s="1488"/>
      <c r="S144" s="1488"/>
      <c r="T144" s="1488"/>
      <c r="U144" s="1488"/>
      <c r="V144" s="1488"/>
      <c r="W144" s="1488"/>
      <c r="X144" s="1488">
        <f>8.5+10</f>
        <v>18.5</v>
      </c>
      <c r="Y144" s="1488">
        <v>8</v>
      </c>
      <c r="Z144" s="1488"/>
      <c r="AA144" s="1488"/>
      <c r="AB144" s="1488"/>
      <c r="AC144" s="1488"/>
      <c r="AD144" s="1488"/>
      <c r="AE144" s="1488"/>
      <c r="AF144" s="1488"/>
      <c r="AG144" s="1488"/>
      <c r="AH144" s="53">
        <f t="shared" si="24"/>
        <v>91.930999999999997</v>
      </c>
    </row>
    <row r="145" spans="1:34" s="1935" customFormat="1" ht="15">
      <c r="A145" s="1249" t="s">
        <v>83</v>
      </c>
      <c r="B145" s="1286">
        <f t="shared" si="23"/>
        <v>14.429</v>
      </c>
      <c r="C145" s="45"/>
      <c r="D145" s="45"/>
      <c r="E145" s="45"/>
      <c r="F145" s="45">
        <v>5.4290000000000003</v>
      </c>
      <c r="G145" s="45"/>
      <c r="H145" s="45"/>
      <c r="I145" s="45"/>
      <c r="J145" s="45"/>
      <c r="K145" s="45"/>
      <c r="L145" s="45"/>
      <c r="M145" s="45"/>
      <c r="N145" s="45"/>
      <c r="O145" s="45"/>
      <c r="P145" s="45"/>
      <c r="Q145" s="134" t="s">
        <v>401</v>
      </c>
      <c r="R145" s="134" t="s">
        <v>401</v>
      </c>
      <c r="S145" s="134" t="s">
        <v>401</v>
      </c>
      <c r="T145" s="134" t="s">
        <v>401</v>
      </c>
      <c r="U145" s="134" t="s">
        <v>401</v>
      </c>
      <c r="V145" s="134" t="s">
        <v>401</v>
      </c>
      <c r="W145" s="134" t="s">
        <v>401</v>
      </c>
      <c r="X145" s="134" t="s">
        <v>401</v>
      </c>
      <c r="Y145" s="134" t="s">
        <v>401</v>
      </c>
      <c r="Z145" s="134" t="s">
        <v>401</v>
      </c>
      <c r="AA145" s="134" t="s">
        <v>401</v>
      </c>
      <c r="AB145" s="134" t="s">
        <v>401</v>
      </c>
      <c r="AC145" s="134" t="s">
        <v>401</v>
      </c>
      <c r="AD145" s="134" t="s">
        <v>401</v>
      </c>
      <c r="AE145" s="134" t="s">
        <v>401</v>
      </c>
      <c r="AF145" s="3324">
        <v>9</v>
      </c>
      <c r="AG145" s="134" t="s">
        <v>401</v>
      </c>
      <c r="AH145" s="53">
        <f t="shared" si="24"/>
        <v>14.429</v>
      </c>
    </row>
    <row r="146" spans="1:34" s="1935" customFormat="1" ht="15">
      <c r="A146" s="1249" t="s">
        <v>84</v>
      </c>
      <c r="B146" s="1286">
        <f t="shared" si="23"/>
        <v>212.9</v>
      </c>
      <c r="C146" s="3324">
        <f>7.2+7</f>
        <v>14.2</v>
      </c>
      <c r="D146" s="3324">
        <f>8.8+7</f>
        <v>15.8</v>
      </c>
      <c r="E146" s="134" t="s">
        <v>112</v>
      </c>
      <c r="F146" s="134" t="s">
        <v>112</v>
      </c>
      <c r="G146" s="134" t="s">
        <v>112</v>
      </c>
      <c r="H146" s="134" t="s">
        <v>112</v>
      </c>
      <c r="I146" s="134" t="s">
        <v>112</v>
      </c>
      <c r="J146" s="134" t="s">
        <v>112</v>
      </c>
      <c r="K146" s="134" t="s">
        <v>112</v>
      </c>
      <c r="L146" s="134" t="s">
        <v>112</v>
      </c>
      <c r="M146" s="134" t="s">
        <v>112</v>
      </c>
      <c r="N146" s="134" t="s">
        <v>112</v>
      </c>
      <c r="O146" s="134" t="s">
        <v>112</v>
      </c>
      <c r="P146" s="134" t="s">
        <v>112</v>
      </c>
      <c r="Q146" s="134" t="s">
        <v>112</v>
      </c>
      <c r="R146" s="134" t="s">
        <v>112</v>
      </c>
      <c r="S146" s="134" t="s">
        <v>112</v>
      </c>
      <c r="T146" s="134" t="s">
        <v>112</v>
      </c>
      <c r="U146" s="134" t="s">
        <v>112</v>
      </c>
      <c r="V146" s="134" t="s">
        <v>112</v>
      </c>
      <c r="W146" s="3324">
        <v>8</v>
      </c>
      <c r="X146" s="3324">
        <v>12</v>
      </c>
      <c r="Y146" s="3324">
        <v>15.3</v>
      </c>
      <c r="Z146" s="134" t="s">
        <v>112</v>
      </c>
      <c r="AA146" s="3324">
        <v>22</v>
      </c>
      <c r="AB146" s="134" t="s">
        <v>112</v>
      </c>
      <c r="AC146" s="134" t="s">
        <v>112</v>
      </c>
      <c r="AD146" s="3324">
        <f>33+23</f>
        <v>56</v>
      </c>
      <c r="AE146" s="3324">
        <v>20</v>
      </c>
      <c r="AF146" s="3324">
        <f>24.6+25</f>
        <v>49.6</v>
      </c>
      <c r="AG146" s="134" t="s">
        <v>112</v>
      </c>
      <c r="AH146" s="53">
        <f t="shared" si="24"/>
        <v>212.9</v>
      </c>
    </row>
    <row r="147" spans="1:34" s="1935" customFormat="1" ht="15">
      <c r="A147" s="1249" t="s">
        <v>85</v>
      </c>
      <c r="B147" s="1286">
        <f t="shared" si="23"/>
        <v>460.38400000000001</v>
      </c>
      <c r="C147" s="134" t="s">
        <v>112</v>
      </c>
      <c r="D147" s="1961" t="s">
        <v>112</v>
      </c>
      <c r="E147" s="134" t="s">
        <v>112</v>
      </c>
      <c r="F147" s="3375">
        <v>64.7</v>
      </c>
      <c r="G147" s="134" t="s">
        <v>112</v>
      </c>
      <c r="H147" s="3375">
        <v>48.8</v>
      </c>
      <c r="I147" s="134" t="s">
        <v>112</v>
      </c>
      <c r="J147" s="134" t="s">
        <v>112</v>
      </c>
      <c r="K147" s="134" t="s">
        <v>112</v>
      </c>
      <c r="L147" s="134" t="s">
        <v>112</v>
      </c>
      <c r="M147" s="134" t="s">
        <v>112</v>
      </c>
      <c r="N147" s="134" t="s">
        <v>112</v>
      </c>
      <c r="O147" s="134" t="s">
        <v>112</v>
      </c>
      <c r="P147" s="134" t="s">
        <v>112</v>
      </c>
      <c r="Q147" s="134" t="s">
        <v>112</v>
      </c>
      <c r="R147" s="48"/>
      <c r="S147" s="48"/>
      <c r="T147" s="48"/>
      <c r="U147" s="48"/>
      <c r="V147" s="48"/>
      <c r="W147" s="48">
        <f>19.26+13.86+5.35+26.33</f>
        <v>64.800000000000011</v>
      </c>
      <c r="X147" s="48">
        <f>12.45+12.93</f>
        <v>25.38</v>
      </c>
      <c r="Y147" s="48">
        <v>7.98</v>
      </c>
      <c r="Z147" s="48">
        <v>0.7</v>
      </c>
      <c r="AA147" s="48">
        <f>30.52+24.11+4.82+19.96</f>
        <v>79.41</v>
      </c>
      <c r="AB147" s="48">
        <v>15.06</v>
      </c>
      <c r="AC147" s="48"/>
      <c r="AD147" s="48">
        <f>20.87</f>
        <v>20.87</v>
      </c>
      <c r="AE147" s="48">
        <f>20.268+20+23.121+4.608</f>
        <v>67.997</v>
      </c>
      <c r="AF147" s="48">
        <f>4.37+39.24+21.077</f>
        <v>64.686999999999998</v>
      </c>
      <c r="AG147" s="45"/>
      <c r="AH147" s="53">
        <f t="shared" si="24"/>
        <v>460.38400000000001</v>
      </c>
    </row>
    <row r="148" spans="1:34" s="1935" customFormat="1" ht="15">
      <c r="A148" s="1249" t="s">
        <v>86</v>
      </c>
      <c r="B148" s="1286">
        <f t="shared" si="23"/>
        <v>846.27000000000021</v>
      </c>
      <c r="C148" s="49">
        <v>27</v>
      </c>
      <c r="D148" s="18">
        <f>8.8+8.01+7.03</f>
        <v>23.840000000000003</v>
      </c>
      <c r="E148" s="18">
        <f>21.5+3.76+17.05+7.36+1.14</f>
        <v>50.81</v>
      </c>
      <c r="F148" s="18">
        <f>15.42+16.32+0.23+10.92</f>
        <v>42.89</v>
      </c>
      <c r="G148" s="18">
        <f>0.6+5.05</f>
        <v>5.6499999999999995</v>
      </c>
      <c r="H148" s="18">
        <f>26+10.58+13.12</f>
        <v>49.699999999999996</v>
      </c>
      <c r="I148" s="18">
        <v>15.09</v>
      </c>
      <c r="J148" s="18">
        <v>17.84</v>
      </c>
      <c r="K148" s="18">
        <f>3.97+37+3.1</f>
        <v>44.07</v>
      </c>
      <c r="L148" s="18">
        <v>1</v>
      </c>
      <c r="M148" s="18">
        <f>6.75+18.5+16.66+2.11</f>
        <v>44.019999999999996</v>
      </c>
      <c r="N148" s="18">
        <v>19.8</v>
      </c>
      <c r="O148" s="18">
        <v>17</v>
      </c>
      <c r="P148" s="18"/>
      <c r="Q148" s="18"/>
      <c r="R148" s="18">
        <f>28.5+20.14+9.98</f>
        <v>58.620000000000005</v>
      </c>
      <c r="S148" s="18">
        <v>23.15</v>
      </c>
      <c r="T148" s="18">
        <v>19</v>
      </c>
      <c r="U148" s="18">
        <f>16.59+13.28+20.66+38.68</f>
        <v>89.210000000000008</v>
      </c>
      <c r="V148" s="18">
        <f>3.49+22+9.68</f>
        <v>35.17</v>
      </c>
      <c r="W148" s="18">
        <v>2.33</v>
      </c>
      <c r="X148" s="18"/>
      <c r="Y148" s="18">
        <f>3.22+4.38+31+17.77</f>
        <v>56.370000000000005</v>
      </c>
      <c r="Z148" s="18">
        <v>0.7</v>
      </c>
      <c r="AA148" s="18"/>
      <c r="AB148" s="18">
        <v>17</v>
      </c>
      <c r="AC148" s="18">
        <f>11.61+17.61+18.96+4.53+30+11+23.85</f>
        <v>117.56</v>
      </c>
      <c r="AD148" s="18">
        <f>6.45+27+35</f>
        <v>68.45</v>
      </c>
      <c r="AE148" s="53"/>
      <c r="AF148" s="18"/>
      <c r="AG148" s="53"/>
      <c r="AH148" s="53">
        <f t="shared" si="24"/>
        <v>846.27000000000021</v>
      </c>
    </row>
    <row r="149" spans="1:34" s="1935" customFormat="1" ht="15">
      <c r="A149" s="88" t="s">
        <v>74</v>
      </c>
      <c r="B149" s="90">
        <f>SUM(B137:B148)</f>
        <v>3807.3690000000006</v>
      </c>
      <c r="C149" s="46">
        <f>SUM(C137:C147)</f>
        <v>60.073000000000008</v>
      </c>
      <c r="D149" s="53">
        <f>SUM(D137:D147)</f>
        <v>54.94</v>
      </c>
      <c r="E149" s="53">
        <v>0</v>
      </c>
      <c r="F149" s="53">
        <f t="shared" ref="F149:AC149" si="25">SUM(F137:F147)</f>
        <v>210.62900000000002</v>
      </c>
      <c r="G149" s="53">
        <f t="shared" si="25"/>
        <v>30.262</v>
      </c>
      <c r="H149" s="53">
        <f t="shared" si="25"/>
        <v>174.03800000000001</v>
      </c>
      <c r="I149" s="53">
        <f t="shared" si="25"/>
        <v>102.63799999999999</v>
      </c>
      <c r="J149" s="53">
        <f t="shared" si="25"/>
        <v>175.30600000000001</v>
      </c>
      <c r="K149" s="53">
        <f t="shared" si="25"/>
        <v>91.114999999999995</v>
      </c>
      <c r="L149" s="53">
        <f t="shared" si="25"/>
        <v>122.76799999999999</v>
      </c>
      <c r="M149" s="53">
        <f t="shared" si="25"/>
        <v>137.56399999999999</v>
      </c>
      <c r="N149" s="53">
        <f t="shared" si="25"/>
        <v>75.084000000000003</v>
      </c>
      <c r="O149" s="53">
        <f t="shared" si="25"/>
        <v>101.761</v>
      </c>
      <c r="P149" s="53">
        <f t="shared" si="25"/>
        <v>201.92499999999998</v>
      </c>
      <c r="Q149" s="53">
        <f t="shared" si="25"/>
        <v>88.1</v>
      </c>
      <c r="R149" s="53">
        <f t="shared" si="25"/>
        <v>30.55</v>
      </c>
      <c r="S149" s="53">
        <f t="shared" si="25"/>
        <v>100.848</v>
      </c>
      <c r="T149" s="53">
        <f t="shared" si="25"/>
        <v>63.879999999999995</v>
      </c>
      <c r="U149" s="53">
        <f t="shared" si="25"/>
        <v>10.06</v>
      </c>
      <c r="V149" s="53">
        <f t="shared" si="25"/>
        <v>167.65799999999999</v>
      </c>
      <c r="W149" s="53">
        <f t="shared" si="25"/>
        <v>87.103000000000009</v>
      </c>
      <c r="X149" s="53">
        <f t="shared" si="25"/>
        <v>183.30399999999997</v>
      </c>
      <c r="Y149" s="53">
        <f t="shared" si="25"/>
        <v>83.063000000000002</v>
      </c>
      <c r="Z149" s="53">
        <f t="shared" si="25"/>
        <v>19.759999999999998</v>
      </c>
      <c r="AA149" s="53">
        <f t="shared" si="25"/>
        <v>144.91</v>
      </c>
      <c r="AB149" s="53">
        <f t="shared" si="25"/>
        <v>16.87</v>
      </c>
      <c r="AC149" s="53">
        <f t="shared" si="25"/>
        <v>0</v>
      </c>
      <c r="AD149" s="53">
        <v>0</v>
      </c>
      <c r="AE149" s="53">
        <f>SUM(AE137:AE147)</f>
        <v>90.478999999999999</v>
      </c>
      <c r="AF149" s="53">
        <f>SUM(AF137:AF147)</f>
        <v>123.28700000000001</v>
      </c>
      <c r="AG149" s="53">
        <f>SUM(AG137:AG147)</f>
        <v>14.11</v>
      </c>
      <c r="AH149" s="46">
        <f>SUM(AH137:AH148)</f>
        <v>3807.3690000000006</v>
      </c>
    </row>
    <row r="151" spans="1:34" ht="15.75" thickBot="1">
      <c r="A151" s="3231"/>
    </row>
    <row r="152" spans="1:34" ht="15.75" thickBot="1">
      <c r="A152" s="3647" t="s">
        <v>1128</v>
      </c>
      <c r="B152" s="3648"/>
      <c r="C152" s="3648"/>
      <c r="D152" s="3649"/>
      <c r="E152" s="3231"/>
      <c r="F152" s="3231"/>
      <c r="G152" s="3231"/>
      <c r="H152" s="3231"/>
      <c r="I152" s="3231"/>
      <c r="J152" s="3231"/>
      <c r="K152" s="3231"/>
      <c r="L152" s="3231"/>
      <c r="M152" s="3231"/>
      <c r="N152" s="3231"/>
      <c r="O152" s="3231"/>
    </row>
    <row r="153" spans="1:34">
      <c r="A153" s="3386" t="s">
        <v>136</v>
      </c>
      <c r="B153" s="3387" t="s">
        <v>1129</v>
      </c>
      <c r="C153" s="3387" t="s">
        <v>75</v>
      </c>
      <c r="D153" s="3387" t="s">
        <v>76</v>
      </c>
      <c r="E153" s="3379" t="s">
        <v>77</v>
      </c>
      <c r="F153" s="3379" t="s">
        <v>78</v>
      </c>
      <c r="G153" s="3379" t="s">
        <v>79</v>
      </c>
      <c r="H153" s="3379" t="s">
        <v>80</v>
      </c>
      <c r="I153" s="3379" t="s">
        <v>81</v>
      </c>
      <c r="J153" s="3379" t="s">
        <v>82</v>
      </c>
      <c r="K153" s="3379" t="s">
        <v>1160</v>
      </c>
      <c r="L153" s="3379" t="s">
        <v>1161</v>
      </c>
      <c r="M153" s="3379" t="s">
        <v>85</v>
      </c>
      <c r="N153" s="3379" t="s">
        <v>86</v>
      </c>
      <c r="O153" s="3379" t="s">
        <v>52</v>
      </c>
      <c r="P153" s="3379" t="s">
        <v>943</v>
      </c>
      <c r="Q153" s="3388" t="s">
        <v>1130</v>
      </c>
      <c r="R153" s="3388" t="s">
        <v>1131</v>
      </c>
      <c r="S153" s="3388" t="s">
        <v>478</v>
      </c>
    </row>
    <row r="154" spans="1:34" ht="15">
      <c r="A154" s="3389">
        <v>950021</v>
      </c>
      <c r="B154" s="3390" t="s">
        <v>1134</v>
      </c>
      <c r="C154" s="3390"/>
      <c r="D154" s="3389"/>
      <c r="E154" s="3389"/>
      <c r="F154" s="3389">
        <v>23.055</v>
      </c>
      <c r="G154" s="3389"/>
      <c r="H154" s="3389">
        <v>26.2</v>
      </c>
      <c r="I154" s="3389"/>
      <c r="J154" s="3390">
        <v>37.83</v>
      </c>
      <c r="K154" s="3391">
        <v>5.4290000000000003</v>
      </c>
      <c r="L154" s="3391"/>
      <c r="M154" s="3391"/>
      <c r="N154" s="3391">
        <v>3.1</v>
      </c>
      <c r="O154" s="3383">
        <v>95.61399999999999</v>
      </c>
      <c r="P154" s="3392"/>
      <c r="Q154" s="3384">
        <v>0.29973040752351093</v>
      </c>
      <c r="R154" s="3385">
        <v>319</v>
      </c>
      <c r="S154" s="3385">
        <v>223.38600000000002</v>
      </c>
    </row>
    <row r="155" spans="1:34" ht="15">
      <c r="A155" s="3393">
        <v>951177</v>
      </c>
      <c r="B155" s="3394" t="s">
        <v>1255</v>
      </c>
      <c r="C155" s="3394"/>
      <c r="D155" s="3394"/>
      <c r="E155" s="3393"/>
      <c r="F155" s="3393"/>
      <c r="G155" s="3394"/>
      <c r="H155" s="3393"/>
      <c r="I155" s="3393"/>
      <c r="J155" s="3394"/>
      <c r="K155" s="3391"/>
      <c r="L155" s="3391"/>
      <c r="M155" s="3391"/>
      <c r="N155" s="3391">
        <v>0.6</v>
      </c>
      <c r="O155" s="3383">
        <v>0.6</v>
      </c>
      <c r="P155" s="3395"/>
      <c r="Q155" s="3384">
        <v>1.8808777429467085E-3</v>
      </c>
      <c r="R155" s="3385">
        <v>319</v>
      </c>
      <c r="S155" s="3396">
        <v>318.39999999999998</v>
      </c>
    </row>
    <row r="156" spans="1:34" ht="15">
      <c r="A156" s="3389">
        <v>958704</v>
      </c>
      <c r="B156" s="3390" t="s">
        <v>1140</v>
      </c>
      <c r="C156" s="3390">
        <v>2.4820000000000002</v>
      </c>
      <c r="D156" s="3390">
        <v>41.444000000000003</v>
      </c>
      <c r="E156" s="3390">
        <v>212.797</v>
      </c>
      <c r="F156" s="3389">
        <v>151.75399999999999</v>
      </c>
      <c r="G156" s="3390">
        <v>79.290000000000006</v>
      </c>
      <c r="H156" s="3389">
        <v>159.613</v>
      </c>
      <c r="I156" s="3390">
        <v>93.31</v>
      </c>
      <c r="J156" s="3389"/>
      <c r="K156" s="3391"/>
      <c r="L156" s="3391"/>
      <c r="M156" s="3391"/>
      <c r="N156" s="3391" t="s">
        <v>130</v>
      </c>
      <c r="O156" s="3383">
        <v>740.69</v>
      </c>
      <c r="P156" s="3395" t="s">
        <v>131</v>
      </c>
      <c r="Q156" s="3384">
        <v>2.3219122257053293</v>
      </c>
      <c r="R156" s="3385">
        <v>319</v>
      </c>
      <c r="S156" s="3385">
        <v>-421.69000000000005</v>
      </c>
    </row>
    <row r="157" spans="1:34" ht="15">
      <c r="A157" s="3389">
        <v>952919</v>
      </c>
      <c r="B157" s="3390" t="s">
        <v>1136</v>
      </c>
      <c r="C157" s="3390"/>
      <c r="D157" s="3390"/>
      <c r="E157" s="3389"/>
      <c r="F157" s="3390"/>
      <c r="G157" s="3390"/>
      <c r="H157" s="3390">
        <v>77.710999999999999</v>
      </c>
      <c r="I157" s="3390"/>
      <c r="J157" s="3390"/>
      <c r="K157" s="3391"/>
      <c r="L157" s="3391"/>
      <c r="M157" s="3391">
        <v>69.760000000000005</v>
      </c>
      <c r="N157" s="3391">
        <v>99.11</v>
      </c>
      <c r="O157" s="3383">
        <v>246.58100000000002</v>
      </c>
      <c r="P157" s="3395"/>
      <c r="Q157" s="3384">
        <v>0.77298119122257058</v>
      </c>
      <c r="R157" s="3385">
        <v>319</v>
      </c>
      <c r="S157" s="3385">
        <v>72.418999999999983</v>
      </c>
    </row>
    <row r="158" spans="1:34" ht="15">
      <c r="A158" s="3389">
        <v>950966</v>
      </c>
      <c r="B158" s="3390" t="s">
        <v>1135</v>
      </c>
      <c r="C158" s="3390"/>
      <c r="D158" s="3390">
        <v>4.2</v>
      </c>
      <c r="E158" s="3389">
        <v>11.32</v>
      </c>
      <c r="F158" s="3390"/>
      <c r="G158" s="3389">
        <v>5.0000000000000001E-3</v>
      </c>
      <c r="H158" s="3390"/>
      <c r="I158" s="3390"/>
      <c r="J158" s="3390">
        <v>16.5</v>
      </c>
      <c r="K158" s="3391">
        <v>9</v>
      </c>
      <c r="L158" s="3391">
        <v>81</v>
      </c>
      <c r="M158" s="3391"/>
      <c r="N158" s="3391"/>
      <c r="O158" s="3383">
        <v>122.02500000000001</v>
      </c>
      <c r="P158" s="3395"/>
      <c r="Q158" s="3384">
        <v>0.38252351097178683</v>
      </c>
      <c r="R158" s="3385">
        <v>319</v>
      </c>
      <c r="S158" s="3385">
        <v>196.97499999999999</v>
      </c>
    </row>
    <row r="159" spans="1:34" ht="15">
      <c r="A159" s="3389">
        <v>953579</v>
      </c>
      <c r="B159" s="3390" t="s">
        <v>1137</v>
      </c>
      <c r="C159" s="3390"/>
      <c r="D159" s="3390">
        <v>17.170000000000002</v>
      </c>
      <c r="E159" s="3390">
        <v>27.96</v>
      </c>
      <c r="F159" s="3390">
        <v>61.46</v>
      </c>
      <c r="G159" s="3390">
        <v>30.85</v>
      </c>
      <c r="H159" s="3389">
        <v>61.824000000000005</v>
      </c>
      <c r="I159" s="3390"/>
      <c r="J159" s="3390">
        <v>27.600999999999999</v>
      </c>
      <c r="K159" s="3391"/>
      <c r="L159" s="3391"/>
      <c r="M159" s="3391">
        <v>41.27</v>
      </c>
      <c r="N159" s="3391">
        <v>48.900000000000006</v>
      </c>
      <c r="O159" s="3383">
        <v>317.03499999999997</v>
      </c>
      <c r="P159" s="3395" t="s">
        <v>1256</v>
      </c>
      <c r="Q159" s="3384">
        <v>0.9938401253918494</v>
      </c>
      <c r="R159" s="3385">
        <v>319</v>
      </c>
      <c r="S159" s="3385">
        <v>1.9650000000000318</v>
      </c>
    </row>
    <row r="160" spans="1:34" ht="15">
      <c r="A160" s="3393">
        <v>953697</v>
      </c>
      <c r="B160" s="3394" t="s">
        <v>1138</v>
      </c>
      <c r="C160" s="3394"/>
      <c r="D160" s="3393">
        <v>32.76</v>
      </c>
      <c r="E160" s="3393">
        <v>94.17</v>
      </c>
      <c r="F160" s="3393">
        <v>38.9</v>
      </c>
      <c r="G160" s="3393">
        <v>4.8499999999999996</v>
      </c>
      <c r="H160" s="3393">
        <v>54.95</v>
      </c>
      <c r="I160" s="3394">
        <v>46.921999999999997</v>
      </c>
      <c r="J160" s="3393"/>
      <c r="K160" s="3391"/>
      <c r="L160" s="3391"/>
      <c r="M160" s="3391">
        <v>10.17</v>
      </c>
      <c r="N160" s="3391">
        <v>19.39</v>
      </c>
      <c r="O160" s="3383">
        <v>302.11200000000002</v>
      </c>
      <c r="P160" s="3395" t="s">
        <v>130</v>
      </c>
      <c r="Q160" s="3384">
        <v>0.94705956112852674</v>
      </c>
      <c r="R160" s="3385">
        <v>319</v>
      </c>
      <c r="S160" s="3385">
        <v>16.887999999999977</v>
      </c>
    </row>
    <row r="161" spans="1:19" ht="15">
      <c r="A161" s="3393">
        <v>7996</v>
      </c>
      <c r="B161" s="3394" t="s">
        <v>1133</v>
      </c>
      <c r="C161" s="3394"/>
      <c r="D161" s="3393"/>
      <c r="E161" s="3393">
        <v>67.19</v>
      </c>
      <c r="F161" s="3393">
        <v>94.38</v>
      </c>
      <c r="G161" s="3393"/>
      <c r="H161" s="3393">
        <v>105.184</v>
      </c>
      <c r="I161" s="3393">
        <v>69.28</v>
      </c>
      <c r="J161" s="3394"/>
      <c r="K161" s="3391"/>
      <c r="L161" s="3391"/>
      <c r="M161" s="3391"/>
      <c r="N161" s="3391"/>
      <c r="O161" s="3383">
        <v>336.03399999999999</v>
      </c>
      <c r="P161" s="3395" t="s">
        <v>131</v>
      </c>
      <c r="Q161" s="3384">
        <v>1.053398119122257</v>
      </c>
      <c r="R161" s="3385">
        <v>319</v>
      </c>
      <c r="S161" s="3385">
        <v>-17.033999999999992</v>
      </c>
    </row>
    <row r="162" spans="1:19" ht="15">
      <c r="A162" s="3393">
        <v>960750</v>
      </c>
      <c r="B162" s="3394" t="s">
        <v>1193</v>
      </c>
      <c r="C162" s="3394"/>
      <c r="D162" s="3393"/>
      <c r="E162" s="3393"/>
      <c r="F162" s="3393"/>
      <c r="G162" s="3393"/>
      <c r="H162" s="3393"/>
      <c r="I162" s="3393"/>
      <c r="J162" s="3394"/>
      <c r="K162" s="3391"/>
      <c r="L162" s="3391">
        <v>72.900000000000006</v>
      </c>
      <c r="M162" s="3391">
        <v>113.5</v>
      </c>
      <c r="N162" s="3391">
        <v>15.78</v>
      </c>
      <c r="O162" s="3383">
        <v>202.18</v>
      </c>
      <c r="P162" s="3395"/>
      <c r="Q162" s="3384">
        <v>0.63379310344827589</v>
      </c>
      <c r="R162" s="3385">
        <v>319</v>
      </c>
      <c r="S162" s="3385">
        <v>116.82</v>
      </c>
    </row>
    <row r="163" spans="1:19" ht="15">
      <c r="A163" s="3393">
        <v>959188</v>
      </c>
      <c r="B163" s="3394" t="s">
        <v>1141</v>
      </c>
      <c r="C163" s="3393"/>
      <c r="D163" s="3393"/>
      <c r="E163" s="3393">
        <v>56.44</v>
      </c>
      <c r="F163" s="3393">
        <v>47.64</v>
      </c>
      <c r="G163" s="3393"/>
      <c r="H163" s="3393">
        <v>36.020000000000003</v>
      </c>
      <c r="I163" s="3393"/>
      <c r="J163" s="3394"/>
      <c r="K163" s="3391"/>
      <c r="L163" s="3391"/>
      <c r="M163" s="3391"/>
      <c r="N163" s="3391"/>
      <c r="O163" s="3383">
        <v>140.1</v>
      </c>
      <c r="P163" s="3395"/>
      <c r="Q163" s="3384">
        <v>0.43918495297805643</v>
      </c>
      <c r="R163" s="3385">
        <v>319</v>
      </c>
      <c r="S163" s="3396">
        <v>178.9</v>
      </c>
    </row>
    <row r="164" spans="1:19" s="3332" customFormat="1" ht="15">
      <c r="A164" s="3393">
        <v>7703</v>
      </c>
      <c r="B164" s="3394" t="s">
        <v>1132</v>
      </c>
      <c r="C164" s="3393"/>
      <c r="D164" s="3393">
        <v>2.96</v>
      </c>
      <c r="E164" s="3393">
        <v>33.15</v>
      </c>
      <c r="F164" s="3393">
        <v>26.78</v>
      </c>
      <c r="G164" s="3393">
        <v>11.93</v>
      </c>
      <c r="H164" s="3393">
        <v>18.954000000000001</v>
      </c>
      <c r="I164" s="3393">
        <v>10.194000000000001</v>
      </c>
      <c r="J164" s="3394"/>
      <c r="K164" s="3391"/>
      <c r="L164" s="3391"/>
      <c r="M164" s="3391">
        <v>76.087999999999994</v>
      </c>
      <c r="N164" s="3391">
        <v>72.13000000000001</v>
      </c>
      <c r="O164" s="3383">
        <v>252.18599999999998</v>
      </c>
      <c r="P164" s="3395"/>
      <c r="Q164" s="3384">
        <v>0.79055172413793096</v>
      </c>
      <c r="R164" s="3385">
        <v>319</v>
      </c>
      <c r="S164" s="3396">
        <v>66.814000000000021</v>
      </c>
    </row>
    <row r="165" spans="1:19" s="3332" customFormat="1" ht="15">
      <c r="A165" s="3393">
        <v>950041</v>
      </c>
      <c r="B165" s="3394" t="s">
        <v>1257</v>
      </c>
      <c r="C165" s="3393"/>
      <c r="D165" s="3393"/>
      <c r="E165" s="3393"/>
      <c r="F165" s="3393"/>
      <c r="G165" s="3393"/>
      <c r="H165" s="3393"/>
      <c r="I165" s="3393"/>
      <c r="J165" s="3394"/>
      <c r="K165" s="3391"/>
      <c r="L165" s="3391"/>
      <c r="M165" s="3391"/>
      <c r="N165" s="3391">
        <v>0.7</v>
      </c>
      <c r="O165" s="3383">
        <v>0.7</v>
      </c>
      <c r="P165" s="3395"/>
      <c r="Q165" s="3384">
        <v>2.1943573667711595E-3</v>
      </c>
      <c r="R165" s="3385">
        <v>319</v>
      </c>
      <c r="S165" s="3396">
        <v>318.3</v>
      </c>
    </row>
    <row r="166" spans="1:19" ht="15">
      <c r="A166" s="3389">
        <v>953662</v>
      </c>
      <c r="B166" s="3390" t="s">
        <v>1258</v>
      </c>
      <c r="C166" s="3390"/>
      <c r="D166" s="3390"/>
      <c r="E166" s="3389"/>
      <c r="F166" s="3389"/>
      <c r="G166" s="3390"/>
      <c r="H166" s="3389"/>
      <c r="I166" s="3390"/>
      <c r="J166" s="3390"/>
      <c r="K166" s="3391"/>
      <c r="L166" s="3391"/>
      <c r="M166" s="3391"/>
      <c r="N166" s="3391">
        <v>47.280000000000008</v>
      </c>
      <c r="O166" s="3383">
        <v>47.280000000000008</v>
      </c>
      <c r="P166" s="3397"/>
      <c r="Q166" s="3384">
        <v>0.14821316614420066</v>
      </c>
      <c r="R166" s="3385">
        <v>319</v>
      </c>
      <c r="S166" s="3385">
        <v>271.71999999999997</v>
      </c>
    </row>
    <row r="167" spans="1:19" ht="15">
      <c r="A167" s="3380">
        <v>960860</v>
      </c>
      <c r="B167" s="3381" t="s">
        <v>1259</v>
      </c>
      <c r="C167" s="3382"/>
      <c r="D167" s="3382"/>
      <c r="E167" s="3382"/>
      <c r="F167" s="3382"/>
      <c r="G167" s="3382"/>
      <c r="H167" s="3382"/>
      <c r="I167" s="3382"/>
      <c r="J167" s="3382"/>
      <c r="K167" s="3382"/>
      <c r="L167" s="3382"/>
      <c r="M167" s="3382"/>
      <c r="N167" s="3382">
        <v>3.76</v>
      </c>
      <c r="O167" s="3383">
        <v>3.76</v>
      </c>
      <c r="P167" s="3380"/>
      <c r="Q167" s="3384">
        <v>1.1786833855799372E-2</v>
      </c>
      <c r="R167" s="3385">
        <v>319</v>
      </c>
      <c r="S167" s="3385">
        <v>315.24</v>
      </c>
    </row>
    <row r="168" spans="1:19" ht="15">
      <c r="A168" s="3380">
        <v>955062</v>
      </c>
      <c r="B168" s="107" t="s">
        <v>1203</v>
      </c>
      <c r="C168" s="107"/>
      <c r="D168" s="107"/>
      <c r="E168" s="107"/>
      <c r="F168" s="107"/>
      <c r="G168" s="107"/>
      <c r="H168" s="107"/>
      <c r="I168" s="107"/>
      <c r="J168" s="107"/>
      <c r="K168" s="107"/>
      <c r="L168" s="107"/>
      <c r="M168" s="107">
        <v>20</v>
      </c>
      <c r="N168" s="107">
        <v>247.5</v>
      </c>
      <c r="O168" s="107">
        <v>267.5</v>
      </c>
      <c r="P168" s="107"/>
      <c r="Q168" s="3384">
        <v>0.83855799373040751</v>
      </c>
      <c r="R168" s="107">
        <v>319</v>
      </c>
      <c r="S168" s="107">
        <v>51.5</v>
      </c>
    </row>
    <row r="169" spans="1:19" ht="15">
      <c r="A169" s="107">
        <v>950027</v>
      </c>
      <c r="B169" s="107" t="s">
        <v>718</v>
      </c>
      <c r="C169" s="107"/>
      <c r="D169" s="107"/>
      <c r="E169" s="107">
        <v>14.7</v>
      </c>
      <c r="F169" s="107"/>
      <c r="G169" s="107"/>
      <c r="H169" s="107"/>
      <c r="I169" s="107"/>
      <c r="J169" s="107"/>
      <c r="K169" s="107"/>
      <c r="L169" s="107"/>
      <c r="M169" s="107"/>
      <c r="N169" s="107"/>
      <c r="O169" s="107">
        <v>14.7</v>
      </c>
      <c r="P169" s="107"/>
      <c r="Q169" s="3384">
        <v>4.6081504702194354E-2</v>
      </c>
      <c r="R169" s="107">
        <v>319</v>
      </c>
      <c r="S169" s="107">
        <v>304.3</v>
      </c>
    </row>
    <row r="170" spans="1:19" ht="15">
      <c r="A170" s="107">
        <v>954301</v>
      </c>
      <c r="B170" s="107" t="s">
        <v>1194</v>
      </c>
      <c r="C170" s="107"/>
      <c r="D170" s="107"/>
      <c r="E170" s="107"/>
      <c r="F170" s="107"/>
      <c r="G170" s="107"/>
      <c r="H170" s="107"/>
      <c r="I170" s="107"/>
      <c r="J170" s="107">
        <v>10</v>
      </c>
      <c r="K170" s="107"/>
      <c r="L170" s="107">
        <v>59</v>
      </c>
      <c r="M170" s="107"/>
      <c r="N170" s="107"/>
      <c r="O170" s="107">
        <v>69</v>
      </c>
      <c r="P170" s="107"/>
      <c r="Q170" s="3384">
        <v>0.21630094043887146</v>
      </c>
      <c r="R170" s="107">
        <v>319</v>
      </c>
      <c r="S170" s="107">
        <v>250</v>
      </c>
    </row>
    <row r="171" spans="1:19" ht="15">
      <c r="A171" s="107">
        <v>956913</v>
      </c>
      <c r="B171" s="107" t="s">
        <v>1139</v>
      </c>
      <c r="C171" s="107"/>
      <c r="D171" s="107">
        <v>6.29</v>
      </c>
      <c r="E171" s="107">
        <v>105.4</v>
      </c>
      <c r="F171" s="107">
        <v>49.67</v>
      </c>
      <c r="G171" s="107">
        <v>17.39</v>
      </c>
      <c r="H171" s="107">
        <v>41.09</v>
      </c>
      <c r="I171" s="107">
        <v>6.7960000000000003</v>
      </c>
      <c r="J171" s="107"/>
      <c r="K171" s="107"/>
      <c r="L171" s="107"/>
      <c r="M171" s="107">
        <v>103.211</v>
      </c>
      <c r="N171" s="107">
        <v>1.1399999999999999</v>
      </c>
      <c r="O171" s="107">
        <v>330.98699999999997</v>
      </c>
      <c r="P171" s="107" t="s">
        <v>1260</v>
      </c>
      <c r="Q171" s="3384">
        <v>1.0375768025078369</v>
      </c>
      <c r="R171" s="107">
        <v>319</v>
      </c>
      <c r="S171" s="107">
        <v>-11.986999999999966</v>
      </c>
    </row>
    <row r="172" spans="1:19" ht="15">
      <c r="A172" s="107">
        <v>950650</v>
      </c>
      <c r="B172" s="107" t="s">
        <v>1261</v>
      </c>
      <c r="C172" s="107"/>
      <c r="D172" s="107"/>
      <c r="E172" s="107"/>
      <c r="F172" s="107"/>
      <c r="G172" s="107"/>
      <c r="H172" s="107"/>
      <c r="I172" s="107"/>
      <c r="J172" s="107"/>
      <c r="K172" s="107"/>
      <c r="L172" s="107"/>
      <c r="M172" s="107"/>
      <c r="N172" s="107">
        <v>81.539999999999992</v>
      </c>
      <c r="O172" s="107">
        <v>81.539999999999992</v>
      </c>
      <c r="P172" s="107"/>
      <c r="Q172" s="3384">
        <v>0.25561128526645766</v>
      </c>
      <c r="R172" s="107">
        <v>319</v>
      </c>
      <c r="S172" s="107">
        <v>237.46</v>
      </c>
    </row>
    <row r="173" spans="1:19" ht="15.75" thickBot="1">
      <c r="B173" t="s">
        <v>74</v>
      </c>
      <c r="C173">
        <f>SUM(C154:C171)</f>
        <v>2.4820000000000002</v>
      </c>
      <c r="D173">
        <f t="shared" ref="D173:M173" si="26">SUM(D154:D171)</f>
        <v>104.82400000000001</v>
      </c>
      <c r="E173">
        <f>SUM(E154:E171)</f>
        <v>623.12699999999995</v>
      </c>
      <c r="F173">
        <f>SUM(F154:F171)</f>
        <v>493.63899999999995</v>
      </c>
      <c r="G173">
        <f t="shared" si="26"/>
        <v>144.315</v>
      </c>
      <c r="H173">
        <f t="shared" si="26"/>
        <v>581.54599999999994</v>
      </c>
      <c r="I173">
        <f t="shared" si="26"/>
        <v>226.50199999999998</v>
      </c>
      <c r="J173">
        <f t="shared" si="26"/>
        <v>91.930999999999997</v>
      </c>
      <c r="K173">
        <f t="shared" si="26"/>
        <v>14.429</v>
      </c>
      <c r="L173">
        <f t="shared" si="26"/>
        <v>212.9</v>
      </c>
      <c r="M173">
        <f t="shared" si="26"/>
        <v>433.99900000000002</v>
      </c>
      <c r="N173">
        <f>SUM(N154:N172)</f>
        <v>640.92999999999995</v>
      </c>
      <c r="O173" s="3268">
        <f>SUM(O154:O172)</f>
        <v>3570.6240000000003</v>
      </c>
      <c r="Q173" t="s">
        <v>130</v>
      </c>
      <c r="R173" t="s">
        <v>130</v>
      </c>
    </row>
  </sheetData>
  <mergeCells count="12">
    <mergeCell ref="A152:D152"/>
    <mergeCell ref="A4:C4"/>
    <mergeCell ref="A1:T1"/>
    <mergeCell ref="A21:R21"/>
    <mergeCell ref="A23:H23"/>
    <mergeCell ref="A135:H135"/>
    <mergeCell ref="A119:H119"/>
    <mergeCell ref="A39:H39"/>
    <mergeCell ref="A55:H55"/>
    <mergeCell ref="A71:H71"/>
    <mergeCell ref="A87:H87"/>
    <mergeCell ref="A103:H103"/>
  </mergeCells>
  <pageMargins left="0.7" right="0.7" top="0.75" bottom="0.75" header="0.3" footer="0.3"/>
  <pageSetup orientation="portrait" r:id="rId1"/>
  <legacyDrawing r:id="rId2"/>
</worksheet>
</file>

<file path=xl/worksheets/sheet16.xml><?xml version="1.0" encoding="utf-8"?>
<worksheet xmlns="http://schemas.openxmlformats.org/spreadsheetml/2006/main" xmlns:r="http://schemas.openxmlformats.org/officeDocument/2006/relationships">
  <sheetPr>
    <tabColor theme="0"/>
  </sheetPr>
  <dimension ref="A1:AY291"/>
  <sheetViews>
    <sheetView workbookViewId="0"/>
  </sheetViews>
  <sheetFormatPr baseColWidth="10" defaultRowHeight="12.75"/>
  <cols>
    <col min="1" max="1" width="51.85546875" customWidth="1"/>
    <col min="2" max="2" width="33.5703125" customWidth="1"/>
    <col min="3" max="3" width="13.140625" customWidth="1"/>
    <col min="4" max="4" width="23.5703125" customWidth="1"/>
    <col min="5" max="5" width="14.42578125" customWidth="1"/>
    <col min="6" max="6" width="12.140625" bestFit="1" customWidth="1"/>
    <col min="7" max="7" width="16.42578125" customWidth="1"/>
    <col min="8" max="8" width="24" style="69" customWidth="1"/>
    <col min="9" max="9" width="29.42578125" customWidth="1"/>
    <col min="10" max="10" width="11.42578125" style="69" customWidth="1"/>
    <col min="11" max="11" width="20.28515625" customWidth="1"/>
    <col min="12" max="12" width="21.5703125" customWidth="1"/>
    <col min="13" max="13" width="17.85546875" customWidth="1"/>
    <col min="14" max="14" width="12.7109375" customWidth="1"/>
    <col min="15" max="15" width="16.7109375" customWidth="1"/>
    <col min="16" max="16" width="20.42578125" customWidth="1"/>
    <col min="36" max="36" width="6" customWidth="1"/>
    <col min="37" max="37" width="15.85546875" customWidth="1"/>
    <col min="44" max="44" width="14" customWidth="1"/>
  </cols>
  <sheetData>
    <row r="1" spans="1:9" ht="13.5" thickBot="1">
      <c r="A1" s="167"/>
      <c r="B1" s="167"/>
      <c r="C1" s="167"/>
      <c r="D1" s="167"/>
      <c r="E1" s="167"/>
      <c r="F1" s="167"/>
      <c r="G1" s="167"/>
    </row>
    <row r="2" spans="1:9" ht="13.5" thickBot="1">
      <c r="A2" s="3657" t="s">
        <v>282</v>
      </c>
      <c r="B2" s="3658"/>
      <c r="C2" s="313" t="s">
        <v>8</v>
      </c>
      <c r="D2" s="1301" t="s">
        <v>503</v>
      </c>
      <c r="E2" s="314"/>
      <c r="F2" s="315"/>
      <c r="G2" s="167"/>
    </row>
    <row r="3" spans="1:9" ht="13.5" thickBot="1">
      <c r="A3" s="3659" t="s">
        <v>243</v>
      </c>
      <c r="B3" s="3660"/>
      <c r="C3" s="316"/>
      <c r="D3" s="315"/>
      <c r="E3" s="315"/>
      <c r="F3" s="315"/>
      <c r="G3" s="167"/>
    </row>
    <row r="4" spans="1:9" ht="13.5" thickBot="1">
      <c r="A4" s="317"/>
      <c r="B4" s="318" t="s">
        <v>136</v>
      </c>
      <c r="C4" s="319"/>
      <c r="D4" s="320" t="s">
        <v>137</v>
      </c>
      <c r="E4" s="321" t="s">
        <v>67</v>
      </c>
      <c r="F4" s="321" t="s">
        <v>68</v>
      </c>
      <c r="G4" s="322" t="s">
        <v>135</v>
      </c>
    </row>
    <row r="5" spans="1:9">
      <c r="A5" s="323"/>
      <c r="B5" s="324"/>
      <c r="C5" s="325"/>
      <c r="D5" s="326"/>
      <c r="E5" s="1528">
        <f>+SUM('Planillas diarias trapasos'!B16)</f>
        <v>0</v>
      </c>
      <c r="F5" s="1528">
        <f>+D5-E5</f>
        <v>0</v>
      </c>
      <c r="G5" s="979"/>
      <c r="H5" s="1252"/>
    </row>
    <row r="6" spans="1:9" ht="13.5" thickBot="1">
      <c r="A6" s="329"/>
      <c r="B6" s="330"/>
      <c r="C6" s="330"/>
      <c r="D6" s="331"/>
      <c r="E6" s="332"/>
      <c r="F6" s="333"/>
      <c r="G6" s="334"/>
      <c r="H6" s="1496"/>
    </row>
    <row r="7" spans="1:9" ht="13.5" thickBot="1">
      <c r="A7" s="167"/>
      <c r="B7" s="167"/>
      <c r="C7" s="167"/>
      <c r="D7" s="335">
        <f>SUM(D5:D6)</f>
        <v>0</v>
      </c>
      <c r="E7" s="336">
        <f>SUM(E5:E6)</f>
        <v>0</v>
      </c>
      <c r="F7" s="337">
        <f>SUM(F5:F6)</f>
        <v>0</v>
      </c>
      <c r="G7" s="167"/>
      <c r="H7" s="1496"/>
      <c r="I7" s="227"/>
    </row>
    <row r="8" spans="1:9" ht="13.5" thickBot="1">
      <c r="A8" s="167"/>
      <c r="B8" s="167"/>
      <c r="C8" s="167"/>
      <c r="D8" s="167"/>
      <c r="E8" s="167"/>
      <c r="F8" s="167"/>
      <c r="G8" s="167"/>
      <c r="H8" s="1496"/>
    </row>
    <row r="9" spans="1:9" ht="13.5" thickBot="1">
      <c r="A9" s="3657" t="s">
        <v>282</v>
      </c>
      <c r="B9" s="3658"/>
      <c r="C9" s="313" t="s">
        <v>8</v>
      </c>
      <c r="D9" s="1301" t="s">
        <v>281</v>
      </c>
      <c r="E9" s="314"/>
      <c r="F9" s="315"/>
      <c r="G9" s="167"/>
      <c r="H9" s="1496"/>
    </row>
    <row r="10" spans="1:9" ht="13.5" thickBot="1">
      <c r="A10" s="3659" t="s">
        <v>243</v>
      </c>
      <c r="B10" s="3660"/>
      <c r="C10" s="316"/>
      <c r="D10" s="315"/>
      <c r="E10" s="315"/>
      <c r="F10" s="315"/>
      <c r="G10" s="167"/>
      <c r="H10" s="1496"/>
    </row>
    <row r="11" spans="1:9" ht="13.5" thickBot="1">
      <c r="A11" s="317"/>
      <c r="B11" s="318" t="s">
        <v>136</v>
      </c>
      <c r="C11" s="319"/>
      <c r="D11" s="320" t="s">
        <v>137</v>
      </c>
      <c r="E11" s="321" t="s">
        <v>67</v>
      </c>
      <c r="F11" s="321" t="s">
        <v>68</v>
      </c>
      <c r="G11" s="322" t="s">
        <v>135</v>
      </c>
      <c r="H11" s="1252"/>
    </row>
    <row r="12" spans="1:9">
      <c r="A12" s="323"/>
      <c r="B12" s="324"/>
      <c r="C12" s="325"/>
      <c r="D12" s="326"/>
      <c r="E12" s="1528">
        <f>+SUM('Planillas diarias trapasos'!B35)</f>
        <v>0</v>
      </c>
      <c r="F12" s="1528">
        <f>+D12-E12</f>
        <v>0</v>
      </c>
      <c r="G12" s="979"/>
      <c r="H12" s="1496"/>
    </row>
    <row r="13" spans="1:9" ht="13.5" thickBot="1">
      <c r="A13" s="329"/>
      <c r="B13" s="330"/>
      <c r="C13" s="330"/>
      <c r="D13" s="331"/>
      <c r="E13" s="332"/>
      <c r="F13" s="333"/>
      <c r="G13" s="334"/>
      <c r="H13" s="1496"/>
    </row>
    <row r="14" spans="1:9" ht="13.5" thickBot="1">
      <c r="A14" s="167"/>
      <c r="B14" s="167"/>
      <c r="C14" s="167"/>
      <c r="D14" s="335">
        <f>SUM(D12:D13)</f>
        <v>0</v>
      </c>
      <c r="E14" s="336">
        <v>0</v>
      </c>
      <c r="F14" s="1448">
        <f>SUM(F12:F13)</f>
        <v>0</v>
      </c>
      <c r="G14" s="167"/>
      <c r="H14" s="1496"/>
    </row>
    <row r="15" spans="1:9">
      <c r="A15" s="167"/>
      <c r="B15" s="167"/>
      <c r="C15" s="167"/>
      <c r="D15" s="315"/>
      <c r="E15" s="1122"/>
      <c r="F15" s="1122"/>
      <c r="G15" s="167"/>
      <c r="H15" s="1496"/>
    </row>
    <row r="16" spans="1:9" ht="13.5" thickBot="1">
      <c r="A16" s="167"/>
      <c r="B16" s="167"/>
      <c r="C16" s="167"/>
      <c r="D16" s="315"/>
      <c r="E16" s="1122"/>
      <c r="F16" s="1122"/>
      <c r="G16" s="167"/>
      <c r="H16" s="1496"/>
    </row>
    <row r="17" spans="1:10" ht="13.5" thickBot="1">
      <c r="A17" s="3657" t="s">
        <v>282</v>
      </c>
      <c r="B17" s="3658"/>
      <c r="C17" s="313" t="s">
        <v>8</v>
      </c>
      <c r="D17" s="1301" t="s">
        <v>470</v>
      </c>
      <c r="E17" s="314"/>
      <c r="F17" s="315"/>
      <c r="G17" s="167"/>
      <c r="H17" s="1252"/>
    </row>
    <row r="18" spans="1:10" ht="13.5" thickBot="1">
      <c r="A18" s="3659" t="s">
        <v>243</v>
      </c>
      <c r="B18" s="3660"/>
      <c r="C18" s="316"/>
      <c r="D18" s="315"/>
      <c r="E18" s="315"/>
      <c r="F18" s="315"/>
      <c r="G18" s="167"/>
      <c r="H18" s="1496"/>
    </row>
    <row r="19" spans="1:10" ht="13.5" thickBot="1">
      <c r="A19" s="317"/>
      <c r="B19" s="318" t="s">
        <v>136</v>
      </c>
      <c r="C19" s="319"/>
      <c r="D19" s="320" t="s">
        <v>137</v>
      </c>
      <c r="E19" s="321" t="s">
        <v>67</v>
      </c>
      <c r="F19" s="321" t="s">
        <v>68</v>
      </c>
      <c r="G19" s="322" t="s">
        <v>135</v>
      </c>
      <c r="H19" s="1293"/>
      <c r="I19" s="1292"/>
      <c r="J19" s="1292"/>
    </row>
    <row r="20" spans="1:10">
      <c r="A20" s="323"/>
      <c r="B20" s="324" t="s">
        <v>469</v>
      </c>
      <c r="C20" s="325"/>
      <c r="D20" s="326"/>
      <c r="E20" s="1528">
        <f>+SUM('Planillas diarias trapasos'!B53)</f>
        <v>0</v>
      </c>
      <c r="F20" s="1528">
        <f>+D20-E20</f>
        <v>0</v>
      </c>
      <c r="G20" s="979"/>
      <c r="H20" s="1252"/>
    </row>
    <row r="21" spans="1:10" ht="13.5" thickBot="1">
      <c r="A21" s="329"/>
      <c r="B21" s="330"/>
      <c r="C21" s="330"/>
      <c r="D21" s="331"/>
      <c r="E21" s="332"/>
      <c r="F21" s="333"/>
      <c r="G21" s="334"/>
      <c r="H21" s="1496"/>
    </row>
    <row r="22" spans="1:10" ht="13.5" thickBot="1">
      <c r="A22" s="167"/>
      <c r="B22" s="167"/>
      <c r="C22" s="167"/>
      <c r="D22" s="335">
        <f>SUM(D20:D21)</f>
        <v>0</v>
      </c>
      <c r="E22" s="336">
        <v>0</v>
      </c>
      <c r="F22" s="1448">
        <f>SUM(F20:F21)</f>
        <v>0</v>
      </c>
      <c r="G22" s="167"/>
      <c r="H22" s="1253"/>
    </row>
    <row r="23" spans="1:10" s="1248" customFormat="1" ht="13.5" thickBot="1">
      <c r="A23" s="167"/>
      <c r="B23" s="167"/>
      <c r="C23" s="167"/>
      <c r="D23" s="315"/>
      <c r="E23" s="1122"/>
      <c r="F23" s="1122"/>
      <c r="G23" s="167"/>
      <c r="H23" s="1253"/>
      <c r="J23" s="69"/>
    </row>
    <row r="24" spans="1:10" s="1248" customFormat="1" ht="13.5" thickBot="1">
      <c r="A24" s="3657" t="s">
        <v>282</v>
      </c>
      <c r="B24" s="3658"/>
      <c r="C24" s="313" t="s">
        <v>8</v>
      </c>
      <c r="D24" s="1301" t="s">
        <v>498</v>
      </c>
      <c r="E24" s="314"/>
      <c r="F24" s="315"/>
      <c r="G24" s="167"/>
      <c r="H24" s="1253"/>
      <c r="J24" s="69"/>
    </row>
    <row r="25" spans="1:10" s="1248" customFormat="1" ht="13.5" thickBot="1">
      <c r="A25" s="3659" t="s">
        <v>243</v>
      </c>
      <c r="B25" s="3660"/>
      <c r="C25" s="316"/>
      <c r="D25" s="315"/>
      <c r="E25" s="315"/>
      <c r="F25" s="315"/>
      <c r="G25" s="167"/>
      <c r="H25" s="1253"/>
      <c r="J25" s="69"/>
    </row>
    <row r="26" spans="1:10" s="1248" customFormat="1" ht="13.5" thickBot="1">
      <c r="A26" s="317"/>
      <c r="B26" s="318" t="s">
        <v>136</v>
      </c>
      <c r="C26" s="319"/>
      <c r="D26" s="320" t="s">
        <v>137</v>
      </c>
      <c r="E26" s="321" t="s">
        <v>67</v>
      </c>
      <c r="F26" s="321" t="s">
        <v>68</v>
      </c>
      <c r="G26" s="322" t="s">
        <v>135</v>
      </c>
      <c r="H26" s="1252"/>
      <c r="J26" s="69"/>
    </row>
    <row r="27" spans="1:10" s="1248" customFormat="1">
      <c r="A27" s="323"/>
      <c r="B27" s="324" t="s">
        <v>469</v>
      </c>
      <c r="C27" s="325"/>
      <c r="D27" s="326"/>
      <c r="E27" s="1528">
        <f>+SUM('Planillas diarias trapasos'!B71)</f>
        <v>0</v>
      </c>
      <c r="F27" s="1528">
        <f>+D27-E27</f>
        <v>0</v>
      </c>
      <c r="G27" s="979"/>
      <c r="H27" s="1253"/>
      <c r="J27" s="69"/>
    </row>
    <row r="28" spans="1:10" s="1248" customFormat="1" ht="13.5" thickBot="1">
      <c r="A28" s="329"/>
      <c r="B28" s="330"/>
      <c r="C28" s="330"/>
      <c r="D28" s="331"/>
      <c r="E28" s="332"/>
      <c r="F28" s="333"/>
      <c r="G28" s="334"/>
      <c r="H28" s="1253"/>
      <c r="J28" s="69"/>
    </row>
    <row r="29" spans="1:10" s="1248" customFormat="1" ht="13.5" thickBot="1">
      <c r="A29" s="167"/>
      <c r="B29" s="167"/>
      <c r="C29" s="167"/>
      <c r="D29" s="335">
        <f>SUM(D27:D28)</f>
        <v>0</v>
      </c>
      <c r="E29" s="336">
        <f>SUM(E27:E28)</f>
        <v>0</v>
      </c>
      <c r="F29" s="337">
        <f>SUM(F27:F28)</f>
        <v>0</v>
      </c>
      <c r="G29" s="167"/>
      <c r="H29" s="1253"/>
      <c r="J29" s="69"/>
    </row>
    <row r="30" spans="1:10" s="1440" customFormat="1" ht="13.5" thickBot="1">
      <c r="A30" s="167"/>
      <c r="B30" s="167"/>
      <c r="C30" s="167"/>
      <c r="D30" s="315"/>
      <c r="E30" s="1122"/>
      <c r="F30" s="1122"/>
      <c r="G30" s="167"/>
      <c r="H30" s="1253"/>
      <c r="J30" s="69"/>
    </row>
    <row r="31" spans="1:10" s="1440" customFormat="1" ht="13.5" thickBot="1">
      <c r="A31" s="3657" t="s">
        <v>282</v>
      </c>
      <c r="B31" s="3658"/>
      <c r="C31" s="313" t="s">
        <v>8</v>
      </c>
      <c r="D31" s="1301" t="s">
        <v>545</v>
      </c>
      <c r="E31" s="314"/>
      <c r="F31" s="315"/>
      <c r="G31" s="167"/>
      <c r="H31" s="1253"/>
      <c r="J31" s="69"/>
    </row>
    <row r="32" spans="1:10" s="1440" customFormat="1" ht="13.5" thickBot="1">
      <c r="A32" s="3659" t="s">
        <v>243</v>
      </c>
      <c r="B32" s="3660"/>
      <c r="C32" s="316"/>
      <c r="D32" s="315"/>
      <c r="E32" s="315"/>
      <c r="F32" s="315"/>
      <c r="G32" s="167"/>
      <c r="H32" s="1253"/>
      <c r="J32" s="69"/>
    </row>
    <row r="33" spans="1:15" s="1440" customFormat="1" ht="13.5" thickBot="1">
      <c r="A33" s="317"/>
      <c r="B33" s="318" t="s">
        <v>136</v>
      </c>
      <c r="C33" s="319"/>
      <c r="D33" s="320" t="s">
        <v>137</v>
      </c>
      <c r="E33" s="321" t="s">
        <v>67</v>
      </c>
      <c r="F33" s="321" t="s">
        <v>68</v>
      </c>
      <c r="G33" s="322" t="s">
        <v>135</v>
      </c>
      <c r="H33" s="1252"/>
      <c r="J33" s="69"/>
    </row>
    <row r="34" spans="1:15" s="1440" customFormat="1">
      <c r="A34" s="323"/>
      <c r="B34" s="324" t="s">
        <v>469</v>
      </c>
      <c r="C34" s="325"/>
      <c r="D34" s="326"/>
      <c r="E34" s="1528">
        <f>+SUM('Planillas diarias trapasos'!B90)</f>
        <v>0</v>
      </c>
      <c r="F34" s="1528">
        <f>+D34-E34</f>
        <v>0</v>
      </c>
      <c r="G34" s="979"/>
      <c r="H34" s="1253"/>
      <c r="J34" s="69"/>
    </row>
    <row r="35" spans="1:15" s="1440" customFormat="1" ht="13.5" thickBot="1">
      <c r="A35" s="329"/>
      <c r="B35" s="330"/>
      <c r="C35" s="330"/>
      <c r="D35" s="331"/>
      <c r="E35" s="332"/>
      <c r="F35" s="333"/>
      <c r="G35" s="334"/>
      <c r="H35" s="1253"/>
      <c r="J35" s="69"/>
    </row>
    <row r="36" spans="1:15" s="1440" customFormat="1" ht="13.5" thickBot="1">
      <c r="A36" s="167"/>
      <c r="B36" s="167"/>
      <c r="C36" s="167"/>
      <c r="D36" s="335">
        <f>SUM(D34:D35)</f>
        <v>0</v>
      </c>
      <c r="E36" s="336">
        <f>SUM(E34:E35)</f>
        <v>0</v>
      </c>
      <c r="F36" s="337">
        <f>SUM(F34:F35)</f>
        <v>0</v>
      </c>
      <c r="G36" s="167"/>
      <c r="H36" s="1253"/>
      <c r="J36" s="69"/>
    </row>
    <row r="37" spans="1:15" s="1248" customFormat="1">
      <c r="A37" s="167"/>
      <c r="B37" s="167"/>
      <c r="C37" s="1298"/>
      <c r="D37" s="1299">
        <f>+D27+D20+D12+D5</f>
        <v>0</v>
      </c>
      <c r="E37" s="1300">
        <f>+E27+E20+E12+E5-F22</f>
        <v>0</v>
      </c>
      <c r="F37" s="1300">
        <f>+D37-E37</f>
        <v>0</v>
      </c>
      <c r="G37" s="1298"/>
      <c r="H37" s="1253"/>
      <c r="J37" s="69"/>
    </row>
    <row r="38" spans="1:15" ht="15.75" thickBot="1">
      <c r="A38" s="167"/>
      <c r="B38" s="167"/>
      <c r="C38" s="167"/>
      <c r="D38" s="167"/>
      <c r="E38" s="167"/>
      <c r="F38" s="167"/>
      <c r="G38" s="167"/>
      <c r="H38" s="1513"/>
      <c r="I38" s="305"/>
      <c r="J38" s="306"/>
      <c r="K38" s="305"/>
      <c r="L38" s="305"/>
      <c r="M38" s="305"/>
      <c r="N38" s="305"/>
      <c r="O38" s="305"/>
    </row>
    <row r="39" spans="1:15" ht="15.75" thickBot="1">
      <c r="A39" s="3661" t="s">
        <v>402</v>
      </c>
      <c r="B39" s="3662"/>
      <c r="C39" s="1302" t="s">
        <v>141</v>
      </c>
      <c r="D39" s="3684" t="s">
        <v>145</v>
      </c>
      <c r="E39" s="3685"/>
      <c r="F39" s="315"/>
      <c r="G39" s="167"/>
      <c r="H39" s="1513"/>
      <c r="I39" s="305"/>
      <c r="J39" s="306"/>
      <c r="K39" s="305"/>
      <c r="L39" s="305"/>
      <c r="M39" s="305"/>
      <c r="N39" s="305"/>
      <c r="O39" s="305"/>
    </row>
    <row r="40" spans="1:15" ht="15">
      <c r="A40" s="338"/>
      <c r="B40" s="338"/>
      <c r="C40" s="339"/>
      <c r="D40" s="315"/>
      <c r="E40" s="315"/>
      <c r="F40" s="315"/>
      <c r="G40" s="167"/>
      <c r="H40" s="1513"/>
      <c r="I40" s="305"/>
      <c r="J40" s="306"/>
      <c r="K40" s="305"/>
      <c r="L40" s="305"/>
      <c r="M40" s="305"/>
      <c r="N40" s="305"/>
      <c r="O40" s="305"/>
    </row>
    <row r="41" spans="1:15" ht="15.75" thickBot="1">
      <c r="A41" s="340" t="s">
        <v>134</v>
      </c>
      <c r="B41" s="321" t="s">
        <v>136</v>
      </c>
      <c r="C41" s="321"/>
      <c r="D41" s="321" t="s">
        <v>137</v>
      </c>
      <c r="E41" s="321" t="s">
        <v>67</v>
      </c>
      <c r="F41" s="321" t="s">
        <v>68</v>
      </c>
      <c r="G41" s="322" t="s">
        <v>135</v>
      </c>
      <c r="H41" s="1530"/>
      <c r="I41" s="305"/>
      <c r="J41" s="306"/>
      <c r="K41" s="305"/>
      <c r="L41" s="305"/>
      <c r="M41" s="305"/>
      <c r="N41" s="305"/>
      <c r="O41" s="305"/>
    </row>
    <row r="42" spans="1:15" ht="15">
      <c r="A42" s="329" t="s">
        <v>140</v>
      </c>
      <c r="B42" s="341"/>
      <c r="C42" s="342"/>
      <c r="D42" s="326"/>
      <c r="E42" s="327">
        <f>+SUM('Planillas diarias trapasos'!B311)</f>
        <v>0</v>
      </c>
      <c r="F42" s="343">
        <f>+D42-E42</f>
        <v>0</v>
      </c>
      <c r="G42" s="328"/>
      <c r="H42" s="1513"/>
      <c r="I42" s="305"/>
      <c r="J42" s="306"/>
      <c r="K42" s="305"/>
      <c r="L42" s="305"/>
      <c r="M42" s="305"/>
      <c r="N42" s="305"/>
      <c r="O42" s="305"/>
    </row>
    <row r="43" spans="1:15" ht="12.75" customHeight="1" thickBot="1">
      <c r="A43" s="329" t="s">
        <v>142</v>
      </c>
      <c r="B43" s="330"/>
      <c r="C43" s="344"/>
      <c r="D43" s="331"/>
      <c r="E43" s="332">
        <f>+SUM('Planillas diarias trapasos'!B328)</f>
        <v>0</v>
      </c>
      <c r="F43" s="333">
        <f>+D43-E43</f>
        <v>0</v>
      </c>
      <c r="G43" s="334"/>
      <c r="H43" s="1513"/>
      <c r="I43" s="305"/>
      <c r="J43" s="306"/>
      <c r="K43" s="305"/>
      <c r="L43" s="305"/>
      <c r="M43" s="305"/>
      <c r="N43" s="305"/>
      <c r="O43" s="305"/>
    </row>
    <row r="44" spans="1:15" ht="12.75" customHeight="1" thickBot="1">
      <c r="A44" s="345" t="s">
        <v>52</v>
      </c>
      <c r="B44" s="167"/>
      <c r="C44" s="167"/>
      <c r="D44" s="347">
        <f>SUM(D42:D43)</f>
        <v>0</v>
      </c>
      <c r="E44" s="348">
        <f>SUM(E42:E43)</f>
        <v>0</v>
      </c>
      <c r="F44" s="348">
        <f>SUM(F42:F43)</f>
        <v>0</v>
      </c>
      <c r="G44" s="167"/>
      <c r="H44" s="1513"/>
      <c r="I44" s="305"/>
      <c r="J44" s="306"/>
      <c r="K44" s="305"/>
      <c r="L44" s="305"/>
      <c r="M44" s="305"/>
      <c r="N44" s="305"/>
      <c r="O44" s="305"/>
    </row>
    <row r="45" spans="1:15" ht="12.75" customHeight="1" thickBot="1">
      <c r="A45" s="345"/>
      <c r="B45" s="167"/>
      <c r="C45" s="167"/>
      <c r="D45" s="346"/>
      <c r="E45" s="346"/>
      <c r="F45" s="167"/>
      <c r="G45" s="167"/>
      <c r="H45" s="1513"/>
      <c r="I45" s="305"/>
      <c r="J45" s="306"/>
      <c r="K45" s="305"/>
      <c r="L45" s="305"/>
      <c r="M45" s="305"/>
      <c r="N45" s="305"/>
      <c r="O45" s="305"/>
    </row>
    <row r="46" spans="1:15" ht="12.75" customHeight="1" thickBot="1">
      <c r="A46" s="3661" t="s">
        <v>139</v>
      </c>
      <c r="B46" s="3662"/>
      <c r="C46" s="1135" t="s">
        <v>8</v>
      </c>
      <c r="D46" s="3667" t="s">
        <v>276</v>
      </c>
      <c r="E46" s="3668"/>
      <c r="F46" s="167"/>
      <c r="G46" s="167"/>
      <c r="H46" s="1513"/>
      <c r="I46" s="305"/>
      <c r="J46" s="306"/>
      <c r="K46" s="305"/>
      <c r="L46" s="305"/>
      <c r="M46" s="305"/>
      <c r="N46" s="305"/>
      <c r="O46" s="305"/>
    </row>
    <row r="47" spans="1:15" ht="12.75" customHeight="1" thickBot="1">
      <c r="A47" s="340" t="s">
        <v>134</v>
      </c>
      <c r="B47" s="321" t="s">
        <v>136</v>
      </c>
      <c r="C47" s="321"/>
      <c r="D47" s="436" t="s">
        <v>137</v>
      </c>
      <c r="E47" s="436" t="s">
        <v>67</v>
      </c>
      <c r="F47" s="321" t="s">
        <v>68</v>
      </c>
      <c r="G47" s="322" t="s">
        <v>135</v>
      </c>
      <c r="H47" s="1513"/>
      <c r="I47" s="305"/>
      <c r="J47" s="306"/>
      <c r="K47" s="305"/>
      <c r="L47" s="305"/>
      <c r="M47" s="305"/>
      <c r="N47" s="305"/>
      <c r="O47" s="305"/>
    </row>
    <row r="48" spans="1:15" ht="12.75" customHeight="1">
      <c r="A48" s="329" t="s">
        <v>140</v>
      </c>
      <c r="B48" s="341"/>
      <c r="C48" s="342"/>
      <c r="D48" s="326"/>
      <c r="E48" s="327">
        <f>+SUM('Planillas diarias trapasos'!B375)</f>
        <v>0</v>
      </c>
      <c r="F48" s="343">
        <f>+D48-E48</f>
        <v>0</v>
      </c>
      <c r="G48" s="328"/>
      <c r="H48" s="1530"/>
      <c r="I48" s="305"/>
      <c r="J48" s="306"/>
      <c r="K48" s="305"/>
      <c r="L48" s="305"/>
      <c r="M48" s="305"/>
      <c r="N48" s="305"/>
      <c r="O48" s="305"/>
    </row>
    <row r="49" spans="1:16" ht="12.75" customHeight="1" thickBot="1">
      <c r="A49" s="329"/>
      <c r="B49" s="330"/>
      <c r="C49" s="344"/>
      <c r="D49" s="331"/>
      <c r="E49" s="333"/>
      <c r="F49" s="333"/>
      <c r="G49" s="334"/>
      <c r="H49" s="1513"/>
      <c r="I49" s="305"/>
      <c r="J49" s="306"/>
      <c r="K49" s="305"/>
      <c r="L49" s="305"/>
      <c r="M49" s="305"/>
      <c r="N49" s="305"/>
      <c r="O49" s="305"/>
    </row>
    <row r="50" spans="1:16" ht="12.75" customHeight="1" thickBot="1">
      <c r="A50" s="345" t="s">
        <v>52</v>
      </c>
      <c r="B50" s="167"/>
      <c r="C50" s="167"/>
      <c r="D50" s="347">
        <f>SUM(D48:D49)</f>
        <v>0</v>
      </c>
      <c r="E50" s="348">
        <f>SUM(E48:E49)</f>
        <v>0</v>
      </c>
      <c r="F50" s="348">
        <f>SUM(F48:F49)</f>
        <v>0</v>
      </c>
      <c r="G50" s="168"/>
      <c r="H50" s="1513"/>
      <c r="I50" s="305"/>
      <c r="J50" s="306"/>
      <c r="K50" s="305"/>
      <c r="L50" s="305"/>
      <c r="M50" s="305"/>
      <c r="N50" s="305"/>
      <c r="O50" s="305"/>
    </row>
    <row r="51" spans="1:16" ht="12.75" customHeight="1" thickBot="1">
      <c r="A51" s="345"/>
      <c r="B51" s="167"/>
      <c r="C51" s="167"/>
      <c r="D51" s="346"/>
      <c r="E51" s="346"/>
      <c r="F51" s="167"/>
      <c r="G51" s="167"/>
      <c r="H51" s="1513"/>
      <c r="I51" s="305"/>
      <c r="J51" s="306"/>
      <c r="K51" s="305"/>
      <c r="L51" s="305"/>
      <c r="M51" s="305"/>
      <c r="N51" s="305"/>
      <c r="O51" s="305"/>
    </row>
    <row r="52" spans="1:16" ht="12.75" customHeight="1" thickBot="1">
      <c r="A52" s="3661" t="s">
        <v>139</v>
      </c>
      <c r="B52" s="3662"/>
      <c r="C52" s="1135" t="s">
        <v>8</v>
      </c>
      <c r="D52" s="3667" t="s">
        <v>277</v>
      </c>
      <c r="E52" s="3668"/>
      <c r="F52" s="167"/>
      <c r="G52" s="167"/>
      <c r="H52" s="1513"/>
      <c r="I52" s="305"/>
      <c r="J52" s="306"/>
      <c r="K52" s="305"/>
      <c r="L52" s="305"/>
      <c r="M52" s="305"/>
      <c r="N52" s="305"/>
      <c r="O52" s="305"/>
    </row>
    <row r="53" spans="1:16" ht="12.75" customHeight="1" thickBot="1">
      <c r="A53" s="340" t="s">
        <v>134</v>
      </c>
      <c r="B53" s="321" t="s">
        <v>136</v>
      </c>
      <c r="C53" s="321"/>
      <c r="D53" s="436" t="s">
        <v>137</v>
      </c>
      <c r="E53" s="436" t="s">
        <v>67</v>
      </c>
      <c r="F53" s="321" t="s">
        <v>68</v>
      </c>
      <c r="G53" s="322" t="s">
        <v>135</v>
      </c>
      <c r="H53" s="1513"/>
      <c r="I53" s="305"/>
      <c r="J53" s="306"/>
      <c r="K53" s="305"/>
      <c r="L53" s="305"/>
      <c r="M53" s="305"/>
      <c r="N53" s="305"/>
      <c r="O53" s="305"/>
    </row>
    <row r="54" spans="1:16" ht="12.75" customHeight="1">
      <c r="A54" s="329" t="s">
        <v>140</v>
      </c>
      <c r="B54" s="341"/>
      <c r="C54" s="342"/>
      <c r="D54" s="326"/>
      <c r="E54" s="327">
        <f>+'Planillas diarias trapasos'!B392</f>
        <v>0</v>
      </c>
      <c r="F54" s="343">
        <f>+D54-E54</f>
        <v>0</v>
      </c>
      <c r="G54" s="328"/>
      <c r="H54" s="1530"/>
      <c r="I54" s="305"/>
      <c r="J54" s="306"/>
      <c r="K54" s="305"/>
      <c r="L54" s="305"/>
      <c r="M54" s="305"/>
      <c r="N54" s="305"/>
      <c r="O54" s="305"/>
    </row>
    <row r="55" spans="1:16" ht="12.75" customHeight="1" thickBot="1">
      <c r="A55" s="329"/>
      <c r="B55" s="330"/>
      <c r="C55" s="344"/>
      <c r="D55" s="331"/>
      <c r="E55" s="332">
        <f>+SUM('Planillas diarias trapasos'!B342:B343)</f>
        <v>0</v>
      </c>
      <c r="F55" s="333"/>
      <c r="G55" s="334"/>
      <c r="H55" s="1513"/>
      <c r="I55" s="305"/>
      <c r="J55" s="306"/>
      <c r="K55" s="305"/>
      <c r="L55" s="305"/>
      <c r="M55" s="305"/>
      <c r="N55" s="305"/>
      <c r="O55" s="305"/>
    </row>
    <row r="56" spans="1:16" ht="12.75" customHeight="1" thickBot="1">
      <c r="A56" s="345" t="s">
        <v>52</v>
      </c>
      <c r="B56" s="167"/>
      <c r="C56" s="167"/>
      <c r="D56" s="347">
        <f>SUM(D54:D55)</f>
        <v>0</v>
      </c>
      <c r="E56" s="348">
        <f>SUM(E54:E55)</f>
        <v>0</v>
      </c>
      <c r="F56" s="435">
        <f>SUM(F54:F55)</f>
        <v>0</v>
      </c>
      <c r="G56" s="167"/>
      <c r="H56" s="1513"/>
      <c r="I56" s="305"/>
      <c r="J56" s="306"/>
      <c r="K56" s="305"/>
      <c r="L56" s="305"/>
      <c r="M56" s="305"/>
      <c r="N56" s="305"/>
      <c r="O56" s="305"/>
    </row>
    <row r="57" spans="1:16" ht="12.75" customHeight="1" thickBot="1">
      <c r="A57" s="345"/>
      <c r="B57" s="167"/>
      <c r="C57" s="167"/>
      <c r="D57" s="314"/>
      <c r="E57" s="314"/>
      <c r="F57" s="314"/>
      <c r="G57" s="167"/>
      <c r="H57" s="306"/>
      <c r="I57" s="305"/>
      <c r="J57" s="306"/>
      <c r="K57" s="305"/>
      <c r="L57" s="305"/>
      <c r="M57" s="305"/>
      <c r="N57" s="305"/>
      <c r="O57" s="305"/>
    </row>
    <row r="58" spans="1:16" ht="12.75" customHeight="1" thickBot="1">
      <c r="A58" s="3661" t="s">
        <v>139</v>
      </c>
      <c r="B58" s="3662"/>
      <c r="C58" s="1302" t="s">
        <v>141</v>
      </c>
      <c r="D58" s="3671" t="s">
        <v>322</v>
      </c>
      <c r="E58" s="3672"/>
      <c r="F58" s="315"/>
      <c r="G58" s="167"/>
      <c r="H58" s="306"/>
      <c r="I58" s="305"/>
      <c r="J58" s="306"/>
      <c r="K58" s="305"/>
      <c r="L58" s="305"/>
      <c r="M58" s="305"/>
      <c r="N58" s="305"/>
      <c r="O58" s="305"/>
    </row>
    <row r="59" spans="1:16" ht="12.75" customHeight="1">
      <c r="A59" s="338"/>
      <c r="B59" s="338"/>
      <c r="C59" s="339"/>
      <c r="D59" s="315"/>
      <c r="E59" s="315"/>
      <c r="F59" s="315"/>
      <c r="G59" s="167"/>
      <c r="H59" s="306"/>
      <c r="I59" s="305"/>
      <c r="J59" s="306"/>
      <c r="K59" s="305"/>
      <c r="L59" s="305"/>
      <c r="M59" s="305"/>
      <c r="N59" s="305"/>
      <c r="O59" s="305"/>
    </row>
    <row r="60" spans="1:16" ht="12.75" customHeight="1" thickBot="1">
      <c r="A60" s="340" t="s">
        <v>134</v>
      </c>
      <c r="B60" s="321" t="s">
        <v>136</v>
      </c>
      <c r="C60" s="321"/>
      <c r="D60" s="321" t="s">
        <v>137</v>
      </c>
      <c r="E60" s="321" t="s">
        <v>403</v>
      </c>
      <c r="F60" s="321" t="s">
        <v>67</v>
      </c>
      <c r="G60" s="321" t="s">
        <v>68</v>
      </c>
      <c r="H60" s="322" t="s">
        <v>135</v>
      </c>
      <c r="I60" s="306"/>
      <c r="J60" s="306"/>
      <c r="K60" s="306"/>
      <c r="L60" s="305"/>
      <c r="M60" s="305"/>
      <c r="N60" s="305"/>
      <c r="O60" s="305"/>
      <c r="P60" s="305"/>
    </row>
    <row r="61" spans="1:16" ht="12.75" customHeight="1" thickBot="1">
      <c r="A61" s="329" t="s">
        <v>412</v>
      </c>
      <c r="B61" s="341"/>
      <c r="C61" s="342"/>
      <c r="D61" s="326"/>
      <c r="E61" s="962">
        <f>+D61</f>
        <v>0</v>
      </c>
      <c r="F61" s="327">
        <f>+SUM('Planillas diarias trapasos'!B332:B341)</f>
        <v>0</v>
      </c>
      <c r="G61" s="343">
        <f>+D61-F61</f>
        <v>0</v>
      </c>
      <c r="H61" s="1245"/>
      <c r="I61" s="1530"/>
      <c r="J61" s="306"/>
      <c r="K61" s="306"/>
      <c r="L61" s="305"/>
      <c r="M61" s="305"/>
      <c r="N61" s="305"/>
      <c r="O61" s="305"/>
      <c r="P61" s="305"/>
    </row>
    <row r="62" spans="1:16" ht="12.75" customHeight="1" thickBot="1">
      <c r="A62" s="329" t="s">
        <v>413</v>
      </c>
      <c r="B62" s="330"/>
      <c r="C62" s="344"/>
      <c r="D62" s="331"/>
      <c r="E62" s="961">
        <f>+G61+D62</f>
        <v>0</v>
      </c>
      <c r="F62" s="332">
        <f>+SUM('Planillas diarias trapasos'!B377)</f>
        <v>0</v>
      </c>
      <c r="G62" s="332">
        <f>+E62-F62</f>
        <v>0</v>
      </c>
      <c r="H62" s="1245"/>
      <c r="I62" s="1531"/>
      <c r="J62" s="306"/>
      <c r="K62" s="306"/>
      <c r="L62" s="305"/>
      <c r="M62" s="305"/>
      <c r="N62" s="305"/>
      <c r="O62" s="305"/>
      <c r="P62" s="305"/>
    </row>
    <row r="63" spans="1:16" ht="12.75" customHeight="1" thickBot="1">
      <c r="A63" s="345" t="s">
        <v>52</v>
      </c>
      <c r="B63" s="167"/>
      <c r="C63" s="167"/>
      <c r="D63" s="347">
        <f>SUM(D61:D62)</f>
        <v>0</v>
      </c>
      <c r="E63" s="347">
        <v>0</v>
      </c>
      <c r="F63" s="348">
        <f>SUM(F61:F62)</f>
        <v>0</v>
      </c>
      <c r="G63" s="348">
        <f>+D63-F63</f>
        <v>0</v>
      </c>
      <c r="H63" s="167"/>
      <c r="I63" s="1513"/>
      <c r="J63" s="306"/>
      <c r="K63" s="306"/>
      <c r="L63" s="305"/>
      <c r="M63" s="305"/>
      <c r="N63" s="305"/>
      <c r="O63" s="305"/>
      <c r="P63" s="305"/>
    </row>
    <row r="64" spans="1:16" ht="12.75" customHeight="1">
      <c r="A64" s="345"/>
      <c r="B64" s="167"/>
      <c r="C64" s="167"/>
      <c r="D64" s="314"/>
      <c r="E64" s="314"/>
      <c r="F64" s="314"/>
      <c r="G64" s="314"/>
      <c r="H64" s="167"/>
      <c r="I64" s="1513"/>
      <c r="J64" s="306"/>
      <c r="K64" s="306"/>
      <c r="L64" s="305"/>
      <c r="M64" s="305"/>
      <c r="N64" s="305"/>
      <c r="O64" s="305"/>
      <c r="P64" s="305"/>
    </row>
    <row r="65" spans="1:51" ht="12.75" customHeight="1" thickBot="1">
      <c r="A65" s="345"/>
      <c r="B65" s="167"/>
      <c r="C65" s="167"/>
      <c r="D65" s="314"/>
      <c r="E65" s="314"/>
      <c r="F65" s="314"/>
      <c r="G65" s="314"/>
      <c r="H65" s="167"/>
      <c r="I65" s="306"/>
      <c r="J65" s="306"/>
      <c r="K65" s="306"/>
      <c r="L65" s="305"/>
      <c r="M65" s="305"/>
      <c r="N65" s="305"/>
      <c r="O65" s="305"/>
      <c r="P65" s="305"/>
    </row>
    <row r="66" spans="1:51" ht="12.75" customHeight="1" thickBot="1">
      <c r="A66" s="3671" t="s">
        <v>139</v>
      </c>
      <c r="B66" s="3686"/>
      <c r="C66" s="1302" t="s">
        <v>141</v>
      </c>
      <c r="D66" s="3671" t="s">
        <v>414</v>
      </c>
      <c r="E66" s="3672"/>
      <c r="F66" s="315"/>
      <c r="G66" s="167"/>
      <c r="H66" s="306"/>
      <c r="I66" s="306"/>
      <c r="J66" s="306"/>
      <c r="K66" s="306"/>
      <c r="L66" s="305"/>
      <c r="M66" s="305"/>
      <c r="N66" s="305"/>
      <c r="O66" s="305"/>
      <c r="P66" s="305"/>
    </row>
    <row r="67" spans="1:51" ht="12.75" customHeight="1">
      <c r="A67" s="338"/>
      <c r="B67" s="338"/>
      <c r="C67" s="339"/>
      <c r="D67" s="315"/>
      <c r="E67" s="315"/>
      <c r="F67" s="315"/>
      <c r="G67" s="167"/>
      <c r="H67" s="306"/>
      <c r="I67" s="1513"/>
      <c r="J67" s="306"/>
      <c r="K67" s="306"/>
      <c r="L67" s="305"/>
      <c r="M67" s="305"/>
      <c r="N67" s="305"/>
      <c r="O67" s="305"/>
      <c r="P67" s="305"/>
    </row>
    <row r="68" spans="1:51" ht="12.75" customHeight="1" thickBot="1">
      <c r="A68" s="340" t="s">
        <v>134</v>
      </c>
      <c r="B68" s="321" t="s">
        <v>136</v>
      </c>
      <c r="C68" s="321"/>
      <c r="D68" s="321" t="s">
        <v>137</v>
      </c>
      <c r="E68" s="321" t="s">
        <v>403</v>
      </c>
      <c r="F68" s="321" t="s">
        <v>67</v>
      </c>
      <c r="G68" s="321" t="s">
        <v>68</v>
      </c>
      <c r="H68" s="322" t="s">
        <v>135</v>
      </c>
      <c r="I68" s="1530"/>
      <c r="J68" s="306"/>
      <c r="K68" s="306"/>
      <c r="L68" s="305"/>
      <c r="M68" s="305"/>
      <c r="N68" s="305"/>
      <c r="O68" s="305"/>
      <c r="P68" s="305"/>
    </row>
    <row r="69" spans="1:51" ht="12.75" customHeight="1">
      <c r="A69" s="329" t="s">
        <v>415</v>
      </c>
      <c r="B69" s="341"/>
      <c r="C69" s="342"/>
      <c r="D69" s="326"/>
      <c r="E69" s="343">
        <f>+D69</f>
        <v>0</v>
      </c>
      <c r="F69" s="327">
        <f>+SUM('Planillas diarias trapasos'!B349:B353)</f>
        <v>0</v>
      </c>
      <c r="G69" s="356">
        <f>+D69-F69</f>
        <v>0</v>
      </c>
      <c r="H69" s="975"/>
      <c r="I69" s="1513"/>
      <c r="J69" s="306"/>
      <c r="K69" s="306"/>
      <c r="L69" s="305"/>
      <c r="M69" s="305"/>
      <c r="N69" s="305"/>
      <c r="O69" s="305"/>
      <c r="P69" s="305"/>
    </row>
    <row r="70" spans="1:51" ht="12.75" customHeight="1" thickBot="1">
      <c r="A70" s="329" t="s">
        <v>416</v>
      </c>
      <c r="B70" s="330"/>
      <c r="C70" s="344"/>
      <c r="D70" s="331"/>
      <c r="E70" s="333">
        <f>+G69+D70</f>
        <v>0</v>
      </c>
      <c r="F70" s="332">
        <f>+SUM('Planillas diarias trapasos'!B354:B355)</f>
        <v>0</v>
      </c>
      <c r="G70" s="930">
        <f>+E70-F70</f>
        <v>0</v>
      </c>
      <c r="H70" s="1512"/>
      <c r="I70" s="1521"/>
      <c r="J70" s="306"/>
      <c r="K70" s="306"/>
      <c r="L70" s="305"/>
      <c r="M70" s="305"/>
      <c r="N70" s="305"/>
      <c r="O70" s="305"/>
      <c r="P70" s="305"/>
    </row>
    <row r="71" spans="1:51" ht="12.75" customHeight="1" thickBot="1">
      <c r="A71" s="345" t="s">
        <v>52</v>
      </c>
      <c r="B71" s="167"/>
      <c r="C71" s="167"/>
      <c r="D71" s="973">
        <f>SUM(D69:D70)</f>
        <v>0</v>
      </c>
      <c r="E71" s="973">
        <v>0</v>
      </c>
      <c r="F71" s="974">
        <f>SUM(F69:F70)</f>
        <v>0</v>
      </c>
      <c r="G71" s="974">
        <f>+D71-F71</f>
        <v>0</v>
      </c>
      <c r="H71" s="1438"/>
      <c r="I71" s="1513"/>
      <c r="J71" s="306"/>
      <c r="K71" s="306"/>
      <c r="L71" s="305"/>
      <c r="M71" s="305"/>
      <c r="N71" s="305"/>
      <c r="O71" s="305"/>
      <c r="P71" s="305"/>
    </row>
    <row r="72" spans="1:51" ht="12.75" customHeight="1">
      <c r="A72" s="345"/>
      <c r="B72" s="167"/>
      <c r="C72" s="167"/>
      <c r="D72" s="314"/>
      <c r="E72" s="314">
        <f>SUM(E63)</f>
        <v>0</v>
      </c>
      <c r="F72" s="314"/>
      <c r="G72" s="167"/>
      <c r="H72" s="1513"/>
      <c r="I72" s="305"/>
      <c r="J72" s="306"/>
      <c r="K72" s="305"/>
      <c r="L72" s="305"/>
      <c r="M72" s="305"/>
      <c r="N72" s="305"/>
      <c r="O72" s="305"/>
    </row>
    <row r="73" spans="1:51" ht="15">
      <c r="A73" s="167"/>
      <c r="B73" s="167"/>
      <c r="C73" s="167"/>
      <c r="D73" s="167"/>
      <c r="E73" s="167"/>
      <c r="F73" s="167"/>
      <c r="G73" s="167"/>
      <c r="H73" s="1513"/>
      <c r="I73" s="305"/>
      <c r="J73" s="306"/>
      <c r="K73" s="305"/>
      <c r="L73" s="305"/>
      <c r="M73" s="305"/>
      <c r="N73" s="305"/>
      <c r="O73" s="305"/>
    </row>
    <row r="74" spans="1:51" s="139" customFormat="1" ht="12.75" customHeight="1">
      <c r="A74" s="338"/>
      <c r="B74" s="765"/>
      <c r="C74" s="765"/>
      <c r="D74" s="765"/>
      <c r="E74" s="765"/>
      <c r="F74" s="765"/>
      <c r="G74" s="765"/>
      <c r="H74" s="1513"/>
      <c r="I74" s="307"/>
      <c r="J74" s="755"/>
      <c r="K74" s="307"/>
      <c r="L74" s="307"/>
      <c r="M74" s="307"/>
      <c r="N74" s="307"/>
      <c r="O74" s="307"/>
      <c r="AC74"/>
      <c r="AD74"/>
      <c r="AE74"/>
      <c r="AF74"/>
      <c r="AG74"/>
      <c r="AH74"/>
      <c r="AI74"/>
      <c r="AK74" s="167"/>
      <c r="AL74" s="767"/>
      <c r="AM74" s="766"/>
      <c r="AN74" s="766"/>
      <c r="AO74" s="766"/>
      <c r="AP74" s="766"/>
      <c r="AQ74" s="766"/>
      <c r="AS74" s="167"/>
      <c r="AT74" s="966"/>
      <c r="AU74" s="167"/>
      <c r="AV74" s="167"/>
      <c r="AW74" s="167"/>
      <c r="AX74" s="167"/>
      <c r="AY74" s="167"/>
    </row>
    <row r="75" spans="1:51" s="139" customFormat="1" ht="12.75" customHeight="1" thickBot="1">
      <c r="A75" s="338"/>
      <c r="B75" s="765"/>
      <c r="C75" s="765"/>
      <c r="D75" s="765"/>
      <c r="E75" s="765"/>
      <c r="F75" s="765"/>
      <c r="G75" s="765"/>
      <c r="H75" s="1513"/>
      <c r="I75" s="307"/>
      <c r="J75" s="755"/>
      <c r="K75" s="307"/>
      <c r="L75" s="307"/>
      <c r="M75" s="307"/>
      <c r="N75" s="307"/>
      <c r="O75" s="307"/>
      <c r="AC75"/>
      <c r="AD75"/>
      <c r="AE75"/>
      <c r="AF75"/>
      <c r="AG75"/>
      <c r="AH75"/>
      <c r="AI75"/>
      <c r="AK75" t="s">
        <v>146</v>
      </c>
      <c r="AL75" t="e">
        <f>#REF!+#REF!</f>
        <v>#REF!</v>
      </c>
      <c r="AM75" t="e">
        <f>#REF!+#REF!</f>
        <v>#REF!</v>
      </c>
      <c r="AN75" t="e">
        <f>#REF!+#REF!</f>
        <v>#REF!</v>
      </c>
      <c r="AO75" t="e">
        <f>#REF!+#REF!</f>
        <v>#REF!</v>
      </c>
      <c r="AP75" t="e">
        <f>#REF!+#REF!</f>
        <v>#REF!</v>
      </c>
      <c r="AQ75" t="e">
        <f>#REF!+#REF!</f>
        <v>#REF!</v>
      </c>
      <c r="AS75" t="s">
        <v>146</v>
      </c>
      <c r="AT75" t="e">
        <f>#REF!+#REF!</f>
        <v>#REF!</v>
      </c>
      <c r="AU75" t="e">
        <f>#REF!+#REF!</f>
        <v>#REF!</v>
      </c>
      <c r="AV75" t="e">
        <f>#REF!+#REF!</f>
        <v>#REF!</v>
      </c>
      <c r="AW75" t="e">
        <f>#REF!+#REF!</f>
        <v>#REF!</v>
      </c>
      <c r="AX75" t="e">
        <f>#REF!+#REF!</f>
        <v>#REF!</v>
      </c>
      <c r="AY75" t="e">
        <f>#REF!+#REF!</f>
        <v>#REF!</v>
      </c>
    </row>
    <row r="76" spans="1:51" ht="15.75" thickBot="1">
      <c r="A76" s="167"/>
      <c r="B76" s="167"/>
      <c r="C76" s="167"/>
      <c r="D76" s="167"/>
      <c r="E76" s="167"/>
      <c r="F76" s="167"/>
      <c r="G76" s="349"/>
      <c r="H76" s="1513"/>
      <c r="I76" s="305"/>
      <c r="J76" s="306"/>
      <c r="K76" s="305"/>
      <c r="L76" s="305"/>
      <c r="M76" s="305"/>
      <c r="N76" s="305"/>
      <c r="O76" s="305"/>
    </row>
    <row r="77" spans="1:51" ht="15.75" thickBot="1">
      <c r="A77" s="3650" t="s">
        <v>388</v>
      </c>
      <c r="B77" s="3651"/>
      <c r="C77" s="3651"/>
      <c r="D77" s="3651"/>
      <c r="E77" s="3651"/>
      <c r="F77" s="3651"/>
      <c r="G77" s="3652"/>
      <c r="H77" s="1514"/>
      <c r="I77" s="305"/>
      <c r="J77" s="306"/>
      <c r="K77" s="305"/>
      <c r="L77" s="305"/>
      <c r="M77" s="305"/>
      <c r="N77" s="305"/>
      <c r="O77" s="305"/>
    </row>
    <row r="78" spans="1:51" ht="15.75" thickBot="1">
      <c r="A78" s="350"/>
      <c r="B78" s="351"/>
      <c r="C78" s="350" t="s">
        <v>149</v>
      </c>
      <c r="D78" s="352" t="s">
        <v>148</v>
      </c>
      <c r="E78" s="353" t="s">
        <v>67</v>
      </c>
      <c r="F78" s="353" t="s">
        <v>110</v>
      </c>
      <c r="G78" s="353" t="s">
        <v>135</v>
      </c>
      <c r="H78" s="1509"/>
      <c r="I78" s="305"/>
      <c r="J78" s="306"/>
      <c r="K78" s="305"/>
      <c r="L78" s="305"/>
      <c r="M78" s="305"/>
      <c r="N78" s="305"/>
      <c r="O78" s="305"/>
    </row>
    <row r="79" spans="1:51" ht="15">
      <c r="A79" s="354" t="s">
        <v>365</v>
      </c>
      <c r="B79" s="355"/>
      <c r="C79" s="3673"/>
      <c r="D79" s="3674"/>
      <c r="E79" s="1528">
        <f>+SUM('Planillas diarias trapasos'!B138:B147)</f>
        <v>0</v>
      </c>
      <c r="F79" s="1528">
        <f>+C79-E79</f>
        <v>0</v>
      </c>
      <c r="G79" s="1529"/>
      <c r="H79" s="1515"/>
      <c r="I79" s="305"/>
      <c r="J79" s="306"/>
      <c r="K79" s="305"/>
      <c r="L79" s="305"/>
      <c r="M79" s="305"/>
      <c r="N79" s="305"/>
      <c r="O79" s="305"/>
    </row>
    <row r="80" spans="1:51" ht="15">
      <c r="A80" s="357" t="s">
        <v>154</v>
      </c>
      <c r="B80" s="288"/>
      <c r="C80" s="3680"/>
      <c r="D80" s="3681"/>
      <c r="E80" s="358">
        <f>+SUM('Planillas diarias trapasos'!B154:B163)</f>
        <v>0</v>
      </c>
      <c r="F80" s="358">
        <f>+C80-E80</f>
        <v>0</v>
      </c>
      <c r="G80" s="768"/>
      <c r="H80" s="1509"/>
      <c r="I80" s="305"/>
      <c r="J80" s="306"/>
      <c r="K80" s="305"/>
      <c r="L80" s="305"/>
      <c r="M80" s="305"/>
      <c r="N80" s="305"/>
      <c r="O80" s="305"/>
    </row>
    <row r="81" spans="1:15" ht="15">
      <c r="A81" s="359" t="s">
        <v>150</v>
      </c>
      <c r="B81" s="360"/>
      <c r="C81" s="3680"/>
      <c r="D81" s="3681"/>
      <c r="E81" s="358">
        <f>+SUM('Planillas diarias trapasos'!B170:B179)</f>
        <v>0</v>
      </c>
      <c r="F81" s="358">
        <f>+C81-E81</f>
        <v>0</v>
      </c>
      <c r="G81" s="768"/>
      <c r="H81" s="1516"/>
      <c r="I81" s="305"/>
      <c r="J81" s="306"/>
      <c r="K81" s="305"/>
      <c r="L81" s="305"/>
      <c r="M81" s="305"/>
      <c r="N81" s="305"/>
      <c r="O81" s="305"/>
    </row>
    <row r="82" spans="1:15" ht="16.5" thickBot="1">
      <c r="A82" s="361" t="s">
        <v>151</v>
      </c>
      <c r="B82" s="362"/>
      <c r="C82" s="3687"/>
      <c r="D82" s="3688"/>
      <c r="E82" s="332">
        <f>+SUM('Planillas diarias trapasos'!B186:B195)</f>
        <v>0</v>
      </c>
      <c r="F82" s="1546">
        <f>+C82-E82</f>
        <v>0</v>
      </c>
      <c r="G82" s="770"/>
      <c r="H82" s="1517"/>
      <c r="I82" s="1260"/>
      <c r="J82" s="976"/>
      <c r="K82" s="305"/>
      <c r="L82" s="305"/>
      <c r="M82" s="305"/>
      <c r="N82" s="305"/>
      <c r="O82" s="305"/>
    </row>
    <row r="83" spans="1:15" ht="15.75" thickBot="1">
      <c r="A83" s="363"/>
      <c r="B83" s="364" t="s">
        <v>52</v>
      </c>
      <c r="C83" s="3653">
        <f>SUM(C79:C82)</f>
        <v>0</v>
      </c>
      <c r="D83" s="3654"/>
      <c r="E83" s="1143">
        <f>SUM(E79:E82)</f>
        <v>0</v>
      </c>
      <c r="F83" s="365">
        <f>SUM(F79:F82)</f>
        <v>0</v>
      </c>
      <c r="G83" s="769"/>
      <c r="H83" s="1509"/>
      <c r="I83" s="1259"/>
      <c r="J83" s="306"/>
      <c r="K83" s="305"/>
      <c r="L83" s="305"/>
      <c r="M83" s="305"/>
      <c r="N83" s="305"/>
      <c r="O83" s="305"/>
    </row>
    <row r="84" spans="1:15" s="1408" customFormat="1" ht="15.75" thickBot="1">
      <c r="A84" s="363"/>
      <c r="B84" s="168"/>
      <c r="C84" s="314"/>
      <c r="D84" s="314"/>
      <c r="E84" s="1410"/>
      <c r="F84" s="314"/>
      <c r="G84" s="315"/>
      <c r="H84" s="1509"/>
      <c r="I84" s="1259"/>
      <c r="J84" s="306"/>
      <c r="K84" s="305"/>
      <c r="L84" s="305"/>
      <c r="M84" s="305"/>
      <c r="N84" s="305"/>
      <c r="O84" s="305"/>
    </row>
    <row r="85" spans="1:15" ht="15.75" thickBot="1">
      <c r="A85" s="432" t="s">
        <v>389</v>
      </c>
      <c r="B85" s="868"/>
      <c r="C85" s="168"/>
      <c r="D85" s="168"/>
      <c r="E85" s="168"/>
      <c r="F85" s="168"/>
      <c r="G85" s="367"/>
      <c r="H85" s="1509"/>
      <c r="J85" s="306"/>
      <c r="K85" s="305"/>
      <c r="L85" s="305"/>
      <c r="M85" s="305"/>
      <c r="N85" s="305"/>
      <c r="O85" s="305"/>
    </row>
    <row r="86" spans="1:15" ht="15.75" thickBot="1">
      <c r="A86" s="3675" t="s">
        <v>147</v>
      </c>
      <c r="B86" s="3676"/>
      <c r="C86" s="3676"/>
      <c r="D86" s="3676"/>
      <c r="E86" s="3676"/>
      <c r="F86" s="3676"/>
      <c r="G86" s="3677"/>
      <c r="H86" s="1514"/>
      <c r="I86" s="305"/>
      <c r="J86" s="306"/>
      <c r="K86" s="305"/>
      <c r="L86" s="305"/>
      <c r="M86" s="305"/>
      <c r="N86" s="305"/>
      <c r="O86" s="305"/>
    </row>
    <row r="87" spans="1:15" ht="15.75" thickBot="1">
      <c r="A87" s="701" t="s">
        <v>116</v>
      </c>
      <c r="B87" s="853" t="s">
        <v>8</v>
      </c>
      <c r="C87" s="368" t="s">
        <v>149</v>
      </c>
      <c r="D87" s="369" t="s">
        <v>174</v>
      </c>
      <c r="E87" s="369" t="s">
        <v>67</v>
      </c>
      <c r="F87" s="369" t="s">
        <v>110</v>
      </c>
      <c r="G87" s="369" t="s">
        <v>135</v>
      </c>
      <c r="H87" s="1508"/>
      <c r="I87" s="305"/>
      <c r="J87" s="306"/>
      <c r="K87" s="305"/>
      <c r="L87" s="305"/>
      <c r="M87" s="305"/>
      <c r="N87" s="305"/>
      <c r="O87" s="305"/>
    </row>
    <row r="88" spans="1:15">
      <c r="A88" s="727" t="s">
        <v>278</v>
      </c>
      <c r="B88" s="728"/>
      <c r="C88" s="3678"/>
      <c r="D88" s="3679"/>
      <c r="E88" s="851">
        <f>+SUM('Planillas diarias trapasos'!B214)</f>
        <v>0</v>
      </c>
      <c r="F88" s="1547">
        <f>C88-E88</f>
        <v>0</v>
      </c>
      <c r="G88" s="718"/>
      <c r="H88" s="1518"/>
      <c r="I88" s="161"/>
      <c r="J88" s="977"/>
      <c r="K88" s="139"/>
    </row>
    <row r="89" spans="1:15">
      <c r="A89" s="719"/>
      <c r="B89" s="720"/>
      <c r="C89" s="3669" t="s">
        <v>275</v>
      </c>
      <c r="D89" s="3670"/>
      <c r="E89" s="721"/>
      <c r="F89" s="426"/>
      <c r="G89" s="722"/>
      <c r="H89" s="1509"/>
      <c r="I89" s="139"/>
    </row>
    <row r="90" spans="1:15" ht="13.5" thickBot="1">
      <c r="A90" s="723"/>
      <c r="B90" s="724"/>
      <c r="C90" s="3682"/>
      <c r="D90" s="3683"/>
      <c r="E90" s="725">
        <v>0</v>
      </c>
      <c r="F90" s="1548">
        <f>+C90+F88</f>
        <v>0</v>
      </c>
      <c r="G90" s="726"/>
      <c r="H90" s="1519"/>
      <c r="I90" s="139"/>
    </row>
    <row r="91" spans="1:15" ht="13.5" thickBot="1">
      <c r="A91" s="847" t="s">
        <v>116</v>
      </c>
      <c r="B91" s="852" t="s">
        <v>161</v>
      </c>
      <c r="C91" s="702"/>
      <c r="D91" s="369" t="s">
        <v>174</v>
      </c>
      <c r="E91" s="370"/>
      <c r="F91" s="1549"/>
      <c r="G91" s="1527"/>
      <c r="H91" s="1509"/>
      <c r="I91" s="1308"/>
    </row>
    <row r="92" spans="1:15" ht="13.5" thickBot="1">
      <c r="A92" s="850" t="s">
        <v>278</v>
      </c>
      <c r="B92" s="433"/>
      <c r="C92" s="3663"/>
      <c r="D92" s="3664"/>
      <c r="E92" s="370">
        <v>0</v>
      </c>
      <c r="F92" s="1550">
        <f>C92-E92</f>
        <v>0</v>
      </c>
      <c r="G92" s="370"/>
      <c r="H92" s="1508"/>
    </row>
    <row r="93" spans="1:15" ht="13.5" thickBot="1">
      <c r="A93" s="459"/>
      <c r="B93" s="434"/>
      <c r="C93" s="3665" t="s">
        <v>275</v>
      </c>
      <c r="D93" s="3666"/>
      <c r="E93" s="370"/>
      <c r="F93" s="1550"/>
      <c r="G93" s="370"/>
      <c r="H93" s="1509"/>
    </row>
    <row r="94" spans="1:15" ht="13.5" thickBot="1">
      <c r="A94" s="372"/>
      <c r="B94" s="849"/>
      <c r="C94" s="3663"/>
      <c r="D94" s="3664"/>
      <c r="E94" s="846">
        <v>0</v>
      </c>
      <c r="F94" s="848">
        <f>C94-E94</f>
        <v>0</v>
      </c>
      <c r="G94" s="846"/>
      <c r="H94" s="1509"/>
    </row>
    <row r="95" spans="1:15" ht="13.5" thickBot="1">
      <c r="A95" s="372"/>
      <c r="B95" s="371" t="s">
        <v>52</v>
      </c>
      <c r="C95" s="3663"/>
      <c r="D95" s="3664"/>
      <c r="E95" s="370">
        <f>SUM(E88:E92)</f>
        <v>0</v>
      </c>
      <c r="F95" s="370"/>
      <c r="G95" s="370"/>
      <c r="H95" s="1509"/>
    </row>
    <row r="96" spans="1:15" ht="13.5" thickBot="1">
      <c r="A96" s="372"/>
      <c r="B96" s="372"/>
      <c r="C96" s="373"/>
      <c r="D96" s="373"/>
      <c r="E96" s="373"/>
      <c r="F96" s="373"/>
      <c r="G96" s="373"/>
      <c r="H96" s="1509"/>
    </row>
    <row r="97" spans="1:10" ht="15.75" thickBot="1">
      <c r="A97" s="3650" t="s">
        <v>391</v>
      </c>
      <c r="B97" s="3651"/>
      <c r="C97" s="3651"/>
      <c r="D97" s="3651"/>
      <c r="E97" s="3651"/>
      <c r="F97" s="3651"/>
      <c r="G97" s="3652"/>
      <c r="H97" s="1514"/>
    </row>
    <row r="98" spans="1:10" ht="13.5" thickBot="1">
      <c r="A98" s="350"/>
      <c r="B98" s="351"/>
      <c r="C98" s="350" t="s">
        <v>149</v>
      </c>
      <c r="D98" s="352" t="s">
        <v>148</v>
      </c>
      <c r="E98" s="353" t="s">
        <v>67</v>
      </c>
      <c r="F98" s="353" t="s">
        <v>110</v>
      </c>
      <c r="G98" s="353" t="s">
        <v>135</v>
      </c>
      <c r="H98" s="1509"/>
    </row>
    <row r="99" spans="1:10" ht="13.5" thickBot="1">
      <c r="A99" s="354" t="s">
        <v>329</v>
      </c>
      <c r="B99" s="355"/>
      <c r="C99" s="3655"/>
      <c r="D99" s="3656"/>
      <c r="E99" s="327">
        <f>+SUM('Planillas diarias trapasos'!B262)</f>
        <v>0</v>
      </c>
      <c r="F99" s="327">
        <f>+C99-E99</f>
        <v>0</v>
      </c>
      <c r="G99" s="356"/>
      <c r="H99" s="1515"/>
      <c r="I99" s="960"/>
      <c r="J99" s="978"/>
    </row>
    <row r="100" spans="1:10" ht="13.5" thickBot="1">
      <c r="A100" s="363"/>
      <c r="B100" s="364" t="s">
        <v>52</v>
      </c>
      <c r="C100" s="3653">
        <f>SUM(C99:C99)</f>
        <v>0</v>
      </c>
      <c r="D100" s="3654"/>
      <c r="E100" s="1143">
        <f>SUM(E99)</f>
        <v>0</v>
      </c>
      <c r="F100" s="365">
        <f>SUM(F99:F99)</f>
        <v>0</v>
      </c>
      <c r="G100" s="366"/>
      <c r="H100" s="1509"/>
    </row>
    <row r="101" spans="1:10" s="1408" customFormat="1" ht="13.5" thickBot="1">
      <c r="A101" s="168"/>
      <c r="B101" s="168"/>
      <c r="C101" s="314"/>
      <c r="D101" s="314"/>
      <c r="E101" s="1410"/>
      <c r="F101" s="314"/>
      <c r="G101" s="315"/>
      <c r="H101" s="1509"/>
      <c r="J101" s="69"/>
    </row>
    <row r="102" spans="1:10" s="1408" customFormat="1" ht="13.5" thickBot="1">
      <c r="A102" s="3650" t="s">
        <v>540</v>
      </c>
      <c r="B102" s="3651"/>
      <c r="C102" s="3651"/>
      <c r="D102" s="3651"/>
      <c r="E102" s="3651"/>
      <c r="F102" s="3651"/>
      <c r="G102" s="3652"/>
      <c r="H102" s="1509"/>
      <c r="J102" s="69"/>
    </row>
    <row r="103" spans="1:10" s="1408" customFormat="1" ht="13.5" thickBot="1">
      <c r="A103" s="350"/>
      <c r="B103" s="1407"/>
      <c r="C103" s="350" t="s">
        <v>149</v>
      </c>
      <c r="D103" s="352" t="s">
        <v>148</v>
      </c>
      <c r="E103" s="353" t="s">
        <v>67</v>
      </c>
      <c r="F103" s="353" t="s">
        <v>110</v>
      </c>
      <c r="G103" s="353" t="s">
        <v>135</v>
      </c>
      <c r="H103" s="1509"/>
      <c r="J103" s="69"/>
    </row>
    <row r="104" spans="1:10" s="1408" customFormat="1" ht="13.5" thickBot="1">
      <c r="A104" s="1411" t="s">
        <v>542</v>
      </c>
      <c r="B104" s="355"/>
      <c r="C104" s="3655"/>
      <c r="D104" s="3656"/>
      <c r="E104" s="327">
        <f>+SUM('Planillas diarias trapasos'!B267)</f>
        <v>0</v>
      </c>
      <c r="F104" s="327">
        <f>+C104-E104</f>
        <v>0</v>
      </c>
      <c r="G104" s="356"/>
      <c r="H104" s="1509"/>
      <c r="J104" s="69"/>
    </row>
    <row r="105" spans="1:10" s="1408" customFormat="1" ht="13.5" thickBot="1">
      <c r="A105" s="363"/>
      <c r="B105" s="364" t="s">
        <v>52</v>
      </c>
      <c r="C105" s="3653">
        <f>SUM(C104:C104)</f>
        <v>0</v>
      </c>
      <c r="D105" s="3654"/>
      <c r="E105" s="1143">
        <f>SUM(E104)</f>
        <v>0</v>
      </c>
      <c r="F105" s="365">
        <f>SUM(F104:F104)</f>
        <v>0</v>
      </c>
      <c r="G105" s="366"/>
      <c r="H105" s="1509"/>
      <c r="J105" s="69"/>
    </row>
    <row r="106" spans="1:10" s="1408" customFormat="1" ht="13.5" thickBot="1">
      <c r="A106" s="168"/>
      <c r="B106" s="168"/>
      <c r="C106" s="314"/>
      <c r="D106" s="314"/>
      <c r="E106" s="1410"/>
      <c r="F106" s="314"/>
      <c r="G106" s="315"/>
      <c r="H106" s="1509"/>
      <c r="J106" s="69"/>
    </row>
    <row r="107" spans="1:10" s="1408" customFormat="1" ht="13.5" thickBot="1">
      <c r="A107" s="3650" t="s">
        <v>540</v>
      </c>
      <c r="B107" s="3651"/>
      <c r="C107" s="3651"/>
      <c r="D107" s="3651"/>
      <c r="E107" s="3651"/>
      <c r="F107" s="3651"/>
      <c r="G107" s="3652"/>
      <c r="H107" s="1509"/>
      <c r="J107" s="69"/>
    </row>
    <row r="108" spans="1:10" s="1408" customFormat="1" ht="13.5" thickBot="1">
      <c r="A108" s="350" t="s">
        <v>541</v>
      </c>
      <c r="B108" s="1407"/>
      <c r="C108" s="350" t="s">
        <v>149</v>
      </c>
      <c r="D108" s="352" t="s">
        <v>148</v>
      </c>
      <c r="E108" s="353" t="s">
        <v>67</v>
      </c>
      <c r="F108" s="353" t="s">
        <v>110</v>
      </c>
      <c r="G108" s="353" t="s">
        <v>135</v>
      </c>
      <c r="H108" s="1509"/>
      <c r="J108" s="69"/>
    </row>
    <row r="109" spans="1:10" s="1408" customFormat="1" ht="13.5" thickBot="1">
      <c r="A109" s="354" t="s">
        <v>539</v>
      </c>
      <c r="B109" s="355"/>
      <c r="C109" s="3655"/>
      <c r="D109" s="3656"/>
      <c r="E109" s="327">
        <f>+SUM('Planillas diarias trapasos'!B272)</f>
        <v>0</v>
      </c>
      <c r="F109" s="327">
        <f>+C109-E109</f>
        <v>0</v>
      </c>
      <c r="G109" s="356"/>
      <c r="H109" s="1509"/>
      <c r="J109" s="69"/>
    </row>
    <row r="110" spans="1:10" s="1408" customFormat="1" ht="13.5" thickBot="1">
      <c r="A110" s="363"/>
      <c r="B110" s="364" t="s">
        <v>52</v>
      </c>
      <c r="C110" s="3653">
        <f>SUM(C109:C109)</f>
        <v>0</v>
      </c>
      <c r="D110" s="3654"/>
      <c r="E110" s="1143">
        <f>SUM(E109)</f>
        <v>0</v>
      </c>
      <c r="F110" s="365">
        <f>SUM(F109:F109)</f>
        <v>0</v>
      </c>
      <c r="G110" s="366"/>
      <c r="H110" s="1509"/>
      <c r="J110" s="69"/>
    </row>
    <row r="111" spans="1:10" s="1408" customFormat="1">
      <c r="A111" s="168"/>
      <c r="B111" s="168"/>
      <c r="C111" s="314"/>
      <c r="D111" s="314"/>
      <c r="E111" s="1410"/>
      <c r="F111" s="314"/>
      <c r="G111" s="315"/>
      <c r="H111" s="1509"/>
      <c r="J111" s="69"/>
    </row>
    <row r="112" spans="1:10" ht="13.5" thickBot="1">
      <c r="A112" s="168"/>
      <c r="B112" s="168"/>
      <c r="C112" s="314"/>
      <c r="D112" s="314"/>
      <c r="E112" s="314"/>
      <c r="F112" s="314"/>
      <c r="G112" s="315"/>
      <c r="H112" s="1509"/>
    </row>
    <row r="113" spans="1:10" ht="16.5" thickBot="1">
      <c r="A113" s="3650" t="s">
        <v>390</v>
      </c>
      <c r="B113" s="3651"/>
      <c r="C113" s="3651"/>
      <c r="D113" s="3651"/>
      <c r="E113" s="3651"/>
      <c r="F113" s="3651"/>
      <c r="G113" s="3652"/>
      <c r="H113" s="1520"/>
      <c r="I113" s="1269"/>
    </row>
    <row r="114" spans="1:10" ht="13.5" thickBot="1">
      <c r="A114" s="350"/>
      <c r="B114" s="351"/>
      <c r="C114" s="350" t="s">
        <v>149</v>
      </c>
      <c r="D114" s="352" t="s">
        <v>148</v>
      </c>
      <c r="E114" s="353" t="s">
        <v>67</v>
      </c>
      <c r="F114" s="353" t="s">
        <v>110</v>
      </c>
      <c r="G114" s="353" t="s">
        <v>135</v>
      </c>
      <c r="H114" s="1508"/>
    </row>
    <row r="115" spans="1:10" ht="16.5" thickBot="1">
      <c r="A115" s="354" t="s">
        <v>345</v>
      </c>
      <c r="B115" s="355"/>
      <c r="C115" s="3655"/>
      <c r="D115" s="3656"/>
      <c r="E115" s="327">
        <f>+SUM('Planillas diarias trapasos'!B246)</f>
        <v>0</v>
      </c>
      <c r="F115" s="327">
        <f>+C115-E115</f>
        <v>0</v>
      </c>
      <c r="G115" s="1010"/>
      <c r="H115" s="1521"/>
    </row>
    <row r="116" spans="1:10" ht="15.75" thickBot="1">
      <c r="A116" s="363"/>
      <c r="B116" s="364" t="s">
        <v>52</v>
      </c>
      <c r="C116" s="3653">
        <f>SUM(C115:C115)</f>
        <v>0</v>
      </c>
      <c r="D116" s="3654"/>
      <c r="E116" s="365">
        <v>0</v>
      </c>
      <c r="F116" s="365">
        <f>SUM(F115:F115)</f>
        <v>0</v>
      </c>
      <c r="G116" s="366"/>
      <c r="H116" s="1513"/>
    </row>
    <row r="117" spans="1:10" ht="15.75" thickBot="1">
      <c r="A117" s="168"/>
      <c r="B117" s="168"/>
      <c r="C117" s="314"/>
      <c r="D117" s="314"/>
      <c r="E117" s="314"/>
      <c r="F117" s="314"/>
      <c r="G117" s="315"/>
      <c r="H117" s="1513"/>
    </row>
    <row r="118" spans="1:10" ht="15.75" thickBot="1">
      <c r="A118" s="3650" t="s">
        <v>438</v>
      </c>
      <c r="B118" s="3651"/>
      <c r="C118" s="3651"/>
      <c r="D118" s="3651"/>
      <c r="E118" s="3651"/>
      <c r="F118" s="3651"/>
      <c r="G118" s="3652"/>
      <c r="H118" s="1513"/>
    </row>
    <row r="119" spans="1:10" ht="13.5" thickBot="1">
      <c r="A119" s="350"/>
      <c r="B119" s="351"/>
      <c r="C119" s="350" t="s">
        <v>149</v>
      </c>
      <c r="D119" s="352" t="s">
        <v>148</v>
      </c>
      <c r="E119" s="353" t="s">
        <v>67</v>
      </c>
      <c r="F119" s="353" t="s">
        <v>110</v>
      </c>
      <c r="G119" s="353" t="s">
        <v>135</v>
      </c>
      <c r="H119" s="1293"/>
    </row>
    <row r="120" spans="1:10" ht="13.5" thickBot="1">
      <c r="A120" s="354" t="s">
        <v>345</v>
      </c>
      <c r="B120" s="355"/>
      <c r="C120" s="3655"/>
      <c r="D120" s="3656"/>
      <c r="E120" s="327">
        <f>+SUM('Planillas diarias trapasos'!B278)</f>
        <v>0</v>
      </c>
      <c r="F120" s="327">
        <f>+C120-E120</f>
        <v>0</v>
      </c>
      <c r="G120" s="356"/>
      <c r="H120" s="1522"/>
    </row>
    <row r="121" spans="1:10" ht="13.5" thickBot="1">
      <c r="A121" s="363"/>
      <c r="B121" s="364" t="s">
        <v>52</v>
      </c>
      <c r="C121" s="3653">
        <f>SUM(C120:C120)</f>
        <v>0</v>
      </c>
      <c r="D121" s="3654"/>
      <c r="E121" s="365">
        <v>0</v>
      </c>
      <c r="F121" s="365">
        <f>SUM(F120:F120)</f>
        <v>0</v>
      </c>
      <c r="G121" s="366"/>
      <c r="H121" s="1523"/>
    </row>
    <row r="122" spans="1:10" s="1262" customFormat="1">
      <c r="A122" s="168"/>
      <c r="B122" s="168"/>
      <c r="C122" s="314"/>
      <c r="D122" s="314"/>
      <c r="E122" s="314"/>
      <c r="F122" s="314"/>
      <c r="G122" s="315"/>
      <c r="H122" s="1523"/>
      <c r="J122" s="69"/>
    </row>
    <row r="123" spans="1:10" s="1262" customFormat="1" ht="13.5" thickBot="1">
      <c r="A123" s="168"/>
      <c r="B123" s="168"/>
      <c r="C123" s="314"/>
      <c r="D123" s="314"/>
      <c r="E123" s="314"/>
      <c r="F123" s="314"/>
      <c r="G123" s="315"/>
      <c r="H123" s="1523"/>
      <c r="J123" s="69"/>
    </row>
    <row r="124" spans="1:10" s="1262" customFormat="1" ht="13.5" thickBot="1">
      <c r="A124" s="3650" t="s">
        <v>501</v>
      </c>
      <c r="B124" s="3651"/>
      <c r="C124" s="3651"/>
      <c r="D124" s="3651"/>
      <c r="E124" s="3651"/>
      <c r="F124" s="3651"/>
      <c r="G124" s="3652"/>
      <c r="H124" s="1293"/>
      <c r="J124" s="69"/>
    </row>
    <row r="125" spans="1:10" s="1262" customFormat="1" ht="13.5" thickBot="1">
      <c r="A125" s="350"/>
      <c r="B125" s="1261"/>
      <c r="C125" s="350" t="s">
        <v>149</v>
      </c>
      <c r="D125" s="352" t="s">
        <v>148</v>
      </c>
      <c r="E125" s="353" t="s">
        <v>67</v>
      </c>
      <c r="F125" s="353" t="s">
        <v>110</v>
      </c>
      <c r="G125" s="353" t="s">
        <v>135</v>
      </c>
      <c r="H125" s="1523"/>
      <c r="J125" s="69"/>
    </row>
    <row r="126" spans="1:10" s="1262" customFormat="1" ht="13.5" thickBot="1">
      <c r="A126" s="354" t="s">
        <v>345</v>
      </c>
      <c r="B126" s="355"/>
      <c r="C126" s="3655"/>
      <c r="D126" s="3656"/>
      <c r="E126" s="327"/>
      <c r="F126" s="327">
        <f>+C126-E126</f>
        <v>0</v>
      </c>
      <c r="G126" s="356"/>
      <c r="H126" s="1523"/>
      <c r="J126" s="69"/>
    </row>
    <row r="127" spans="1:10" s="1262" customFormat="1" ht="13.5" thickBot="1">
      <c r="A127" s="363"/>
      <c r="B127" s="364" t="s">
        <v>52</v>
      </c>
      <c r="C127" s="3653">
        <f>SUM(C126:C126)</f>
        <v>0</v>
      </c>
      <c r="D127" s="3654"/>
      <c r="E127" s="365">
        <v>0</v>
      </c>
      <c r="F127" s="365">
        <f>SUM(F126:F126)</f>
        <v>0</v>
      </c>
      <c r="G127" s="366"/>
      <c r="H127" s="1523"/>
      <c r="J127" s="69"/>
    </row>
    <row r="128" spans="1:10" s="1262" customFormat="1">
      <c r="A128" s="168"/>
      <c r="B128" s="168"/>
      <c r="C128" s="314"/>
      <c r="D128" s="314"/>
      <c r="E128" s="314"/>
      <c r="F128" s="314"/>
      <c r="G128" s="315"/>
      <c r="H128" s="1523"/>
      <c r="J128" s="69"/>
    </row>
    <row r="129" spans="1:10" ht="13.5" thickBot="1">
      <c r="A129" s="168"/>
      <c r="B129" s="168"/>
      <c r="C129" s="314"/>
      <c r="D129" s="314"/>
      <c r="E129" s="314"/>
      <c r="F129" s="314"/>
      <c r="G129" s="315"/>
      <c r="H129" s="1523"/>
    </row>
    <row r="130" spans="1:10" ht="13.5" thickBot="1">
      <c r="A130" s="3689" t="s">
        <v>482</v>
      </c>
      <c r="B130" s="3690"/>
      <c r="C130" s="3690"/>
      <c r="D130" s="3690"/>
      <c r="E130" s="3690"/>
      <c r="F130" s="3690"/>
      <c r="G130" s="3691"/>
      <c r="H130" s="1293"/>
    </row>
    <row r="131" spans="1:10" s="1315" customFormat="1" ht="13.5" thickBot="1">
      <c r="A131" s="1312"/>
      <c r="B131" s="1313"/>
      <c r="C131" s="1313" t="s">
        <v>399</v>
      </c>
      <c r="D131" s="1313"/>
      <c r="E131" s="1313"/>
      <c r="F131" s="1313"/>
      <c r="G131" s="1314"/>
      <c r="H131" s="1293"/>
      <c r="J131" s="69"/>
    </row>
    <row r="132" spans="1:10" ht="13.5" thickBot="1">
      <c r="A132" s="932" t="s">
        <v>136</v>
      </c>
      <c r="B132" s="1254" t="s">
        <v>263</v>
      </c>
      <c r="C132" s="1254" t="s">
        <v>483</v>
      </c>
      <c r="D132" s="1254" t="s">
        <v>484</v>
      </c>
      <c r="E132" s="1254" t="s">
        <v>110</v>
      </c>
      <c r="F132" s="1254" t="s">
        <v>272</v>
      </c>
      <c r="G132" s="1255"/>
      <c r="H132" s="1522"/>
    </row>
    <row r="133" spans="1:10">
      <c r="A133" s="326">
        <v>923204</v>
      </c>
      <c r="B133" s="343" t="s">
        <v>485</v>
      </c>
      <c r="C133" s="343"/>
      <c r="D133" s="343"/>
      <c r="E133" s="343">
        <f>+C133-D133</f>
        <v>0</v>
      </c>
      <c r="F133" s="343"/>
      <c r="G133" s="1524"/>
      <c r="H133" s="1523"/>
    </row>
    <row r="134" spans="1:10">
      <c r="A134" s="1256">
        <v>955658</v>
      </c>
      <c r="B134" s="1271" t="s">
        <v>486</v>
      </c>
      <c r="C134" s="768"/>
      <c r="D134" s="768"/>
      <c r="E134" s="768">
        <f>+C134-D134</f>
        <v>0</v>
      </c>
      <c r="F134" s="768"/>
      <c r="G134" s="1525"/>
      <c r="H134" s="1523"/>
    </row>
    <row r="135" spans="1:10">
      <c r="A135" s="1256">
        <v>913399</v>
      </c>
      <c r="B135" s="768" t="s">
        <v>487</v>
      </c>
      <c r="C135" s="768"/>
      <c r="D135" s="768"/>
      <c r="E135" s="768">
        <f>+C135-D135</f>
        <v>0</v>
      </c>
      <c r="F135" s="768"/>
      <c r="G135" s="1524"/>
      <c r="H135" s="1523"/>
    </row>
    <row r="136" spans="1:10" ht="13.5" thickBot="1">
      <c r="A136" s="1257">
        <v>920731</v>
      </c>
      <c r="B136" s="1258" t="s">
        <v>488</v>
      </c>
      <c r="C136" s="1258"/>
      <c r="D136" s="1258"/>
      <c r="E136" s="1258">
        <f>+C136-D136</f>
        <v>0</v>
      </c>
      <c r="F136" s="1258"/>
      <c r="G136" s="1383"/>
      <c r="H136" s="1523"/>
    </row>
    <row r="137" spans="1:10" ht="13.5" thickBot="1">
      <c r="A137" s="932"/>
      <c r="B137" s="1254" t="s">
        <v>74</v>
      </c>
      <c r="C137" s="318">
        <f>SUM(C133:C136)</f>
        <v>0</v>
      </c>
      <c r="D137" s="1254">
        <f>SUM(D133:D136)</f>
        <v>0</v>
      </c>
      <c r="E137" s="318">
        <f>SUM(E133:E136)</f>
        <v>0</v>
      </c>
      <c r="F137" s="1254"/>
      <c r="G137" s="1255"/>
      <c r="H137" s="1522"/>
    </row>
    <row r="138" spans="1:10" ht="13.5" thickBot="1">
      <c r="A138" s="346"/>
      <c r="B138" s="346"/>
      <c r="C138" s="346"/>
      <c r="D138" s="346"/>
      <c r="E138" s="346"/>
      <c r="F138" s="346"/>
      <c r="G138" s="315"/>
      <c r="H138" s="1523"/>
    </row>
    <row r="139" spans="1:10" ht="13.5" thickBot="1">
      <c r="A139" s="3689" t="s">
        <v>489</v>
      </c>
      <c r="B139" s="3690"/>
      <c r="C139" s="3690"/>
      <c r="D139" s="3690"/>
      <c r="E139" s="3690"/>
      <c r="F139" s="3690"/>
      <c r="G139" s="3691"/>
      <c r="H139" s="1293"/>
    </row>
    <row r="140" spans="1:10" ht="13.5" thickBot="1">
      <c r="C140" s="1336" t="s">
        <v>399</v>
      </c>
      <c r="H140" s="1523"/>
    </row>
    <row r="141" spans="1:10">
      <c r="A141" s="768" t="s">
        <v>136</v>
      </c>
      <c r="B141" s="768" t="s">
        <v>263</v>
      </c>
      <c r="C141" s="1335" t="s">
        <v>483</v>
      </c>
      <c r="D141" s="768" t="s">
        <v>484</v>
      </c>
      <c r="E141" s="768" t="s">
        <v>110</v>
      </c>
      <c r="F141" s="768" t="s">
        <v>272</v>
      </c>
      <c r="G141" s="768"/>
      <c r="H141" s="1523"/>
    </row>
    <row r="142" spans="1:10">
      <c r="A142" s="768">
        <v>913399</v>
      </c>
      <c r="B142" s="768" t="s">
        <v>487</v>
      </c>
      <c r="C142" s="768"/>
      <c r="D142" s="768">
        <v>0</v>
      </c>
      <c r="E142" s="768">
        <f>+C142-D142</f>
        <v>0</v>
      </c>
      <c r="F142" s="768"/>
      <c r="G142" s="768"/>
      <c r="H142" s="1308"/>
    </row>
    <row r="143" spans="1:10">
      <c r="A143" s="768"/>
      <c r="B143" s="768" t="s">
        <v>74</v>
      </c>
      <c r="C143" s="340">
        <f>SUM(C142)</f>
        <v>0</v>
      </c>
      <c r="D143" s="340">
        <v>0</v>
      </c>
      <c r="E143" s="340">
        <f>SUM(E142)</f>
        <v>0</v>
      </c>
      <c r="F143" s="768"/>
      <c r="G143" s="768"/>
      <c r="H143" s="1523"/>
    </row>
    <row r="144" spans="1:10" s="1220" customFormat="1" ht="13.5" thickBot="1">
      <c r="A144" s="315"/>
      <c r="B144" s="315"/>
      <c r="C144" s="315"/>
      <c r="D144" s="315"/>
      <c r="E144" s="315"/>
      <c r="F144" s="315"/>
      <c r="G144" s="315"/>
      <c r="H144" s="1523"/>
      <c r="J144" s="69"/>
    </row>
    <row r="145" spans="1:11" s="1220" customFormat="1" ht="13.5" thickBot="1">
      <c r="A145" s="3650" t="s">
        <v>496</v>
      </c>
      <c r="B145" s="3651"/>
      <c r="C145" s="3651"/>
      <c r="D145" s="3651"/>
      <c r="E145" s="3651"/>
      <c r="F145" s="3651"/>
      <c r="G145" s="3652"/>
      <c r="H145" s="1523"/>
      <c r="J145" s="69"/>
    </row>
    <row r="146" spans="1:11" s="1220" customFormat="1" ht="13.5" thickBot="1">
      <c r="A146" s="350" t="s">
        <v>497</v>
      </c>
      <c r="B146" s="1219"/>
      <c r="C146" s="952" t="s">
        <v>149</v>
      </c>
      <c r="D146" s="352" t="s">
        <v>148</v>
      </c>
      <c r="E146" s="353" t="s">
        <v>67</v>
      </c>
      <c r="F146" s="353" t="s">
        <v>110</v>
      </c>
      <c r="G146" s="353" t="s">
        <v>135</v>
      </c>
      <c r="H146" s="1293"/>
      <c r="J146" s="69"/>
    </row>
    <row r="147" spans="1:11" s="1220" customFormat="1" ht="15.75" thickBot="1">
      <c r="A147" s="348" t="s">
        <v>495</v>
      </c>
      <c r="B147" s="348" t="s">
        <v>495</v>
      </c>
      <c r="C147" s="3655"/>
      <c r="D147" s="3656"/>
      <c r="E147" s="1306"/>
      <c r="F147" s="327">
        <f>+C147-E147</f>
        <v>0</v>
      </c>
      <c r="G147" s="356"/>
      <c r="H147" s="1513"/>
      <c r="J147" s="69"/>
    </row>
    <row r="148" spans="1:11" s="1220" customFormat="1" ht="15.75" thickBot="1">
      <c r="A148" s="363"/>
      <c r="B148" s="364" t="s">
        <v>52</v>
      </c>
      <c r="C148" s="3653">
        <f>SUM(C147:C147)</f>
        <v>0</v>
      </c>
      <c r="D148" s="3654"/>
      <c r="E148" s="365">
        <v>0</v>
      </c>
      <c r="F148" s="365">
        <f>SUM(F147:F147)</f>
        <v>0</v>
      </c>
      <c r="G148" s="1526"/>
      <c r="H148" s="1513"/>
      <c r="J148" s="69"/>
    </row>
    <row r="149" spans="1:11" s="1220" customFormat="1" ht="15.75" thickBot="1">
      <c r="A149" s="315"/>
      <c r="B149" s="315"/>
      <c r="C149" s="315"/>
      <c r="D149" s="315"/>
      <c r="E149" s="315"/>
      <c r="F149" s="315"/>
      <c r="G149" s="315"/>
      <c r="H149" s="1513"/>
      <c r="J149" s="69"/>
    </row>
    <row r="150" spans="1:11" s="1262" customFormat="1" ht="15.75" thickBot="1">
      <c r="A150" s="3689" t="s">
        <v>500</v>
      </c>
      <c r="B150" s="3690"/>
      <c r="C150" s="3690"/>
      <c r="D150" s="3690"/>
      <c r="E150" s="3690"/>
      <c r="F150" s="3690"/>
      <c r="G150" s="3691"/>
      <c r="H150" s="1513"/>
      <c r="J150" s="69"/>
    </row>
    <row r="151" spans="1:11" s="1262" customFormat="1" ht="15">
      <c r="C151" s="1311" t="s">
        <v>399</v>
      </c>
      <c r="H151" s="306"/>
      <c r="J151" s="69"/>
    </row>
    <row r="152" spans="1:11" s="1262" customFormat="1" ht="13.5" thickBot="1">
      <c r="A152" s="340" t="s">
        <v>136</v>
      </c>
      <c r="B152" s="340" t="s">
        <v>263</v>
      </c>
      <c r="C152" s="340" t="s">
        <v>483</v>
      </c>
      <c r="D152" s="340" t="s">
        <v>484</v>
      </c>
      <c r="E152" s="340" t="s">
        <v>110</v>
      </c>
      <c r="F152" s="340" t="s">
        <v>272</v>
      </c>
      <c r="G152" s="768"/>
      <c r="H152" s="1293"/>
      <c r="J152" s="69"/>
    </row>
    <row r="153" spans="1:11" s="1262" customFormat="1" ht="15">
      <c r="A153" s="768">
        <v>913399</v>
      </c>
      <c r="B153" s="768" t="s">
        <v>487</v>
      </c>
      <c r="C153" s="768"/>
      <c r="D153" s="1306"/>
      <c r="E153" s="768">
        <f>+C153-D153</f>
        <v>0</v>
      </c>
      <c r="F153" s="768"/>
      <c r="G153" s="768"/>
      <c r="H153" s="306"/>
      <c r="J153" s="69"/>
    </row>
    <row r="154" spans="1:11" s="1262" customFormat="1" ht="15">
      <c r="A154" s="768" t="s">
        <v>404</v>
      </c>
      <c r="B154" s="768" t="s">
        <v>74</v>
      </c>
      <c r="C154" s="340">
        <f>SUM(C153)</f>
        <v>0</v>
      </c>
      <c r="D154" s="340">
        <v>0</v>
      </c>
      <c r="E154" s="340">
        <f>SUM(E153)</f>
        <v>0</v>
      </c>
      <c r="F154" s="768"/>
      <c r="G154" s="768"/>
      <c r="H154" s="306"/>
      <c r="J154" s="69"/>
    </row>
    <row r="155" spans="1:11" s="1262" customFormat="1" ht="15">
      <c r="A155" s="315"/>
      <c r="B155" s="315"/>
      <c r="C155" s="315"/>
      <c r="D155" s="315"/>
      <c r="E155" s="315"/>
      <c r="F155" s="315"/>
      <c r="G155" s="315"/>
      <c r="H155" s="306"/>
      <c r="J155" s="69"/>
    </row>
    <row r="156" spans="1:11" ht="15.75" thickBot="1">
      <c r="A156" s="372"/>
      <c r="B156" s="372"/>
      <c r="C156" s="373"/>
      <c r="D156" s="373"/>
      <c r="E156" s="373"/>
      <c r="F156" s="373"/>
      <c r="G156" s="373"/>
      <c r="H156" s="306"/>
      <c r="J156" s="1496"/>
      <c r="K156" s="1308"/>
    </row>
    <row r="157" spans="1:11" ht="15.75" thickBot="1">
      <c r="A157" s="391" t="s">
        <v>333</v>
      </c>
      <c r="B157" s="392"/>
      <c r="C157" s="392"/>
      <c r="D157" s="392"/>
      <c r="E157" s="392"/>
      <c r="F157" s="392"/>
      <c r="G157" s="393"/>
      <c r="H157" s="408"/>
      <c r="I157" s="69"/>
      <c r="J157" s="1496"/>
      <c r="K157" s="1308"/>
    </row>
    <row r="158" spans="1:11" ht="13.5" thickBot="1">
      <c r="A158" s="418"/>
      <c r="B158" s="419"/>
      <c r="C158" s="3692" t="s">
        <v>286</v>
      </c>
      <c r="D158" s="3693"/>
      <c r="E158" s="3692" t="s">
        <v>270</v>
      </c>
      <c r="F158" s="3694"/>
      <c r="G158" s="3692" t="s">
        <v>157</v>
      </c>
      <c r="H158" s="3693"/>
      <c r="I158" s="406"/>
      <c r="J158" s="1508"/>
      <c r="K158" s="1308"/>
    </row>
    <row r="159" spans="1:11" ht="23.25" thickBot="1">
      <c r="A159" s="374" t="s">
        <v>136</v>
      </c>
      <c r="B159" s="375" t="s">
        <v>263</v>
      </c>
      <c r="C159" s="376" t="s">
        <v>264</v>
      </c>
      <c r="D159" s="398" t="s">
        <v>271</v>
      </c>
      <c r="E159" s="376" t="s">
        <v>264</v>
      </c>
      <c r="F159" s="376" t="s">
        <v>271</v>
      </c>
      <c r="G159" s="376" t="s">
        <v>264</v>
      </c>
      <c r="H159" s="377" t="s">
        <v>271</v>
      </c>
      <c r="I159" s="397" t="s">
        <v>272</v>
      </c>
      <c r="J159" s="1509"/>
      <c r="K159" s="1308"/>
    </row>
    <row r="160" spans="1:11" ht="13.5" thickBot="1">
      <c r="A160" s="378">
        <v>957995</v>
      </c>
      <c r="B160" s="379" t="s">
        <v>242</v>
      </c>
      <c r="C160" s="380"/>
      <c r="D160" s="380"/>
      <c r="E160" s="407">
        <f>+SUM('Planillas diarias trapasos'!B443)</f>
        <v>0</v>
      </c>
      <c r="F160" s="423">
        <f>+SUM('Planillas diarias trapasos'!B444)</f>
        <v>0</v>
      </c>
      <c r="G160" s="412">
        <f>+C160-E160</f>
        <v>0</v>
      </c>
      <c r="H160" s="748">
        <f>+D160-F160</f>
        <v>0</v>
      </c>
      <c r="I160" s="442"/>
      <c r="J160" s="1510"/>
      <c r="K160" s="1308"/>
    </row>
    <row r="161" spans="1:11" ht="14.25" thickBot="1">
      <c r="B161" s="409" t="s">
        <v>74</v>
      </c>
      <c r="C161" s="409"/>
      <c r="D161" s="410">
        <f>+D160</f>
        <v>0</v>
      </c>
      <c r="E161" s="411">
        <f>SUM(E160)</f>
        <v>0</v>
      </c>
      <c r="F161" s="411">
        <f>SUM(F160)</f>
        <v>0</v>
      </c>
      <c r="G161" s="411">
        <f>SUM(G156:G160)</f>
        <v>0</v>
      </c>
      <c r="H161" s="472">
        <f>SUM(H156:H160)</f>
        <v>0</v>
      </c>
      <c r="I161" s="444"/>
      <c r="J161" s="1509"/>
      <c r="K161" s="1308"/>
    </row>
    <row r="162" spans="1:11" ht="15.75" thickBot="1">
      <c r="A162" s="372"/>
      <c r="B162" s="372"/>
      <c r="C162" s="373"/>
      <c r="D162" s="373"/>
      <c r="E162" s="373"/>
      <c r="F162" s="373"/>
      <c r="G162" s="373"/>
      <c r="H162" s="306"/>
      <c r="J162" s="1509"/>
      <c r="K162" s="1308"/>
    </row>
    <row r="163" spans="1:11" ht="15.75" thickBot="1">
      <c r="A163" s="391" t="s">
        <v>273</v>
      </c>
      <c r="B163" s="392"/>
      <c r="C163" s="392"/>
      <c r="D163" s="392"/>
      <c r="E163" s="392"/>
      <c r="F163" s="392"/>
      <c r="G163" s="393"/>
      <c r="H163" s="408"/>
      <c r="I163" s="69"/>
      <c r="J163" s="1509"/>
      <c r="K163" s="1308"/>
    </row>
    <row r="164" spans="1:11" ht="13.5" thickBot="1">
      <c r="A164" s="418"/>
      <c r="B164" s="419"/>
      <c r="C164" s="3692" t="s">
        <v>286</v>
      </c>
      <c r="D164" s="3693"/>
      <c r="E164" s="3692" t="s">
        <v>270</v>
      </c>
      <c r="F164" s="3694"/>
      <c r="G164" s="3692" t="s">
        <v>157</v>
      </c>
      <c r="H164" s="3693"/>
      <c r="I164" s="406"/>
      <c r="J164" s="1508"/>
      <c r="K164" s="1308"/>
    </row>
    <row r="165" spans="1:11" ht="23.25" thickBot="1">
      <c r="A165" s="374" t="s">
        <v>136</v>
      </c>
      <c r="B165" s="375" t="s">
        <v>263</v>
      </c>
      <c r="C165" s="376" t="s">
        <v>264</v>
      </c>
      <c r="D165" s="398" t="s">
        <v>271</v>
      </c>
      <c r="E165" s="376" t="s">
        <v>264</v>
      </c>
      <c r="F165" s="376" t="s">
        <v>271</v>
      </c>
      <c r="G165" s="376" t="s">
        <v>264</v>
      </c>
      <c r="H165" s="377" t="s">
        <v>271</v>
      </c>
      <c r="I165" s="397" t="s">
        <v>272</v>
      </c>
      <c r="J165" s="1509"/>
      <c r="K165" s="1308"/>
    </row>
    <row r="166" spans="1:11" ht="13.5" thickBot="1">
      <c r="A166" s="378">
        <v>957995</v>
      </c>
      <c r="B166" s="379" t="s">
        <v>242</v>
      </c>
      <c r="C166" s="380"/>
      <c r="D166" s="380"/>
      <c r="E166" s="407">
        <f>+SUM('Planillas diarias trapasos'!B460)</f>
        <v>0</v>
      </c>
      <c r="F166" s="423">
        <f>+SUM('Planillas diarias trapasos'!B476)</f>
        <v>0</v>
      </c>
      <c r="G166" s="1532">
        <f>+C166-E166</f>
        <v>0</v>
      </c>
      <c r="H166" s="748">
        <f>+D166-F166</f>
        <v>0</v>
      </c>
      <c r="I166" s="442"/>
      <c r="J166" s="1511"/>
      <c r="K166" s="1308"/>
    </row>
    <row r="167" spans="1:11" ht="14.25" thickBot="1">
      <c r="B167" s="409" t="s">
        <v>74</v>
      </c>
      <c r="C167" s="409"/>
      <c r="D167" s="410"/>
      <c r="E167" s="411">
        <f>SUM(E166)</f>
        <v>0</v>
      </c>
      <c r="F167" s="411">
        <f>SUM(F166)</f>
        <v>0</v>
      </c>
      <c r="G167" s="411">
        <f>SUM(G162:G166)</f>
        <v>0</v>
      </c>
      <c r="H167" s="472">
        <f>SUM(H162:H166)</f>
        <v>0</v>
      </c>
      <c r="I167" s="444"/>
      <c r="J167" s="1509"/>
      <c r="K167" s="1308"/>
    </row>
    <row r="168" spans="1:11" s="1217" customFormat="1" ht="13.5">
      <c r="B168" s="420"/>
      <c r="C168" s="420"/>
      <c r="D168" s="421"/>
      <c r="E168" s="422"/>
      <c r="F168" s="422"/>
      <c r="G168" s="422"/>
      <c r="H168" s="422"/>
      <c r="I168" s="169"/>
      <c r="J168" s="346"/>
    </row>
    <row r="169" spans="1:11" s="1390" customFormat="1" ht="13.5">
      <c r="B169" s="420"/>
      <c r="C169" s="420"/>
      <c r="D169" s="421"/>
      <c r="E169" s="422"/>
      <c r="F169" s="422"/>
      <c r="G169" s="422"/>
      <c r="H169" s="422"/>
      <c r="I169" s="169"/>
      <c r="J169" s="346"/>
    </row>
    <row r="170" spans="1:11" s="1390" customFormat="1" ht="13.5">
      <c r="A170" s="1311" t="s">
        <v>538</v>
      </c>
      <c r="B170" s="420"/>
      <c r="C170" s="420"/>
      <c r="D170" s="421"/>
      <c r="E170" s="422"/>
      <c r="F170" s="422"/>
      <c r="G170" s="422"/>
      <c r="H170" s="422"/>
      <c r="I170" s="169"/>
      <c r="J170" s="346"/>
    </row>
    <row r="171" spans="1:11" s="1390" customFormat="1" ht="15">
      <c r="A171" s="169"/>
      <c r="B171" s="420"/>
      <c r="C171" s="420"/>
      <c r="D171" s="421"/>
      <c r="E171" s="422"/>
      <c r="F171" s="422"/>
      <c r="G171" s="422"/>
      <c r="H171" s="414"/>
      <c r="I171" s="169"/>
      <c r="J171" s="69"/>
    </row>
    <row r="172" spans="1:11" ht="15.75" thickBot="1">
      <c r="B172" s="420"/>
      <c r="C172" s="420"/>
      <c r="D172" s="421"/>
      <c r="E172" s="422"/>
      <c r="F172" s="422"/>
      <c r="G172" s="422"/>
      <c r="H172" s="414"/>
    </row>
    <row r="173" spans="1:11" ht="21.75" thickBot="1">
      <c r="A173" s="401" t="s">
        <v>283</v>
      </c>
      <c r="B173" s="1385" t="s">
        <v>532</v>
      </c>
      <c r="C173" s="400"/>
      <c r="D173" s="400"/>
      <c r="E173" s="764"/>
      <c r="F173" s="764"/>
      <c r="G173" s="400"/>
      <c r="H173" s="756"/>
      <c r="I173" s="402"/>
    </row>
    <row r="174" spans="1:11" ht="13.5" thickBot="1">
      <c r="A174" s="403"/>
      <c r="B174" s="404"/>
      <c r="C174" s="3692" t="s">
        <v>286</v>
      </c>
      <c r="D174" s="3693"/>
      <c r="E174" s="3692" t="s">
        <v>270</v>
      </c>
      <c r="F174" s="3693"/>
      <c r="G174" s="3692" t="s">
        <v>157</v>
      </c>
      <c r="H174" s="3693"/>
      <c r="I174" s="406"/>
      <c r="J174" s="1496"/>
      <c r="K174" s="1308"/>
    </row>
    <row r="175" spans="1:11" ht="23.25" thickBot="1">
      <c r="A175" s="448" t="s">
        <v>136</v>
      </c>
      <c r="B175" s="447" t="s">
        <v>263</v>
      </c>
      <c r="C175" s="397" t="s">
        <v>264</v>
      </c>
      <c r="D175" s="398" t="s">
        <v>271</v>
      </c>
      <c r="E175" s="376" t="s">
        <v>264</v>
      </c>
      <c r="F175" s="376" t="s">
        <v>271</v>
      </c>
      <c r="G175" s="376" t="s">
        <v>264</v>
      </c>
      <c r="H175" s="456" t="s">
        <v>271</v>
      </c>
      <c r="I175" s="376" t="s">
        <v>272</v>
      </c>
      <c r="J175" s="1501"/>
      <c r="K175" s="1308"/>
    </row>
    <row r="176" spans="1:11" ht="13.5">
      <c r="A176" s="457"/>
      <c r="B176" s="460" t="s">
        <v>284</v>
      </c>
      <c r="C176" s="385"/>
      <c r="D176" s="386"/>
      <c r="E176" s="385"/>
      <c r="F176" s="385"/>
      <c r="G176" s="385">
        <f>+C176-E176</f>
        <v>0</v>
      </c>
      <c r="H176" s="385">
        <f>+D176-F176</f>
        <v>0</v>
      </c>
      <c r="I176" s="449"/>
      <c r="J176" s="1496"/>
      <c r="K176" s="1308"/>
    </row>
    <row r="177" spans="1:11" ht="14.25" thickBot="1">
      <c r="A177" s="458"/>
      <c r="B177" s="461" t="s">
        <v>285</v>
      </c>
      <c r="C177" s="387"/>
      <c r="D177" s="451"/>
      <c r="E177" s="452"/>
      <c r="F177" s="452"/>
      <c r="G177" s="452">
        <f>+C177-E177</f>
        <v>0</v>
      </c>
      <c r="H177" s="452">
        <f>+D177-F177</f>
        <v>0</v>
      </c>
      <c r="I177" s="462"/>
      <c r="J177" s="1496"/>
      <c r="K177" s="1308"/>
    </row>
    <row r="178" spans="1:11" ht="14.25" thickBot="1">
      <c r="A178" s="459"/>
      <c r="B178" s="463" t="s">
        <v>223</v>
      </c>
      <c r="C178" s="450">
        <f t="shared" ref="C178:H178" si="0">SUM(C176:C177)</f>
        <v>0</v>
      </c>
      <c r="D178" s="453">
        <f t="shared" si="0"/>
        <v>0</v>
      </c>
      <c r="E178" s="454">
        <f t="shared" si="0"/>
        <v>0</v>
      </c>
      <c r="F178" s="454">
        <f t="shared" si="0"/>
        <v>0</v>
      </c>
      <c r="G178" s="454">
        <f t="shared" si="0"/>
        <v>0</v>
      </c>
      <c r="H178" s="454">
        <f t="shared" si="0"/>
        <v>0</v>
      </c>
      <c r="I178" s="455"/>
      <c r="J178" s="1496"/>
      <c r="K178" s="1308"/>
    </row>
    <row r="179" spans="1:11" ht="15">
      <c r="A179" s="169"/>
      <c r="B179" s="420"/>
      <c r="C179" s="420"/>
      <c r="D179" s="421"/>
      <c r="E179" s="422"/>
      <c r="F179" s="422"/>
      <c r="G179" s="422"/>
      <c r="H179" s="414"/>
      <c r="I179" s="169"/>
      <c r="J179" s="1496"/>
      <c r="K179" s="1308"/>
    </row>
    <row r="180" spans="1:11" s="1247" customFormat="1" ht="13.5" thickBot="1">
      <c r="A180" s="546"/>
      <c r="B180" s="547"/>
      <c r="C180" s="546"/>
      <c r="D180" s="546"/>
      <c r="E180" s="546"/>
      <c r="F180" s="546"/>
      <c r="G180" s="546"/>
      <c r="H180" s="546"/>
      <c r="I180" s="546"/>
      <c r="J180" s="1505"/>
      <c r="K180" s="1506"/>
    </row>
    <row r="181" spans="1:11" s="1247" customFormat="1" ht="21.75" thickBot="1">
      <c r="A181" s="1156" t="s">
        <v>499</v>
      </c>
      <c r="B181" s="1385" t="s">
        <v>532</v>
      </c>
      <c r="C181" s="400"/>
      <c r="D181" s="400"/>
      <c r="E181" s="1246"/>
      <c r="F181" s="1246"/>
      <c r="G181" s="400"/>
      <c r="H181" s="762"/>
      <c r="I181" s="402"/>
      <c r="J181" s="1507"/>
      <c r="K181" s="1506"/>
    </row>
    <row r="182" spans="1:11" s="1247" customFormat="1" ht="13.5" thickBot="1">
      <c r="A182" s="403"/>
      <c r="B182" s="404"/>
      <c r="C182" s="3692" t="s">
        <v>286</v>
      </c>
      <c r="D182" s="3693"/>
      <c r="E182" s="3692" t="s">
        <v>270</v>
      </c>
      <c r="F182" s="3693"/>
      <c r="G182" s="3692" t="s">
        <v>157</v>
      </c>
      <c r="H182" s="3693"/>
      <c r="I182" s="406"/>
      <c r="J182" s="1505"/>
      <c r="K182" s="1506"/>
    </row>
    <row r="183" spans="1:11" s="1247" customFormat="1" ht="23.25" thickBot="1">
      <c r="A183" s="448" t="s">
        <v>136</v>
      </c>
      <c r="B183" s="447" t="s">
        <v>263</v>
      </c>
      <c r="C183" s="397" t="s">
        <v>264</v>
      </c>
      <c r="D183" s="398" t="s">
        <v>271</v>
      </c>
      <c r="E183" s="376" t="s">
        <v>264</v>
      </c>
      <c r="F183" s="376" t="s">
        <v>271</v>
      </c>
      <c r="G183" s="376" t="s">
        <v>264</v>
      </c>
      <c r="H183" s="456" t="s">
        <v>271</v>
      </c>
      <c r="I183" s="376" t="s">
        <v>272</v>
      </c>
      <c r="J183" s="1505"/>
      <c r="K183" s="1506"/>
    </row>
    <row r="184" spans="1:11" s="1247" customFormat="1" ht="14.25" thickBot="1">
      <c r="A184" s="1263">
        <v>901835</v>
      </c>
      <c r="B184" s="1264" t="s">
        <v>299</v>
      </c>
      <c r="C184" s="452"/>
      <c r="D184" s="451"/>
      <c r="E184" s="452"/>
      <c r="F184" s="452"/>
      <c r="G184" s="452">
        <f>+C184-E184</f>
        <v>0</v>
      </c>
      <c r="H184" s="452">
        <f>+D184-F184</f>
        <v>0</v>
      </c>
      <c r="I184" s="462"/>
      <c r="J184" s="1505"/>
      <c r="K184" s="1506"/>
    </row>
    <row r="185" spans="1:11" s="1247" customFormat="1" ht="19.5" customHeight="1" thickBot="1">
      <c r="A185" s="1265"/>
      <c r="B185" s="1266" t="s">
        <v>223</v>
      </c>
      <c r="C185" s="1267">
        <f t="shared" ref="C185:H185" si="1">SUM(C184:C184)</f>
        <v>0</v>
      </c>
      <c r="D185" s="453">
        <f t="shared" si="1"/>
        <v>0</v>
      </c>
      <c r="E185" s="454">
        <f t="shared" si="1"/>
        <v>0</v>
      </c>
      <c r="F185" s="454">
        <f t="shared" si="1"/>
        <v>0</v>
      </c>
      <c r="G185" s="454">
        <f t="shared" si="1"/>
        <v>0</v>
      </c>
      <c r="H185" s="454">
        <f t="shared" si="1"/>
        <v>0</v>
      </c>
      <c r="I185" s="455"/>
      <c r="J185" s="1505"/>
      <c r="K185" s="1506"/>
    </row>
    <row r="186" spans="1:11" s="1247" customFormat="1" ht="15.75" thickBot="1">
      <c r="A186" s="169"/>
      <c r="B186" s="420"/>
      <c r="C186" s="420"/>
      <c r="D186" s="421"/>
      <c r="E186" s="422"/>
      <c r="F186" s="422"/>
      <c r="G186" s="422"/>
      <c r="H186" s="414"/>
      <c r="I186" s="169"/>
      <c r="J186" s="1496"/>
      <c r="K186" s="1308"/>
    </row>
    <row r="187" spans="1:11" s="1414" customFormat="1" ht="15.75" thickBot="1">
      <c r="A187" s="1399" t="s">
        <v>535</v>
      </c>
      <c r="B187" s="1416" t="s">
        <v>271</v>
      </c>
      <c r="C187" s="1396"/>
      <c r="D187" s="1396"/>
      <c r="E187" s="3699"/>
      <c r="F187" s="3699"/>
      <c r="G187" s="1396"/>
      <c r="H187" s="1397"/>
      <c r="I187" s="1398"/>
      <c r="J187" s="1252"/>
      <c r="K187" s="1308"/>
    </row>
    <row r="188" spans="1:11" s="1414" customFormat="1" ht="13.5" thickBot="1">
      <c r="A188" s="403"/>
      <c r="B188" s="404"/>
      <c r="C188" s="404"/>
      <c r="D188" s="1381" t="s">
        <v>399</v>
      </c>
      <c r="E188" s="3696" t="s">
        <v>270</v>
      </c>
      <c r="F188" s="3697"/>
      <c r="G188" s="3696" t="s">
        <v>157</v>
      </c>
      <c r="H188" s="3698"/>
      <c r="I188" s="1403"/>
      <c r="J188" s="1496"/>
      <c r="K188" s="1308"/>
    </row>
    <row r="189" spans="1:11" s="1414" customFormat="1" ht="23.25" thickBot="1">
      <c r="A189" s="376" t="s">
        <v>136</v>
      </c>
      <c r="B189" s="398"/>
      <c r="C189" s="397"/>
      <c r="D189" s="398" t="s">
        <v>271</v>
      </c>
      <c r="E189" s="397"/>
      <c r="F189" s="398" t="s">
        <v>271</v>
      </c>
      <c r="G189" s="397"/>
      <c r="H189" s="398" t="s">
        <v>271</v>
      </c>
      <c r="I189" s="397" t="s">
        <v>272</v>
      </c>
      <c r="J189" s="1496"/>
      <c r="K189" s="1308"/>
    </row>
    <row r="190" spans="1:11" s="1414" customFormat="1" ht="13.5" thickBot="1">
      <c r="A190" s="1387">
        <v>957485</v>
      </c>
      <c r="B190" s="1388" t="s">
        <v>533</v>
      </c>
      <c r="C190" s="397"/>
      <c r="D190" s="398"/>
      <c r="E190" s="397"/>
      <c r="F190" s="398"/>
      <c r="G190" s="397"/>
      <c r="H190" s="1141">
        <f>+D190-F190</f>
        <v>0</v>
      </c>
      <c r="I190" s="397"/>
      <c r="J190" s="1496"/>
      <c r="K190" s="1308"/>
    </row>
    <row r="191" spans="1:11" s="1414" customFormat="1" ht="15.75" thickBot="1">
      <c r="A191" s="1137">
        <v>955414</v>
      </c>
      <c r="B191" s="1389" t="s">
        <v>534</v>
      </c>
      <c r="C191" s="1139"/>
      <c r="D191" s="1140"/>
      <c r="E191" s="1141"/>
      <c r="F191" s="1142"/>
      <c r="G191" s="951"/>
      <c r="H191" s="1141">
        <f>+D191-F191</f>
        <v>0</v>
      </c>
      <c r="I191" s="1148"/>
      <c r="J191" s="69"/>
    </row>
    <row r="192" spans="1:11" s="1414" customFormat="1" ht="15.75" thickBot="1">
      <c r="A192" s="399"/>
      <c r="B192" s="1121" t="s">
        <v>74</v>
      </c>
      <c r="C192" s="470"/>
      <c r="D192" s="1140">
        <v>500</v>
      </c>
      <c r="E192" s="472"/>
      <c r="F192" s="472">
        <f>SUM(F190:F191)</f>
        <v>0</v>
      </c>
      <c r="G192" s="472"/>
      <c r="H192" s="472">
        <f>SUM(H190:H191)</f>
        <v>0</v>
      </c>
      <c r="I192" s="1413"/>
      <c r="J192" s="69"/>
    </row>
    <row r="193" spans="1:11" s="1414" customFormat="1" ht="15">
      <c r="A193" s="169"/>
      <c r="B193" s="420"/>
      <c r="C193" s="420"/>
      <c r="D193" s="421"/>
      <c r="E193" s="422"/>
      <c r="F193" s="422"/>
      <c r="G193" s="422"/>
      <c r="H193" s="414"/>
      <c r="I193" s="169"/>
      <c r="J193" s="69"/>
    </row>
    <row r="194" spans="1:11" ht="15.75" thickBot="1">
      <c r="A194" s="167"/>
      <c r="B194" s="167"/>
      <c r="C194" s="167"/>
      <c r="D194" s="167"/>
      <c r="E194" s="346"/>
      <c r="F194" s="167"/>
      <c r="G194" s="167"/>
      <c r="H194" s="306"/>
    </row>
    <row r="195" spans="1:11" ht="15.75" thickBot="1">
      <c r="A195" s="1164" t="s">
        <v>269</v>
      </c>
      <c r="B195" s="1165"/>
      <c r="C195" s="1165"/>
      <c r="D195" s="1165"/>
      <c r="E195" s="3695"/>
      <c r="F195" s="3695"/>
      <c r="G195" s="1165"/>
      <c r="H195" s="1166"/>
      <c r="I195" s="1167"/>
    </row>
    <row r="196" spans="1:11" ht="13.5" thickBot="1">
      <c r="A196" s="403"/>
      <c r="B196" s="404"/>
      <c r="C196" s="404"/>
      <c r="D196" s="405"/>
      <c r="E196" s="3696" t="s">
        <v>270</v>
      </c>
      <c r="F196" s="3697"/>
      <c r="G196" s="3696" t="s">
        <v>157</v>
      </c>
      <c r="H196" s="3698"/>
      <c r="I196" s="406"/>
      <c r="J196" s="1496"/>
      <c r="K196" s="1308"/>
    </row>
    <row r="197" spans="1:11" ht="23.25" thickBot="1">
      <c r="A197" s="374" t="s">
        <v>136</v>
      </c>
      <c r="B197" s="375" t="s">
        <v>263</v>
      </c>
      <c r="C197" s="376" t="s">
        <v>264</v>
      </c>
      <c r="D197" s="398" t="s">
        <v>271</v>
      </c>
      <c r="E197" s="376" t="s">
        <v>264</v>
      </c>
      <c r="F197" s="376" t="s">
        <v>271</v>
      </c>
      <c r="G197" s="376" t="s">
        <v>264</v>
      </c>
      <c r="H197" s="377" t="s">
        <v>271</v>
      </c>
      <c r="I197" s="397" t="s">
        <v>272</v>
      </c>
      <c r="J197" s="1501"/>
      <c r="K197" s="1308"/>
    </row>
    <row r="198" spans="1:11" ht="15">
      <c r="A198" s="378">
        <v>916009</v>
      </c>
      <c r="B198" s="379" t="s">
        <v>249</v>
      </c>
      <c r="C198" s="380"/>
      <c r="D198" s="394"/>
      <c r="E198" s="423"/>
      <c r="F198" s="423"/>
      <c r="G198" s="412">
        <f t="shared" ref="G198:G203" si="2">+C198-E198</f>
        <v>0</v>
      </c>
      <c r="H198" s="415">
        <f t="shared" ref="H198:H203" si="3">+D198-F198</f>
        <v>0</v>
      </c>
      <c r="I198" s="442"/>
      <c r="J198" s="1502"/>
      <c r="K198" s="1308"/>
    </row>
    <row r="199" spans="1:11" ht="15">
      <c r="A199" s="381">
        <v>916010</v>
      </c>
      <c r="B199" s="382" t="s">
        <v>265</v>
      </c>
      <c r="C199" s="383"/>
      <c r="D199" s="395"/>
      <c r="E199" s="466"/>
      <c r="F199" s="466"/>
      <c r="G199" s="412">
        <f t="shared" si="2"/>
        <v>0</v>
      </c>
      <c r="H199" s="416">
        <f t="shared" si="3"/>
        <v>0</v>
      </c>
      <c r="I199" s="953"/>
      <c r="J199" s="1502"/>
      <c r="K199" s="1308"/>
    </row>
    <row r="200" spans="1:11" ht="15">
      <c r="A200" s="385">
        <v>953048</v>
      </c>
      <c r="B200" s="386" t="s">
        <v>266</v>
      </c>
      <c r="C200" s="384"/>
      <c r="D200" s="395"/>
      <c r="E200" s="466"/>
      <c r="F200" s="466"/>
      <c r="G200" s="412">
        <f t="shared" si="2"/>
        <v>0</v>
      </c>
      <c r="H200" s="416">
        <f t="shared" si="3"/>
        <v>0</v>
      </c>
      <c r="I200" s="953"/>
      <c r="J200" s="1503"/>
      <c r="K200" s="1308"/>
    </row>
    <row r="201" spans="1:11" ht="15.75" thickBot="1">
      <c r="A201" s="1538">
        <v>954700</v>
      </c>
      <c r="B201" s="1177" t="s">
        <v>267</v>
      </c>
      <c r="C201" s="1539"/>
      <c r="D201" s="1540"/>
      <c r="E201" s="1183"/>
      <c r="F201" s="466"/>
      <c r="G201" s="412">
        <f t="shared" si="2"/>
        <v>0</v>
      </c>
      <c r="H201" s="416">
        <f t="shared" si="3"/>
        <v>0</v>
      </c>
      <c r="I201" s="953"/>
      <c r="J201" s="1502"/>
      <c r="K201" s="1308"/>
    </row>
    <row r="202" spans="1:11" ht="15.75" thickBot="1">
      <c r="A202" s="1541">
        <v>902835</v>
      </c>
      <c r="B202" s="1542" t="s">
        <v>268</v>
      </c>
      <c r="C202" s="1543"/>
      <c r="D202" s="1544"/>
      <c r="E202" s="1183"/>
      <c r="F202" s="1533"/>
      <c r="G202" s="1532">
        <f t="shared" si="2"/>
        <v>0</v>
      </c>
      <c r="H202" s="1534">
        <f t="shared" si="3"/>
        <v>0</v>
      </c>
      <c r="I202" s="1535"/>
      <c r="J202" s="1504"/>
      <c r="K202" s="1490"/>
    </row>
    <row r="203" spans="1:11" ht="15.75" thickBot="1">
      <c r="A203" s="387">
        <v>953646</v>
      </c>
      <c r="B203" s="388" t="s">
        <v>255</v>
      </c>
      <c r="C203" s="389"/>
      <c r="D203" s="396"/>
      <c r="E203" s="1115"/>
      <c r="F203" s="1115"/>
      <c r="G203" s="412">
        <f t="shared" si="2"/>
        <v>0</v>
      </c>
      <c r="H203" s="417">
        <f t="shared" si="3"/>
        <v>0</v>
      </c>
      <c r="I203" s="954"/>
      <c r="J203" s="1496"/>
      <c r="K203" s="1308"/>
    </row>
    <row r="204" spans="1:11" ht="15.75" thickBot="1">
      <c r="A204" s="390"/>
      <c r="B204" s="409" t="s">
        <v>74</v>
      </c>
      <c r="C204" s="409">
        <v>30</v>
      </c>
      <c r="D204" s="410">
        <v>2600</v>
      </c>
      <c r="E204" s="411">
        <v>0</v>
      </c>
      <c r="F204" s="411">
        <v>0</v>
      </c>
      <c r="G204" s="411">
        <f>SUM(G198:G203)</f>
        <v>0</v>
      </c>
      <c r="H204" s="413">
        <f>SUM(H198:H203)</f>
        <v>0</v>
      </c>
      <c r="I204" s="69"/>
      <c r="J204" s="1496"/>
      <c r="K204" s="1308"/>
    </row>
    <row r="205" spans="1:11" ht="15">
      <c r="A205" s="399"/>
      <c r="B205" s="420"/>
      <c r="C205" s="420"/>
      <c r="D205" s="421"/>
      <c r="E205" s="422"/>
      <c r="F205" s="422"/>
      <c r="G205" s="422"/>
      <c r="H205" s="414"/>
      <c r="I205" s="69"/>
      <c r="J205" s="1496"/>
      <c r="K205" s="1308"/>
    </row>
    <row r="206" spans="1:11" ht="15.75" thickBot="1">
      <c r="A206" s="399"/>
      <c r="B206" s="420"/>
      <c r="C206" s="420"/>
      <c r="D206" s="421"/>
      <c r="E206" s="422"/>
      <c r="F206" s="422"/>
      <c r="G206" s="422"/>
      <c r="H206" s="414"/>
      <c r="I206" s="791"/>
      <c r="J206" s="1496"/>
      <c r="K206" s="1308"/>
    </row>
    <row r="207" spans="1:11" ht="15.75" thickBot="1">
      <c r="A207" s="1164" t="s">
        <v>394</v>
      </c>
      <c r="B207" s="1165"/>
      <c r="C207" s="1165"/>
      <c r="D207" s="1165"/>
      <c r="E207" s="3695"/>
      <c r="F207" s="3695"/>
      <c r="G207" s="1165"/>
      <c r="H207" s="1166"/>
      <c r="I207" s="1167"/>
      <c r="J207" s="1496"/>
      <c r="K207" s="1308"/>
    </row>
    <row r="208" spans="1:11" ht="13.5" thickBot="1">
      <c r="A208" s="403"/>
      <c r="B208" s="404"/>
      <c r="C208" s="404"/>
      <c r="D208" s="405"/>
      <c r="E208" s="3696" t="s">
        <v>270</v>
      </c>
      <c r="F208" s="3697"/>
      <c r="G208" s="3696" t="s">
        <v>157</v>
      </c>
      <c r="H208" s="3698"/>
      <c r="I208" s="406"/>
      <c r="J208" s="1501"/>
      <c r="K208" s="1308"/>
    </row>
    <row r="209" spans="1:11" ht="23.25" thickBot="1">
      <c r="A209" s="374" t="s">
        <v>136</v>
      </c>
      <c r="B209" s="375" t="s">
        <v>263</v>
      </c>
      <c r="C209" s="376" t="s">
        <v>264</v>
      </c>
      <c r="D209" s="398" t="s">
        <v>271</v>
      </c>
      <c r="E209" s="376" t="s">
        <v>264</v>
      </c>
      <c r="F209" s="376" t="s">
        <v>271</v>
      </c>
      <c r="G209" s="376" t="s">
        <v>264</v>
      </c>
      <c r="H209" s="377" t="s">
        <v>271</v>
      </c>
      <c r="I209" s="397" t="s">
        <v>272</v>
      </c>
      <c r="J209" s="1496"/>
      <c r="K209" s="1308"/>
    </row>
    <row r="210" spans="1:11" ht="15.75" thickBot="1">
      <c r="A210" s="446" t="s">
        <v>395</v>
      </c>
      <c r="B210" s="1427"/>
      <c r="C210" s="1427"/>
      <c r="D210" s="1400"/>
      <c r="E210" s="1428"/>
      <c r="F210" s="1429">
        <f>+SUM('Planillas diarias trapasos'!B127)</f>
        <v>0</v>
      </c>
      <c r="G210" s="1430">
        <f>+C210-E210</f>
        <v>0</v>
      </c>
      <c r="H210" s="1431">
        <f>+D210-F210</f>
        <v>0</v>
      </c>
      <c r="I210" s="1412"/>
      <c r="J210" s="1496"/>
      <c r="K210" s="1308"/>
    </row>
    <row r="211" spans="1:11" ht="15.75" thickBot="1">
      <c r="A211" s="445"/>
      <c r="B211" s="469" t="s">
        <v>74</v>
      </c>
      <c r="C211" s="1401">
        <v>0</v>
      </c>
      <c r="D211" s="1402"/>
      <c r="E211" s="411">
        <v>0</v>
      </c>
      <c r="F211" s="411">
        <f>SUM(F210)</f>
        <v>0</v>
      </c>
      <c r="G211" s="411">
        <f>SUM(G210:G210)</f>
        <v>0</v>
      </c>
      <c r="H211" s="1432">
        <f>SUM(H210:H210)</f>
        <v>0</v>
      </c>
      <c r="I211" s="951"/>
      <c r="J211" s="1496"/>
      <c r="K211" s="1308"/>
    </row>
    <row r="212" spans="1:11" ht="15">
      <c r="A212" s="399"/>
      <c r="B212" s="420"/>
      <c r="C212" s="420"/>
      <c r="D212" s="421"/>
      <c r="E212" s="422"/>
      <c r="F212" s="422"/>
      <c r="G212" s="422"/>
      <c r="H212" s="414"/>
      <c r="I212" s="791"/>
      <c r="J212" s="1496"/>
      <c r="K212" s="1308"/>
    </row>
    <row r="213" spans="1:11" ht="13.5" thickBot="1">
      <c r="E213" s="69"/>
      <c r="J213" s="1496"/>
      <c r="K213" s="1308"/>
    </row>
    <row r="214" spans="1:11" ht="15.75" thickBot="1">
      <c r="A214" s="1164" t="s">
        <v>298</v>
      </c>
      <c r="B214" s="1165"/>
      <c r="C214" s="1165"/>
      <c r="D214" s="1165"/>
      <c r="E214" s="3695"/>
      <c r="F214" s="3695"/>
      <c r="G214" s="1165"/>
      <c r="H214" s="1166"/>
      <c r="I214" s="1167"/>
      <c r="J214" s="1496"/>
      <c r="K214" s="1308"/>
    </row>
    <row r="215" spans="1:11" ht="13.5" thickBot="1">
      <c r="A215" s="403"/>
      <c r="B215" s="404"/>
      <c r="C215" s="404"/>
      <c r="D215" s="405"/>
      <c r="E215" s="3696" t="s">
        <v>270</v>
      </c>
      <c r="F215" s="3697"/>
      <c r="G215" s="3696" t="s">
        <v>157</v>
      </c>
      <c r="H215" s="3698"/>
      <c r="I215" s="406"/>
      <c r="J215" s="1496"/>
      <c r="K215" s="1308"/>
    </row>
    <row r="216" spans="1:11" ht="23.25" thickBot="1">
      <c r="A216" s="376" t="s">
        <v>136</v>
      </c>
      <c r="B216" s="398" t="s">
        <v>263</v>
      </c>
      <c r="C216" s="397" t="s">
        <v>264</v>
      </c>
      <c r="D216" s="398" t="s">
        <v>271</v>
      </c>
      <c r="E216" s="397" t="s">
        <v>264</v>
      </c>
      <c r="F216" s="397" t="s">
        <v>271</v>
      </c>
      <c r="G216" s="397" t="s">
        <v>264</v>
      </c>
      <c r="H216" s="377" t="s">
        <v>271</v>
      </c>
      <c r="I216" s="397" t="s">
        <v>272</v>
      </c>
      <c r="J216" s="1501"/>
      <c r="K216" s="1308"/>
    </row>
    <row r="217" spans="1:11" ht="15">
      <c r="A217" s="394"/>
      <c r="B217" s="771" t="s">
        <v>287</v>
      </c>
      <c r="C217" s="481"/>
      <c r="D217" s="482"/>
      <c r="E217" s="478"/>
      <c r="F217" s="474"/>
      <c r="G217" s="474">
        <f>+C217-E217</f>
        <v>0</v>
      </c>
      <c r="H217" s="473">
        <f>+D217-F217</f>
        <v>0</v>
      </c>
      <c r="I217" s="465"/>
      <c r="J217" s="1496"/>
      <c r="K217" s="1308"/>
    </row>
    <row r="218" spans="1:11" ht="15">
      <c r="A218" s="467"/>
      <c r="B218" s="772" t="s">
        <v>288</v>
      </c>
      <c r="C218" s="483"/>
      <c r="D218" s="484"/>
      <c r="E218" s="479"/>
      <c r="F218" s="1532"/>
      <c r="G218" s="1536">
        <f t="shared" ref="G218:G227" si="4">+C218-E218</f>
        <v>0</v>
      </c>
      <c r="H218" s="1183">
        <f t="shared" ref="H218:H227" si="5">+D218-F218</f>
        <v>0</v>
      </c>
      <c r="I218" s="468"/>
      <c r="J218" s="1496"/>
      <c r="K218" s="1308"/>
    </row>
    <row r="219" spans="1:11" ht="15">
      <c r="A219" s="467"/>
      <c r="B219" s="1537" t="s">
        <v>289</v>
      </c>
      <c r="C219" s="483"/>
      <c r="D219" s="484"/>
      <c r="E219" s="479"/>
      <c r="F219" s="1532"/>
      <c r="G219" s="1536">
        <f t="shared" si="4"/>
        <v>0</v>
      </c>
      <c r="H219" s="1183">
        <f t="shared" si="5"/>
        <v>0</v>
      </c>
      <c r="I219" s="468"/>
      <c r="J219" s="1497"/>
      <c r="K219" s="1308"/>
    </row>
    <row r="220" spans="1:11" ht="15">
      <c r="A220" s="467"/>
      <c r="B220" s="1537" t="s">
        <v>290</v>
      </c>
      <c r="C220" s="483"/>
      <c r="D220" s="484"/>
      <c r="E220" s="479"/>
      <c r="F220" s="1532"/>
      <c r="G220" s="1536">
        <f t="shared" si="4"/>
        <v>0</v>
      </c>
      <c r="H220" s="1183">
        <f t="shared" si="5"/>
        <v>0</v>
      </c>
      <c r="I220" s="468"/>
      <c r="J220" s="1496"/>
      <c r="K220" s="1308"/>
    </row>
    <row r="221" spans="1:11" ht="15">
      <c r="A221" s="467"/>
      <c r="B221" s="1537" t="s">
        <v>291</v>
      </c>
      <c r="C221" s="483"/>
      <c r="D221" s="484"/>
      <c r="E221" s="479"/>
      <c r="F221" s="1532"/>
      <c r="G221" s="1536">
        <f t="shared" si="4"/>
        <v>0</v>
      </c>
      <c r="H221" s="1183">
        <f t="shared" si="5"/>
        <v>0</v>
      </c>
      <c r="I221" s="468"/>
      <c r="J221" s="1496"/>
      <c r="K221" s="1308"/>
    </row>
    <row r="222" spans="1:11" ht="15">
      <c r="A222" s="467"/>
      <c r="B222" s="1537" t="s">
        <v>292</v>
      </c>
      <c r="C222" s="483"/>
      <c r="D222" s="484"/>
      <c r="E222" s="479"/>
      <c r="F222" s="1532"/>
      <c r="G222" s="1536">
        <f t="shared" si="4"/>
        <v>0</v>
      </c>
      <c r="H222" s="1183">
        <f t="shared" si="5"/>
        <v>0</v>
      </c>
      <c r="I222" s="468"/>
      <c r="J222" s="1496"/>
      <c r="K222" s="1308"/>
    </row>
    <row r="223" spans="1:11" ht="15">
      <c r="A223" s="467"/>
      <c r="B223" s="1537" t="s">
        <v>293</v>
      </c>
      <c r="C223" s="483"/>
      <c r="D223" s="484"/>
      <c r="E223" s="479"/>
      <c r="F223" s="1532"/>
      <c r="G223" s="1536">
        <f t="shared" si="4"/>
        <v>0</v>
      </c>
      <c r="H223" s="1183">
        <f t="shared" si="5"/>
        <v>0</v>
      </c>
      <c r="I223" s="468"/>
      <c r="J223" s="1496"/>
      <c r="K223" s="1498"/>
    </row>
    <row r="224" spans="1:11" ht="15">
      <c r="A224" s="467"/>
      <c r="B224" s="1537" t="s">
        <v>294</v>
      </c>
      <c r="C224" s="483"/>
      <c r="D224" s="484"/>
      <c r="E224" s="479"/>
      <c r="F224" s="1532"/>
      <c r="G224" s="1536">
        <f t="shared" si="4"/>
        <v>0</v>
      </c>
      <c r="H224" s="1545">
        <f t="shared" si="5"/>
        <v>0</v>
      </c>
      <c r="I224" s="468"/>
      <c r="J224" s="1497"/>
      <c r="K224" s="1308"/>
    </row>
    <row r="225" spans="1:11" ht="15">
      <c r="A225" s="467"/>
      <c r="B225" s="1537" t="s">
        <v>295</v>
      </c>
      <c r="C225" s="483"/>
      <c r="D225" s="484"/>
      <c r="E225" s="479"/>
      <c r="F225" s="1532"/>
      <c r="G225" s="1536">
        <f t="shared" si="4"/>
        <v>0</v>
      </c>
      <c r="H225" s="1183">
        <f t="shared" si="5"/>
        <v>0</v>
      </c>
      <c r="I225" s="468"/>
      <c r="J225" s="1496"/>
      <c r="K225" s="1308"/>
    </row>
    <row r="226" spans="1:11" ht="15">
      <c r="A226" s="467"/>
      <c r="B226" s="772" t="s">
        <v>296</v>
      </c>
      <c r="C226" s="483"/>
      <c r="D226" s="484"/>
      <c r="E226" s="479"/>
      <c r="F226" s="464"/>
      <c r="G226" s="487">
        <f t="shared" si="4"/>
        <v>0</v>
      </c>
      <c r="H226" s="466">
        <f t="shared" si="5"/>
        <v>0</v>
      </c>
      <c r="I226" s="468"/>
      <c r="J226" s="1496"/>
      <c r="K226" s="1308"/>
    </row>
    <row r="227" spans="1:11" ht="15.75" thickBot="1">
      <c r="A227" s="475"/>
      <c r="B227" s="773" t="s">
        <v>297</v>
      </c>
      <c r="C227" s="485"/>
      <c r="D227" s="486"/>
      <c r="E227" s="480"/>
      <c r="F227" s="476"/>
      <c r="G227" s="488">
        <f t="shared" si="4"/>
        <v>0</v>
      </c>
      <c r="H227" s="489">
        <f t="shared" si="5"/>
        <v>0</v>
      </c>
      <c r="I227" s="477"/>
      <c r="J227" s="1496"/>
      <c r="K227" s="1308"/>
    </row>
    <row r="228" spans="1:11" ht="14.25" thickBot="1">
      <c r="A228" s="399"/>
      <c r="B228" s="469" t="s">
        <v>74</v>
      </c>
      <c r="C228" s="470">
        <f t="shared" ref="C228:H228" si="6">SUM(C217:C227)</f>
        <v>0</v>
      </c>
      <c r="D228" s="471">
        <f t="shared" si="6"/>
        <v>0</v>
      </c>
      <c r="E228" s="411">
        <f t="shared" si="6"/>
        <v>0</v>
      </c>
      <c r="F228" s="411">
        <f t="shared" si="6"/>
        <v>0</v>
      </c>
      <c r="G228" s="472">
        <f t="shared" si="6"/>
        <v>0</v>
      </c>
      <c r="H228" s="472">
        <f t="shared" si="6"/>
        <v>0</v>
      </c>
      <c r="I228" s="69"/>
      <c r="J228" s="1496"/>
      <c r="K228" s="1308"/>
    </row>
    <row r="229" spans="1:11" ht="13.5">
      <c r="A229" s="399"/>
      <c r="B229" s="420"/>
      <c r="C229" s="420"/>
      <c r="D229" s="421"/>
      <c r="E229" s="422"/>
      <c r="F229" s="422"/>
      <c r="G229" s="422"/>
      <c r="H229" s="422"/>
      <c r="I229" s="69"/>
      <c r="J229" s="1496"/>
      <c r="K229" s="1308"/>
    </row>
    <row r="230" spans="1:11" ht="13.5" thickBot="1">
      <c r="J230" s="1496"/>
      <c r="K230" s="1308"/>
    </row>
    <row r="231" spans="1:11" ht="15.75" thickBot="1">
      <c r="A231" s="1164" t="s">
        <v>460</v>
      </c>
      <c r="B231" s="1165"/>
      <c r="C231" s="1165"/>
      <c r="D231" s="1165"/>
      <c r="E231" s="3695"/>
      <c r="F231" s="3695"/>
      <c r="G231" s="1165"/>
      <c r="H231" s="1166"/>
      <c r="I231" s="1167"/>
      <c r="J231" s="1496"/>
      <c r="K231" s="1308"/>
    </row>
    <row r="232" spans="1:11" ht="13.5" thickBot="1">
      <c r="A232" s="403"/>
      <c r="B232" s="404"/>
      <c r="C232" s="404"/>
      <c r="D232" s="405"/>
      <c r="E232" s="3696" t="s">
        <v>270</v>
      </c>
      <c r="F232" s="3697"/>
      <c r="G232" s="3696" t="s">
        <v>157</v>
      </c>
      <c r="H232" s="3698"/>
      <c r="I232" s="406"/>
      <c r="J232" s="1496"/>
      <c r="K232" s="1308"/>
    </row>
    <row r="233" spans="1:11" ht="23.25" thickBot="1">
      <c r="A233" s="376" t="s">
        <v>136</v>
      </c>
      <c r="B233" s="398" t="s">
        <v>263</v>
      </c>
      <c r="C233" s="397" t="s">
        <v>264</v>
      </c>
      <c r="D233" s="398" t="s">
        <v>271</v>
      </c>
      <c r="E233" s="397" t="s">
        <v>264</v>
      </c>
      <c r="F233" s="397" t="s">
        <v>271</v>
      </c>
      <c r="G233" s="397" t="s">
        <v>264</v>
      </c>
      <c r="H233" s="377" t="s">
        <v>271</v>
      </c>
      <c r="I233" s="1124" t="s">
        <v>272</v>
      </c>
      <c r="J233" s="1499"/>
      <c r="K233" s="1500"/>
    </row>
    <row r="234" spans="1:11" ht="15">
      <c r="A234" s="394">
        <v>956882</v>
      </c>
      <c r="B234" s="771" t="s">
        <v>462</v>
      </c>
      <c r="C234" s="481"/>
      <c r="D234" s="482"/>
      <c r="E234" s="478"/>
      <c r="F234" s="474"/>
      <c r="G234" s="474">
        <f>+C234-E234</f>
        <v>0</v>
      </c>
      <c r="H234" s="473">
        <f>+D234-F234</f>
        <v>0</v>
      </c>
      <c r="I234" s="465"/>
      <c r="J234" s="1496"/>
      <c r="K234" s="1308"/>
    </row>
    <row r="235" spans="1:11" ht="15.75" thickBot="1">
      <c r="A235" s="467">
        <v>953446</v>
      </c>
      <c r="B235" s="1419" t="s">
        <v>461</v>
      </c>
      <c r="C235" s="1420"/>
      <c r="D235" s="1421"/>
      <c r="E235" s="1422"/>
      <c r="F235" s="1423"/>
      <c r="G235" s="1424">
        <f>+C235-E235</f>
        <v>0</v>
      </c>
      <c r="H235" s="1115">
        <f>+D235-F235</f>
        <v>0</v>
      </c>
      <c r="I235" s="468"/>
      <c r="J235" s="1496"/>
      <c r="K235" s="1308"/>
    </row>
    <row r="236" spans="1:11" ht="14.25" thickBot="1">
      <c r="A236" s="399"/>
      <c r="B236" s="1417" t="s">
        <v>74</v>
      </c>
      <c r="C236" s="1425">
        <f t="shared" ref="C236:H236" si="7">SUM(C234:C235)</f>
        <v>0</v>
      </c>
      <c r="D236" s="1426">
        <f t="shared" si="7"/>
        <v>0</v>
      </c>
      <c r="E236" s="1418">
        <f t="shared" si="7"/>
        <v>0</v>
      </c>
      <c r="F236" s="1418">
        <f t="shared" si="7"/>
        <v>0</v>
      </c>
      <c r="G236" s="1418">
        <f t="shared" si="7"/>
        <v>0</v>
      </c>
      <c r="H236" s="1418">
        <f t="shared" si="7"/>
        <v>0</v>
      </c>
      <c r="I236" s="69"/>
      <c r="J236" s="1496"/>
      <c r="K236" s="1308"/>
    </row>
    <row r="237" spans="1:11" ht="13.5">
      <c r="A237" s="399"/>
      <c r="B237" s="420"/>
      <c r="C237" s="420"/>
      <c r="D237" s="421"/>
      <c r="E237" s="422"/>
      <c r="F237" s="422"/>
      <c r="G237" s="422"/>
      <c r="H237" s="422"/>
      <c r="I237" s="69"/>
    </row>
    <row r="238" spans="1:11" ht="14.25" thickBot="1">
      <c r="A238" s="399"/>
      <c r="B238" s="420"/>
      <c r="C238" s="420"/>
      <c r="D238" s="421"/>
      <c r="E238" s="422"/>
      <c r="F238" s="422"/>
      <c r="G238" s="422"/>
      <c r="H238" s="422"/>
      <c r="I238" s="69"/>
    </row>
    <row r="239" spans="1:11" ht="15.75" thickBot="1">
      <c r="A239" s="1164" t="s">
        <v>463</v>
      </c>
      <c r="B239" s="1165"/>
      <c r="C239" s="1165"/>
      <c r="D239" s="1165"/>
      <c r="E239" s="3695"/>
      <c r="F239" s="3695"/>
      <c r="G239" s="1165"/>
      <c r="H239" s="1166"/>
      <c r="I239" s="1167"/>
    </row>
    <row r="240" spans="1:11" ht="13.5" thickBot="1">
      <c r="A240" s="403"/>
      <c r="B240" s="404"/>
      <c r="C240" s="404"/>
      <c r="D240" s="405"/>
      <c r="E240" s="3696" t="s">
        <v>270</v>
      </c>
      <c r="F240" s="3697"/>
      <c r="G240" s="3696" t="s">
        <v>157</v>
      </c>
      <c r="H240" s="3698"/>
      <c r="I240" s="406"/>
      <c r="J240" s="1496"/>
      <c r="K240" s="1308"/>
    </row>
    <row r="241" spans="1:11" ht="23.25" thickBot="1">
      <c r="A241" s="376" t="s">
        <v>136</v>
      </c>
      <c r="B241" s="398" t="s">
        <v>263</v>
      </c>
      <c r="C241" s="397" t="s">
        <v>264</v>
      </c>
      <c r="D241" s="398" t="s">
        <v>271</v>
      </c>
      <c r="E241" s="397" t="s">
        <v>264</v>
      </c>
      <c r="F241" s="397" t="s">
        <v>271</v>
      </c>
      <c r="G241" s="397" t="s">
        <v>264</v>
      </c>
      <c r="H241" s="377" t="s">
        <v>271</v>
      </c>
      <c r="I241" s="397" t="s">
        <v>272</v>
      </c>
      <c r="J241" s="1252"/>
      <c r="K241" s="1308"/>
    </row>
    <row r="242" spans="1:11" ht="15">
      <c r="A242" s="394">
        <v>957377</v>
      </c>
      <c r="B242" s="1127" t="s">
        <v>467</v>
      </c>
      <c r="C242" s="1131"/>
      <c r="D242" s="1128"/>
      <c r="E242" s="473"/>
      <c r="F242" s="478"/>
      <c r="G242" s="1118">
        <f>+C242-E242</f>
        <v>0</v>
      </c>
      <c r="H242" s="473">
        <f>+D242-F242</f>
        <v>0</v>
      </c>
      <c r="I242" s="465"/>
      <c r="J242" s="1496"/>
      <c r="K242" s="1308"/>
    </row>
    <row r="243" spans="1:11" ht="15">
      <c r="A243" s="467">
        <v>11718</v>
      </c>
      <c r="B243" s="1125" t="s">
        <v>288</v>
      </c>
      <c r="C243" s="1132"/>
      <c r="D243" s="1129"/>
      <c r="E243" s="423"/>
      <c r="F243" s="479"/>
      <c r="G243" s="1117">
        <f t="shared" ref="G243:G254" si="8">+C243-E243</f>
        <v>0</v>
      </c>
      <c r="H243" s="466">
        <f t="shared" ref="H243:H254" si="9">+D243-F243</f>
        <v>0</v>
      </c>
      <c r="I243" s="468"/>
      <c r="J243" s="1496"/>
      <c r="K243" s="1308"/>
    </row>
    <row r="244" spans="1:11" ht="15">
      <c r="A244" s="1170">
        <v>916067</v>
      </c>
      <c r="B244" s="1171" t="s">
        <v>289</v>
      </c>
      <c r="C244" s="1178"/>
      <c r="D244" s="1179"/>
      <c r="E244" s="1180"/>
      <c r="F244" s="1181"/>
      <c r="G244" s="1182">
        <f t="shared" si="8"/>
        <v>0</v>
      </c>
      <c r="H244" s="1183">
        <f t="shared" si="9"/>
        <v>0</v>
      </c>
      <c r="I244" s="468"/>
      <c r="J244" s="1497"/>
      <c r="K244" s="1308"/>
    </row>
    <row r="245" spans="1:11" ht="15">
      <c r="A245" s="467">
        <v>925404</v>
      </c>
      <c r="B245" s="1125" t="s">
        <v>465</v>
      </c>
      <c r="C245" s="1178"/>
      <c r="D245" s="1179"/>
      <c r="E245" s="1180"/>
      <c r="F245" s="1181"/>
      <c r="G245" s="1182">
        <f t="shared" si="8"/>
        <v>0</v>
      </c>
      <c r="H245" s="1183">
        <f t="shared" si="9"/>
        <v>0</v>
      </c>
      <c r="I245" s="468"/>
      <c r="J245" s="1496"/>
      <c r="K245" s="1308"/>
    </row>
    <row r="246" spans="1:11" ht="15">
      <c r="A246" s="467">
        <v>951206</v>
      </c>
      <c r="B246" s="1125" t="s">
        <v>290</v>
      </c>
      <c r="C246" s="1178"/>
      <c r="D246" s="1179"/>
      <c r="E246" s="1180"/>
      <c r="F246" s="1181"/>
      <c r="G246" s="1182">
        <f t="shared" si="8"/>
        <v>0</v>
      </c>
      <c r="H246" s="1183">
        <f t="shared" si="9"/>
        <v>0</v>
      </c>
      <c r="I246" s="468"/>
      <c r="J246" s="1496"/>
      <c r="K246" s="1308"/>
    </row>
    <row r="247" spans="1:11" ht="15">
      <c r="A247" s="467">
        <v>950656</v>
      </c>
      <c r="B247" s="1125" t="s">
        <v>464</v>
      </c>
      <c r="C247" s="1178"/>
      <c r="D247" s="1179"/>
      <c r="E247" s="1180"/>
      <c r="F247" s="1181"/>
      <c r="G247" s="1182">
        <f t="shared" si="8"/>
        <v>0</v>
      </c>
      <c r="H247" s="1183">
        <f t="shared" si="9"/>
        <v>0</v>
      </c>
      <c r="I247" s="468"/>
      <c r="J247" s="1496"/>
      <c r="K247" s="1308"/>
    </row>
    <row r="248" spans="1:11" ht="15">
      <c r="A248" s="467">
        <v>956926</v>
      </c>
      <c r="B248" s="1125" t="s">
        <v>291</v>
      </c>
      <c r="C248" s="1178"/>
      <c r="D248" s="1179"/>
      <c r="E248" s="1180"/>
      <c r="F248" s="1181"/>
      <c r="G248" s="1182">
        <f t="shared" si="8"/>
        <v>0</v>
      </c>
      <c r="H248" s="1183">
        <f t="shared" si="9"/>
        <v>0</v>
      </c>
      <c r="I248" s="468"/>
      <c r="J248" s="1496"/>
      <c r="K248" s="1308"/>
    </row>
    <row r="249" spans="1:11" ht="15">
      <c r="A249" s="467">
        <v>951254</v>
      </c>
      <c r="B249" s="1125" t="s">
        <v>466</v>
      </c>
      <c r="C249" s="1178"/>
      <c r="D249" s="1179"/>
      <c r="E249" s="1180"/>
      <c r="F249" s="1181"/>
      <c r="G249" s="1182">
        <f t="shared" si="8"/>
        <v>0</v>
      </c>
      <c r="H249" s="1183">
        <f t="shared" si="9"/>
        <v>0</v>
      </c>
      <c r="I249" s="468"/>
      <c r="J249" s="1496"/>
      <c r="K249" s="1308"/>
    </row>
    <row r="250" spans="1:11" ht="15">
      <c r="A250" s="467">
        <v>953746</v>
      </c>
      <c r="B250" s="1125" t="s">
        <v>471</v>
      </c>
      <c r="C250" s="1178"/>
      <c r="D250" s="1179"/>
      <c r="E250" s="1180"/>
      <c r="F250" s="1181"/>
      <c r="G250" s="1182">
        <f t="shared" si="8"/>
        <v>0</v>
      </c>
      <c r="H250" s="1183">
        <f t="shared" si="9"/>
        <v>0</v>
      </c>
      <c r="I250" s="468"/>
      <c r="J250" s="1496"/>
      <c r="K250" s="1308"/>
    </row>
    <row r="251" spans="1:11" ht="15">
      <c r="A251" s="467">
        <v>953053</v>
      </c>
      <c r="B251" s="1125" t="s">
        <v>292</v>
      </c>
      <c r="C251" s="1178"/>
      <c r="D251" s="1179"/>
      <c r="E251" s="1180"/>
      <c r="F251" s="1181"/>
      <c r="G251" s="1182">
        <f t="shared" si="8"/>
        <v>0</v>
      </c>
      <c r="H251" s="1183">
        <f t="shared" si="9"/>
        <v>0</v>
      </c>
      <c r="I251" s="468"/>
      <c r="J251" s="1496"/>
      <c r="K251" s="1308"/>
    </row>
    <row r="252" spans="1:11" ht="15">
      <c r="A252" s="1170">
        <v>951220</v>
      </c>
      <c r="B252" s="1171" t="s">
        <v>293</v>
      </c>
      <c r="C252" s="1178"/>
      <c r="D252" s="1179"/>
      <c r="E252" s="1180"/>
      <c r="F252" s="1181"/>
      <c r="G252" s="1182">
        <f t="shared" si="8"/>
        <v>0</v>
      </c>
      <c r="H252" s="1183">
        <f t="shared" si="9"/>
        <v>0</v>
      </c>
      <c r="I252" s="468"/>
      <c r="J252" s="1496"/>
      <c r="K252" s="1308"/>
    </row>
    <row r="253" spans="1:11" ht="15">
      <c r="A253" s="1177">
        <v>958703</v>
      </c>
      <c r="B253" s="1171" t="s">
        <v>294</v>
      </c>
      <c r="C253" s="1178"/>
      <c r="D253" s="1179"/>
      <c r="E253" s="1183"/>
      <c r="F253" s="1185"/>
      <c r="G253" s="1182">
        <f t="shared" si="8"/>
        <v>0</v>
      </c>
      <c r="H253" s="1183">
        <f t="shared" si="9"/>
        <v>0</v>
      </c>
      <c r="I253" s="1116"/>
      <c r="J253" s="1497"/>
      <c r="K253" s="1308"/>
    </row>
    <row r="254" spans="1:11" ht="15.75" thickBot="1">
      <c r="A254" s="475">
        <v>956970</v>
      </c>
      <c r="B254" s="1126" t="s">
        <v>472</v>
      </c>
      <c r="C254" s="1133"/>
      <c r="D254" s="1130"/>
      <c r="E254" s="1119"/>
      <c r="F254" s="480"/>
      <c r="G254" s="1120">
        <f t="shared" si="8"/>
        <v>0</v>
      </c>
      <c r="H254" s="1115">
        <f t="shared" si="9"/>
        <v>0</v>
      </c>
      <c r="I254" s="477"/>
      <c r="J254" s="1496"/>
      <c r="K254" s="1308"/>
    </row>
    <row r="255" spans="1:11" ht="14.25" thickBot="1">
      <c r="A255" s="399"/>
      <c r="B255" s="1121" t="s">
        <v>74</v>
      </c>
      <c r="C255" s="470">
        <f t="shared" ref="C255:H255" si="10">SUM(C242:C254)</f>
        <v>0</v>
      </c>
      <c r="D255" s="471">
        <f t="shared" si="10"/>
        <v>0</v>
      </c>
      <c r="E255" s="411">
        <f t="shared" si="10"/>
        <v>0</v>
      </c>
      <c r="F255" s="411">
        <f t="shared" si="10"/>
        <v>0</v>
      </c>
      <c r="G255" s="411">
        <f t="shared" si="10"/>
        <v>0</v>
      </c>
      <c r="H255" s="411">
        <f t="shared" si="10"/>
        <v>0</v>
      </c>
      <c r="I255" s="69"/>
    </row>
    <row r="256" spans="1:11" ht="13.5">
      <c r="A256" s="399"/>
      <c r="B256" s="420"/>
      <c r="C256" s="420"/>
      <c r="D256" s="421"/>
      <c r="E256" s="422"/>
      <c r="F256" s="422"/>
      <c r="G256" s="422"/>
      <c r="H256" s="422"/>
      <c r="I256" s="69"/>
    </row>
    <row r="257" spans="1:10" ht="14.25" thickBot="1">
      <c r="A257" s="399"/>
      <c r="B257" s="420"/>
      <c r="C257" s="420"/>
      <c r="D257" s="421"/>
      <c r="E257" s="422"/>
      <c r="F257" s="422"/>
      <c r="G257" s="422"/>
      <c r="H257" s="422"/>
      <c r="I257" s="69"/>
    </row>
    <row r="258" spans="1:10" ht="15.75" thickBot="1">
      <c r="A258" s="1164" t="s">
        <v>475</v>
      </c>
      <c r="B258" s="1165"/>
      <c r="C258" s="1165"/>
      <c r="D258" s="1165"/>
      <c r="E258" s="3695"/>
      <c r="F258" s="3695"/>
      <c r="G258" s="1165"/>
      <c r="H258" s="1166"/>
      <c r="I258" s="1167"/>
      <c r="J258" s="1252"/>
    </row>
    <row r="259" spans="1:10" ht="13.5" thickBot="1">
      <c r="A259" s="403"/>
      <c r="B259" s="404"/>
      <c r="C259" s="404"/>
      <c r="D259" s="405"/>
      <c r="E259" s="3696" t="s">
        <v>270</v>
      </c>
      <c r="F259" s="3697"/>
      <c r="G259" s="3696" t="s">
        <v>157</v>
      </c>
      <c r="H259" s="3698"/>
      <c r="I259" s="406"/>
    </row>
    <row r="260" spans="1:10" ht="23.25" thickBot="1">
      <c r="A260" s="376" t="s">
        <v>136</v>
      </c>
      <c r="B260" s="398" t="s">
        <v>263</v>
      </c>
      <c r="C260" s="397" t="s">
        <v>264</v>
      </c>
      <c r="D260" s="398" t="s">
        <v>271</v>
      </c>
      <c r="E260" s="397" t="s">
        <v>264</v>
      </c>
      <c r="F260" s="397" t="s">
        <v>271</v>
      </c>
      <c r="G260" s="397" t="s">
        <v>264</v>
      </c>
      <c r="H260" s="377" t="s">
        <v>271</v>
      </c>
      <c r="I260" s="397" t="s">
        <v>272</v>
      </c>
    </row>
    <row r="261" spans="1:10" ht="15.75" thickBot="1">
      <c r="A261" s="1137">
        <v>957377</v>
      </c>
      <c r="B261" s="1138" t="s">
        <v>476</v>
      </c>
      <c r="C261" s="1139"/>
      <c r="D261" s="1140"/>
      <c r="E261" s="1141"/>
      <c r="F261" s="1142"/>
      <c r="G261" s="951">
        <f>+C261-E261</f>
        <v>0</v>
      </c>
      <c r="H261" s="1141">
        <f>+D261-F261</f>
        <v>0</v>
      </c>
      <c r="I261" s="1148"/>
    </row>
    <row r="262" spans="1:10" ht="14.25" thickBot="1">
      <c r="A262" s="399"/>
      <c r="B262" s="1121" t="s">
        <v>74</v>
      </c>
      <c r="C262" s="470">
        <f t="shared" ref="C262:H262" si="11">SUM(C261:C261)</f>
        <v>0</v>
      </c>
      <c r="D262" s="471">
        <f t="shared" si="11"/>
        <v>0</v>
      </c>
      <c r="E262" s="472">
        <f t="shared" si="11"/>
        <v>0</v>
      </c>
      <c r="F262" s="472">
        <f t="shared" si="11"/>
        <v>0</v>
      </c>
      <c r="G262" s="472">
        <f t="shared" si="11"/>
        <v>0</v>
      </c>
      <c r="H262" s="472">
        <f t="shared" si="11"/>
        <v>0</v>
      </c>
      <c r="I262" s="443"/>
    </row>
    <row r="263" spans="1:10" ht="13.5">
      <c r="A263" s="399"/>
      <c r="B263" s="420"/>
      <c r="C263" s="420"/>
      <c r="D263" s="421"/>
      <c r="E263" s="422"/>
      <c r="F263" s="422"/>
      <c r="G263" s="422"/>
      <c r="H263" s="422"/>
      <c r="I263" s="69"/>
    </row>
    <row r="264" spans="1:10" s="1163" customFormat="1" ht="14.25" thickBot="1">
      <c r="A264" s="399"/>
      <c r="B264" s="420"/>
      <c r="C264" s="420"/>
      <c r="D264" s="421"/>
      <c r="E264" s="422"/>
      <c r="F264" s="422"/>
      <c r="G264" s="422"/>
      <c r="H264" s="422"/>
      <c r="I264" s="69"/>
      <c r="J264" s="69"/>
    </row>
    <row r="265" spans="1:10" s="1163" customFormat="1" ht="15.75" thickBot="1">
      <c r="A265" s="1169" t="s">
        <v>494</v>
      </c>
      <c r="B265" s="1165"/>
      <c r="C265" s="1165"/>
      <c r="D265" s="1165"/>
      <c r="E265" s="3695"/>
      <c r="F265" s="3695"/>
      <c r="G265" s="1165"/>
      <c r="H265" s="1166"/>
      <c r="I265" s="1167"/>
      <c r="J265" s="1252"/>
    </row>
    <row r="266" spans="1:10" s="1163" customFormat="1" ht="13.5" thickBot="1">
      <c r="A266" s="403"/>
      <c r="B266" s="404"/>
      <c r="C266" s="404"/>
      <c r="D266" s="405"/>
      <c r="E266" s="3696" t="s">
        <v>270</v>
      </c>
      <c r="F266" s="3697"/>
      <c r="G266" s="3696" t="s">
        <v>157</v>
      </c>
      <c r="H266" s="3698"/>
      <c r="I266" s="406"/>
      <c r="J266" s="69"/>
    </row>
    <row r="267" spans="1:10" s="1163" customFormat="1" ht="23.25" thickBot="1">
      <c r="A267" s="376" t="s">
        <v>136</v>
      </c>
      <c r="B267" s="398" t="s">
        <v>263</v>
      </c>
      <c r="C267" s="397" t="s">
        <v>264</v>
      </c>
      <c r="D267" s="398" t="s">
        <v>271</v>
      </c>
      <c r="E267" s="397" t="s">
        <v>264</v>
      </c>
      <c r="F267" s="397" t="s">
        <v>271</v>
      </c>
      <c r="G267" s="397" t="s">
        <v>264</v>
      </c>
      <c r="H267" s="377" t="s">
        <v>271</v>
      </c>
      <c r="I267" s="397" t="s">
        <v>272</v>
      </c>
      <c r="J267" s="69"/>
    </row>
    <row r="268" spans="1:10" s="1163" customFormat="1" ht="15">
      <c r="A268" s="1170">
        <v>953746</v>
      </c>
      <c r="B268" s="1171" t="s">
        <v>289</v>
      </c>
      <c r="C268" s="1172"/>
      <c r="D268" s="1173"/>
      <c r="E268" s="1174"/>
      <c r="F268" s="1175"/>
      <c r="G268" s="1176">
        <f>+C268-E268</f>
        <v>0</v>
      </c>
      <c r="H268" s="1174">
        <f>+D268-F268</f>
        <v>0</v>
      </c>
      <c r="I268" s="465"/>
      <c r="J268" s="69"/>
    </row>
    <row r="269" spans="1:10" s="1163" customFormat="1" ht="15">
      <c r="A269" s="1177">
        <v>950656</v>
      </c>
      <c r="B269" s="1171" t="s">
        <v>294</v>
      </c>
      <c r="C269" s="1178"/>
      <c r="D269" s="1179"/>
      <c r="E269" s="1180"/>
      <c r="F269" s="1181"/>
      <c r="G269" s="1182">
        <f t="shared" ref="G269:G279" si="12">+C269-E269</f>
        <v>0</v>
      </c>
      <c r="H269" s="1183">
        <f t="shared" ref="H269:H279" si="13">+D269-F269</f>
        <v>0</v>
      </c>
      <c r="I269" s="468"/>
      <c r="J269" s="69"/>
    </row>
    <row r="270" spans="1:10" s="1163" customFormat="1" ht="15">
      <c r="A270" s="1170">
        <v>952178</v>
      </c>
      <c r="B270" s="1184" t="s">
        <v>295</v>
      </c>
      <c r="C270" s="1178"/>
      <c r="D270" s="1179"/>
      <c r="E270" s="1180"/>
      <c r="F270" s="1181"/>
      <c r="G270" s="1182">
        <f t="shared" si="12"/>
        <v>0</v>
      </c>
      <c r="H270" s="1183">
        <f t="shared" si="13"/>
        <v>0</v>
      </c>
      <c r="I270" s="468"/>
      <c r="J270" s="69"/>
    </row>
    <row r="271" spans="1:10" s="1163" customFormat="1" ht="15">
      <c r="A271" s="1170">
        <v>957495</v>
      </c>
      <c r="B271" s="1184" t="s">
        <v>490</v>
      </c>
      <c r="C271" s="1178"/>
      <c r="D271" s="1179"/>
      <c r="E271" s="1180"/>
      <c r="F271" s="1181"/>
      <c r="G271" s="1182">
        <f t="shared" si="12"/>
        <v>0</v>
      </c>
      <c r="H271" s="1183">
        <f t="shared" si="13"/>
        <v>0</v>
      </c>
      <c r="I271" s="468"/>
      <c r="J271" s="69"/>
    </row>
    <row r="272" spans="1:10" s="1163" customFormat="1" ht="15">
      <c r="A272" s="1170">
        <v>951254</v>
      </c>
      <c r="B272" s="1184" t="s">
        <v>288</v>
      </c>
      <c r="C272" s="1178"/>
      <c r="D272" s="1179"/>
      <c r="E272" s="1180"/>
      <c r="F272" s="1181"/>
      <c r="G272" s="1182">
        <f t="shared" si="12"/>
        <v>0</v>
      </c>
      <c r="H272" s="1183">
        <f t="shared" si="13"/>
        <v>0</v>
      </c>
      <c r="I272" s="468"/>
      <c r="J272" s="69"/>
    </row>
    <row r="273" spans="1:10" s="1163" customFormat="1" ht="15">
      <c r="A273" s="1170">
        <v>95122</v>
      </c>
      <c r="B273" s="1184" t="s">
        <v>292</v>
      </c>
      <c r="C273" s="1178"/>
      <c r="D273" s="1179"/>
      <c r="E273" s="1180"/>
      <c r="F273" s="1181"/>
      <c r="G273" s="1182">
        <f t="shared" si="12"/>
        <v>0</v>
      </c>
      <c r="H273" s="1183">
        <f t="shared" si="13"/>
        <v>0</v>
      </c>
      <c r="I273" s="468"/>
      <c r="J273" s="69"/>
    </row>
    <row r="274" spans="1:10" s="1163" customFormat="1" ht="15">
      <c r="A274" s="1170">
        <v>11698</v>
      </c>
      <c r="B274" s="1184" t="s">
        <v>491</v>
      </c>
      <c r="C274" s="1178"/>
      <c r="D274" s="1179"/>
      <c r="E274" s="1180"/>
      <c r="F274" s="1181"/>
      <c r="G274" s="1182">
        <f t="shared" si="12"/>
        <v>0</v>
      </c>
      <c r="H274" s="1183">
        <f t="shared" si="13"/>
        <v>0</v>
      </c>
      <c r="I274" s="468"/>
      <c r="J274" s="69"/>
    </row>
    <row r="275" spans="1:10" s="1163" customFormat="1" ht="15">
      <c r="A275" s="1170">
        <v>958703</v>
      </c>
      <c r="B275" s="1184" t="s">
        <v>492</v>
      </c>
      <c r="C275" s="1178"/>
      <c r="D275" s="1179"/>
      <c r="E275" s="1180"/>
      <c r="F275" s="1181"/>
      <c r="G275" s="1182">
        <f t="shared" si="12"/>
        <v>0</v>
      </c>
      <c r="H275" s="1183">
        <f t="shared" si="13"/>
        <v>0</v>
      </c>
      <c r="I275" s="468"/>
      <c r="J275" s="69"/>
    </row>
    <row r="276" spans="1:10" s="1163" customFormat="1" ht="15">
      <c r="A276" s="1170">
        <v>11718</v>
      </c>
      <c r="B276" s="1184" t="s">
        <v>493</v>
      </c>
      <c r="C276" s="1178"/>
      <c r="D276" s="1179"/>
      <c r="E276" s="1180"/>
      <c r="F276" s="1181"/>
      <c r="G276" s="1182">
        <f t="shared" si="12"/>
        <v>0</v>
      </c>
      <c r="H276" s="1183">
        <f t="shared" si="13"/>
        <v>0</v>
      </c>
      <c r="I276" s="468"/>
      <c r="J276" s="69"/>
    </row>
    <row r="277" spans="1:10" s="1163" customFormat="1" ht="15">
      <c r="A277" s="1170">
        <v>925451</v>
      </c>
      <c r="B277" s="1184" t="s">
        <v>287</v>
      </c>
      <c r="C277" s="1178"/>
      <c r="D277" s="1179"/>
      <c r="E277" s="1180"/>
      <c r="F277" s="1181"/>
      <c r="G277" s="1182">
        <f t="shared" si="12"/>
        <v>0</v>
      </c>
      <c r="H277" s="1183">
        <f t="shared" si="13"/>
        <v>0</v>
      </c>
      <c r="I277" s="468"/>
      <c r="J277" s="69"/>
    </row>
    <row r="278" spans="1:10" s="1163" customFormat="1" ht="15">
      <c r="A278" s="1170">
        <v>951206</v>
      </c>
      <c r="B278" s="1184" t="s">
        <v>466</v>
      </c>
      <c r="C278" s="1178"/>
      <c r="D278" s="1179"/>
      <c r="E278" s="1180"/>
      <c r="F278" s="1181"/>
      <c r="G278" s="1182">
        <f t="shared" si="12"/>
        <v>0</v>
      </c>
      <c r="H278" s="1183">
        <f t="shared" si="13"/>
        <v>0</v>
      </c>
      <c r="I278" s="468"/>
      <c r="J278" s="69"/>
    </row>
    <row r="279" spans="1:10" s="1163" customFormat="1" ht="15.75" thickBot="1">
      <c r="A279" s="1177">
        <v>925404</v>
      </c>
      <c r="B279" s="1184" t="s">
        <v>465</v>
      </c>
      <c r="C279" s="1178"/>
      <c r="D279" s="1179"/>
      <c r="E279" s="1183"/>
      <c r="F279" s="1185"/>
      <c r="G279" s="1182">
        <f t="shared" si="12"/>
        <v>0</v>
      </c>
      <c r="H279" s="1183">
        <f t="shared" si="13"/>
        <v>0</v>
      </c>
      <c r="I279" s="1186"/>
      <c r="J279" s="69"/>
    </row>
    <row r="280" spans="1:10" s="1163" customFormat="1" ht="14.25" thickBot="1">
      <c r="A280" s="399"/>
      <c r="B280" s="1121" t="s">
        <v>74</v>
      </c>
      <c r="C280" s="470">
        <f t="shared" ref="C280:H280" si="14">SUM(C268:C279)</f>
        <v>0</v>
      </c>
      <c r="D280" s="471">
        <f t="shared" si="14"/>
        <v>0</v>
      </c>
      <c r="E280" s="411">
        <f t="shared" si="14"/>
        <v>0</v>
      </c>
      <c r="F280" s="411">
        <f t="shared" si="14"/>
        <v>0</v>
      </c>
      <c r="G280" s="411">
        <f t="shared" si="14"/>
        <v>0</v>
      </c>
      <c r="H280" s="411">
        <f t="shared" si="14"/>
        <v>0</v>
      </c>
      <c r="I280" s="69"/>
      <c r="J280" s="69"/>
    </row>
    <row r="281" spans="1:10" s="1163" customFormat="1" ht="13.5">
      <c r="A281" s="399"/>
      <c r="B281" s="420"/>
      <c r="C281" s="420"/>
      <c r="D281" s="421"/>
      <c r="E281" s="422"/>
      <c r="F281" s="422"/>
      <c r="G281" s="422"/>
      <c r="H281" s="422"/>
      <c r="I281" s="69"/>
      <c r="J281" s="69"/>
    </row>
    <row r="282" spans="1:10" s="1163" customFormat="1" ht="13.5">
      <c r="A282" s="399"/>
      <c r="B282" s="420"/>
      <c r="C282" s="420"/>
      <c r="D282" s="421"/>
      <c r="E282" s="422"/>
      <c r="F282" s="422"/>
      <c r="G282" s="422"/>
      <c r="H282" s="422"/>
      <c r="I282" s="69"/>
      <c r="J282" s="69"/>
    </row>
    <row r="283" spans="1:10" s="1163" customFormat="1" ht="13.5">
      <c r="A283" s="399"/>
      <c r="B283" s="420"/>
      <c r="C283" s="420"/>
      <c r="D283" s="421"/>
      <c r="E283" s="422"/>
      <c r="F283" s="422"/>
      <c r="G283" s="422"/>
      <c r="H283" s="422"/>
      <c r="I283" s="69"/>
      <c r="J283" s="69"/>
    </row>
    <row r="286" spans="1:10" ht="13.5" thickBot="1"/>
    <row r="287" spans="1:10" ht="15.75" thickBot="1">
      <c r="A287" s="1380" t="s">
        <v>481</v>
      </c>
      <c r="B287" s="400"/>
      <c r="C287" s="400"/>
      <c r="D287" s="400"/>
      <c r="E287" s="3700"/>
      <c r="F287" s="3700"/>
      <c r="G287" s="400"/>
      <c r="H287" s="762"/>
      <c r="I287" s="402"/>
    </row>
    <row r="288" spans="1:10" ht="13.5" thickBot="1">
      <c r="A288" s="403"/>
      <c r="B288" s="404"/>
      <c r="C288" s="404"/>
      <c r="D288" s="405"/>
      <c r="E288" s="3696" t="s">
        <v>270</v>
      </c>
      <c r="F288" s="3697"/>
      <c r="G288" s="3696" t="s">
        <v>157</v>
      </c>
      <c r="H288" s="3698"/>
      <c r="I288" s="406"/>
    </row>
    <row r="289" spans="1:9" ht="23.25" thickBot="1">
      <c r="A289" s="376" t="s">
        <v>136</v>
      </c>
      <c r="B289" s="398" t="s">
        <v>263</v>
      </c>
      <c r="C289" s="397" t="s">
        <v>264</v>
      </c>
      <c r="D289" s="398" t="s">
        <v>271</v>
      </c>
      <c r="E289" s="397" t="s">
        <v>264</v>
      </c>
      <c r="F289" s="397" t="s">
        <v>271</v>
      </c>
      <c r="G289" s="397" t="s">
        <v>264</v>
      </c>
      <c r="H289" s="377" t="s">
        <v>271</v>
      </c>
      <c r="I289" s="397" t="s">
        <v>272</v>
      </c>
    </row>
    <row r="290" spans="1:9" ht="15.75" thickBot="1">
      <c r="A290" s="1137">
        <v>957377</v>
      </c>
      <c r="B290" s="1138" t="s">
        <v>476</v>
      </c>
      <c r="C290" s="1139"/>
      <c r="D290" s="1140"/>
      <c r="E290" s="1141">
        <f>+SUM('Planillas diarias trapasos'!B492)</f>
        <v>0</v>
      </c>
      <c r="F290" s="1157">
        <v>0</v>
      </c>
      <c r="G290" s="611">
        <f>+C290-E290</f>
        <v>0</v>
      </c>
      <c r="H290" s="1142">
        <f>+D290-F290</f>
        <v>0</v>
      </c>
      <c r="I290" s="1158"/>
    </row>
    <row r="291" spans="1:9" ht="14.25" thickBot="1">
      <c r="A291" s="399"/>
      <c r="B291" s="1121" t="s">
        <v>74</v>
      </c>
      <c r="C291" s="470">
        <f t="shared" ref="C291:H291" si="15">SUM(C290:C290)</f>
        <v>0</v>
      </c>
      <c r="D291" s="471">
        <f t="shared" si="15"/>
        <v>0</v>
      </c>
      <c r="E291" s="472">
        <f t="shared" si="15"/>
        <v>0</v>
      </c>
      <c r="F291" s="472">
        <f t="shared" si="15"/>
        <v>0</v>
      </c>
      <c r="G291" s="472">
        <f t="shared" si="15"/>
        <v>0</v>
      </c>
      <c r="H291" s="472">
        <f t="shared" si="15"/>
        <v>0</v>
      </c>
      <c r="I291" s="443"/>
    </row>
  </sheetData>
  <mergeCells count="97">
    <mergeCell ref="E287:F287"/>
    <mergeCell ref="E288:F288"/>
    <mergeCell ref="G288:H288"/>
    <mergeCell ref="E215:F215"/>
    <mergeCell ref="G215:H215"/>
    <mergeCell ref="G266:H266"/>
    <mergeCell ref="G259:H259"/>
    <mergeCell ref="E265:F265"/>
    <mergeCell ref="E266:F266"/>
    <mergeCell ref="E239:F239"/>
    <mergeCell ref="E240:F240"/>
    <mergeCell ref="E259:F259"/>
    <mergeCell ref="G240:H240"/>
    <mergeCell ref="E258:F258"/>
    <mergeCell ref="E232:F232"/>
    <mergeCell ref="G232:H232"/>
    <mergeCell ref="C127:D127"/>
    <mergeCell ref="A130:G130"/>
    <mergeCell ref="C115:D115"/>
    <mergeCell ref="A139:G139"/>
    <mergeCell ref="C116:D116"/>
    <mergeCell ref="C120:D120"/>
    <mergeCell ref="E196:F196"/>
    <mergeCell ref="G196:H196"/>
    <mergeCell ref="E187:F187"/>
    <mergeCell ref="E188:F188"/>
    <mergeCell ref="G188:H188"/>
    <mergeCell ref="E195:F195"/>
    <mergeCell ref="E214:F214"/>
    <mergeCell ref="E208:F208"/>
    <mergeCell ref="E207:F207"/>
    <mergeCell ref="E231:F231"/>
    <mergeCell ref="G208:H208"/>
    <mergeCell ref="C147:D147"/>
    <mergeCell ref="C148:D148"/>
    <mergeCell ref="A150:G150"/>
    <mergeCell ref="E182:F182"/>
    <mergeCell ref="G182:H182"/>
    <mergeCell ref="C182:D182"/>
    <mergeCell ref="E158:F158"/>
    <mergeCell ref="E164:F164"/>
    <mergeCell ref="G158:H158"/>
    <mergeCell ref="C174:D174"/>
    <mergeCell ref="C158:D158"/>
    <mergeCell ref="C164:D164"/>
    <mergeCell ref="G164:H164"/>
    <mergeCell ref="G174:H174"/>
    <mergeCell ref="E174:F174"/>
    <mergeCell ref="C99:D99"/>
    <mergeCell ref="A97:G97"/>
    <mergeCell ref="A66:B66"/>
    <mergeCell ref="D66:E66"/>
    <mergeCell ref="C82:D82"/>
    <mergeCell ref="A2:B2"/>
    <mergeCell ref="A3:B3"/>
    <mergeCell ref="A39:B39"/>
    <mergeCell ref="D39:E39"/>
    <mergeCell ref="A46:B46"/>
    <mergeCell ref="A9:B9"/>
    <mergeCell ref="A10:B10"/>
    <mergeCell ref="D46:E46"/>
    <mergeCell ref="A17:B17"/>
    <mergeCell ref="A18:B18"/>
    <mergeCell ref="A24:B24"/>
    <mergeCell ref="A25:B25"/>
    <mergeCell ref="A145:G145"/>
    <mergeCell ref="A124:G124"/>
    <mergeCell ref="D52:E52"/>
    <mergeCell ref="A52:B52"/>
    <mergeCell ref="C89:D89"/>
    <mergeCell ref="C100:D100"/>
    <mergeCell ref="D58:E58"/>
    <mergeCell ref="C92:D92"/>
    <mergeCell ref="C79:D79"/>
    <mergeCell ref="A86:G86"/>
    <mergeCell ref="C88:D88"/>
    <mergeCell ref="C83:D83"/>
    <mergeCell ref="C81:D81"/>
    <mergeCell ref="C80:D80"/>
    <mergeCell ref="C90:D90"/>
    <mergeCell ref="A77:G77"/>
    <mergeCell ref="A113:G113"/>
    <mergeCell ref="C121:D121"/>
    <mergeCell ref="A118:G118"/>
    <mergeCell ref="C126:D126"/>
    <mergeCell ref="A31:B31"/>
    <mergeCell ref="A32:B32"/>
    <mergeCell ref="C109:D109"/>
    <mergeCell ref="C110:D110"/>
    <mergeCell ref="A102:G102"/>
    <mergeCell ref="C104:D104"/>
    <mergeCell ref="C105:D105"/>
    <mergeCell ref="A107:G107"/>
    <mergeCell ref="A58:B58"/>
    <mergeCell ref="C94:D94"/>
    <mergeCell ref="C93:D93"/>
    <mergeCell ref="C95:D95"/>
  </mergeCells>
  <pageMargins left="0.7" right="0.7" top="0.75" bottom="0.75" header="0.3" footer="0.3"/>
  <pageSetup paperSize="9" orientation="portrait" r:id="rId1"/>
  <legacyDrawing r:id="rId2"/>
</worksheet>
</file>

<file path=xl/worksheets/sheet17.xml><?xml version="1.0" encoding="utf-8"?>
<worksheet xmlns="http://schemas.openxmlformats.org/spreadsheetml/2006/main" xmlns:r="http://schemas.openxmlformats.org/officeDocument/2006/relationships">
  <sheetPr>
    <tabColor theme="0"/>
  </sheetPr>
  <dimension ref="A2:AI544"/>
  <sheetViews>
    <sheetView workbookViewId="0"/>
  </sheetViews>
  <sheetFormatPr baseColWidth="10" defaultRowHeight="12.75"/>
  <cols>
    <col min="1" max="1" width="16.140625" customWidth="1"/>
    <col min="2" max="2" width="19.42578125" customWidth="1"/>
    <col min="3" max="3" width="21.140625" customWidth="1"/>
    <col min="4" max="4" width="7.7109375" customWidth="1"/>
    <col min="5" max="5" width="9" customWidth="1"/>
    <col min="6" max="6" width="7.7109375" customWidth="1"/>
    <col min="7" max="7" width="10.85546875" customWidth="1"/>
    <col min="8" max="8" width="10.28515625" customWidth="1"/>
    <col min="9" max="9" width="7" bestFit="1" customWidth="1"/>
    <col min="10" max="10" width="8.140625" bestFit="1" customWidth="1"/>
    <col min="11" max="14" width="7" bestFit="1" customWidth="1"/>
    <col min="15" max="15" width="7.42578125" bestFit="1" customWidth="1"/>
    <col min="16" max="16" width="6.5703125" bestFit="1" customWidth="1"/>
    <col min="17" max="19" width="7" bestFit="1" customWidth="1"/>
    <col min="20" max="20" width="7.42578125" bestFit="1" customWidth="1"/>
    <col min="21" max="21" width="7.7109375" bestFit="1" customWidth="1"/>
    <col min="22" max="23" width="7.42578125" bestFit="1" customWidth="1"/>
    <col min="24" max="24" width="8" customWidth="1"/>
    <col min="25" max="27" width="7" bestFit="1" customWidth="1"/>
    <col min="28" max="28" width="6.5703125" customWidth="1"/>
    <col min="29" max="29" width="9.140625" customWidth="1"/>
    <col min="30" max="30" width="7.42578125" customWidth="1"/>
    <col min="31" max="31" width="7.140625" customWidth="1"/>
    <col min="32" max="32" width="8.140625" customWidth="1"/>
    <col min="33" max="33" width="7.85546875" customWidth="1"/>
    <col min="34" max="34" width="8.85546875" customWidth="1"/>
    <col min="35" max="35" width="19" bestFit="1" customWidth="1"/>
  </cols>
  <sheetData>
    <row r="2" spans="1:34" ht="13.5">
      <c r="A2" s="240" t="s">
        <v>274</v>
      </c>
      <c r="B2" s="241"/>
      <c r="C2" s="242"/>
      <c r="D2" s="278"/>
      <c r="E2" s="278"/>
      <c r="F2" s="491"/>
      <c r="G2" s="491"/>
      <c r="H2" s="805"/>
      <c r="I2" s="278"/>
      <c r="J2" s="278"/>
      <c r="K2" s="278"/>
      <c r="L2" s="278"/>
      <c r="M2" s="279"/>
      <c r="N2" s="278"/>
      <c r="O2" s="278"/>
      <c r="P2" s="278"/>
      <c r="Q2" s="278"/>
      <c r="R2" s="278"/>
      <c r="S2" s="278"/>
      <c r="T2" s="278"/>
      <c r="U2" s="278"/>
      <c r="V2" s="278"/>
      <c r="W2" s="278"/>
      <c r="X2" s="278"/>
      <c r="Y2" s="278"/>
      <c r="Z2" s="278"/>
      <c r="AA2" s="278"/>
      <c r="AB2" s="278"/>
      <c r="AC2" s="278"/>
      <c r="AD2" s="278"/>
      <c r="AE2" s="278"/>
      <c r="AF2" s="278"/>
      <c r="AG2" s="278"/>
      <c r="AH2" s="210"/>
    </row>
    <row r="3" spans="1:34" ht="13.5">
      <c r="A3" s="178" t="s">
        <v>72</v>
      </c>
      <c r="B3" s="280" t="s">
        <v>73</v>
      </c>
      <c r="C3" s="426">
        <v>1</v>
      </c>
      <c r="D3" s="426">
        <v>2</v>
      </c>
      <c r="E3" s="426">
        <v>3</v>
      </c>
      <c r="F3" s="426">
        <v>4</v>
      </c>
      <c r="G3" s="426">
        <v>5</v>
      </c>
      <c r="H3" s="426">
        <v>6</v>
      </c>
      <c r="I3" s="426">
        <v>7</v>
      </c>
      <c r="J3" s="426">
        <v>8</v>
      </c>
      <c r="K3" s="426">
        <v>9</v>
      </c>
      <c r="L3" s="426">
        <v>10</v>
      </c>
      <c r="M3" s="426">
        <v>11</v>
      </c>
      <c r="N3" s="426">
        <v>12</v>
      </c>
      <c r="O3" s="426">
        <v>13</v>
      </c>
      <c r="P3" s="426">
        <v>14</v>
      </c>
      <c r="Q3" s="426">
        <v>15</v>
      </c>
      <c r="R3" s="426">
        <v>16</v>
      </c>
      <c r="S3" s="426">
        <v>17</v>
      </c>
      <c r="T3" s="294">
        <v>18</v>
      </c>
      <c r="U3" s="294">
        <v>19</v>
      </c>
      <c r="V3" s="294">
        <v>20</v>
      </c>
      <c r="W3" s="294">
        <v>21</v>
      </c>
      <c r="X3" s="294">
        <v>22</v>
      </c>
      <c r="Y3" s="294">
        <v>23</v>
      </c>
      <c r="Z3" s="294">
        <v>24</v>
      </c>
      <c r="AA3" s="294">
        <v>25</v>
      </c>
      <c r="AB3" s="294">
        <v>26</v>
      </c>
      <c r="AC3" s="294">
        <v>27</v>
      </c>
      <c r="AD3" s="294">
        <v>28</v>
      </c>
      <c r="AE3" s="294">
        <v>29</v>
      </c>
      <c r="AF3" s="294">
        <v>30</v>
      </c>
      <c r="AG3" s="294">
        <v>31</v>
      </c>
      <c r="AH3" s="281" t="s">
        <v>52</v>
      </c>
    </row>
    <row r="4" spans="1:34" ht="13.5">
      <c r="A4" s="179" t="s">
        <v>75</v>
      </c>
      <c r="B4" s="268">
        <f t="shared" ref="B4:B7" si="0">+AH4</f>
        <v>0</v>
      </c>
      <c r="C4" s="427"/>
      <c r="D4" s="427"/>
      <c r="E4" s="427"/>
      <c r="F4" s="427"/>
      <c r="G4" s="427"/>
      <c r="H4" s="427"/>
      <c r="I4" s="427"/>
      <c r="J4" s="427"/>
      <c r="K4" s="427"/>
      <c r="L4" s="427"/>
      <c r="M4" s="427"/>
      <c r="N4" s="427"/>
      <c r="O4" s="427"/>
      <c r="P4" s="427"/>
      <c r="Q4" s="427"/>
      <c r="R4" s="427"/>
      <c r="S4" s="427"/>
      <c r="T4" s="286"/>
      <c r="U4" s="286"/>
      <c r="V4" s="286"/>
      <c r="W4" s="286"/>
      <c r="X4" s="286"/>
      <c r="Y4" s="286"/>
      <c r="Z4" s="286"/>
      <c r="AA4" s="286"/>
      <c r="AB4" s="286"/>
      <c r="AC4" s="286"/>
      <c r="AD4" s="286"/>
      <c r="AE4" s="286"/>
      <c r="AF4" s="286"/>
      <c r="AG4" s="286"/>
      <c r="AH4" s="282">
        <f>SUM(C4:AG4)</f>
        <v>0</v>
      </c>
    </row>
    <row r="5" spans="1:34" ht="13.5">
      <c r="A5" s="179" t="s">
        <v>76</v>
      </c>
      <c r="B5" s="268">
        <f t="shared" si="0"/>
        <v>0</v>
      </c>
      <c r="C5" s="427"/>
      <c r="D5" s="427"/>
      <c r="E5" s="427"/>
      <c r="F5" s="427"/>
      <c r="G5" s="427"/>
      <c r="H5" s="427"/>
      <c r="I5" s="427"/>
      <c r="J5" s="427"/>
      <c r="K5" s="427"/>
      <c r="L5" s="427"/>
      <c r="M5" s="427"/>
      <c r="N5" s="427"/>
      <c r="O5" s="427"/>
      <c r="P5" s="427"/>
      <c r="Q5" s="427"/>
      <c r="R5" s="427"/>
      <c r="S5" s="427"/>
      <c r="T5" s="286"/>
      <c r="U5" s="286"/>
      <c r="V5" s="286"/>
      <c r="W5" s="286"/>
      <c r="X5" s="286"/>
      <c r="Y5" s="286"/>
      <c r="Z5" s="286"/>
      <c r="AA5" s="286"/>
      <c r="AB5" s="286"/>
      <c r="AC5" s="286"/>
      <c r="AD5" s="286"/>
      <c r="AE5" s="286"/>
      <c r="AF5" s="286"/>
      <c r="AG5" s="286"/>
      <c r="AH5" s="282">
        <f>SUM(C5:AG5)</f>
        <v>0</v>
      </c>
    </row>
    <row r="6" spans="1:34" ht="13.5">
      <c r="A6" s="179" t="s">
        <v>77</v>
      </c>
      <c r="B6" s="268">
        <f t="shared" si="0"/>
        <v>0</v>
      </c>
      <c r="C6" s="427"/>
      <c r="D6" s="427"/>
      <c r="E6" s="427"/>
      <c r="F6" s="427"/>
      <c r="G6" s="427"/>
      <c r="H6" s="427"/>
      <c r="I6" s="427"/>
      <c r="J6" s="427"/>
      <c r="K6" s="427"/>
      <c r="L6" s="427"/>
      <c r="M6" s="427"/>
      <c r="N6" s="427"/>
      <c r="O6" s="427"/>
      <c r="P6" s="427"/>
      <c r="Q6" s="427"/>
      <c r="R6" s="427"/>
      <c r="S6" s="427"/>
      <c r="T6" s="286"/>
      <c r="U6" s="286"/>
      <c r="V6" s="286"/>
      <c r="W6" s="286"/>
      <c r="X6" s="286"/>
      <c r="Y6" s="286"/>
      <c r="Z6" s="286"/>
      <c r="AA6" s="286"/>
      <c r="AB6" s="286"/>
      <c r="AC6" s="286"/>
      <c r="AD6" s="286"/>
      <c r="AE6" s="286"/>
      <c r="AF6" s="286"/>
      <c r="AG6" s="286"/>
      <c r="AH6" s="282">
        <f>SUM(C6:AG6)</f>
        <v>0</v>
      </c>
    </row>
    <row r="7" spans="1:34" ht="13.5">
      <c r="A7" s="179" t="s">
        <v>78</v>
      </c>
      <c r="B7" s="268">
        <f t="shared" si="0"/>
        <v>0</v>
      </c>
      <c r="C7" s="428"/>
      <c r="D7" s="428"/>
      <c r="E7" s="428"/>
      <c r="F7" s="428"/>
      <c r="G7" s="428"/>
      <c r="H7" s="428"/>
      <c r="I7" s="428"/>
      <c r="J7" s="428"/>
      <c r="K7" s="428"/>
      <c r="L7" s="428"/>
      <c r="M7" s="428"/>
      <c r="N7" s="428"/>
      <c r="O7" s="428"/>
      <c r="P7" s="428"/>
      <c r="Q7" s="428"/>
      <c r="R7" s="428"/>
      <c r="S7" s="428"/>
      <c r="T7" s="298"/>
      <c r="U7" s="298"/>
      <c r="V7" s="298"/>
      <c r="W7" s="298"/>
      <c r="X7" s="298"/>
      <c r="Y7" s="298"/>
      <c r="Z7" s="298"/>
      <c r="AA7" s="298"/>
      <c r="AB7" s="298"/>
      <c r="AC7" s="298"/>
      <c r="AD7" s="298"/>
      <c r="AE7" s="298"/>
      <c r="AF7" s="298"/>
      <c r="AG7" s="298"/>
      <c r="AH7" s="282">
        <f t="shared" ref="AH7:AH16" si="1">SUM(C7:AG7)</f>
        <v>0</v>
      </c>
    </row>
    <row r="8" spans="1:34" ht="13.5">
      <c r="A8" s="179" t="s">
        <v>79</v>
      </c>
      <c r="B8" s="268">
        <f t="shared" ref="B8:B15" si="2">+AH8</f>
        <v>0</v>
      </c>
      <c r="C8" s="428"/>
      <c r="D8" s="428"/>
      <c r="E8" s="428"/>
      <c r="F8" s="428"/>
      <c r="G8" s="428"/>
      <c r="H8" s="428"/>
      <c r="I8" s="428"/>
      <c r="J8" s="428"/>
      <c r="K8" s="428"/>
      <c r="L8" s="428"/>
      <c r="M8" s="428"/>
      <c r="N8" s="428"/>
      <c r="O8" s="428"/>
      <c r="P8" s="428"/>
      <c r="Q8" s="428"/>
      <c r="R8" s="428"/>
      <c r="S8" s="428"/>
      <c r="T8" s="298"/>
      <c r="U8" s="298"/>
      <c r="V8" s="298"/>
      <c r="W8" s="298"/>
      <c r="X8" s="298"/>
      <c r="Y8" s="298"/>
      <c r="Z8" s="298"/>
      <c r="AA8" s="298"/>
      <c r="AB8" s="283"/>
      <c r="AC8" s="283"/>
      <c r="AD8" s="283"/>
      <c r="AE8" s="283"/>
      <c r="AF8" s="283"/>
      <c r="AG8" s="283"/>
      <c r="AH8" s="282">
        <f t="shared" si="1"/>
        <v>0</v>
      </c>
    </row>
    <row r="9" spans="1:34" ht="13.5">
      <c r="A9" s="179" t="s">
        <v>80</v>
      </c>
      <c r="B9" s="268">
        <f t="shared" si="2"/>
        <v>0</v>
      </c>
      <c r="C9" s="429"/>
      <c r="D9" s="430"/>
      <c r="E9" s="430"/>
      <c r="F9" s="430"/>
      <c r="G9" s="430"/>
      <c r="H9" s="430"/>
      <c r="I9" s="430"/>
      <c r="J9" s="430"/>
      <c r="K9" s="430"/>
      <c r="L9" s="430"/>
      <c r="M9" s="430"/>
      <c r="N9" s="430"/>
      <c r="O9" s="430"/>
      <c r="P9" s="430"/>
      <c r="Q9" s="430"/>
      <c r="R9" s="430"/>
      <c r="S9" s="430"/>
      <c r="T9" s="283"/>
      <c r="U9" s="283"/>
      <c r="V9" s="283"/>
      <c r="W9" s="283"/>
      <c r="X9" s="283"/>
      <c r="Y9" s="283"/>
      <c r="Z9" s="283"/>
      <c r="AA9" s="283"/>
      <c r="AB9" s="283"/>
      <c r="AC9" s="283"/>
      <c r="AD9" s="283"/>
      <c r="AE9" s="283"/>
      <c r="AF9" s="283"/>
      <c r="AG9" s="283"/>
      <c r="AH9" s="282">
        <f t="shared" si="1"/>
        <v>0</v>
      </c>
    </row>
    <row r="10" spans="1:34" ht="13.5">
      <c r="A10" s="192" t="s">
        <v>81</v>
      </c>
      <c r="B10" s="268">
        <f t="shared" si="2"/>
        <v>0</v>
      </c>
      <c r="C10" s="429"/>
      <c r="D10" s="430"/>
      <c r="E10" s="430"/>
      <c r="F10" s="430"/>
      <c r="G10" s="430"/>
      <c r="H10" s="430"/>
      <c r="I10" s="430"/>
      <c r="J10" s="430"/>
      <c r="K10" s="430"/>
      <c r="L10" s="430"/>
      <c r="M10" s="430"/>
      <c r="N10" s="430"/>
      <c r="O10" s="430"/>
      <c r="P10" s="430"/>
      <c r="Q10" s="430"/>
      <c r="R10" s="430"/>
      <c r="S10" s="430"/>
      <c r="T10" s="283"/>
      <c r="U10" s="283"/>
      <c r="V10" s="283"/>
      <c r="W10" s="283"/>
      <c r="X10" s="283"/>
      <c r="Y10" s="283"/>
      <c r="Z10" s="283"/>
      <c r="AA10" s="283"/>
      <c r="AB10" s="283"/>
      <c r="AC10" s="283"/>
      <c r="AD10" s="283"/>
      <c r="AE10" s="283"/>
      <c r="AF10" s="283"/>
      <c r="AG10" s="283"/>
      <c r="AH10" s="282">
        <f t="shared" si="1"/>
        <v>0</v>
      </c>
    </row>
    <row r="11" spans="1:34" ht="13.5">
      <c r="A11" s="192" t="s">
        <v>82</v>
      </c>
      <c r="B11" s="268">
        <f t="shared" si="2"/>
        <v>0</v>
      </c>
      <c r="C11" s="429"/>
      <c r="D11" s="430"/>
      <c r="E11" s="430"/>
      <c r="F11" s="430"/>
      <c r="G11" s="430"/>
      <c r="H11" s="430"/>
      <c r="I11" s="430"/>
      <c r="J11" s="430"/>
      <c r="K11" s="430"/>
      <c r="L11" s="430"/>
      <c r="M11" s="430"/>
      <c r="N11" s="430"/>
      <c r="O11" s="430"/>
      <c r="P11" s="430"/>
      <c r="Q11" s="430"/>
      <c r="R11" s="430"/>
      <c r="S11" s="430"/>
      <c r="T11" s="283"/>
      <c r="U11" s="283"/>
      <c r="V11" s="283"/>
      <c r="W11" s="283"/>
      <c r="X11" s="283"/>
      <c r="Y11" s="283"/>
      <c r="Z11" s="283"/>
      <c r="AA11" s="283"/>
      <c r="AB11" s="283"/>
      <c r="AC11" s="283"/>
      <c r="AD11" s="283"/>
      <c r="AE11" s="283"/>
      <c r="AF11" s="283"/>
      <c r="AG11" s="283"/>
      <c r="AH11" s="282">
        <f t="shared" si="1"/>
        <v>0</v>
      </c>
    </row>
    <row r="12" spans="1:34" ht="13.5">
      <c r="A12" s="192" t="s">
        <v>83</v>
      </c>
      <c r="B12" s="268">
        <f t="shared" si="2"/>
        <v>0</v>
      </c>
      <c r="C12" s="429"/>
      <c r="D12" s="430"/>
      <c r="E12" s="430"/>
      <c r="F12" s="430"/>
      <c r="G12" s="430"/>
      <c r="H12" s="430"/>
      <c r="I12" s="430"/>
      <c r="J12" s="430"/>
      <c r="K12" s="430"/>
      <c r="L12" s="430"/>
      <c r="M12" s="430"/>
      <c r="N12" s="430"/>
      <c r="O12" s="430"/>
      <c r="P12" s="430"/>
      <c r="Q12" s="430"/>
      <c r="R12" s="430"/>
      <c r="S12" s="430"/>
      <c r="T12" s="283"/>
      <c r="U12" s="283"/>
      <c r="V12" s="283"/>
      <c r="W12" s="283"/>
      <c r="X12" s="283"/>
      <c r="Y12" s="283"/>
      <c r="Z12" s="283"/>
      <c r="AA12" s="283"/>
      <c r="AB12" s="283"/>
      <c r="AC12" s="283"/>
      <c r="AD12" s="283"/>
      <c r="AE12" s="283"/>
      <c r="AF12" s="283"/>
      <c r="AG12" s="283"/>
      <c r="AH12" s="282">
        <f t="shared" si="1"/>
        <v>0</v>
      </c>
    </row>
    <row r="13" spans="1:34" ht="13.5">
      <c r="A13" s="192" t="s">
        <v>84</v>
      </c>
      <c r="B13" s="268">
        <f t="shared" si="2"/>
        <v>0</v>
      </c>
      <c r="C13" s="429"/>
      <c r="D13" s="430"/>
      <c r="E13" s="430"/>
      <c r="F13" s="430"/>
      <c r="G13" s="430"/>
      <c r="H13" s="430"/>
      <c r="I13" s="430"/>
      <c r="J13" s="430"/>
      <c r="K13" s="430"/>
      <c r="L13" s="430"/>
      <c r="M13" s="430"/>
      <c r="N13" s="430"/>
      <c r="O13" s="430"/>
      <c r="P13" s="430"/>
      <c r="Q13" s="430"/>
      <c r="R13" s="430"/>
      <c r="S13" s="430"/>
      <c r="T13" s="283"/>
      <c r="U13" s="283"/>
      <c r="V13" s="283"/>
      <c r="W13" s="283"/>
      <c r="X13" s="283"/>
      <c r="Y13" s="283"/>
      <c r="Z13" s="283"/>
      <c r="AA13" s="283"/>
      <c r="AB13" s="283"/>
      <c r="AC13" s="283"/>
      <c r="AD13" s="283"/>
      <c r="AE13" s="283"/>
      <c r="AF13" s="283"/>
      <c r="AG13" s="283"/>
      <c r="AH13" s="282">
        <f t="shared" si="1"/>
        <v>0</v>
      </c>
    </row>
    <row r="14" spans="1:34" ht="13.5">
      <c r="A14" s="192" t="s">
        <v>85</v>
      </c>
      <c r="B14" s="268">
        <f t="shared" si="2"/>
        <v>0</v>
      </c>
      <c r="C14" s="1288"/>
      <c r="D14" s="1288"/>
      <c r="E14" s="1288"/>
      <c r="F14" s="1288"/>
      <c r="G14" s="1288"/>
      <c r="H14" s="1288"/>
      <c r="I14" s="1288"/>
      <c r="J14" s="1288"/>
      <c r="K14" s="1288"/>
      <c r="L14" s="1288"/>
      <c r="M14" s="1288"/>
      <c r="N14" s="1288"/>
      <c r="O14" s="1288"/>
      <c r="P14" s="1288"/>
      <c r="Q14" s="1288"/>
      <c r="R14" s="1288"/>
      <c r="S14" s="1288"/>
      <c r="T14" s="1288"/>
      <c r="U14" s="1288"/>
      <c r="V14" s="1288"/>
      <c r="W14" s="1288"/>
      <c r="X14" s="1288"/>
      <c r="Y14" s="1288"/>
      <c r="Z14" s="1288"/>
      <c r="AA14" s="1288"/>
      <c r="AB14" s="1391"/>
      <c r="AC14" s="1391"/>
      <c r="AD14" s="1288"/>
      <c r="AE14" s="1288"/>
      <c r="AF14" s="1288"/>
      <c r="AG14" s="1288"/>
      <c r="AH14" s="282">
        <f t="shared" si="1"/>
        <v>0</v>
      </c>
    </row>
    <row r="15" spans="1:34" ht="13.5">
      <c r="A15" s="192" t="s">
        <v>86</v>
      </c>
      <c r="B15" s="268">
        <f t="shared" si="2"/>
        <v>0</v>
      </c>
      <c r="C15" s="429">
        <v>0</v>
      </c>
      <c r="D15" s="430">
        <v>0</v>
      </c>
      <c r="E15" s="430">
        <v>0</v>
      </c>
      <c r="F15" s="430">
        <v>0</v>
      </c>
      <c r="G15" s="430">
        <v>0</v>
      </c>
      <c r="H15" s="430">
        <v>0</v>
      </c>
      <c r="I15" s="430">
        <v>0</v>
      </c>
      <c r="J15" s="430">
        <v>0</v>
      </c>
      <c r="K15" s="430">
        <v>0</v>
      </c>
      <c r="L15" s="1351"/>
      <c r="M15" s="430">
        <v>0</v>
      </c>
      <c r="N15" s="430">
        <v>0</v>
      </c>
      <c r="O15" s="430">
        <v>0</v>
      </c>
      <c r="P15" s="430">
        <v>0</v>
      </c>
      <c r="Q15" s="430">
        <v>0</v>
      </c>
      <c r="R15" s="430">
        <v>0</v>
      </c>
      <c r="S15" s="430">
        <v>0</v>
      </c>
      <c r="T15" s="283">
        <v>0</v>
      </c>
      <c r="U15" s="283">
        <v>0</v>
      </c>
      <c r="V15" s="283">
        <v>0</v>
      </c>
      <c r="W15" s="283">
        <v>0</v>
      </c>
      <c r="X15" s="283">
        <v>0</v>
      </c>
      <c r="Y15" s="283">
        <v>0</v>
      </c>
      <c r="Z15" s="283">
        <v>0</v>
      </c>
      <c r="AA15" s="283">
        <v>0</v>
      </c>
      <c r="AB15" s="283">
        <v>0</v>
      </c>
      <c r="AC15" s="283">
        <v>0</v>
      </c>
      <c r="AD15" s="283">
        <v>0</v>
      </c>
      <c r="AE15" s="283">
        <v>0</v>
      </c>
      <c r="AF15" s="283">
        <v>0</v>
      </c>
      <c r="AG15" s="283">
        <v>0</v>
      </c>
      <c r="AH15" s="282">
        <f t="shared" si="1"/>
        <v>0</v>
      </c>
    </row>
    <row r="16" spans="1:34" ht="13.5">
      <c r="A16" s="186" t="s">
        <v>52</v>
      </c>
      <c r="B16" s="284">
        <f>SUM(B4:B15)</f>
        <v>0</v>
      </c>
      <c r="C16" s="431"/>
      <c r="D16" s="431"/>
      <c r="E16" s="431"/>
      <c r="F16" s="431"/>
      <c r="G16" s="431"/>
      <c r="H16" s="431"/>
      <c r="I16" s="431"/>
      <c r="J16" s="431"/>
      <c r="K16" s="431"/>
      <c r="L16" s="431"/>
      <c r="M16" s="431"/>
      <c r="N16" s="431"/>
      <c r="O16" s="431"/>
      <c r="P16" s="431"/>
      <c r="Q16" s="431"/>
      <c r="R16" s="431"/>
      <c r="S16" s="431"/>
      <c r="T16" s="285"/>
      <c r="U16" s="285"/>
      <c r="V16" s="285"/>
      <c r="W16" s="285"/>
      <c r="X16" s="285"/>
      <c r="Y16" s="285"/>
      <c r="Z16" s="285"/>
      <c r="AA16" s="285"/>
      <c r="AB16" s="285"/>
      <c r="AC16" s="285"/>
      <c r="AD16" s="285"/>
      <c r="AE16" s="285"/>
      <c r="AF16" s="285"/>
      <c r="AG16" s="285"/>
      <c r="AH16" s="282">
        <f t="shared" si="1"/>
        <v>0</v>
      </c>
    </row>
    <row r="17" spans="1:34">
      <c r="A17" s="299" t="s">
        <v>240</v>
      </c>
      <c r="B17" s="1149"/>
      <c r="C17" s="210"/>
      <c r="D17" s="210"/>
      <c r="E17" s="210"/>
      <c r="F17" s="210"/>
      <c r="G17" s="210"/>
      <c r="H17" s="210"/>
      <c r="I17" s="210"/>
      <c r="J17" s="210"/>
      <c r="K17" s="210"/>
      <c r="L17" s="210"/>
      <c r="M17" s="210"/>
      <c r="N17" s="210"/>
      <c r="O17" s="210"/>
      <c r="P17" s="210"/>
      <c r="Q17" s="210"/>
      <c r="R17" s="210"/>
      <c r="S17" s="210"/>
      <c r="T17" s="210"/>
      <c r="U17" s="210"/>
      <c r="V17" s="210"/>
      <c r="W17" s="210"/>
      <c r="X17" s="210"/>
      <c r="Y17" s="210"/>
      <c r="Z17" s="210"/>
      <c r="AA17" s="210"/>
      <c r="AB17" s="210"/>
      <c r="AC17" s="210"/>
      <c r="AD17" s="210"/>
      <c r="AE17" s="210"/>
      <c r="AF17" s="210"/>
      <c r="AG17" s="210"/>
      <c r="AH17" s="210"/>
    </row>
    <row r="18" spans="1:34" ht="13.5">
      <c r="A18" s="301" t="s">
        <v>68</v>
      </c>
      <c r="B18" s="1149">
        <f>+B17-B16</f>
        <v>0</v>
      </c>
      <c r="C18" s="1290"/>
    </row>
    <row r="19" spans="1:34" ht="13.5">
      <c r="A19" s="440"/>
      <c r="B19" s="441"/>
    </row>
    <row r="20" spans="1:34" ht="13.5">
      <c r="A20" s="440"/>
      <c r="B20" s="441"/>
    </row>
    <row r="21" spans="1:34" ht="13.5">
      <c r="A21" s="240" t="s">
        <v>280</v>
      </c>
      <c r="B21" s="241"/>
      <c r="C21" s="242"/>
      <c r="D21" s="278"/>
      <c r="E21" s="278"/>
      <c r="F21" s="278"/>
      <c r="G21" s="278"/>
      <c r="H21" s="278"/>
      <c r="I21" s="278"/>
      <c r="J21" s="278"/>
      <c r="K21" s="278"/>
      <c r="L21" s="278"/>
      <c r="M21" s="279"/>
      <c r="N21" s="278"/>
      <c r="O21" s="278"/>
      <c r="P21" s="278"/>
      <c r="Q21" s="278"/>
      <c r="R21" s="278"/>
      <c r="S21" s="278"/>
      <c r="T21" s="278"/>
      <c r="U21" s="278"/>
      <c r="V21" s="278"/>
      <c r="W21" s="278"/>
      <c r="X21" s="278"/>
      <c r="Y21" s="278"/>
      <c r="Z21" s="278"/>
      <c r="AA21" s="278"/>
      <c r="AB21" s="278"/>
      <c r="AC21" s="278"/>
      <c r="AD21" s="278"/>
      <c r="AE21" s="278"/>
      <c r="AF21" s="278"/>
      <c r="AG21" s="278"/>
      <c r="AH21" s="210"/>
    </row>
    <row r="22" spans="1:34" ht="13.5">
      <c r="A22" s="178" t="s">
        <v>72</v>
      </c>
      <c r="B22" s="280" t="s">
        <v>73</v>
      </c>
      <c r="C22" s="426">
        <v>1</v>
      </c>
      <c r="D22" s="426">
        <v>2</v>
      </c>
      <c r="E22" s="426">
        <v>3</v>
      </c>
      <c r="F22" s="426">
        <v>4</v>
      </c>
      <c r="G22" s="426">
        <v>5</v>
      </c>
      <c r="H22" s="426">
        <v>6</v>
      </c>
      <c r="I22" s="426">
        <v>7</v>
      </c>
      <c r="J22" s="426">
        <v>8</v>
      </c>
      <c r="K22" s="426">
        <v>9</v>
      </c>
      <c r="L22" s="426">
        <v>10</v>
      </c>
      <c r="M22" s="426">
        <v>11</v>
      </c>
      <c r="N22" s="426">
        <v>12</v>
      </c>
      <c r="O22" s="426">
        <v>13</v>
      </c>
      <c r="P22" s="426">
        <v>14</v>
      </c>
      <c r="Q22" s="426">
        <v>15</v>
      </c>
      <c r="R22" s="426">
        <v>16</v>
      </c>
      <c r="S22" s="426">
        <v>17</v>
      </c>
      <c r="T22" s="294">
        <v>18</v>
      </c>
      <c r="U22" s="294">
        <v>19</v>
      </c>
      <c r="V22" s="294">
        <v>20</v>
      </c>
      <c r="W22" s="294">
        <v>21</v>
      </c>
      <c r="X22" s="294">
        <v>22</v>
      </c>
      <c r="Y22" s="294">
        <v>23</v>
      </c>
      <c r="Z22" s="294">
        <v>24</v>
      </c>
      <c r="AA22" s="294">
        <v>25</v>
      </c>
      <c r="AB22" s="294">
        <v>26</v>
      </c>
      <c r="AC22" s="294">
        <v>27</v>
      </c>
      <c r="AD22" s="294">
        <v>28</v>
      </c>
      <c r="AE22" s="294">
        <v>29</v>
      </c>
      <c r="AF22" s="294">
        <v>30</v>
      </c>
      <c r="AG22" s="294">
        <v>31</v>
      </c>
      <c r="AH22" s="281" t="s">
        <v>52</v>
      </c>
    </row>
    <row r="23" spans="1:34" ht="13.5">
      <c r="A23" s="179" t="s">
        <v>75</v>
      </c>
      <c r="B23" s="268">
        <f t="shared" ref="B23:B27" si="3">+AH23</f>
        <v>0</v>
      </c>
      <c r="C23" s="427"/>
      <c r="D23" s="427"/>
      <c r="E23" s="427"/>
      <c r="F23" s="427"/>
      <c r="G23" s="427"/>
      <c r="H23" s="427"/>
      <c r="I23" s="427"/>
      <c r="J23" s="427"/>
      <c r="K23" s="427"/>
      <c r="L23" s="427"/>
      <c r="M23" s="427"/>
      <c r="N23" s="427"/>
      <c r="O23" s="427"/>
      <c r="P23" s="427"/>
      <c r="Q23" s="427"/>
      <c r="R23" s="427"/>
      <c r="S23" s="427"/>
      <c r="T23" s="427"/>
      <c r="U23" s="427"/>
      <c r="V23" s="427"/>
      <c r="W23" s="427"/>
      <c r="X23" s="427"/>
      <c r="Y23" s="427"/>
      <c r="Z23" s="427"/>
      <c r="AA23" s="427"/>
      <c r="AB23" s="427"/>
      <c r="AC23" s="427"/>
      <c r="AD23" s="427"/>
      <c r="AE23" s="427"/>
      <c r="AF23" s="427"/>
      <c r="AG23" s="427"/>
      <c r="AH23" s="282">
        <f>SUM(C23:AG23)</f>
        <v>0</v>
      </c>
    </row>
    <row r="24" spans="1:34" ht="13.5">
      <c r="A24" s="179" t="s">
        <v>76</v>
      </c>
      <c r="B24" s="268">
        <f t="shared" si="3"/>
        <v>0</v>
      </c>
      <c r="C24" s="427"/>
      <c r="D24" s="427"/>
      <c r="E24" s="427"/>
      <c r="F24" s="427"/>
      <c r="G24" s="427"/>
      <c r="H24" s="427"/>
      <c r="I24" s="427"/>
      <c r="J24" s="427"/>
      <c r="K24" s="427"/>
      <c r="L24" s="427"/>
      <c r="M24" s="427"/>
      <c r="N24" s="427"/>
      <c r="O24" s="427"/>
      <c r="P24" s="427"/>
      <c r="Q24" s="427"/>
      <c r="R24" s="427"/>
      <c r="S24" s="427"/>
      <c r="T24" s="427"/>
      <c r="U24" s="427"/>
      <c r="V24" s="427"/>
      <c r="W24" s="427"/>
      <c r="X24" s="427"/>
      <c r="Y24" s="427"/>
      <c r="Z24" s="427"/>
      <c r="AA24" s="427"/>
      <c r="AB24" s="427"/>
      <c r="AC24" s="427"/>
      <c r="AD24" s="427"/>
      <c r="AE24" s="427"/>
      <c r="AF24" s="427"/>
      <c r="AG24" s="427"/>
      <c r="AH24" s="282">
        <f>SUM(C24:AG24)</f>
        <v>0</v>
      </c>
    </row>
    <row r="25" spans="1:34" ht="13.5">
      <c r="A25" s="179" t="s">
        <v>77</v>
      </c>
      <c r="B25" s="268">
        <f t="shared" si="3"/>
        <v>0</v>
      </c>
      <c r="C25" s="427"/>
      <c r="D25" s="427"/>
      <c r="E25" s="427"/>
      <c r="F25" s="427"/>
      <c r="G25" s="427"/>
      <c r="H25" s="427"/>
      <c r="I25" s="427"/>
      <c r="J25" s="427"/>
      <c r="K25" s="427"/>
      <c r="L25" s="427"/>
      <c r="M25" s="427"/>
      <c r="N25" s="427"/>
      <c r="O25" s="427"/>
      <c r="P25" s="427"/>
      <c r="Q25" s="427"/>
      <c r="R25" s="427"/>
      <c r="S25" s="427"/>
      <c r="T25" s="427"/>
      <c r="U25" s="427"/>
      <c r="V25" s="427"/>
      <c r="W25" s="427"/>
      <c r="X25" s="427"/>
      <c r="Y25" s="427"/>
      <c r="Z25" s="427"/>
      <c r="AA25" s="427"/>
      <c r="AB25" s="427"/>
      <c r="AC25" s="427"/>
      <c r="AD25" s="427"/>
      <c r="AE25" s="427"/>
      <c r="AF25" s="427"/>
      <c r="AG25" s="427"/>
      <c r="AH25" s="282">
        <f>SUM(C25:AG25)</f>
        <v>0</v>
      </c>
    </row>
    <row r="26" spans="1:34" ht="13.5">
      <c r="A26" s="179" t="s">
        <v>78</v>
      </c>
      <c r="B26" s="268">
        <f t="shared" si="3"/>
        <v>0</v>
      </c>
      <c r="C26" s="427"/>
      <c r="D26" s="427"/>
      <c r="E26" s="427"/>
      <c r="F26" s="427"/>
      <c r="G26" s="427"/>
      <c r="H26" s="427"/>
      <c r="I26" s="427"/>
      <c r="J26" s="427"/>
      <c r="K26" s="427"/>
      <c r="L26" s="427"/>
      <c r="M26" s="427"/>
      <c r="N26" s="427"/>
      <c r="O26" s="427"/>
      <c r="P26" s="427"/>
      <c r="Q26" s="427"/>
      <c r="R26" s="427"/>
      <c r="S26" s="427"/>
      <c r="T26" s="427"/>
      <c r="U26" s="427"/>
      <c r="V26" s="427"/>
      <c r="W26" s="427"/>
      <c r="X26" s="427"/>
      <c r="Y26" s="427"/>
      <c r="Z26" s="427"/>
      <c r="AA26" s="427"/>
      <c r="AB26" s="427"/>
      <c r="AC26" s="427"/>
      <c r="AD26" s="427"/>
      <c r="AE26" s="427"/>
      <c r="AF26" s="427"/>
      <c r="AG26" s="427"/>
      <c r="AH26" s="282">
        <f t="shared" ref="AH26:AH35" si="4">SUM(C26:AG26)</f>
        <v>0</v>
      </c>
    </row>
    <row r="27" spans="1:34" ht="13.5">
      <c r="A27" s="179" t="s">
        <v>79</v>
      </c>
      <c r="B27" s="268">
        <f t="shared" si="3"/>
        <v>0</v>
      </c>
      <c r="C27" s="427"/>
      <c r="D27" s="427"/>
      <c r="E27" s="427"/>
      <c r="F27" s="427"/>
      <c r="G27" s="427"/>
      <c r="H27" s="427"/>
      <c r="I27" s="427"/>
      <c r="J27" s="427"/>
      <c r="K27" s="427"/>
      <c r="L27" s="427"/>
      <c r="M27" s="427"/>
      <c r="N27" s="427"/>
      <c r="O27" s="427"/>
      <c r="P27" s="427"/>
      <c r="Q27" s="427"/>
      <c r="R27" s="427"/>
      <c r="S27" s="427"/>
      <c r="T27" s="427"/>
      <c r="U27" s="427"/>
      <c r="V27" s="427"/>
      <c r="W27" s="427"/>
      <c r="X27" s="427"/>
      <c r="Y27" s="427"/>
      <c r="Z27" s="427"/>
      <c r="AA27" s="427"/>
      <c r="AB27" s="612"/>
      <c r="AC27" s="612"/>
      <c r="AD27" s="612"/>
      <c r="AE27" s="612"/>
      <c r="AF27" s="612"/>
      <c r="AG27" s="612"/>
      <c r="AH27" s="282">
        <v>0</v>
      </c>
    </row>
    <row r="28" spans="1:34" ht="13.5">
      <c r="A28" s="179" t="s">
        <v>80</v>
      </c>
      <c r="B28" s="268">
        <f>+AH28</f>
        <v>0</v>
      </c>
      <c r="C28" s="358"/>
      <c r="D28" s="612"/>
      <c r="E28" s="612"/>
      <c r="F28" s="612"/>
      <c r="G28" s="612"/>
      <c r="H28" s="612"/>
      <c r="I28" s="612"/>
      <c r="J28" s="612"/>
      <c r="K28" s="612"/>
      <c r="L28" s="612"/>
      <c r="M28" s="612"/>
      <c r="N28" s="612"/>
      <c r="O28" s="612"/>
      <c r="P28" s="612"/>
      <c r="Q28" s="612"/>
      <c r="R28" s="612"/>
      <c r="S28" s="612"/>
      <c r="T28" s="612"/>
      <c r="U28" s="612"/>
      <c r="V28" s="612"/>
      <c r="W28" s="612"/>
      <c r="X28" s="439"/>
      <c r="Y28" s="612"/>
      <c r="Z28" s="612"/>
      <c r="AA28" s="612"/>
      <c r="AB28" s="612"/>
      <c r="AC28" s="612"/>
      <c r="AD28" s="612"/>
      <c r="AE28" s="612"/>
      <c r="AF28" s="612"/>
      <c r="AG28" s="612"/>
      <c r="AH28" s="282">
        <f t="shared" si="4"/>
        <v>0</v>
      </c>
    </row>
    <row r="29" spans="1:34" ht="13.5">
      <c r="A29" s="192" t="s">
        <v>81</v>
      </c>
      <c r="B29" s="268">
        <f t="shared" ref="B29:B34" si="5">+AH29</f>
        <v>0</v>
      </c>
      <c r="C29" s="358"/>
      <c r="D29" s="612"/>
      <c r="E29" s="612"/>
      <c r="F29" s="612"/>
      <c r="G29" s="612"/>
      <c r="H29" s="612"/>
      <c r="I29" s="612"/>
      <c r="J29" s="612"/>
      <c r="K29" s="612"/>
      <c r="L29" s="612"/>
      <c r="M29" s="612"/>
      <c r="N29" s="612"/>
      <c r="O29" s="612"/>
      <c r="P29" s="612"/>
      <c r="Q29" s="612"/>
      <c r="R29" s="612"/>
      <c r="S29" s="612"/>
      <c r="T29" s="612"/>
      <c r="U29" s="612"/>
      <c r="V29" s="612"/>
      <c r="W29" s="612"/>
      <c r="X29" s="612"/>
      <c r="Y29" s="612"/>
      <c r="Z29" s="612"/>
      <c r="AA29" s="612"/>
      <c r="AB29" s="612"/>
      <c r="AC29" s="612"/>
      <c r="AD29" s="612"/>
      <c r="AE29" s="612"/>
      <c r="AF29" s="612"/>
      <c r="AG29" s="612"/>
      <c r="AH29" s="282">
        <f t="shared" si="4"/>
        <v>0</v>
      </c>
    </row>
    <row r="30" spans="1:34" ht="13.5">
      <c r="A30" s="192" t="s">
        <v>82</v>
      </c>
      <c r="B30" s="268">
        <f t="shared" si="5"/>
        <v>0</v>
      </c>
      <c r="C30" s="358"/>
      <c r="D30" s="612"/>
      <c r="E30" s="612"/>
      <c r="F30" s="612"/>
      <c r="G30" s="612"/>
      <c r="H30" s="612"/>
      <c r="I30" s="612"/>
      <c r="J30" s="612"/>
      <c r="K30" s="612"/>
      <c r="L30" s="612"/>
      <c r="M30" s="612"/>
      <c r="N30" s="612"/>
      <c r="O30" s="612"/>
      <c r="P30" s="612"/>
      <c r="Q30" s="612"/>
      <c r="R30" s="612"/>
      <c r="S30" s="612"/>
      <c r="T30" s="612"/>
      <c r="U30" s="612"/>
      <c r="V30" s="612"/>
      <c r="W30" s="612"/>
      <c r="X30" s="612"/>
      <c r="Y30" s="612"/>
      <c r="Z30" s="612"/>
      <c r="AA30" s="612"/>
      <c r="AB30" s="612"/>
      <c r="AC30" s="612"/>
      <c r="AD30" s="612"/>
      <c r="AE30" s="612"/>
      <c r="AF30" s="612"/>
      <c r="AG30" s="612"/>
      <c r="AH30" s="282">
        <f t="shared" si="4"/>
        <v>0</v>
      </c>
    </row>
    <row r="31" spans="1:34" ht="13.5">
      <c r="A31" s="192" t="s">
        <v>83</v>
      </c>
      <c r="B31" s="268">
        <f t="shared" si="5"/>
        <v>0</v>
      </c>
      <c r="C31" s="358"/>
      <c r="D31" s="612"/>
      <c r="E31" s="612"/>
      <c r="F31" s="612"/>
      <c r="G31" s="612"/>
      <c r="H31" s="612"/>
      <c r="I31" s="612"/>
      <c r="J31" s="612"/>
      <c r="K31" s="612"/>
      <c r="L31" s="612"/>
      <c r="M31" s="612"/>
      <c r="N31" s="612"/>
      <c r="O31" s="612"/>
      <c r="P31" s="612"/>
      <c r="Q31" s="612"/>
      <c r="R31" s="612"/>
      <c r="S31" s="612"/>
      <c r="T31" s="612"/>
      <c r="U31" s="612"/>
      <c r="V31" s="612"/>
      <c r="W31" s="612"/>
      <c r="X31" s="612"/>
      <c r="Y31" s="612"/>
      <c r="Z31" s="612"/>
      <c r="AA31" s="612"/>
      <c r="AB31" s="612"/>
      <c r="AC31" s="612"/>
      <c r="AD31" s="612"/>
      <c r="AE31" s="612"/>
      <c r="AF31" s="612"/>
      <c r="AG31" s="612"/>
      <c r="AH31" s="282">
        <f t="shared" si="4"/>
        <v>0</v>
      </c>
    </row>
    <row r="32" spans="1:34" ht="13.5">
      <c r="A32" s="192" t="s">
        <v>84</v>
      </c>
      <c r="B32" s="268">
        <f t="shared" si="5"/>
        <v>0</v>
      </c>
      <c r="C32" s="358"/>
      <c r="D32" s="612"/>
      <c r="E32" s="612"/>
      <c r="F32" s="612"/>
      <c r="G32" s="612"/>
      <c r="H32" s="612"/>
      <c r="I32" s="612"/>
      <c r="J32" s="612"/>
      <c r="K32" s="612"/>
      <c r="L32" s="612"/>
      <c r="M32" s="612"/>
      <c r="N32" s="612"/>
      <c r="O32" s="612"/>
      <c r="P32" s="612"/>
      <c r="Q32" s="612"/>
      <c r="R32" s="612"/>
      <c r="S32" s="612"/>
      <c r="T32" s="612"/>
      <c r="U32" s="612"/>
      <c r="V32" s="612"/>
      <c r="W32" s="612"/>
      <c r="X32" s="612"/>
      <c r="Y32" s="612"/>
      <c r="Z32" s="612"/>
      <c r="AA32" s="612"/>
      <c r="AB32" s="612"/>
      <c r="AC32" s="612"/>
      <c r="AD32" s="612"/>
      <c r="AE32" s="612"/>
      <c r="AF32" s="612"/>
      <c r="AG32" s="612"/>
      <c r="AH32" s="282">
        <f t="shared" si="4"/>
        <v>0</v>
      </c>
    </row>
    <row r="33" spans="1:34" ht="13.5">
      <c r="A33" s="192" t="s">
        <v>85</v>
      </c>
      <c r="B33" s="268">
        <f t="shared" si="5"/>
        <v>0</v>
      </c>
      <c r="C33" s="358"/>
      <c r="D33" s="612"/>
      <c r="E33" s="612"/>
      <c r="F33" s="612"/>
      <c r="G33" s="612"/>
      <c r="H33" s="612"/>
      <c r="I33" s="612"/>
      <c r="J33" s="612"/>
      <c r="K33" s="612"/>
      <c r="L33" s="612"/>
      <c r="M33" s="612"/>
      <c r="N33" s="612"/>
      <c r="O33" s="612"/>
      <c r="P33" s="612"/>
      <c r="Q33" s="612"/>
      <c r="R33" s="612"/>
      <c r="S33" s="612"/>
      <c r="T33" s="612"/>
      <c r="U33" s="612"/>
      <c r="V33" s="612"/>
      <c r="W33" s="612"/>
      <c r="X33" s="612"/>
      <c r="Y33" s="612"/>
      <c r="Z33" s="612"/>
      <c r="AA33" s="612"/>
      <c r="AB33" s="1392"/>
      <c r="AC33" s="612"/>
      <c r="AD33" s="612"/>
      <c r="AE33" s="612"/>
      <c r="AF33" s="612"/>
      <c r="AG33" s="612"/>
      <c r="AH33" s="282">
        <f t="shared" si="4"/>
        <v>0</v>
      </c>
    </row>
    <row r="34" spans="1:34" ht="13.5">
      <c r="A34" s="192" t="s">
        <v>86</v>
      </c>
      <c r="B34" s="268">
        <f t="shared" si="5"/>
        <v>0</v>
      </c>
      <c r="C34" s="358"/>
      <c r="D34" s="612"/>
      <c r="E34" s="612"/>
      <c r="F34" s="612"/>
      <c r="G34" s="612"/>
      <c r="H34" s="612"/>
      <c r="I34" s="612"/>
      <c r="J34" s="612"/>
      <c r="K34" s="612"/>
      <c r="L34" s="612"/>
      <c r="M34" s="612"/>
      <c r="N34" s="612"/>
      <c r="O34" s="612"/>
      <c r="P34" s="612"/>
      <c r="Q34" s="612"/>
      <c r="R34" s="612"/>
      <c r="S34" s="612"/>
      <c r="T34" s="612"/>
      <c r="U34" s="612"/>
      <c r="V34" s="612"/>
      <c r="W34" s="612"/>
      <c r="X34" s="612"/>
      <c r="Y34" s="612"/>
      <c r="Z34" s="612"/>
      <c r="AA34" s="612"/>
      <c r="AB34" s="612"/>
      <c r="AC34" s="612"/>
      <c r="AD34" s="612"/>
      <c r="AE34" s="612"/>
      <c r="AF34" s="612"/>
      <c r="AG34" s="612"/>
      <c r="AH34" s="282">
        <f t="shared" si="4"/>
        <v>0</v>
      </c>
    </row>
    <row r="35" spans="1:34" ht="14.25" thickBot="1">
      <c r="A35" s="1150" t="s">
        <v>52</v>
      </c>
      <c r="B35" s="1151">
        <f>SUM(B23:B34)</f>
        <v>0</v>
      </c>
      <c r="C35" s="431"/>
      <c r="D35" s="431"/>
      <c r="E35" s="431"/>
      <c r="F35" s="431"/>
      <c r="G35" s="431"/>
      <c r="H35" s="431"/>
      <c r="I35" s="431"/>
      <c r="J35" s="431"/>
      <c r="K35" s="431"/>
      <c r="L35" s="431"/>
      <c r="M35" s="431"/>
      <c r="N35" s="431"/>
      <c r="O35" s="431"/>
      <c r="P35" s="431"/>
      <c r="Q35" s="431"/>
      <c r="R35" s="431"/>
      <c r="S35" s="431"/>
      <c r="T35" s="285"/>
      <c r="U35" s="285"/>
      <c r="V35" s="285"/>
      <c r="W35" s="285"/>
      <c r="X35" s="285"/>
      <c r="Y35" s="285"/>
      <c r="Z35" s="285"/>
      <c r="AA35" s="285"/>
      <c r="AB35" s="285"/>
      <c r="AC35" s="285"/>
      <c r="AD35" s="285"/>
      <c r="AE35" s="285"/>
      <c r="AF35" s="285"/>
      <c r="AG35" s="285"/>
      <c r="AH35" s="282">
        <f t="shared" si="4"/>
        <v>0</v>
      </c>
    </row>
    <row r="36" spans="1:34" ht="13.5">
      <c r="A36" s="1152" t="s">
        <v>477</v>
      </c>
      <c r="B36" s="1155"/>
    </row>
    <row r="37" spans="1:34" ht="14.25" thickBot="1">
      <c r="A37" s="1154" t="s">
        <v>68</v>
      </c>
      <c r="B37" s="1551">
        <f>+B36-B35</f>
        <v>0</v>
      </c>
      <c r="C37" s="1289"/>
      <c r="H37" s="1394"/>
      <c r="I37" s="1308"/>
      <c r="J37" s="1308"/>
      <c r="K37" s="1393"/>
      <c r="L37" s="1308"/>
      <c r="M37" s="1393"/>
      <c r="N37" s="1393"/>
      <c r="O37" s="1308"/>
      <c r="P37" s="1308"/>
    </row>
    <row r="38" spans="1:34" ht="13.5">
      <c r="A38" s="440"/>
      <c r="B38" s="441"/>
    </row>
    <row r="39" spans="1:34" ht="13.5">
      <c r="A39" s="240" t="s">
        <v>468</v>
      </c>
      <c r="B39" s="241"/>
      <c r="C39" s="242"/>
      <c r="D39" s="278"/>
      <c r="E39" s="278"/>
      <c r="F39" s="278"/>
      <c r="G39" s="278"/>
      <c r="H39" s="278"/>
      <c r="I39" s="278"/>
      <c r="J39" s="278"/>
      <c r="K39" s="278"/>
      <c r="L39" s="278"/>
      <c r="M39" s="279"/>
      <c r="N39" s="278"/>
      <c r="O39" s="278"/>
      <c r="P39" s="278"/>
      <c r="Q39" s="278"/>
      <c r="R39" s="278"/>
      <c r="S39" s="278"/>
      <c r="T39" s="278"/>
      <c r="U39" s="278"/>
      <c r="V39" s="278"/>
      <c r="W39" s="278"/>
      <c r="X39" s="278"/>
      <c r="Y39" s="278"/>
      <c r="Z39" s="278"/>
      <c r="AA39" s="278"/>
      <c r="AB39" s="278"/>
      <c r="AC39" s="278"/>
      <c r="AD39" s="278"/>
      <c r="AE39" s="278"/>
      <c r="AF39" s="278"/>
      <c r="AG39" s="278"/>
      <c r="AH39" s="210"/>
    </row>
    <row r="40" spans="1:34" ht="13.5">
      <c r="A40" s="178" t="s">
        <v>72</v>
      </c>
      <c r="B40" s="280" t="s">
        <v>73</v>
      </c>
      <c r="C40" s="426">
        <v>1</v>
      </c>
      <c r="D40" s="426">
        <v>2</v>
      </c>
      <c r="E40" s="426">
        <v>3</v>
      </c>
      <c r="F40" s="426">
        <v>4</v>
      </c>
      <c r="G40" s="426">
        <v>5</v>
      </c>
      <c r="H40" s="426">
        <v>6</v>
      </c>
      <c r="I40" s="426">
        <v>7</v>
      </c>
      <c r="J40" s="426">
        <v>8</v>
      </c>
      <c r="K40" s="426">
        <v>9</v>
      </c>
      <c r="L40" s="426">
        <v>10</v>
      </c>
      <c r="M40" s="426">
        <v>11</v>
      </c>
      <c r="N40" s="426">
        <v>12</v>
      </c>
      <c r="O40" s="426">
        <v>13</v>
      </c>
      <c r="P40" s="426">
        <v>14</v>
      </c>
      <c r="Q40" s="426">
        <v>15</v>
      </c>
      <c r="R40" s="426">
        <v>16</v>
      </c>
      <c r="S40" s="426">
        <v>17</v>
      </c>
      <c r="T40" s="294">
        <v>18</v>
      </c>
      <c r="U40" s="294">
        <v>19</v>
      </c>
      <c r="V40" s="294">
        <v>20</v>
      </c>
      <c r="W40" s="294">
        <v>21</v>
      </c>
      <c r="X40" s="294">
        <v>22</v>
      </c>
      <c r="Y40" s="294">
        <v>23</v>
      </c>
      <c r="Z40" s="294">
        <v>24</v>
      </c>
      <c r="AA40" s="294">
        <v>25</v>
      </c>
      <c r="AB40" s="294">
        <v>26</v>
      </c>
      <c r="AC40" s="294">
        <v>27</v>
      </c>
      <c r="AD40" s="294">
        <v>28</v>
      </c>
      <c r="AE40" s="294">
        <v>29</v>
      </c>
      <c r="AF40" s="294">
        <v>30</v>
      </c>
      <c r="AG40" s="294">
        <v>31</v>
      </c>
      <c r="AH40" s="281" t="s">
        <v>52</v>
      </c>
    </row>
    <row r="41" spans="1:34" ht="13.5">
      <c r="A41" s="179" t="s">
        <v>75</v>
      </c>
      <c r="B41" s="268">
        <f t="shared" ref="B41:B46" si="6">+AH41</f>
        <v>0</v>
      </c>
      <c r="C41" s="427">
        <v>0</v>
      </c>
      <c r="D41" s="427">
        <v>0</v>
      </c>
      <c r="E41" s="427">
        <v>0</v>
      </c>
      <c r="F41" s="427">
        <v>0</v>
      </c>
      <c r="G41" s="427">
        <v>0</v>
      </c>
      <c r="H41" s="427">
        <v>0</v>
      </c>
      <c r="I41" s="427">
        <v>0</v>
      </c>
      <c r="J41" s="427">
        <v>0</v>
      </c>
      <c r="K41" s="427">
        <v>0</v>
      </c>
      <c r="L41" s="427">
        <v>0</v>
      </c>
      <c r="M41" s="427">
        <v>0</v>
      </c>
      <c r="N41" s="427">
        <v>0</v>
      </c>
      <c r="O41" s="427">
        <v>0</v>
      </c>
      <c r="P41" s="427">
        <v>0</v>
      </c>
      <c r="Q41" s="427">
        <v>0</v>
      </c>
      <c r="R41" s="427">
        <v>0</v>
      </c>
      <c r="S41" s="427">
        <v>0</v>
      </c>
      <c r="T41" s="427">
        <v>0</v>
      </c>
      <c r="U41" s="427">
        <v>0</v>
      </c>
      <c r="V41" s="427">
        <v>0</v>
      </c>
      <c r="W41" s="427">
        <v>0</v>
      </c>
      <c r="X41" s="427">
        <v>0</v>
      </c>
      <c r="Y41" s="427">
        <v>0</v>
      </c>
      <c r="Z41" s="427">
        <v>0</v>
      </c>
      <c r="AA41" s="427">
        <v>0</v>
      </c>
      <c r="AB41" s="427">
        <v>0</v>
      </c>
      <c r="AC41" s="427">
        <v>0</v>
      </c>
      <c r="AD41" s="427">
        <v>0</v>
      </c>
      <c r="AE41" s="427">
        <v>0</v>
      </c>
      <c r="AF41" s="427">
        <v>0</v>
      </c>
      <c r="AG41" s="427">
        <v>0</v>
      </c>
      <c r="AH41" s="282">
        <f>SUM(C41:AG41)</f>
        <v>0</v>
      </c>
    </row>
    <row r="42" spans="1:34" ht="13.5">
      <c r="A42" s="179" t="s">
        <v>76</v>
      </c>
      <c r="B42" s="268">
        <f t="shared" si="6"/>
        <v>0</v>
      </c>
      <c r="C42" s="427">
        <v>0</v>
      </c>
      <c r="D42" s="427">
        <v>0</v>
      </c>
      <c r="E42" s="427">
        <v>0</v>
      </c>
      <c r="F42" s="427">
        <v>0</v>
      </c>
      <c r="G42" s="427">
        <v>0</v>
      </c>
      <c r="H42" s="427">
        <v>0</v>
      </c>
      <c r="I42" s="427">
        <v>0</v>
      </c>
      <c r="J42" s="427">
        <v>0</v>
      </c>
      <c r="K42" s="427">
        <v>0</v>
      </c>
      <c r="L42" s="427">
        <v>0</v>
      </c>
      <c r="M42" s="427">
        <v>0</v>
      </c>
      <c r="N42" s="427">
        <v>0</v>
      </c>
      <c r="O42" s="427">
        <v>0</v>
      </c>
      <c r="P42" s="427">
        <v>0</v>
      </c>
      <c r="Q42" s="427">
        <v>0</v>
      </c>
      <c r="R42" s="427">
        <v>0</v>
      </c>
      <c r="S42" s="427">
        <v>0</v>
      </c>
      <c r="T42" s="427">
        <v>0</v>
      </c>
      <c r="U42" s="427">
        <v>0</v>
      </c>
      <c r="V42" s="427">
        <v>0</v>
      </c>
      <c r="W42" s="427">
        <v>0</v>
      </c>
      <c r="X42" s="427">
        <v>0</v>
      </c>
      <c r="Y42" s="427">
        <v>0</v>
      </c>
      <c r="Z42" s="427">
        <v>0</v>
      </c>
      <c r="AA42" s="427">
        <v>0</v>
      </c>
      <c r="AB42" s="427">
        <v>0</v>
      </c>
      <c r="AC42" s="427">
        <v>0</v>
      </c>
      <c r="AD42" s="427">
        <v>0</v>
      </c>
      <c r="AE42" s="427">
        <v>0</v>
      </c>
      <c r="AF42" s="427">
        <v>0</v>
      </c>
      <c r="AG42" s="427">
        <v>0</v>
      </c>
      <c r="AH42" s="282">
        <f>SUM(C42:AG42)</f>
        <v>0</v>
      </c>
    </row>
    <row r="43" spans="1:34" ht="13.5">
      <c r="A43" s="179" t="s">
        <v>77</v>
      </c>
      <c r="B43" s="268">
        <f t="shared" si="6"/>
        <v>0</v>
      </c>
      <c r="C43" s="427">
        <v>0</v>
      </c>
      <c r="D43" s="427">
        <v>0</v>
      </c>
      <c r="E43" s="427">
        <v>0</v>
      </c>
      <c r="F43" s="427">
        <v>0</v>
      </c>
      <c r="G43" s="427">
        <v>0</v>
      </c>
      <c r="H43" s="427">
        <v>0</v>
      </c>
      <c r="I43" s="427">
        <v>0</v>
      </c>
      <c r="J43" s="427">
        <v>0</v>
      </c>
      <c r="K43" s="427">
        <v>0</v>
      </c>
      <c r="L43" s="427">
        <v>0</v>
      </c>
      <c r="M43" s="427">
        <v>0</v>
      </c>
      <c r="N43" s="427">
        <v>0</v>
      </c>
      <c r="O43" s="427">
        <v>0</v>
      </c>
      <c r="P43" s="427">
        <v>0</v>
      </c>
      <c r="Q43" s="427">
        <v>0</v>
      </c>
      <c r="R43" s="427">
        <v>0</v>
      </c>
      <c r="S43" s="427">
        <v>0</v>
      </c>
      <c r="T43" s="427">
        <v>0</v>
      </c>
      <c r="U43" s="427">
        <v>0</v>
      </c>
      <c r="V43" s="427">
        <v>0</v>
      </c>
      <c r="W43" s="427">
        <v>0</v>
      </c>
      <c r="X43" s="427">
        <v>0</v>
      </c>
      <c r="Y43" s="427">
        <v>0</v>
      </c>
      <c r="Z43" s="427">
        <v>0</v>
      </c>
      <c r="AA43" s="427">
        <v>0</v>
      </c>
      <c r="AB43" s="427">
        <v>0</v>
      </c>
      <c r="AC43" s="427">
        <v>0</v>
      </c>
      <c r="AD43" s="427">
        <v>0</v>
      </c>
      <c r="AE43" s="427">
        <v>0</v>
      </c>
      <c r="AF43" s="427">
        <v>0</v>
      </c>
      <c r="AG43" s="427">
        <v>0</v>
      </c>
      <c r="AH43" s="282">
        <f>SUM(C43:AG43)</f>
        <v>0</v>
      </c>
    </row>
    <row r="44" spans="1:34" ht="13.5">
      <c r="A44" s="179" t="s">
        <v>78</v>
      </c>
      <c r="B44" s="268">
        <f t="shared" si="6"/>
        <v>0</v>
      </c>
      <c r="C44" s="427">
        <v>0</v>
      </c>
      <c r="D44" s="427">
        <v>0</v>
      </c>
      <c r="E44" s="427">
        <v>0</v>
      </c>
      <c r="F44" s="427">
        <v>0</v>
      </c>
      <c r="G44" s="427">
        <v>0</v>
      </c>
      <c r="H44" s="427">
        <v>0</v>
      </c>
      <c r="I44" s="427">
        <v>0</v>
      </c>
      <c r="J44" s="427">
        <v>0</v>
      </c>
      <c r="K44" s="427">
        <v>0</v>
      </c>
      <c r="L44" s="427">
        <v>0</v>
      </c>
      <c r="M44" s="427">
        <v>0</v>
      </c>
      <c r="N44" s="427">
        <v>0</v>
      </c>
      <c r="O44" s="427">
        <v>0</v>
      </c>
      <c r="P44" s="427">
        <v>0</v>
      </c>
      <c r="Q44" s="427">
        <v>0</v>
      </c>
      <c r="R44" s="427">
        <v>0</v>
      </c>
      <c r="S44" s="427">
        <v>0</v>
      </c>
      <c r="T44" s="427">
        <v>0</v>
      </c>
      <c r="U44" s="427">
        <v>0</v>
      </c>
      <c r="V44" s="427">
        <v>0</v>
      </c>
      <c r="W44" s="427">
        <v>0</v>
      </c>
      <c r="X44" s="427">
        <v>0</v>
      </c>
      <c r="Y44" s="427">
        <v>0</v>
      </c>
      <c r="Z44" s="427">
        <v>0</v>
      </c>
      <c r="AA44" s="427">
        <v>0</v>
      </c>
      <c r="AB44" s="427">
        <v>0</v>
      </c>
      <c r="AC44" s="427">
        <v>0</v>
      </c>
      <c r="AD44" s="427">
        <v>0</v>
      </c>
      <c r="AE44" s="427">
        <v>0</v>
      </c>
      <c r="AF44" s="427">
        <v>0</v>
      </c>
      <c r="AG44" s="427">
        <v>0</v>
      </c>
      <c r="AH44" s="282">
        <f>SUM(C44:AG44)</f>
        <v>0</v>
      </c>
    </row>
    <row r="45" spans="1:34" ht="13.5">
      <c r="A45" s="179" t="s">
        <v>79</v>
      </c>
      <c r="B45" s="268">
        <f t="shared" si="6"/>
        <v>0</v>
      </c>
      <c r="C45" s="427">
        <v>0</v>
      </c>
      <c r="D45" s="427">
        <v>0</v>
      </c>
      <c r="E45" s="427">
        <v>0</v>
      </c>
      <c r="F45" s="427">
        <v>0</v>
      </c>
      <c r="G45" s="427">
        <v>0</v>
      </c>
      <c r="H45" s="427">
        <v>0</v>
      </c>
      <c r="I45" s="427">
        <v>0</v>
      </c>
      <c r="J45" s="427">
        <v>0</v>
      </c>
      <c r="K45" s="427">
        <v>0</v>
      </c>
      <c r="L45" s="427">
        <v>0</v>
      </c>
      <c r="M45" s="427">
        <v>0</v>
      </c>
      <c r="N45" s="427">
        <v>0</v>
      </c>
      <c r="O45" s="427">
        <v>0</v>
      </c>
      <c r="P45" s="427">
        <v>0</v>
      </c>
      <c r="Q45" s="427">
        <v>0</v>
      </c>
      <c r="R45" s="427">
        <v>0</v>
      </c>
      <c r="S45" s="427">
        <v>0</v>
      </c>
      <c r="T45" s="427">
        <v>0</v>
      </c>
      <c r="U45" s="427">
        <v>0</v>
      </c>
      <c r="V45" s="427">
        <v>0</v>
      </c>
      <c r="W45" s="427">
        <v>0</v>
      </c>
      <c r="X45" s="427">
        <v>0</v>
      </c>
      <c r="Y45" s="427">
        <v>0</v>
      </c>
      <c r="Z45" s="427">
        <v>0</v>
      </c>
      <c r="AA45" s="427">
        <v>0</v>
      </c>
      <c r="AB45" s="427">
        <v>0</v>
      </c>
      <c r="AC45" s="427">
        <v>0</v>
      </c>
      <c r="AD45" s="427">
        <v>0</v>
      </c>
      <c r="AE45" s="427">
        <v>0</v>
      </c>
      <c r="AF45" s="427">
        <v>0</v>
      </c>
      <c r="AG45" s="427">
        <v>0</v>
      </c>
      <c r="AH45" s="282">
        <v>0</v>
      </c>
    </row>
    <row r="46" spans="1:34" ht="13.5">
      <c r="A46" s="179" t="s">
        <v>80</v>
      </c>
      <c r="B46" s="268">
        <f t="shared" si="6"/>
        <v>0</v>
      </c>
      <c r="C46" s="427">
        <v>0</v>
      </c>
      <c r="D46" s="427">
        <v>0</v>
      </c>
      <c r="E46" s="427">
        <v>0</v>
      </c>
      <c r="F46" s="427">
        <v>0</v>
      </c>
      <c r="G46" s="427">
        <v>0</v>
      </c>
      <c r="H46" s="427">
        <v>0</v>
      </c>
      <c r="I46" s="427">
        <v>0</v>
      </c>
      <c r="J46" s="427">
        <v>0</v>
      </c>
      <c r="K46" s="427">
        <v>0</v>
      </c>
      <c r="L46" s="427">
        <v>0</v>
      </c>
      <c r="M46" s="427">
        <v>0</v>
      </c>
      <c r="N46" s="427">
        <v>0</v>
      </c>
      <c r="O46" s="427">
        <v>0</v>
      </c>
      <c r="P46" s="427">
        <v>0</v>
      </c>
      <c r="Q46" s="427">
        <v>0</v>
      </c>
      <c r="R46" s="427">
        <v>0</v>
      </c>
      <c r="S46" s="427">
        <v>0</v>
      </c>
      <c r="T46" s="427">
        <v>0</v>
      </c>
      <c r="U46" s="427">
        <v>0</v>
      </c>
      <c r="V46" s="427">
        <v>0</v>
      </c>
      <c r="W46" s="427">
        <v>0</v>
      </c>
      <c r="X46" s="427">
        <v>0</v>
      </c>
      <c r="Y46" s="427">
        <v>0</v>
      </c>
      <c r="Z46" s="427">
        <v>0</v>
      </c>
      <c r="AA46" s="427">
        <v>0</v>
      </c>
      <c r="AB46" s="427">
        <v>0</v>
      </c>
      <c r="AC46" s="427">
        <v>0</v>
      </c>
      <c r="AD46" s="427">
        <v>0</v>
      </c>
      <c r="AE46" s="427">
        <v>0</v>
      </c>
      <c r="AF46" s="427">
        <v>0</v>
      </c>
      <c r="AG46" s="427">
        <v>0</v>
      </c>
      <c r="AH46" s="282">
        <f t="shared" ref="AH46:AH53" si="7">SUM(C46:AG46)</f>
        <v>0</v>
      </c>
    </row>
    <row r="47" spans="1:34" ht="13.5">
      <c r="A47" s="166" t="s">
        <v>81</v>
      </c>
      <c r="B47" s="268">
        <f t="shared" ref="B47:B52" si="8">+AH47</f>
        <v>0</v>
      </c>
      <c r="C47" s="427">
        <v>0</v>
      </c>
      <c r="D47" s="427">
        <v>0</v>
      </c>
      <c r="E47" s="427">
        <v>0</v>
      </c>
      <c r="F47" s="427">
        <v>0</v>
      </c>
      <c r="G47" s="427">
        <v>0</v>
      </c>
      <c r="H47" s="427">
        <v>0</v>
      </c>
      <c r="I47" s="427">
        <v>0</v>
      </c>
      <c r="J47" s="427">
        <v>0</v>
      </c>
      <c r="K47" s="427">
        <v>0</v>
      </c>
      <c r="L47" s="427">
        <v>0</v>
      </c>
      <c r="M47" s="427">
        <v>0</v>
      </c>
      <c r="N47" s="427">
        <v>0</v>
      </c>
      <c r="O47" s="427">
        <v>0</v>
      </c>
      <c r="P47" s="427">
        <v>0</v>
      </c>
      <c r="Q47" s="427">
        <v>0</v>
      </c>
      <c r="R47" s="427">
        <v>0</v>
      </c>
      <c r="S47" s="427">
        <v>0</v>
      </c>
      <c r="T47" s="427">
        <v>0</v>
      </c>
      <c r="U47" s="427">
        <v>0</v>
      </c>
      <c r="V47" s="427">
        <v>0</v>
      </c>
      <c r="W47" s="427">
        <v>0</v>
      </c>
      <c r="X47" s="427">
        <v>0</v>
      </c>
      <c r="Y47" s="427">
        <v>0</v>
      </c>
      <c r="Z47" s="427">
        <v>0</v>
      </c>
      <c r="AA47" s="427">
        <v>0</v>
      </c>
      <c r="AB47" s="427">
        <v>0</v>
      </c>
      <c r="AC47" s="427">
        <v>0</v>
      </c>
      <c r="AD47" s="427">
        <v>0</v>
      </c>
      <c r="AE47" s="427">
        <v>0</v>
      </c>
      <c r="AF47" s="427">
        <v>0</v>
      </c>
      <c r="AG47" s="427">
        <v>0</v>
      </c>
      <c r="AH47" s="282">
        <f t="shared" si="7"/>
        <v>0</v>
      </c>
    </row>
    <row r="48" spans="1:34" ht="13.5">
      <c r="A48" s="166" t="s">
        <v>82</v>
      </c>
      <c r="B48" s="268">
        <f t="shared" si="8"/>
        <v>0</v>
      </c>
      <c r="C48" s="427">
        <v>0</v>
      </c>
      <c r="D48" s="427">
        <v>0</v>
      </c>
      <c r="E48" s="427">
        <v>0</v>
      </c>
      <c r="F48" s="427">
        <v>0</v>
      </c>
      <c r="G48" s="427">
        <v>0</v>
      </c>
      <c r="H48" s="427">
        <v>0</v>
      </c>
      <c r="I48" s="427">
        <v>0</v>
      </c>
      <c r="J48" s="427">
        <v>0</v>
      </c>
      <c r="K48" s="427">
        <v>0</v>
      </c>
      <c r="L48" s="427">
        <v>0</v>
      </c>
      <c r="M48" s="427">
        <v>0</v>
      </c>
      <c r="N48" s="427">
        <v>0</v>
      </c>
      <c r="O48" s="427">
        <v>0</v>
      </c>
      <c r="P48" s="427">
        <v>0</v>
      </c>
      <c r="Q48" s="427">
        <v>0</v>
      </c>
      <c r="R48" s="427">
        <v>0</v>
      </c>
      <c r="S48" s="427">
        <v>0</v>
      </c>
      <c r="T48" s="427">
        <v>0</v>
      </c>
      <c r="U48" s="427">
        <v>0</v>
      </c>
      <c r="V48" s="427">
        <v>0</v>
      </c>
      <c r="W48" s="427">
        <v>0</v>
      </c>
      <c r="X48" s="427">
        <v>0</v>
      </c>
      <c r="Y48" s="427">
        <v>0</v>
      </c>
      <c r="Z48" s="427">
        <v>0</v>
      </c>
      <c r="AA48" s="427">
        <v>0</v>
      </c>
      <c r="AB48" s="427">
        <v>0</v>
      </c>
      <c r="AC48" s="427">
        <v>0</v>
      </c>
      <c r="AD48" s="427">
        <v>0</v>
      </c>
      <c r="AE48" s="427">
        <v>0</v>
      </c>
      <c r="AF48" s="427">
        <v>0</v>
      </c>
      <c r="AG48" s="427">
        <v>0</v>
      </c>
      <c r="AH48" s="282">
        <f t="shared" si="7"/>
        <v>0</v>
      </c>
    </row>
    <row r="49" spans="1:34" ht="13.5">
      <c r="A49" s="166" t="s">
        <v>83</v>
      </c>
      <c r="B49" s="268">
        <f t="shared" si="8"/>
        <v>0</v>
      </c>
      <c r="C49" s="427">
        <v>0</v>
      </c>
      <c r="D49" s="427">
        <v>0</v>
      </c>
      <c r="E49" s="427">
        <v>0</v>
      </c>
      <c r="F49" s="427">
        <v>0</v>
      </c>
      <c r="G49" s="427">
        <v>0</v>
      </c>
      <c r="H49" s="427">
        <v>0</v>
      </c>
      <c r="I49" s="427">
        <v>0</v>
      </c>
      <c r="J49" s="427">
        <v>0</v>
      </c>
      <c r="K49" s="427">
        <v>0</v>
      </c>
      <c r="L49" s="427">
        <v>0</v>
      </c>
      <c r="M49" s="427">
        <v>0</v>
      </c>
      <c r="N49" s="427">
        <v>0</v>
      </c>
      <c r="O49" s="427">
        <v>0</v>
      </c>
      <c r="P49" s="427">
        <v>0</v>
      </c>
      <c r="Q49" s="427">
        <v>0</v>
      </c>
      <c r="R49" s="427">
        <v>0</v>
      </c>
      <c r="S49" s="427">
        <v>0</v>
      </c>
      <c r="T49" s="427">
        <v>0</v>
      </c>
      <c r="U49" s="427">
        <v>0</v>
      </c>
      <c r="V49" s="427">
        <v>0</v>
      </c>
      <c r="W49" s="427">
        <v>0</v>
      </c>
      <c r="X49" s="427">
        <v>0</v>
      </c>
      <c r="Y49" s="427">
        <v>0</v>
      </c>
      <c r="Z49" s="427">
        <v>0</v>
      </c>
      <c r="AA49" s="427">
        <v>0</v>
      </c>
      <c r="AB49" s="427">
        <v>0</v>
      </c>
      <c r="AC49" s="427">
        <v>0</v>
      </c>
      <c r="AD49" s="427">
        <v>0</v>
      </c>
      <c r="AE49" s="427">
        <v>0</v>
      </c>
      <c r="AF49" s="427">
        <v>0</v>
      </c>
      <c r="AG49" s="427">
        <v>0</v>
      </c>
      <c r="AH49" s="282">
        <f t="shared" si="7"/>
        <v>0</v>
      </c>
    </row>
    <row r="50" spans="1:34" ht="13.5">
      <c r="A50" s="192" t="s">
        <v>84</v>
      </c>
      <c r="B50" s="268">
        <f t="shared" si="8"/>
        <v>0</v>
      </c>
      <c r="C50" s="427">
        <v>0</v>
      </c>
      <c r="D50" s="427">
        <v>0</v>
      </c>
      <c r="E50" s="427">
        <v>0</v>
      </c>
      <c r="F50" s="427">
        <v>0</v>
      </c>
      <c r="G50" s="427">
        <v>0</v>
      </c>
      <c r="H50" s="427">
        <v>0</v>
      </c>
      <c r="I50" s="427">
        <v>0</v>
      </c>
      <c r="J50" s="427">
        <v>0</v>
      </c>
      <c r="K50" s="427">
        <v>0</v>
      </c>
      <c r="L50" s="427">
        <v>0</v>
      </c>
      <c r="M50" s="427">
        <v>0</v>
      </c>
      <c r="N50" s="427">
        <v>0</v>
      </c>
      <c r="O50" s="427">
        <v>0</v>
      </c>
      <c r="P50" s="427">
        <v>0</v>
      </c>
      <c r="Q50" s="427">
        <v>0</v>
      </c>
      <c r="R50" s="427">
        <v>0</v>
      </c>
      <c r="S50" s="427">
        <v>0</v>
      </c>
      <c r="T50" s="427">
        <v>0</v>
      </c>
      <c r="U50" s="427">
        <v>0</v>
      </c>
      <c r="V50" s="427">
        <v>0</v>
      </c>
      <c r="W50" s="427">
        <v>0</v>
      </c>
      <c r="X50" s="427">
        <v>0</v>
      </c>
      <c r="Y50" s="427">
        <v>0</v>
      </c>
      <c r="Z50" s="427">
        <v>0</v>
      </c>
      <c r="AA50" s="427">
        <v>0</v>
      </c>
      <c r="AB50" s="427">
        <v>0</v>
      </c>
      <c r="AC50" s="427">
        <v>0</v>
      </c>
      <c r="AD50" s="427">
        <v>0</v>
      </c>
      <c r="AE50" s="427">
        <v>0</v>
      </c>
      <c r="AF50" s="427">
        <v>0</v>
      </c>
      <c r="AG50" s="927">
        <v>0</v>
      </c>
      <c r="AH50" s="282">
        <f t="shared" si="7"/>
        <v>0</v>
      </c>
    </row>
    <row r="51" spans="1:34" ht="13.5">
      <c r="A51" s="192" t="s">
        <v>85</v>
      </c>
      <c r="B51" s="268">
        <f t="shared" si="8"/>
        <v>0</v>
      </c>
      <c r="C51" s="1291"/>
      <c r="D51" s="1291"/>
      <c r="E51" s="1291"/>
      <c r="F51" s="1291"/>
      <c r="G51" s="1291"/>
      <c r="H51" s="1291"/>
      <c r="I51" s="1291"/>
      <c r="J51" s="1291"/>
      <c r="K51" s="1291"/>
      <c r="L51" s="1291"/>
      <c r="M51" s="1291"/>
      <c r="N51" s="1291"/>
      <c r="O51" s="1291"/>
      <c r="P51" s="1384"/>
      <c r="Q51" s="1291"/>
      <c r="R51" s="1291"/>
      <c r="S51" s="1291"/>
      <c r="T51" s="1291"/>
      <c r="U51" s="1384"/>
      <c r="V51" s="1291"/>
      <c r="W51" s="1291"/>
      <c r="X51" s="1291"/>
      <c r="Y51" s="1291"/>
      <c r="Z51" s="1291"/>
      <c r="AA51" s="1291"/>
      <c r="AB51" s="1291"/>
      <c r="AC51" s="1291"/>
      <c r="AD51" s="1291"/>
      <c r="AE51" s="1291"/>
      <c r="AF51" s="1291"/>
      <c r="AG51" s="1291"/>
      <c r="AH51" s="282">
        <f t="shared" si="7"/>
        <v>0</v>
      </c>
    </row>
    <row r="52" spans="1:34" ht="13.5">
      <c r="A52" s="192" t="s">
        <v>86</v>
      </c>
      <c r="B52" s="268">
        <f t="shared" si="8"/>
        <v>0</v>
      </c>
      <c r="C52" s="927"/>
      <c r="D52" s="927"/>
      <c r="E52" s="927"/>
      <c r="F52" s="927"/>
      <c r="G52" s="927"/>
      <c r="H52" s="927"/>
      <c r="I52" s="927"/>
      <c r="J52" s="927"/>
      <c r="K52" s="927"/>
      <c r="L52" s="927"/>
      <c r="M52" s="927"/>
      <c r="N52" s="927"/>
      <c r="O52" s="927"/>
      <c r="P52" s="927"/>
      <c r="Q52" s="927"/>
      <c r="R52" s="927"/>
      <c r="S52" s="927"/>
      <c r="T52" s="927"/>
      <c r="U52" s="927"/>
      <c r="V52" s="927"/>
      <c r="W52" s="927"/>
      <c r="X52" s="927"/>
      <c r="Y52" s="927"/>
      <c r="Z52" s="927"/>
      <c r="AA52" s="927"/>
      <c r="AB52" s="927"/>
      <c r="AC52" s="927"/>
      <c r="AD52" s="927"/>
      <c r="AE52" s="927"/>
      <c r="AF52" s="927"/>
      <c r="AG52" s="927"/>
      <c r="AH52" s="282">
        <f t="shared" si="7"/>
        <v>0</v>
      </c>
    </row>
    <row r="53" spans="1:34" ht="14.25" thickBot="1">
      <c r="A53" s="1150" t="s">
        <v>52</v>
      </c>
      <c r="B53" s="1151">
        <f>SUM(B41:B52)</f>
        <v>0</v>
      </c>
      <c r="C53" s="431"/>
      <c r="D53" s="431"/>
      <c r="E53" s="431"/>
      <c r="F53" s="431"/>
      <c r="G53" s="431"/>
      <c r="H53" s="431"/>
      <c r="I53" s="431"/>
      <c r="J53" s="431"/>
      <c r="K53" s="431"/>
      <c r="L53" s="431"/>
      <c r="M53" s="431"/>
      <c r="N53" s="431"/>
      <c r="O53" s="431"/>
      <c r="P53" s="431"/>
      <c r="Q53" s="431"/>
      <c r="R53" s="431"/>
      <c r="S53" s="431"/>
      <c r="T53" s="285"/>
      <c r="U53" s="285"/>
      <c r="V53" s="285"/>
      <c r="W53" s="285"/>
      <c r="X53" s="285"/>
      <c r="Y53" s="285"/>
      <c r="Z53" s="285"/>
      <c r="AA53" s="285"/>
      <c r="AB53" s="285"/>
      <c r="AC53" s="285"/>
      <c r="AD53" s="285"/>
      <c r="AE53" s="285"/>
      <c r="AF53" s="285"/>
      <c r="AG53" s="285"/>
      <c r="AH53" s="282">
        <f t="shared" si="7"/>
        <v>0</v>
      </c>
    </row>
    <row r="54" spans="1:34" ht="13.5">
      <c r="A54" s="1152" t="s">
        <v>149</v>
      </c>
      <c r="B54" s="1153"/>
    </row>
    <row r="55" spans="1:34" ht="14.25" thickBot="1">
      <c r="A55" s="1154" t="s">
        <v>478</v>
      </c>
      <c r="B55" s="1552">
        <f>+B54-B53</f>
        <v>0</v>
      </c>
      <c r="C55" s="1443"/>
    </row>
    <row r="56" spans="1:34" ht="13.5">
      <c r="A56" s="440"/>
      <c r="B56" s="441"/>
    </row>
    <row r="57" spans="1:34" s="1284" customFormat="1" ht="13.5">
      <c r="A57" s="1281" t="s">
        <v>504</v>
      </c>
      <c r="B57" s="1282"/>
      <c r="C57" s="1283"/>
      <c r="D57" s="278"/>
      <c r="E57" s="278"/>
      <c r="F57" s="278"/>
      <c r="G57" s="278"/>
      <c r="H57" s="278"/>
      <c r="I57" s="278"/>
      <c r="J57" s="278"/>
      <c r="K57" s="278"/>
      <c r="L57" s="278"/>
      <c r="M57" s="279"/>
      <c r="N57" s="278"/>
      <c r="O57" s="278"/>
      <c r="P57" s="278"/>
      <c r="Q57" s="278"/>
      <c r="R57" s="278"/>
      <c r="S57" s="278"/>
      <c r="T57" s="278"/>
      <c r="U57" s="278"/>
      <c r="V57" s="278"/>
      <c r="W57" s="278"/>
      <c r="X57" s="278"/>
      <c r="Y57" s="278"/>
      <c r="Z57" s="278"/>
      <c r="AA57" s="278"/>
      <c r="AB57" s="278"/>
      <c r="AC57" s="278"/>
      <c r="AD57" s="278"/>
      <c r="AE57" s="278"/>
      <c r="AF57" s="278"/>
      <c r="AG57" s="278"/>
      <c r="AH57" s="210"/>
    </row>
    <row r="58" spans="1:34" s="1284" customFormat="1" ht="13.5">
      <c r="A58" s="178" t="s">
        <v>72</v>
      </c>
      <c r="B58" s="280" t="s">
        <v>73</v>
      </c>
      <c r="C58" s="426">
        <v>1</v>
      </c>
      <c r="D58" s="426">
        <v>2</v>
      </c>
      <c r="E58" s="426">
        <v>3</v>
      </c>
      <c r="F58" s="426">
        <v>4</v>
      </c>
      <c r="G58" s="426">
        <v>5</v>
      </c>
      <c r="H58" s="426">
        <v>6</v>
      </c>
      <c r="I58" s="426">
        <v>7</v>
      </c>
      <c r="J58" s="426">
        <v>8</v>
      </c>
      <c r="K58" s="426">
        <v>9</v>
      </c>
      <c r="L58" s="426">
        <v>10</v>
      </c>
      <c r="M58" s="426">
        <v>11</v>
      </c>
      <c r="N58" s="426">
        <v>12</v>
      </c>
      <c r="O58" s="426">
        <v>13</v>
      </c>
      <c r="P58" s="426">
        <v>14</v>
      </c>
      <c r="Q58" s="426">
        <v>15</v>
      </c>
      <c r="R58" s="426">
        <v>16</v>
      </c>
      <c r="S58" s="426">
        <v>17</v>
      </c>
      <c r="T58" s="294">
        <v>18</v>
      </c>
      <c r="U58" s="294">
        <v>19</v>
      </c>
      <c r="V58" s="294">
        <v>20</v>
      </c>
      <c r="W58" s="294">
        <v>21</v>
      </c>
      <c r="X58" s="294">
        <v>22</v>
      </c>
      <c r="Y58" s="294">
        <v>23</v>
      </c>
      <c r="Z58" s="294">
        <v>24</v>
      </c>
      <c r="AA58" s="294">
        <v>25</v>
      </c>
      <c r="AB58" s="294">
        <v>26</v>
      </c>
      <c r="AC58" s="294">
        <v>27</v>
      </c>
      <c r="AD58" s="294">
        <v>28</v>
      </c>
      <c r="AE58" s="294">
        <v>29</v>
      </c>
      <c r="AF58" s="294">
        <v>30</v>
      </c>
      <c r="AG58" s="294">
        <v>31</v>
      </c>
      <c r="AH58" s="281" t="s">
        <v>52</v>
      </c>
    </row>
    <row r="59" spans="1:34" s="1284" customFormat="1" ht="13.5">
      <c r="A59" s="179" t="s">
        <v>75</v>
      </c>
      <c r="B59" s="268">
        <f t="shared" ref="B59:B70" si="9">+AH59</f>
        <v>0</v>
      </c>
      <c r="C59" s="427">
        <v>0</v>
      </c>
      <c r="D59" s="427">
        <v>0</v>
      </c>
      <c r="E59" s="427">
        <v>0</v>
      </c>
      <c r="F59" s="427">
        <v>0</v>
      </c>
      <c r="G59" s="427">
        <v>0</v>
      </c>
      <c r="H59" s="427">
        <v>0</v>
      </c>
      <c r="I59" s="427">
        <v>0</v>
      </c>
      <c r="J59" s="427">
        <v>0</v>
      </c>
      <c r="K59" s="427">
        <v>0</v>
      </c>
      <c r="L59" s="427">
        <v>0</v>
      </c>
      <c r="M59" s="427">
        <v>0</v>
      </c>
      <c r="N59" s="427">
        <v>0</v>
      </c>
      <c r="O59" s="427">
        <v>0</v>
      </c>
      <c r="P59" s="427">
        <v>0</v>
      </c>
      <c r="Q59" s="427">
        <v>0</v>
      </c>
      <c r="R59" s="427">
        <v>0</v>
      </c>
      <c r="S59" s="427">
        <v>0</v>
      </c>
      <c r="T59" s="427">
        <v>0</v>
      </c>
      <c r="U59" s="427">
        <v>0</v>
      </c>
      <c r="V59" s="427">
        <v>0</v>
      </c>
      <c r="W59" s="427">
        <v>0</v>
      </c>
      <c r="X59" s="427">
        <v>0</v>
      </c>
      <c r="Y59" s="427">
        <v>0</v>
      </c>
      <c r="Z59" s="427">
        <v>0</v>
      </c>
      <c r="AA59" s="427">
        <v>0</v>
      </c>
      <c r="AB59" s="427">
        <v>0</v>
      </c>
      <c r="AC59" s="427">
        <v>0</v>
      </c>
      <c r="AD59" s="427">
        <v>0</v>
      </c>
      <c r="AE59" s="427">
        <v>0</v>
      </c>
      <c r="AF59" s="427">
        <v>0</v>
      </c>
      <c r="AG59" s="427">
        <v>0</v>
      </c>
      <c r="AH59" s="282">
        <f>SUM(C59:AG59)</f>
        <v>0</v>
      </c>
    </row>
    <row r="60" spans="1:34" s="1284" customFormat="1" ht="13.5">
      <c r="A60" s="179" t="s">
        <v>76</v>
      </c>
      <c r="B60" s="268">
        <f t="shared" si="9"/>
        <v>0</v>
      </c>
      <c r="C60" s="427">
        <v>0</v>
      </c>
      <c r="D60" s="427">
        <v>0</v>
      </c>
      <c r="E60" s="427">
        <v>0</v>
      </c>
      <c r="F60" s="427">
        <v>0</v>
      </c>
      <c r="G60" s="427">
        <v>0</v>
      </c>
      <c r="H60" s="427">
        <v>0</v>
      </c>
      <c r="I60" s="427">
        <v>0</v>
      </c>
      <c r="J60" s="427">
        <v>0</v>
      </c>
      <c r="K60" s="427">
        <v>0</v>
      </c>
      <c r="L60" s="427">
        <v>0</v>
      </c>
      <c r="M60" s="427">
        <v>0</v>
      </c>
      <c r="N60" s="427">
        <v>0</v>
      </c>
      <c r="O60" s="427">
        <v>0</v>
      </c>
      <c r="P60" s="427">
        <v>0</v>
      </c>
      <c r="Q60" s="427">
        <v>0</v>
      </c>
      <c r="R60" s="427">
        <v>0</v>
      </c>
      <c r="S60" s="427">
        <v>0</v>
      </c>
      <c r="T60" s="427">
        <v>0</v>
      </c>
      <c r="U60" s="427">
        <v>0</v>
      </c>
      <c r="V60" s="427">
        <v>0</v>
      </c>
      <c r="W60" s="427">
        <v>0</v>
      </c>
      <c r="X60" s="427">
        <v>0</v>
      </c>
      <c r="Y60" s="427">
        <v>0</v>
      </c>
      <c r="Z60" s="427">
        <v>0</v>
      </c>
      <c r="AA60" s="427">
        <v>0</v>
      </c>
      <c r="AB60" s="427">
        <v>0</v>
      </c>
      <c r="AC60" s="427">
        <v>0</v>
      </c>
      <c r="AD60" s="427">
        <v>0</v>
      </c>
      <c r="AE60" s="427">
        <v>0</v>
      </c>
      <c r="AF60" s="427">
        <v>0</v>
      </c>
      <c r="AG60" s="427">
        <v>0</v>
      </c>
      <c r="AH60" s="282">
        <f>SUM(C60:AG60)</f>
        <v>0</v>
      </c>
    </row>
    <row r="61" spans="1:34" s="1284" customFormat="1" ht="13.5">
      <c r="A61" s="179" t="s">
        <v>77</v>
      </c>
      <c r="B61" s="268">
        <f t="shared" si="9"/>
        <v>0</v>
      </c>
      <c r="C61" s="427">
        <v>0</v>
      </c>
      <c r="D61" s="427">
        <v>0</v>
      </c>
      <c r="E61" s="427">
        <v>0</v>
      </c>
      <c r="F61" s="427">
        <v>0</v>
      </c>
      <c r="G61" s="427">
        <v>0</v>
      </c>
      <c r="H61" s="427">
        <v>0</v>
      </c>
      <c r="I61" s="427">
        <v>0</v>
      </c>
      <c r="J61" s="427">
        <v>0</v>
      </c>
      <c r="K61" s="427">
        <v>0</v>
      </c>
      <c r="L61" s="427">
        <v>0</v>
      </c>
      <c r="M61" s="427">
        <v>0</v>
      </c>
      <c r="N61" s="427">
        <v>0</v>
      </c>
      <c r="O61" s="427">
        <v>0</v>
      </c>
      <c r="P61" s="427">
        <v>0</v>
      </c>
      <c r="Q61" s="427">
        <v>0</v>
      </c>
      <c r="R61" s="427">
        <v>0</v>
      </c>
      <c r="S61" s="427">
        <v>0</v>
      </c>
      <c r="T61" s="427">
        <v>0</v>
      </c>
      <c r="U61" s="427">
        <v>0</v>
      </c>
      <c r="V61" s="427">
        <v>0</v>
      </c>
      <c r="W61" s="427">
        <v>0</v>
      </c>
      <c r="X61" s="427">
        <v>0</v>
      </c>
      <c r="Y61" s="427">
        <v>0</v>
      </c>
      <c r="Z61" s="427">
        <v>0</v>
      </c>
      <c r="AA61" s="427">
        <v>0</v>
      </c>
      <c r="AB61" s="427">
        <v>0</v>
      </c>
      <c r="AC61" s="427">
        <v>0</v>
      </c>
      <c r="AD61" s="427">
        <v>0</v>
      </c>
      <c r="AE61" s="427">
        <v>0</v>
      </c>
      <c r="AF61" s="427">
        <v>0</v>
      </c>
      <c r="AG61" s="427">
        <v>0</v>
      </c>
      <c r="AH61" s="282">
        <f>SUM(C61:AG61)</f>
        <v>0</v>
      </c>
    </row>
    <row r="62" spans="1:34" s="1284" customFormat="1" ht="13.5">
      <c r="A62" s="179" t="s">
        <v>78</v>
      </c>
      <c r="B62" s="268">
        <f t="shared" si="9"/>
        <v>0</v>
      </c>
      <c r="C62" s="427">
        <v>0</v>
      </c>
      <c r="D62" s="427">
        <v>0</v>
      </c>
      <c r="E62" s="427">
        <v>0</v>
      </c>
      <c r="F62" s="427">
        <v>0</v>
      </c>
      <c r="G62" s="427">
        <v>0</v>
      </c>
      <c r="H62" s="427">
        <v>0</v>
      </c>
      <c r="I62" s="427">
        <v>0</v>
      </c>
      <c r="J62" s="427">
        <v>0</v>
      </c>
      <c r="K62" s="427">
        <v>0</v>
      </c>
      <c r="L62" s="427">
        <v>0</v>
      </c>
      <c r="M62" s="427">
        <v>0</v>
      </c>
      <c r="N62" s="427">
        <v>0</v>
      </c>
      <c r="O62" s="427">
        <v>0</v>
      </c>
      <c r="P62" s="427">
        <v>0</v>
      </c>
      <c r="Q62" s="427">
        <v>0</v>
      </c>
      <c r="R62" s="427">
        <v>0</v>
      </c>
      <c r="S62" s="427">
        <v>0</v>
      </c>
      <c r="T62" s="427">
        <v>0</v>
      </c>
      <c r="U62" s="427">
        <v>0</v>
      </c>
      <c r="V62" s="427">
        <v>0</v>
      </c>
      <c r="W62" s="427">
        <v>0</v>
      </c>
      <c r="X62" s="427">
        <v>0</v>
      </c>
      <c r="Y62" s="427">
        <v>0</v>
      </c>
      <c r="Z62" s="427">
        <v>0</v>
      </c>
      <c r="AA62" s="427">
        <v>0</v>
      </c>
      <c r="AB62" s="427">
        <v>0</v>
      </c>
      <c r="AC62" s="427">
        <v>0</v>
      </c>
      <c r="AD62" s="427">
        <v>0</v>
      </c>
      <c r="AE62" s="427">
        <v>0</v>
      </c>
      <c r="AF62" s="427">
        <v>0</v>
      </c>
      <c r="AG62" s="427">
        <v>0</v>
      </c>
      <c r="AH62" s="282">
        <f>SUM(C62:AG62)</f>
        <v>0</v>
      </c>
    </row>
    <row r="63" spans="1:34" s="1284" customFormat="1" ht="13.5">
      <c r="A63" s="179" t="s">
        <v>79</v>
      </c>
      <c r="B63" s="268">
        <f t="shared" si="9"/>
        <v>0</v>
      </c>
      <c r="C63" s="427">
        <v>0</v>
      </c>
      <c r="D63" s="427">
        <v>0</v>
      </c>
      <c r="E63" s="427">
        <v>0</v>
      </c>
      <c r="F63" s="427">
        <v>0</v>
      </c>
      <c r="G63" s="427">
        <v>0</v>
      </c>
      <c r="H63" s="427">
        <v>0</v>
      </c>
      <c r="I63" s="427">
        <v>0</v>
      </c>
      <c r="J63" s="427">
        <v>0</v>
      </c>
      <c r="K63" s="427">
        <v>0</v>
      </c>
      <c r="L63" s="427">
        <v>0</v>
      </c>
      <c r="M63" s="427">
        <v>0</v>
      </c>
      <c r="N63" s="427">
        <v>0</v>
      </c>
      <c r="O63" s="427">
        <v>0</v>
      </c>
      <c r="P63" s="427">
        <v>0</v>
      </c>
      <c r="Q63" s="427">
        <v>0</v>
      </c>
      <c r="R63" s="427">
        <v>0</v>
      </c>
      <c r="S63" s="427">
        <v>0</v>
      </c>
      <c r="T63" s="427">
        <v>0</v>
      </c>
      <c r="U63" s="427">
        <v>0</v>
      </c>
      <c r="V63" s="427">
        <v>0</v>
      </c>
      <c r="W63" s="427">
        <v>0</v>
      </c>
      <c r="X63" s="427">
        <v>0</v>
      </c>
      <c r="Y63" s="427">
        <v>0</v>
      </c>
      <c r="Z63" s="427">
        <v>0</v>
      </c>
      <c r="AA63" s="427">
        <v>0</v>
      </c>
      <c r="AB63" s="427">
        <v>0</v>
      </c>
      <c r="AC63" s="427">
        <v>0</v>
      </c>
      <c r="AD63" s="427">
        <v>0</v>
      </c>
      <c r="AE63" s="427">
        <v>0</v>
      </c>
      <c r="AF63" s="427">
        <v>0</v>
      </c>
      <c r="AG63" s="427">
        <v>0</v>
      </c>
      <c r="AH63" s="282">
        <v>0</v>
      </c>
    </row>
    <row r="64" spans="1:34" s="1284" customFormat="1" ht="13.5">
      <c r="A64" s="179" t="s">
        <v>80</v>
      </c>
      <c r="B64" s="268">
        <f t="shared" si="9"/>
        <v>0</v>
      </c>
      <c r="C64" s="427">
        <v>0</v>
      </c>
      <c r="D64" s="427">
        <v>0</v>
      </c>
      <c r="E64" s="427">
        <v>0</v>
      </c>
      <c r="F64" s="427">
        <v>0</v>
      </c>
      <c r="G64" s="427">
        <v>0</v>
      </c>
      <c r="H64" s="427">
        <v>0</v>
      </c>
      <c r="I64" s="427">
        <v>0</v>
      </c>
      <c r="J64" s="427">
        <v>0</v>
      </c>
      <c r="K64" s="427">
        <v>0</v>
      </c>
      <c r="L64" s="427">
        <v>0</v>
      </c>
      <c r="M64" s="427">
        <v>0</v>
      </c>
      <c r="N64" s="427">
        <v>0</v>
      </c>
      <c r="O64" s="427">
        <v>0</v>
      </c>
      <c r="P64" s="427">
        <v>0</v>
      </c>
      <c r="Q64" s="427">
        <v>0</v>
      </c>
      <c r="R64" s="427">
        <v>0</v>
      </c>
      <c r="S64" s="427">
        <v>0</v>
      </c>
      <c r="T64" s="427">
        <v>0</v>
      </c>
      <c r="U64" s="427">
        <v>0</v>
      </c>
      <c r="V64" s="427">
        <v>0</v>
      </c>
      <c r="W64" s="427">
        <v>0</v>
      </c>
      <c r="X64" s="427">
        <v>0</v>
      </c>
      <c r="Y64" s="427">
        <v>0</v>
      </c>
      <c r="Z64" s="427">
        <v>0</v>
      </c>
      <c r="AA64" s="427">
        <v>0</v>
      </c>
      <c r="AB64" s="427">
        <v>0</v>
      </c>
      <c r="AC64" s="427">
        <v>0</v>
      </c>
      <c r="AD64" s="427">
        <v>0</v>
      </c>
      <c r="AE64" s="427">
        <v>0</v>
      </c>
      <c r="AF64" s="427">
        <v>0</v>
      </c>
      <c r="AG64" s="427">
        <v>0</v>
      </c>
      <c r="AH64" s="282">
        <f t="shared" ref="AH64:AH71" si="10">SUM(C64:AG64)</f>
        <v>0</v>
      </c>
    </row>
    <row r="65" spans="1:34" s="1284" customFormat="1" ht="13.5">
      <c r="A65" s="166" t="s">
        <v>81</v>
      </c>
      <c r="B65" s="268">
        <f t="shared" si="9"/>
        <v>0</v>
      </c>
      <c r="C65" s="427">
        <v>0</v>
      </c>
      <c r="D65" s="427">
        <v>0</v>
      </c>
      <c r="E65" s="427">
        <v>0</v>
      </c>
      <c r="F65" s="427">
        <v>0</v>
      </c>
      <c r="G65" s="427">
        <v>0</v>
      </c>
      <c r="H65" s="427">
        <v>0</v>
      </c>
      <c r="I65" s="427">
        <v>0</v>
      </c>
      <c r="J65" s="427">
        <v>0</v>
      </c>
      <c r="K65" s="427">
        <v>0</v>
      </c>
      <c r="L65" s="427">
        <v>0</v>
      </c>
      <c r="M65" s="427">
        <v>0</v>
      </c>
      <c r="N65" s="427">
        <v>0</v>
      </c>
      <c r="O65" s="427">
        <v>0</v>
      </c>
      <c r="P65" s="427">
        <v>0</v>
      </c>
      <c r="Q65" s="427">
        <v>0</v>
      </c>
      <c r="R65" s="427">
        <v>0</v>
      </c>
      <c r="S65" s="427">
        <v>0</v>
      </c>
      <c r="T65" s="427">
        <v>0</v>
      </c>
      <c r="U65" s="427">
        <v>0</v>
      </c>
      <c r="V65" s="427">
        <v>0</v>
      </c>
      <c r="W65" s="427">
        <v>0</v>
      </c>
      <c r="X65" s="427">
        <v>0</v>
      </c>
      <c r="Y65" s="427">
        <v>0</v>
      </c>
      <c r="Z65" s="427">
        <v>0</v>
      </c>
      <c r="AA65" s="427">
        <v>0</v>
      </c>
      <c r="AB65" s="427">
        <v>0</v>
      </c>
      <c r="AC65" s="427">
        <v>0</v>
      </c>
      <c r="AD65" s="427">
        <v>0</v>
      </c>
      <c r="AE65" s="427">
        <v>0</v>
      </c>
      <c r="AF65" s="427">
        <v>0</v>
      </c>
      <c r="AG65" s="427">
        <v>0</v>
      </c>
      <c r="AH65" s="282">
        <f t="shared" si="10"/>
        <v>0</v>
      </c>
    </row>
    <row r="66" spans="1:34" s="1284" customFormat="1" ht="13.5">
      <c r="A66" s="166" t="s">
        <v>82</v>
      </c>
      <c r="B66" s="268">
        <f t="shared" si="9"/>
        <v>0</v>
      </c>
      <c r="C66" s="427">
        <v>0</v>
      </c>
      <c r="D66" s="427">
        <v>0</v>
      </c>
      <c r="E66" s="427">
        <v>0</v>
      </c>
      <c r="F66" s="427">
        <v>0</v>
      </c>
      <c r="G66" s="427">
        <v>0</v>
      </c>
      <c r="H66" s="427">
        <v>0</v>
      </c>
      <c r="I66" s="427">
        <v>0</v>
      </c>
      <c r="J66" s="427">
        <v>0</v>
      </c>
      <c r="K66" s="427">
        <v>0</v>
      </c>
      <c r="L66" s="427">
        <v>0</v>
      </c>
      <c r="M66" s="427">
        <v>0</v>
      </c>
      <c r="N66" s="427">
        <v>0</v>
      </c>
      <c r="O66" s="427">
        <v>0</v>
      </c>
      <c r="P66" s="427">
        <v>0</v>
      </c>
      <c r="Q66" s="427">
        <v>0</v>
      </c>
      <c r="R66" s="427">
        <v>0</v>
      </c>
      <c r="S66" s="427">
        <v>0</v>
      </c>
      <c r="T66" s="427">
        <v>0</v>
      </c>
      <c r="U66" s="427">
        <v>0</v>
      </c>
      <c r="V66" s="427">
        <v>0</v>
      </c>
      <c r="W66" s="427">
        <v>0</v>
      </c>
      <c r="X66" s="427">
        <v>0</v>
      </c>
      <c r="Y66" s="427">
        <v>0</v>
      </c>
      <c r="Z66" s="427">
        <v>0</v>
      </c>
      <c r="AA66" s="427">
        <v>0</v>
      </c>
      <c r="AB66" s="427">
        <v>0</v>
      </c>
      <c r="AC66" s="427">
        <v>0</v>
      </c>
      <c r="AD66" s="427">
        <v>0</v>
      </c>
      <c r="AE66" s="427">
        <v>0</v>
      </c>
      <c r="AF66" s="427">
        <v>0</v>
      </c>
      <c r="AG66" s="427">
        <v>0</v>
      </c>
      <c r="AH66" s="282">
        <f t="shared" si="10"/>
        <v>0</v>
      </c>
    </row>
    <row r="67" spans="1:34" s="1284" customFormat="1" ht="13.5">
      <c r="A67" s="166" t="s">
        <v>83</v>
      </c>
      <c r="B67" s="268">
        <f t="shared" si="9"/>
        <v>0</v>
      </c>
      <c r="C67" s="427">
        <v>0</v>
      </c>
      <c r="D67" s="427">
        <v>0</v>
      </c>
      <c r="E67" s="427">
        <v>0</v>
      </c>
      <c r="F67" s="427">
        <v>0</v>
      </c>
      <c r="G67" s="427">
        <v>0</v>
      </c>
      <c r="H67" s="427">
        <v>0</v>
      </c>
      <c r="I67" s="427">
        <v>0</v>
      </c>
      <c r="J67" s="427">
        <v>0</v>
      </c>
      <c r="K67" s="427">
        <v>0</v>
      </c>
      <c r="L67" s="427">
        <v>0</v>
      </c>
      <c r="M67" s="427">
        <v>0</v>
      </c>
      <c r="N67" s="427">
        <v>0</v>
      </c>
      <c r="O67" s="427">
        <v>0</v>
      </c>
      <c r="P67" s="427">
        <v>0</v>
      </c>
      <c r="Q67" s="427">
        <v>0</v>
      </c>
      <c r="R67" s="427">
        <v>0</v>
      </c>
      <c r="S67" s="427">
        <v>0</v>
      </c>
      <c r="T67" s="427">
        <v>0</v>
      </c>
      <c r="U67" s="427">
        <v>0</v>
      </c>
      <c r="V67" s="427">
        <v>0</v>
      </c>
      <c r="W67" s="427">
        <v>0</v>
      </c>
      <c r="X67" s="427">
        <v>0</v>
      </c>
      <c r="Y67" s="427">
        <v>0</v>
      </c>
      <c r="Z67" s="427">
        <v>0</v>
      </c>
      <c r="AA67" s="427">
        <v>0</v>
      </c>
      <c r="AB67" s="427">
        <v>0</v>
      </c>
      <c r="AC67" s="427">
        <v>0</v>
      </c>
      <c r="AD67" s="427">
        <v>0</v>
      </c>
      <c r="AE67" s="427">
        <v>0</v>
      </c>
      <c r="AF67" s="427">
        <v>0</v>
      </c>
      <c r="AG67" s="427">
        <v>0</v>
      </c>
      <c r="AH67" s="282">
        <f t="shared" si="10"/>
        <v>0</v>
      </c>
    </row>
    <row r="68" spans="1:34" s="1284" customFormat="1" ht="13.5">
      <c r="A68" s="192" t="s">
        <v>84</v>
      </c>
      <c r="B68" s="268">
        <f t="shared" si="9"/>
        <v>0</v>
      </c>
      <c r="C68" s="427">
        <v>0</v>
      </c>
      <c r="D68" s="427">
        <v>0</v>
      </c>
      <c r="E68" s="427">
        <v>0</v>
      </c>
      <c r="F68" s="427">
        <v>0</v>
      </c>
      <c r="G68" s="427">
        <v>0</v>
      </c>
      <c r="H68" s="427">
        <v>0</v>
      </c>
      <c r="I68" s="427">
        <v>0</v>
      </c>
      <c r="J68" s="427">
        <v>0</v>
      </c>
      <c r="K68" s="427">
        <v>0</v>
      </c>
      <c r="L68" s="427">
        <v>0</v>
      </c>
      <c r="M68" s="427">
        <v>0</v>
      </c>
      <c r="N68" s="427">
        <v>0</v>
      </c>
      <c r="O68" s="427">
        <v>0</v>
      </c>
      <c r="P68" s="427">
        <v>0</v>
      </c>
      <c r="Q68" s="427">
        <v>0</v>
      </c>
      <c r="R68" s="427">
        <v>0</v>
      </c>
      <c r="S68" s="427">
        <v>0</v>
      </c>
      <c r="T68" s="427">
        <v>0</v>
      </c>
      <c r="U68" s="427">
        <v>0</v>
      </c>
      <c r="V68" s="427">
        <v>0</v>
      </c>
      <c r="W68" s="427">
        <v>0</v>
      </c>
      <c r="X68" s="427">
        <v>0</v>
      </c>
      <c r="Y68" s="427">
        <v>0</v>
      </c>
      <c r="Z68" s="427">
        <v>0</v>
      </c>
      <c r="AA68" s="427">
        <v>0</v>
      </c>
      <c r="AB68" s="427">
        <v>0</v>
      </c>
      <c r="AC68" s="427">
        <v>0</v>
      </c>
      <c r="AD68" s="427">
        <v>0</v>
      </c>
      <c r="AE68" s="427">
        <v>0</v>
      </c>
      <c r="AF68" s="427">
        <v>0</v>
      </c>
      <c r="AG68" s="927">
        <v>0</v>
      </c>
      <c r="AH68" s="282">
        <f t="shared" si="10"/>
        <v>0</v>
      </c>
    </row>
    <row r="69" spans="1:34" s="1284" customFormat="1" ht="13.5">
      <c r="A69" s="192" t="s">
        <v>85</v>
      </c>
      <c r="B69" s="268">
        <f t="shared" si="9"/>
        <v>0</v>
      </c>
      <c r="C69" s="1291"/>
      <c r="D69" s="1291"/>
      <c r="E69" s="1291"/>
      <c r="F69" s="1291"/>
      <c r="G69" s="1291"/>
      <c r="H69" s="1291"/>
      <c r="I69" s="1291"/>
      <c r="J69" s="1291"/>
      <c r="K69" s="1291"/>
      <c r="L69" s="1291"/>
      <c r="M69" s="1291"/>
      <c r="N69" s="1291"/>
      <c r="O69" s="1291"/>
      <c r="P69" s="1291"/>
      <c r="Q69" s="1291"/>
      <c r="R69" s="1291"/>
      <c r="S69" s="1291"/>
      <c r="T69" s="1291"/>
      <c r="U69" s="1291"/>
      <c r="V69" s="1291"/>
      <c r="W69" s="1291"/>
      <c r="X69" s="1291"/>
      <c r="Y69" s="1291"/>
      <c r="Z69" s="1291"/>
      <c r="AA69" s="1291"/>
      <c r="AB69" s="1291"/>
      <c r="AC69" s="1291"/>
      <c r="AD69" s="1291"/>
      <c r="AE69" s="1291"/>
      <c r="AF69" s="1291"/>
      <c r="AG69" s="1291"/>
      <c r="AH69" s="282">
        <f t="shared" si="10"/>
        <v>0</v>
      </c>
    </row>
    <row r="70" spans="1:34" s="1284" customFormat="1" ht="13.5">
      <c r="A70" s="192" t="s">
        <v>86</v>
      </c>
      <c r="B70" s="268">
        <f t="shared" si="9"/>
        <v>0</v>
      </c>
      <c r="C70" s="927"/>
      <c r="D70" s="927"/>
      <c r="E70" s="927"/>
      <c r="F70" s="927"/>
      <c r="G70" s="927"/>
      <c r="H70" s="927"/>
      <c r="I70" s="927"/>
      <c r="J70" s="927"/>
      <c r="K70" s="927"/>
      <c r="L70" s="1395"/>
      <c r="M70" s="927"/>
      <c r="N70" s="927"/>
      <c r="O70" s="1382"/>
      <c r="P70" s="927"/>
      <c r="Q70" s="927"/>
      <c r="R70" s="927"/>
      <c r="S70" s="927"/>
      <c r="T70" s="927"/>
      <c r="U70" s="927"/>
      <c r="V70" s="927"/>
      <c r="W70" s="927"/>
      <c r="X70" s="927"/>
      <c r="Y70" s="927"/>
      <c r="Z70" s="927"/>
      <c r="AA70" s="927"/>
      <c r="AB70" s="927"/>
      <c r="AC70" s="927"/>
      <c r="AD70" s="927"/>
      <c r="AE70" s="927"/>
      <c r="AF70" s="927"/>
      <c r="AG70" s="927"/>
      <c r="AH70" s="282">
        <f t="shared" si="10"/>
        <v>0</v>
      </c>
    </row>
    <row r="71" spans="1:34" s="1284" customFormat="1" ht="14.25" thickBot="1">
      <c r="A71" s="1150" t="s">
        <v>52</v>
      </c>
      <c r="B71" s="1151">
        <f>SUM(B59:B70)</f>
        <v>0</v>
      </c>
      <c r="C71" s="431"/>
      <c r="D71" s="431"/>
      <c r="E71" s="431"/>
      <c r="F71" s="431"/>
      <c r="G71" s="431"/>
      <c r="H71" s="431"/>
      <c r="I71" s="431"/>
      <c r="J71" s="431"/>
      <c r="K71" s="431"/>
      <c r="L71" s="431"/>
      <c r="M71" s="431"/>
      <c r="N71" s="431"/>
      <c r="O71" s="431"/>
      <c r="P71" s="431"/>
      <c r="Q71" s="431"/>
      <c r="R71" s="431"/>
      <c r="S71" s="431"/>
      <c r="T71" s="285"/>
      <c r="U71" s="285"/>
      <c r="V71" s="285"/>
      <c r="W71" s="285"/>
      <c r="X71" s="285"/>
      <c r="Y71" s="285"/>
      <c r="Z71" s="285"/>
      <c r="AA71" s="285"/>
      <c r="AB71" s="285"/>
      <c r="AC71" s="285"/>
      <c r="AD71" s="285"/>
      <c r="AE71" s="285"/>
      <c r="AF71" s="285"/>
      <c r="AG71" s="285"/>
      <c r="AH71" s="282">
        <f t="shared" si="10"/>
        <v>0</v>
      </c>
    </row>
    <row r="72" spans="1:34" s="1284" customFormat="1" ht="13.5">
      <c r="A72" s="1152" t="s">
        <v>149</v>
      </c>
      <c r="B72" s="1153"/>
    </row>
    <row r="73" spans="1:34" s="1284" customFormat="1" ht="14.25" thickBot="1">
      <c r="A73" s="1154" t="s">
        <v>478</v>
      </c>
      <c r="B73" s="1552">
        <f>+B72-B71</f>
        <v>0</v>
      </c>
      <c r="C73" s="1443"/>
    </row>
    <row r="74" spans="1:34" s="1440" customFormat="1" ht="13.5">
      <c r="A74" s="440"/>
      <c r="B74" s="1442"/>
      <c r="C74" s="1443"/>
    </row>
    <row r="75" spans="1:34" s="1440" customFormat="1" ht="13.5">
      <c r="A75" s="440"/>
      <c r="B75" s="1442"/>
      <c r="C75" s="1443"/>
    </row>
    <row r="76" spans="1:34" s="1440" customFormat="1" ht="13.5">
      <c r="A76" s="1444" t="s">
        <v>544</v>
      </c>
      <c r="B76" s="1445"/>
      <c r="C76" s="1446"/>
      <c r="D76" s="1447"/>
      <c r="E76" s="278"/>
      <c r="F76" s="278"/>
      <c r="G76" s="278"/>
      <c r="H76" s="278"/>
      <c r="I76" s="278"/>
      <c r="J76" s="278"/>
      <c r="K76" s="278"/>
      <c r="L76" s="278"/>
      <c r="M76" s="279"/>
      <c r="N76" s="278"/>
      <c r="O76" s="278"/>
      <c r="P76" s="278"/>
      <c r="Q76" s="278"/>
      <c r="R76" s="278"/>
      <c r="S76" s="278"/>
      <c r="T76" s="278"/>
      <c r="U76" s="278"/>
      <c r="V76" s="278"/>
      <c r="W76" s="278"/>
      <c r="X76" s="278"/>
      <c r="Y76" s="278"/>
      <c r="Z76" s="278"/>
      <c r="AA76" s="278"/>
      <c r="AB76" s="278"/>
      <c r="AC76" s="278"/>
      <c r="AD76" s="278"/>
      <c r="AE76" s="278"/>
      <c r="AF76" s="278"/>
      <c r="AG76" s="278"/>
      <c r="AH76" s="210"/>
    </row>
    <row r="77" spans="1:34" s="1440" customFormat="1" ht="13.5">
      <c r="A77" s="178" t="s">
        <v>72</v>
      </c>
      <c r="B77" s="280" t="s">
        <v>73</v>
      </c>
      <c r="C77" s="426">
        <v>1</v>
      </c>
      <c r="D77" s="426">
        <v>2</v>
      </c>
      <c r="E77" s="426">
        <v>3</v>
      </c>
      <c r="F77" s="426">
        <v>4</v>
      </c>
      <c r="G77" s="426">
        <v>5</v>
      </c>
      <c r="H77" s="426">
        <v>6</v>
      </c>
      <c r="I77" s="426">
        <v>7</v>
      </c>
      <c r="J77" s="426">
        <v>8</v>
      </c>
      <c r="K77" s="426">
        <v>9</v>
      </c>
      <c r="L77" s="426">
        <v>10</v>
      </c>
      <c r="M77" s="426">
        <v>11</v>
      </c>
      <c r="N77" s="426">
        <v>12</v>
      </c>
      <c r="O77" s="426">
        <v>13</v>
      </c>
      <c r="P77" s="426">
        <v>14</v>
      </c>
      <c r="Q77" s="426">
        <v>15</v>
      </c>
      <c r="R77" s="426">
        <v>16</v>
      </c>
      <c r="S77" s="426">
        <v>17</v>
      </c>
      <c r="T77" s="294">
        <v>18</v>
      </c>
      <c r="U77" s="294">
        <v>19</v>
      </c>
      <c r="V77" s="294">
        <v>20</v>
      </c>
      <c r="W77" s="294">
        <v>21</v>
      </c>
      <c r="X77" s="294">
        <v>22</v>
      </c>
      <c r="Y77" s="294">
        <v>23</v>
      </c>
      <c r="Z77" s="294">
        <v>24</v>
      </c>
      <c r="AA77" s="294">
        <v>25</v>
      </c>
      <c r="AB77" s="294">
        <v>26</v>
      </c>
      <c r="AC77" s="294">
        <v>27</v>
      </c>
      <c r="AD77" s="294">
        <v>28</v>
      </c>
      <c r="AE77" s="294">
        <v>29</v>
      </c>
      <c r="AF77" s="294">
        <v>30</v>
      </c>
      <c r="AG77" s="294">
        <v>31</v>
      </c>
      <c r="AH77" s="281" t="s">
        <v>52</v>
      </c>
    </row>
    <row r="78" spans="1:34" s="1440" customFormat="1" ht="13.5">
      <c r="A78" s="179" t="s">
        <v>75</v>
      </c>
      <c r="B78" s="268">
        <f t="shared" ref="B78:B89" si="11">+AH78</f>
        <v>0</v>
      </c>
      <c r="C78" s="427">
        <v>0</v>
      </c>
      <c r="D78" s="427">
        <v>0</v>
      </c>
      <c r="E78" s="427">
        <v>0</v>
      </c>
      <c r="F78" s="427">
        <v>0</v>
      </c>
      <c r="G78" s="427">
        <v>0</v>
      </c>
      <c r="H78" s="427">
        <v>0</v>
      </c>
      <c r="I78" s="427">
        <v>0</v>
      </c>
      <c r="J78" s="427">
        <v>0</v>
      </c>
      <c r="K78" s="427">
        <v>0</v>
      </c>
      <c r="L78" s="427">
        <v>0</v>
      </c>
      <c r="M78" s="427">
        <v>0</v>
      </c>
      <c r="N78" s="427">
        <v>0</v>
      </c>
      <c r="O78" s="427">
        <v>0</v>
      </c>
      <c r="P78" s="427">
        <v>0</v>
      </c>
      <c r="Q78" s="427">
        <v>0</v>
      </c>
      <c r="R78" s="427">
        <v>0</v>
      </c>
      <c r="S78" s="427">
        <v>0</v>
      </c>
      <c r="T78" s="427">
        <v>0</v>
      </c>
      <c r="U78" s="427">
        <v>0</v>
      </c>
      <c r="V78" s="427">
        <v>0</v>
      </c>
      <c r="W78" s="427">
        <v>0</v>
      </c>
      <c r="X78" s="427">
        <v>0</v>
      </c>
      <c r="Y78" s="427">
        <v>0</v>
      </c>
      <c r="Z78" s="427">
        <v>0</v>
      </c>
      <c r="AA78" s="427">
        <v>0</v>
      </c>
      <c r="AB78" s="427">
        <v>0</v>
      </c>
      <c r="AC78" s="427">
        <v>0</v>
      </c>
      <c r="AD78" s="427">
        <v>0</v>
      </c>
      <c r="AE78" s="427">
        <v>0</v>
      </c>
      <c r="AF78" s="427">
        <v>0</v>
      </c>
      <c r="AG78" s="427">
        <v>0</v>
      </c>
      <c r="AH78" s="282">
        <f>SUM(C78:AG78)</f>
        <v>0</v>
      </c>
    </row>
    <row r="79" spans="1:34" s="1440" customFormat="1" ht="13.5">
      <c r="A79" s="179" t="s">
        <v>76</v>
      </c>
      <c r="B79" s="268">
        <f t="shared" si="11"/>
        <v>0</v>
      </c>
      <c r="C79" s="427">
        <v>0</v>
      </c>
      <c r="D79" s="427">
        <v>0</v>
      </c>
      <c r="E79" s="427">
        <v>0</v>
      </c>
      <c r="F79" s="427">
        <v>0</v>
      </c>
      <c r="G79" s="427">
        <v>0</v>
      </c>
      <c r="H79" s="427">
        <v>0</v>
      </c>
      <c r="I79" s="427">
        <v>0</v>
      </c>
      <c r="J79" s="427">
        <v>0</v>
      </c>
      <c r="K79" s="427">
        <v>0</v>
      </c>
      <c r="L79" s="427">
        <v>0</v>
      </c>
      <c r="M79" s="427">
        <v>0</v>
      </c>
      <c r="N79" s="427">
        <v>0</v>
      </c>
      <c r="O79" s="427">
        <v>0</v>
      </c>
      <c r="P79" s="427">
        <v>0</v>
      </c>
      <c r="Q79" s="427">
        <v>0</v>
      </c>
      <c r="R79" s="427">
        <v>0</v>
      </c>
      <c r="S79" s="427">
        <v>0</v>
      </c>
      <c r="T79" s="427">
        <v>0</v>
      </c>
      <c r="U79" s="427">
        <v>0</v>
      </c>
      <c r="V79" s="427">
        <v>0</v>
      </c>
      <c r="W79" s="427">
        <v>0</v>
      </c>
      <c r="X79" s="427">
        <v>0</v>
      </c>
      <c r="Y79" s="427">
        <v>0</v>
      </c>
      <c r="Z79" s="427">
        <v>0</v>
      </c>
      <c r="AA79" s="427">
        <v>0</v>
      </c>
      <c r="AB79" s="427">
        <v>0</v>
      </c>
      <c r="AC79" s="427">
        <v>0</v>
      </c>
      <c r="AD79" s="427">
        <v>0</v>
      </c>
      <c r="AE79" s="427">
        <v>0</v>
      </c>
      <c r="AF79" s="427">
        <v>0</v>
      </c>
      <c r="AG79" s="427">
        <v>0</v>
      </c>
      <c r="AH79" s="282">
        <f>SUM(C79:AG79)</f>
        <v>0</v>
      </c>
    </row>
    <row r="80" spans="1:34" s="1440" customFormat="1" ht="13.5">
      <c r="A80" s="179" t="s">
        <v>77</v>
      </c>
      <c r="B80" s="268">
        <f t="shared" si="11"/>
        <v>0</v>
      </c>
      <c r="C80" s="427">
        <v>0</v>
      </c>
      <c r="D80" s="427">
        <v>0</v>
      </c>
      <c r="E80" s="427">
        <v>0</v>
      </c>
      <c r="F80" s="427">
        <v>0</v>
      </c>
      <c r="G80" s="427">
        <v>0</v>
      </c>
      <c r="H80" s="427">
        <v>0</v>
      </c>
      <c r="I80" s="427">
        <v>0</v>
      </c>
      <c r="J80" s="427">
        <v>0</v>
      </c>
      <c r="K80" s="427">
        <v>0</v>
      </c>
      <c r="L80" s="427">
        <v>0</v>
      </c>
      <c r="M80" s="427">
        <v>0</v>
      </c>
      <c r="N80" s="427">
        <v>0</v>
      </c>
      <c r="O80" s="427">
        <v>0</v>
      </c>
      <c r="P80" s="427">
        <v>0</v>
      </c>
      <c r="Q80" s="427">
        <v>0</v>
      </c>
      <c r="R80" s="427">
        <v>0</v>
      </c>
      <c r="S80" s="427">
        <v>0</v>
      </c>
      <c r="T80" s="427">
        <v>0</v>
      </c>
      <c r="U80" s="427">
        <v>0</v>
      </c>
      <c r="V80" s="427">
        <v>0</v>
      </c>
      <c r="W80" s="427">
        <v>0</v>
      </c>
      <c r="X80" s="427">
        <v>0</v>
      </c>
      <c r="Y80" s="427">
        <v>0</v>
      </c>
      <c r="Z80" s="427">
        <v>0</v>
      </c>
      <c r="AA80" s="427">
        <v>0</v>
      </c>
      <c r="AB80" s="427">
        <v>0</v>
      </c>
      <c r="AC80" s="427">
        <v>0</v>
      </c>
      <c r="AD80" s="427">
        <v>0</v>
      </c>
      <c r="AE80" s="427">
        <v>0</v>
      </c>
      <c r="AF80" s="427">
        <v>0</v>
      </c>
      <c r="AG80" s="427">
        <v>0</v>
      </c>
      <c r="AH80" s="282">
        <f>SUM(C80:AG80)</f>
        <v>0</v>
      </c>
    </row>
    <row r="81" spans="1:34" s="1440" customFormat="1" ht="13.5">
      <c r="A81" s="179" t="s">
        <v>78</v>
      </c>
      <c r="B81" s="268">
        <f t="shared" si="11"/>
        <v>0</v>
      </c>
      <c r="C81" s="427">
        <v>0</v>
      </c>
      <c r="D81" s="427">
        <v>0</v>
      </c>
      <c r="E81" s="427">
        <v>0</v>
      </c>
      <c r="F81" s="427">
        <v>0</v>
      </c>
      <c r="G81" s="427">
        <v>0</v>
      </c>
      <c r="H81" s="427">
        <v>0</v>
      </c>
      <c r="I81" s="427">
        <v>0</v>
      </c>
      <c r="J81" s="427">
        <v>0</v>
      </c>
      <c r="K81" s="427">
        <v>0</v>
      </c>
      <c r="L81" s="427">
        <v>0</v>
      </c>
      <c r="M81" s="427">
        <v>0</v>
      </c>
      <c r="N81" s="427">
        <v>0</v>
      </c>
      <c r="O81" s="427">
        <v>0</v>
      </c>
      <c r="P81" s="427">
        <v>0</v>
      </c>
      <c r="Q81" s="427">
        <v>0</v>
      </c>
      <c r="R81" s="427">
        <v>0</v>
      </c>
      <c r="S81" s="427">
        <v>0</v>
      </c>
      <c r="T81" s="427">
        <v>0</v>
      </c>
      <c r="U81" s="427">
        <v>0</v>
      </c>
      <c r="V81" s="427">
        <v>0</v>
      </c>
      <c r="W81" s="427">
        <v>0</v>
      </c>
      <c r="X81" s="427">
        <v>0</v>
      </c>
      <c r="Y81" s="427">
        <v>0</v>
      </c>
      <c r="Z81" s="427">
        <v>0</v>
      </c>
      <c r="AA81" s="427">
        <v>0</v>
      </c>
      <c r="AB81" s="427">
        <v>0</v>
      </c>
      <c r="AC81" s="427">
        <v>0</v>
      </c>
      <c r="AD81" s="427">
        <v>0</v>
      </c>
      <c r="AE81" s="427">
        <v>0</v>
      </c>
      <c r="AF81" s="427">
        <v>0</v>
      </c>
      <c r="AG81" s="427">
        <v>0</v>
      </c>
      <c r="AH81" s="282">
        <f>SUM(C81:AG81)</f>
        <v>0</v>
      </c>
    </row>
    <row r="82" spans="1:34" s="1440" customFormat="1" ht="13.5">
      <c r="A82" s="179" t="s">
        <v>79</v>
      </c>
      <c r="B82" s="268">
        <f t="shared" si="11"/>
        <v>0</v>
      </c>
      <c r="C82" s="427">
        <v>0</v>
      </c>
      <c r="D82" s="427">
        <v>0</v>
      </c>
      <c r="E82" s="427">
        <v>0</v>
      </c>
      <c r="F82" s="427">
        <v>0</v>
      </c>
      <c r="G82" s="427">
        <v>0</v>
      </c>
      <c r="H82" s="427">
        <v>0</v>
      </c>
      <c r="I82" s="427">
        <v>0</v>
      </c>
      <c r="J82" s="427">
        <v>0</v>
      </c>
      <c r="K82" s="427">
        <v>0</v>
      </c>
      <c r="L82" s="427">
        <v>0</v>
      </c>
      <c r="M82" s="427">
        <v>0</v>
      </c>
      <c r="N82" s="427">
        <v>0</v>
      </c>
      <c r="O82" s="427">
        <v>0</v>
      </c>
      <c r="P82" s="427">
        <v>0</v>
      </c>
      <c r="Q82" s="427">
        <v>0</v>
      </c>
      <c r="R82" s="427">
        <v>0</v>
      </c>
      <c r="S82" s="427">
        <v>0</v>
      </c>
      <c r="T82" s="427">
        <v>0</v>
      </c>
      <c r="U82" s="427">
        <v>0</v>
      </c>
      <c r="V82" s="427">
        <v>0</v>
      </c>
      <c r="W82" s="427">
        <v>0</v>
      </c>
      <c r="X82" s="427">
        <v>0</v>
      </c>
      <c r="Y82" s="427">
        <v>0</v>
      </c>
      <c r="Z82" s="427">
        <v>0</v>
      </c>
      <c r="AA82" s="427">
        <v>0</v>
      </c>
      <c r="AB82" s="427">
        <v>0</v>
      </c>
      <c r="AC82" s="427">
        <v>0</v>
      </c>
      <c r="AD82" s="427">
        <v>0</v>
      </c>
      <c r="AE82" s="427">
        <v>0</v>
      </c>
      <c r="AF82" s="427">
        <v>0</v>
      </c>
      <c r="AG82" s="427">
        <v>0</v>
      </c>
      <c r="AH82" s="282">
        <v>0</v>
      </c>
    </row>
    <row r="83" spans="1:34" s="1440" customFormat="1" ht="13.5">
      <c r="A83" s="179" t="s">
        <v>80</v>
      </c>
      <c r="B83" s="268">
        <f t="shared" si="11"/>
        <v>0</v>
      </c>
      <c r="C83" s="427">
        <v>0</v>
      </c>
      <c r="D83" s="427">
        <v>0</v>
      </c>
      <c r="E83" s="427">
        <v>0</v>
      </c>
      <c r="F83" s="427">
        <v>0</v>
      </c>
      <c r="G83" s="427">
        <v>0</v>
      </c>
      <c r="H83" s="427">
        <v>0</v>
      </c>
      <c r="I83" s="427">
        <v>0</v>
      </c>
      <c r="J83" s="427">
        <v>0</v>
      </c>
      <c r="K83" s="427">
        <v>0</v>
      </c>
      <c r="L83" s="427">
        <v>0</v>
      </c>
      <c r="M83" s="427">
        <v>0</v>
      </c>
      <c r="N83" s="427">
        <v>0</v>
      </c>
      <c r="O83" s="427">
        <v>0</v>
      </c>
      <c r="P83" s="427">
        <v>0</v>
      </c>
      <c r="Q83" s="427">
        <v>0</v>
      </c>
      <c r="R83" s="427">
        <v>0</v>
      </c>
      <c r="S83" s="427">
        <v>0</v>
      </c>
      <c r="T83" s="427">
        <v>0</v>
      </c>
      <c r="U83" s="427">
        <v>0</v>
      </c>
      <c r="V83" s="427">
        <v>0</v>
      </c>
      <c r="W83" s="427">
        <v>0</v>
      </c>
      <c r="X83" s="427">
        <v>0</v>
      </c>
      <c r="Y83" s="427">
        <v>0</v>
      </c>
      <c r="Z83" s="427">
        <v>0</v>
      </c>
      <c r="AA83" s="427">
        <v>0</v>
      </c>
      <c r="AB83" s="427">
        <v>0</v>
      </c>
      <c r="AC83" s="427">
        <v>0</v>
      </c>
      <c r="AD83" s="427">
        <v>0</v>
      </c>
      <c r="AE83" s="427">
        <v>0</v>
      </c>
      <c r="AF83" s="427">
        <v>0</v>
      </c>
      <c r="AG83" s="427">
        <v>0</v>
      </c>
      <c r="AH83" s="282">
        <f t="shared" ref="AH83:AH90" si="12">SUM(C83:AG83)</f>
        <v>0</v>
      </c>
    </row>
    <row r="84" spans="1:34" s="1440" customFormat="1" ht="13.5">
      <c r="A84" s="166" t="s">
        <v>81</v>
      </c>
      <c r="B84" s="268">
        <f t="shared" si="11"/>
        <v>0</v>
      </c>
      <c r="C84" s="427">
        <v>0</v>
      </c>
      <c r="D84" s="427">
        <v>0</v>
      </c>
      <c r="E84" s="427">
        <v>0</v>
      </c>
      <c r="F84" s="427">
        <v>0</v>
      </c>
      <c r="G84" s="427">
        <v>0</v>
      </c>
      <c r="H84" s="427">
        <v>0</v>
      </c>
      <c r="I84" s="427">
        <v>0</v>
      </c>
      <c r="J84" s="427">
        <v>0</v>
      </c>
      <c r="K84" s="427">
        <v>0</v>
      </c>
      <c r="L84" s="427">
        <v>0</v>
      </c>
      <c r="M84" s="427">
        <v>0</v>
      </c>
      <c r="N84" s="427">
        <v>0</v>
      </c>
      <c r="O84" s="427">
        <v>0</v>
      </c>
      <c r="P84" s="427">
        <v>0</v>
      </c>
      <c r="Q84" s="427">
        <v>0</v>
      </c>
      <c r="R84" s="427">
        <v>0</v>
      </c>
      <c r="S84" s="427">
        <v>0</v>
      </c>
      <c r="T84" s="427">
        <v>0</v>
      </c>
      <c r="U84" s="427">
        <v>0</v>
      </c>
      <c r="V84" s="427">
        <v>0</v>
      </c>
      <c r="W84" s="427">
        <v>0</v>
      </c>
      <c r="X84" s="427">
        <v>0</v>
      </c>
      <c r="Y84" s="427">
        <v>0</v>
      </c>
      <c r="Z84" s="427">
        <v>0</v>
      </c>
      <c r="AA84" s="427">
        <v>0</v>
      </c>
      <c r="AB84" s="427">
        <v>0</v>
      </c>
      <c r="AC84" s="427">
        <v>0</v>
      </c>
      <c r="AD84" s="427">
        <v>0</v>
      </c>
      <c r="AE84" s="427">
        <v>0</v>
      </c>
      <c r="AF84" s="427">
        <v>0</v>
      </c>
      <c r="AG84" s="427">
        <v>0</v>
      </c>
      <c r="AH84" s="282">
        <f t="shared" si="12"/>
        <v>0</v>
      </c>
    </row>
    <row r="85" spans="1:34" s="1440" customFormat="1" ht="13.5">
      <c r="A85" s="166" t="s">
        <v>82</v>
      </c>
      <c r="B85" s="268">
        <f t="shared" si="11"/>
        <v>0</v>
      </c>
      <c r="C85" s="427">
        <v>0</v>
      </c>
      <c r="D85" s="427">
        <v>0</v>
      </c>
      <c r="E85" s="427">
        <v>0</v>
      </c>
      <c r="F85" s="427">
        <v>0</v>
      </c>
      <c r="G85" s="427">
        <v>0</v>
      </c>
      <c r="H85" s="427">
        <v>0</v>
      </c>
      <c r="I85" s="427">
        <v>0</v>
      </c>
      <c r="J85" s="427">
        <v>0</v>
      </c>
      <c r="K85" s="427">
        <v>0</v>
      </c>
      <c r="L85" s="427">
        <v>0</v>
      </c>
      <c r="M85" s="427">
        <v>0</v>
      </c>
      <c r="N85" s="427">
        <v>0</v>
      </c>
      <c r="O85" s="427">
        <v>0</v>
      </c>
      <c r="P85" s="427">
        <v>0</v>
      </c>
      <c r="Q85" s="427">
        <v>0</v>
      </c>
      <c r="R85" s="427">
        <v>0</v>
      </c>
      <c r="S85" s="427">
        <v>0</v>
      </c>
      <c r="T85" s="427">
        <v>0</v>
      </c>
      <c r="U85" s="427">
        <v>0</v>
      </c>
      <c r="V85" s="427">
        <v>0</v>
      </c>
      <c r="W85" s="427">
        <v>0</v>
      </c>
      <c r="X85" s="427">
        <v>0</v>
      </c>
      <c r="Y85" s="427">
        <v>0</v>
      </c>
      <c r="Z85" s="427">
        <v>0</v>
      </c>
      <c r="AA85" s="427">
        <v>0</v>
      </c>
      <c r="AB85" s="427">
        <v>0</v>
      </c>
      <c r="AC85" s="427">
        <v>0</v>
      </c>
      <c r="AD85" s="427">
        <v>0</v>
      </c>
      <c r="AE85" s="427">
        <v>0</v>
      </c>
      <c r="AF85" s="427">
        <v>0</v>
      </c>
      <c r="AG85" s="427">
        <v>0</v>
      </c>
      <c r="AH85" s="282">
        <f t="shared" si="12"/>
        <v>0</v>
      </c>
    </row>
    <row r="86" spans="1:34" s="1440" customFormat="1" ht="13.5">
      <c r="A86" s="166" t="s">
        <v>83</v>
      </c>
      <c r="B86" s="268">
        <f t="shared" si="11"/>
        <v>0</v>
      </c>
      <c r="C86" s="427">
        <v>0</v>
      </c>
      <c r="D86" s="427">
        <v>0</v>
      </c>
      <c r="E86" s="427">
        <v>0</v>
      </c>
      <c r="F86" s="427">
        <v>0</v>
      </c>
      <c r="G86" s="427">
        <v>0</v>
      </c>
      <c r="H86" s="427">
        <v>0</v>
      </c>
      <c r="I86" s="427">
        <v>0</v>
      </c>
      <c r="J86" s="427">
        <v>0</v>
      </c>
      <c r="K86" s="427">
        <v>0</v>
      </c>
      <c r="L86" s="427">
        <v>0</v>
      </c>
      <c r="M86" s="427">
        <v>0</v>
      </c>
      <c r="N86" s="427">
        <v>0</v>
      </c>
      <c r="O86" s="427">
        <v>0</v>
      </c>
      <c r="P86" s="427">
        <v>0</v>
      </c>
      <c r="Q86" s="427">
        <v>0</v>
      </c>
      <c r="R86" s="427">
        <v>0</v>
      </c>
      <c r="S86" s="427">
        <v>0</v>
      </c>
      <c r="T86" s="427">
        <v>0</v>
      </c>
      <c r="U86" s="427">
        <v>0</v>
      </c>
      <c r="V86" s="427">
        <v>0</v>
      </c>
      <c r="W86" s="427">
        <v>0</v>
      </c>
      <c r="X86" s="427">
        <v>0</v>
      </c>
      <c r="Y86" s="427">
        <v>0</v>
      </c>
      <c r="Z86" s="427">
        <v>0</v>
      </c>
      <c r="AA86" s="427">
        <v>0</v>
      </c>
      <c r="AB86" s="427">
        <v>0</v>
      </c>
      <c r="AC86" s="427">
        <v>0</v>
      </c>
      <c r="AD86" s="427">
        <v>0</v>
      </c>
      <c r="AE86" s="427">
        <v>0</v>
      </c>
      <c r="AF86" s="427">
        <v>0</v>
      </c>
      <c r="AG86" s="427">
        <v>0</v>
      </c>
      <c r="AH86" s="282">
        <f t="shared" si="12"/>
        <v>0</v>
      </c>
    </row>
    <row r="87" spans="1:34" s="1440" customFormat="1" ht="13.5">
      <c r="A87" s="192" t="s">
        <v>84</v>
      </c>
      <c r="B87" s="268">
        <f t="shared" si="11"/>
        <v>0</v>
      </c>
      <c r="C87" s="427">
        <v>0</v>
      </c>
      <c r="D87" s="427">
        <v>0</v>
      </c>
      <c r="E87" s="427">
        <v>0</v>
      </c>
      <c r="F87" s="427">
        <v>0</v>
      </c>
      <c r="G87" s="427">
        <v>0</v>
      </c>
      <c r="H87" s="427">
        <v>0</v>
      </c>
      <c r="I87" s="427">
        <v>0</v>
      </c>
      <c r="J87" s="427">
        <v>0</v>
      </c>
      <c r="K87" s="427">
        <v>0</v>
      </c>
      <c r="L87" s="427">
        <v>0</v>
      </c>
      <c r="M87" s="427">
        <v>0</v>
      </c>
      <c r="N87" s="427">
        <v>0</v>
      </c>
      <c r="O87" s="427">
        <v>0</v>
      </c>
      <c r="P87" s="427">
        <v>0</v>
      </c>
      <c r="Q87" s="427">
        <v>0</v>
      </c>
      <c r="R87" s="427">
        <v>0</v>
      </c>
      <c r="S87" s="427">
        <v>0</v>
      </c>
      <c r="T87" s="427">
        <v>0</v>
      </c>
      <c r="U87" s="427">
        <v>0</v>
      </c>
      <c r="V87" s="427">
        <v>0</v>
      </c>
      <c r="W87" s="427">
        <v>0</v>
      </c>
      <c r="X87" s="427">
        <v>0</v>
      </c>
      <c r="Y87" s="427">
        <v>0</v>
      </c>
      <c r="Z87" s="427">
        <v>0</v>
      </c>
      <c r="AA87" s="427">
        <v>0</v>
      </c>
      <c r="AB87" s="427">
        <v>0</v>
      </c>
      <c r="AC87" s="427">
        <v>0</v>
      </c>
      <c r="AD87" s="427">
        <v>0</v>
      </c>
      <c r="AE87" s="427">
        <v>0</v>
      </c>
      <c r="AF87" s="427">
        <v>0</v>
      </c>
      <c r="AG87" s="427">
        <v>0</v>
      </c>
      <c r="AH87" s="282">
        <f t="shared" si="12"/>
        <v>0</v>
      </c>
    </row>
    <row r="88" spans="1:34" s="1440" customFormat="1" ht="13.5">
      <c r="A88" s="192" t="s">
        <v>85</v>
      </c>
      <c r="B88" s="268">
        <f t="shared" si="11"/>
        <v>0</v>
      </c>
      <c r="C88" s="427">
        <v>0</v>
      </c>
      <c r="D88" s="427">
        <v>0</v>
      </c>
      <c r="E88" s="427">
        <v>0</v>
      </c>
      <c r="F88" s="427">
        <v>0</v>
      </c>
      <c r="G88" s="427">
        <v>0</v>
      </c>
      <c r="H88" s="427">
        <v>0</v>
      </c>
      <c r="I88" s="427">
        <v>0</v>
      </c>
      <c r="J88" s="427">
        <v>0</v>
      </c>
      <c r="K88" s="427">
        <v>0</v>
      </c>
      <c r="L88" s="427">
        <v>0</v>
      </c>
      <c r="M88" s="427">
        <v>0</v>
      </c>
      <c r="N88" s="427">
        <v>0</v>
      </c>
      <c r="O88" s="427">
        <v>0</v>
      </c>
      <c r="P88" s="427">
        <v>0</v>
      </c>
      <c r="Q88" s="427">
        <v>0</v>
      </c>
      <c r="R88" s="427">
        <v>0</v>
      </c>
      <c r="S88" s="427">
        <v>0</v>
      </c>
      <c r="T88" s="427">
        <v>0</v>
      </c>
      <c r="U88" s="427">
        <v>0</v>
      </c>
      <c r="V88" s="427">
        <v>0</v>
      </c>
      <c r="W88" s="427">
        <v>0</v>
      </c>
      <c r="X88" s="427">
        <v>0</v>
      </c>
      <c r="Y88" s="427">
        <v>0</v>
      </c>
      <c r="Z88" s="427">
        <v>0</v>
      </c>
      <c r="AA88" s="427">
        <v>0</v>
      </c>
      <c r="AB88" s="427">
        <v>0</v>
      </c>
      <c r="AC88" s="427">
        <v>0</v>
      </c>
      <c r="AD88" s="427">
        <v>0</v>
      </c>
      <c r="AE88" s="427">
        <v>0</v>
      </c>
      <c r="AF88" s="427">
        <v>0</v>
      </c>
      <c r="AG88" s="427">
        <v>0</v>
      </c>
      <c r="AH88" s="282">
        <f t="shared" si="12"/>
        <v>0</v>
      </c>
    </row>
    <row r="89" spans="1:34" s="1440" customFormat="1" ht="13.5">
      <c r="A89" s="192" t="s">
        <v>86</v>
      </c>
      <c r="B89" s="268">
        <f t="shared" si="11"/>
        <v>0</v>
      </c>
      <c r="C89" s="927"/>
      <c r="D89" s="927"/>
      <c r="E89" s="927"/>
      <c r="F89" s="927"/>
      <c r="G89" s="927"/>
      <c r="H89" s="927"/>
      <c r="I89" s="927"/>
      <c r="J89" s="927"/>
      <c r="K89" s="927"/>
      <c r="L89" s="1395"/>
      <c r="M89" s="927"/>
      <c r="N89" s="927"/>
      <c r="O89" s="1382"/>
      <c r="P89" s="927"/>
      <c r="Q89" s="927"/>
      <c r="R89" s="927"/>
      <c r="S89" s="927"/>
      <c r="T89" s="927"/>
      <c r="U89" s="927"/>
      <c r="V89" s="927"/>
      <c r="W89" s="927"/>
      <c r="X89" s="927"/>
      <c r="Y89" s="927"/>
      <c r="Z89" s="927"/>
      <c r="AA89" s="927"/>
      <c r="AB89" s="927"/>
      <c r="AC89" s="927"/>
      <c r="AD89" s="927"/>
      <c r="AE89" s="927"/>
      <c r="AF89" s="927"/>
      <c r="AG89" s="927"/>
      <c r="AH89" s="282">
        <f t="shared" si="12"/>
        <v>0</v>
      </c>
    </row>
    <row r="90" spans="1:34" s="1440" customFormat="1" ht="14.25" thickBot="1">
      <c r="A90" s="1150" t="s">
        <v>52</v>
      </c>
      <c r="B90" s="1151">
        <f>SUM(B78:B89)</f>
        <v>0</v>
      </c>
      <c r="C90" s="431"/>
      <c r="D90" s="431"/>
      <c r="E90" s="431"/>
      <c r="F90" s="431"/>
      <c r="G90" s="431"/>
      <c r="H90" s="431"/>
      <c r="I90" s="431"/>
      <c r="J90" s="431"/>
      <c r="K90" s="431"/>
      <c r="L90" s="431"/>
      <c r="M90" s="431"/>
      <c r="N90" s="431"/>
      <c r="O90" s="431"/>
      <c r="P90" s="431"/>
      <c r="Q90" s="431"/>
      <c r="R90" s="431"/>
      <c r="S90" s="431"/>
      <c r="T90" s="285"/>
      <c r="U90" s="285"/>
      <c r="V90" s="285"/>
      <c r="W90" s="285"/>
      <c r="X90" s="285"/>
      <c r="Y90" s="285"/>
      <c r="Z90" s="285"/>
      <c r="AA90" s="285"/>
      <c r="AB90" s="285"/>
      <c r="AC90" s="285"/>
      <c r="AD90" s="285"/>
      <c r="AE90" s="285"/>
      <c r="AF90" s="285"/>
      <c r="AG90" s="285"/>
      <c r="AH90" s="282">
        <f t="shared" si="12"/>
        <v>0</v>
      </c>
    </row>
    <row r="91" spans="1:34" s="1440" customFormat="1" ht="13.5">
      <c r="A91" s="1152" t="s">
        <v>149</v>
      </c>
      <c r="B91" s="1153"/>
    </row>
    <row r="92" spans="1:34" s="1440" customFormat="1" ht="14.25" thickBot="1">
      <c r="A92" s="1154" t="s">
        <v>478</v>
      </c>
      <c r="B92" s="1552">
        <f>+B91-B90</f>
        <v>0</v>
      </c>
      <c r="C92" s="1443"/>
    </row>
    <row r="93" spans="1:34" s="1440" customFormat="1" ht="13.5">
      <c r="A93" s="440"/>
      <c r="B93" s="1442"/>
      <c r="C93" s="1443"/>
    </row>
    <row r="94" spans="1:34" ht="14.25" thickBot="1">
      <c r="A94" s="440"/>
      <c r="B94" s="441"/>
    </row>
    <row r="95" spans="1:34" ht="14.25" thickBot="1">
      <c r="A95" s="633" t="s">
        <v>279</v>
      </c>
      <c r="B95" s="634"/>
      <c r="C95" s="635"/>
      <c r="D95" s="636"/>
      <c r="E95" s="636"/>
      <c r="F95" s="637"/>
      <c r="G95" s="1447"/>
      <c r="H95" s="278"/>
      <c r="I95" s="278"/>
      <c r="J95" s="278"/>
      <c r="K95" s="278"/>
      <c r="L95" s="278"/>
      <c r="M95" s="279"/>
      <c r="N95" s="278"/>
      <c r="O95" s="278"/>
      <c r="P95" s="278"/>
      <c r="Q95" s="278"/>
      <c r="R95" s="278"/>
      <c r="S95" s="278"/>
      <c r="T95" s="278"/>
      <c r="U95" s="278"/>
      <c r="V95" s="278"/>
      <c r="W95" s="278"/>
      <c r="X95" s="278"/>
      <c r="Y95" s="278"/>
      <c r="Z95" s="278"/>
      <c r="AA95" s="278"/>
      <c r="AB95" s="278"/>
      <c r="AC95" s="278"/>
      <c r="AD95" s="278"/>
      <c r="AE95" s="278"/>
      <c r="AF95" s="278"/>
      <c r="AG95" s="278"/>
      <c r="AH95" s="210"/>
    </row>
    <row r="96" spans="1:34" ht="13.5">
      <c r="A96" s="630" t="s">
        <v>72</v>
      </c>
      <c r="B96" s="631" t="s">
        <v>73</v>
      </c>
      <c r="C96" s="752">
        <v>1</v>
      </c>
      <c r="D96" s="632">
        <v>2</v>
      </c>
      <c r="E96" s="632">
        <v>3</v>
      </c>
      <c r="F96" s="632">
        <v>4</v>
      </c>
      <c r="G96" s="426">
        <v>5</v>
      </c>
      <c r="H96" s="426">
        <v>6</v>
      </c>
      <c r="I96" s="426">
        <v>7</v>
      </c>
      <c r="J96" s="426">
        <v>8</v>
      </c>
      <c r="K96" s="426">
        <v>9</v>
      </c>
      <c r="L96" s="426">
        <v>10</v>
      </c>
      <c r="M96" s="426">
        <v>11</v>
      </c>
      <c r="N96" s="426">
        <v>12</v>
      </c>
      <c r="O96" s="426">
        <v>13</v>
      </c>
      <c r="P96" s="426">
        <v>14</v>
      </c>
      <c r="Q96" s="426">
        <v>15</v>
      </c>
      <c r="R96" s="426">
        <v>16</v>
      </c>
      <c r="S96" s="426">
        <v>17</v>
      </c>
      <c r="T96" s="294">
        <v>18</v>
      </c>
      <c r="U96" s="294">
        <v>19</v>
      </c>
      <c r="V96" s="294">
        <v>20</v>
      </c>
      <c r="W96" s="294">
        <v>21</v>
      </c>
      <c r="X96" s="294">
        <v>22</v>
      </c>
      <c r="Y96" s="294">
        <v>23</v>
      </c>
      <c r="Z96" s="294">
        <v>24</v>
      </c>
      <c r="AA96" s="294">
        <v>25</v>
      </c>
      <c r="AB96" s="294">
        <v>26</v>
      </c>
      <c r="AC96" s="294">
        <v>27</v>
      </c>
      <c r="AD96" s="294">
        <v>28</v>
      </c>
      <c r="AE96" s="294">
        <v>29</v>
      </c>
      <c r="AF96" s="294">
        <v>30</v>
      </c>
      <c r="AG96" s="294">
        <v>31</v>
      </c>
      <c r="AH96" s="281" t="s">
        <v>52</v>
      </c>
    </row>
    <row r="97" spans="1:34" ht="13.5">
      <c r="A97" s="179" t="s">
        <v>75</v>
      </c>
      <c r="B97" s="268">
        <v>0</v>
      </c>
      <c r="C97" s="427">
        <v>0</v>
      </c>
      <c r="D97" s="427">
        <v>0</v>
      </c>
      <c r="E97" s="427">
        <v>0</v>
      </c>
      <c r="F97" s="427">
        <v>0</v>
      </c>
      <c r="G97" s="427">
        <v>0</v>
      </c>
      <c r="H97" s="427">
        <v>0</v>
      </c>
      <c r="I97" s="427">
        <v>0</v>
      </c>
      <c r="J97" s="427">
        <v>0</v>
      </c>
      <c r="K97" s="427">
        <v>0</v>
      </c>
      <c r="L97" s="427">
        <v>0</v>
      </c>
      <c r="M97" s="427">
        <v>0</v>
      </c>
      <c r="N97" s="427">
        <v>0</v>
      </c>
      <c r="O97" s="427">
        <v>0</v>
      </c>
      <c r="P97" s="427">
        <v>0</v>
      </c>
      <c r="Q97" s="427">
        <v>0</v>
      </c>
      <c r="R97" s="427">
        <v>0</v>
      </c>
      <c r="S97" s="427">
        <v>0</v>
      </c>
      <c r="T97" s="286">
        <v>0</v>
      </c>
      <c r="U97" s="286">
        <v>0</v>
      </c>
      <c r="V97" s="286">
        <v>0</v>
      </c>
      <c r="W97" s="286">
        <v>0</v>
      </c>
      <c r="X97" s="286">
        <v>0</v>
      </c>
      <c r="Y97" s="286">
        <v>0</v>
      </c>
      <c r="Z97" s="286">
        <v>0</v>
      </c>
      <c r="AA97" s="286">
        <v>0</v>
      </c>
      <c r="AB97" s="286">
        <v>0</v>
      </c>
      <c r="AC97" s="286">
        <v>0</v>
      </c>
      <c r="AD97" s="286">
        <v>0</v>
      </c>
      <c r="AE97" s="286">
        <v>0</v>
      </c>
      <c r="AF97" s="286">
        <v>0</v>
      </c>
      <c r="AG97" s="286">
        <v>0</v>
      </c>
      <c r="AH97" s="282">
        <f>SUM(C97:AG97)</f>
        <v>0</v>
      </c>
    </row>
    <row r="98" spans="1:34" ht="13.5">
      <c r="A98" s="179" t="s">
        <v>76</v>
      </c>
      <c r="B98" s="268">
        <v>0</v>
      </c>
      <c r="C98" s="427">
        <v>0</v>
      </c>
      <c r="D98" s="427">
        <v>0</v>
      </c>
      <c r="E98" s="427">
        <v>0</v>
      </c>
      <c r="F98" s="427">
        <v>0</v>
      </c>
      <c r="G98" s="427">
        <v>0</v>
      </c>
      <c r="H98" s="427">
        <v>0</v>
      </c>
      <c r="I98" s="427">
        <v>0</v>
      </c>
      <c r="J98" s="427">
        <v>0</v>
      </c>
      <c r="K98" s="427">
        <v>0</v>
      </c>
      <c r="L98" s="427">
        <v>0</v>
      </c>
      <c r="M98" s="427">
        <v>0</v>
      </c>
      <c r="N98" s="427">
        <v>0</v>
      </c>
      <c r="O98" s="427">
        <v>0</v>
      </c>
      <c r="P98" s="427">
        <v>0</v>
      </c>
      <c r="Q98" s="427">
        <v>0</v>
      </c>
      <c r="R98" s="427">
        <v>0</v>
      </c>
      <c r="S98" s="427">
        <v>0</v>
      </c>
      <c r="T98" s="286">
        <v>0</v>
      </c>
      <c r="U98" s="286">
        <v>0</v>
      </c>
      <c r="V98" s="286">
        <v>0</v>
      </c>
      <c r="W98" s="286">
        <v>0</v>
      </c>
      <c r="X98" s="286">
        <v>0</v>
      </c>
      <c r="Y98" s="286">
        <v>0</v>
      </c>
      <c r="Z98" s="286">
        <v>0</v>
      </c>
      <c r="AA98" s="286">
        <v>0</v>
      </c>
      <c r="AB98" s="286">
        <v>0</v>
      </c>
      <c r="AC98" s="286">
        <v>0</v>
      </c>
      <c r="AD98" s="286">
        <v>0</v>
      </c>
      <c r="AE98" s="286">
        <v>0</v>
      </c>
      <c r="AF98" s="286">
        <v>0</v>
      </c>
      <c r="AG98" s="286">
        <v>0</v>
      </c>
      <c r="AH98" s="282">
        <f>SUM(C98:AG98)</f>
        <v>0</v>
      </c>
    </row>
    <row r="99" spans="1:34" ht="13.5">
      <c r="A99" s="179" t="s">
        <v>77</v>
      </c>
      <c r="B99" s="268">
        <v>0</v>
      </c>
      <c r="C99" s="427">
        <v>0</v>
      </c>
      <c r="D99" s="427">
        <v>0</v>
      </c>
      <c r="E99" s="427">
        <v>0</v>
      </c>
      <c r="F99" s="427">
        <v>0</v>
      </c>
      <c r="G99" s="427">
        <v>0</v>
      </c>
      <c r="H99" s="427">
        <v>0</v>
      </c>
      <c r="I99" s="427">
        <v>0</v>
      </c>
      <c r="J99" s="427">
        <v>0</v>
      </c>
      <c r="K99" s="427">
        <v>0</v>
      </c>
      <c r="L99" s="427">
        <v>0</v>
      </c>
      <c r="M99" s="427">
        <v>0</v>
      </c>
      <c r="N99" s="427">
        <v>0</v>
      </c>
      <c r="O99" s="427">
        <v>0</v>
      </c>
      <c r="P99" s="427">
        <v>0</v>
      </c>
      <c r="Q99" s="427">
        <v>0</v>
      </c>
      <c r="R99" s="427">
        <v>0</v>
      </c>
      <c r="S99" s="427">
        <v>0</v>
      </c>
      <c r="T99" s="286">
        <v>0</v>
      </c>
      <c r="U99" s="286">
        <v>0</v>
      </c>
      <c r="V99" s="286">
        <v>0</v>
      </c>
      <c r="W99" s="286">
        <v>0</v>
      </c>
      <c r="X99" s="286">
        <v>0</v>
      </c>
      <c r="Y99" s="286">
        <v>0</v>
      </c>
      <c r="Z99" s="286">
        <v>0</v>
      </c>
      <c r="AA99" s="286">
        <v>0</v>
      </c>
      <c r="AB99" s="286">
        <v>0</v>
      </c>
      <c r="AC99" s="286">
        <v>0</v>
      </c>
      <c r="AD99" s="286">
        <v>0</v>
      </c>
      <c r="AE99" s="286">
        <v>0</v>
      </c>
      <c r="AF99" s="286">
        <v>0</v>
      </c>
      <c r="AG99" s="286">
        <v>0</v>
      </c>
      <c r="AH99" s="282">
        <f>SUM(C99:AG99)</f>
        <v>0</v>
      </c>
    </row>
    <row r="100" spans="1:34" ht="13.5">
      <c r="A100" s="179" t="s">
        <v>78</v>
      </c>
      <c r="B100" s="268">
        <v>0</v>
      </c>
      <c r="C100" s="428">
        <v>0</v>
      </c>
      <c r="D100" s="428">
        <v>0</v>
      </c>
      <c r="E100" s="428">
        <v>0</v>
      </c>
      <c r="F100" s="428">
        <v>0</v>
      </c>
      <c r="G100" s="428">
        <v>0</v>
      </c>
      <c r="H100" s="428">
        <v>0</v>
      </c>
      <c r="I100" s="428">
        <v>0</v>
      </c>
      <c r="J100" s="428">
        <v>0</v>
      </c>
      <c r="K100" s="428">
        <v>0</v>
      </c>
      <c r="L100" s="428">
        <v>0</v>
      </c>
      <c r="M100" s="428">
        <v>0</v>
      </c>
      <c r="N100" s="428">
        <v>0</v>
      </c>
      <c r="O100" s="428">
        <v>0</v>
      </c>
      <c r="P100" s="428">
        <v>0</v>
      </c>
      <c r="Q100" s="428">
        <v>0</v>
      </c>
      <c r="R100" s="428">
        <v>0</v>
      </c>
      <c r="S100" s="428">
        <v>0</v>
      </c>
      <c r="T100" s="298">
        <v>0</v>
      </c>
      <c r="U100" s="298">
        <v>0</v>
      </c>
      <c r="V100" s="298">
        <v>0</v>
      </c>
      <c r="W100" s="298">
        <v>0</v>
      </c>
      <c r="X100" s="298">
        <v>0</v>
      </c>
      <c r="Y100" s="298">
        <v>0</v>
      </c>
      <c r="Z100" s="298">
        <v>0</v>
      </c>
      <c r="AA100" s="298">
        <v>0</v>
      </c>
      <c r="AB100" s="298">
        <v>0</v>
      </c>
      <c r="AC100" s="298">
        <v>0</v>
      </c>
      <c r="AD100" s="298">
        <v>0</v>
      </c>
      <c r="AE100" s="298">
        <v>0</v>
      </c>
      <c r="AF100" s="298">
        <v>0</v>
      </c>
      <c r="AG100" s="298">
        <v>0</v>
      </c>
      <c r="AH100" s="282">
        <f t="shared" ref="AH100:AH109" si="13">SUM(C100:AG100)</f>
        <v>0</v>
      </c>
    </row>
    <row r="101" spans="1:34" ht="13.5">
      <c r="A101" s="179" t="s">
        <v>79</v>
      </c>
      <c r="B101" s="268">
        <v>0</v>
      </c>
      <c r="C101" s="428">
        <v>0</v>
      </c>
      <c r="D101" s="428">
        <v>0</v>
      </c>
      <c r="E101" s="428">
        <v>0</v>
      </c>
      <c r="F101" s="428">
        <v>0</v>
      </c>
      <c r="G101" s="428">
        <v>0</v>
      </c>
      <c r="H101" s="428">
        <v>0</v>
      </c>
      <c r="I101" s="428">
        <v>0</v>
      </c>
      <c r="J101" s="428">
        <v>0</v>
      </c>
      <c r="K101" s="428">
        <v>0</v>
      </c>
      <c r="L101" s="428">
        <v>0</v>
      </c>
      <c r="M101" s="428">
        <v>0</v>
      </c>
      <c r="N101" s="428">
        <v>0</v>
      </c>
      <c r="O101" s="428">
        <v>0</v>
      </c>
      <c r="P101" s="428">
        <v>0</v>
      </c>
      <c r="Q101" s="428">
        <v>0</v>
      </c>
      <c r="R101" s="428">
        <v>0</v>
      </c>
      <c r="S101" s="428">
        <v>0</v>
      </c>
      <c r="T101" s="298">
        <v>0</v>
      </c>
      <c r="U101" s="298">
        <v>0</v>
      </c>
      <c r="V101" s="298">
        <v>0</v>
      </c>
      <c r="W101" s="298">
        <v>0</v>
      </c>
      <c r="X101" s="298">
        <v>0</v>
      </c>
      <c r="Y101" s="298">
        <v>0</v>
      </c>
      <c r="Z101" s="298">
        <v>0</v>
      </c>
      <c r="AA101" s="298">
        <v>0</v>
      </c>
      <c r="AB101" s="283"/>
      <c r="AC101" s="283"/>
      <c r="AD101" s="283"/>
      <c r="AE101" s="283"/>
      <c r="AF101" s="283"/>
      <c r="AG101" s="283"/>
      <c r="AH101" s="282">
        <f t="shared" si="13"/>
        <v>0</v>
      </c>
    </row>
    <row r="102" spans="1:34" ht="13.5">
      <c r="A102" s="179" t="s">
        <v>80</v>
      </c>
      <c r="B102" s="268">
        <f t="shared" ref="B102:B108" si="14">+AH102</f>
        <v>0</v>
      </c>
      <c r="C102" s="429"/>
      <c r="D102" s="430"/>
      <c r="E102" s="430"/>
      <c r="F102" s="430"/>
      <c r="G102" s="430"/>
      <c r="H102" s="430"/>
      <c r="I102" s="430"/>
      <c r="J102" s="430"/>
      <c r="K102" s="430"/>
      <c r="L102" s="430"/>
      <c r="M102" s="430"/>
      <c r="N102" s="430"/>
      <c r="O102" s="430"/>
      <c r="P102" s="430"/>
      <c r="Q102" s="430"/>
      <c r="R102" s="430"/>
      <c r="S102" s="430"/>
      <c r="T102" s="283"/>
      <c r="U102" s="283"/>
      <c r="V102" s="283"/>
      <c r="W102" s="283"/>
      <c r="X102" s="283"/>
      <c r="Y102" s="283"/>
      <c r="Z102" s="283"/>
      <c r="AA102" s="283"/>
      <c r="AB102" s="283"/>
      <c r="AC102" s="283"/>
      <c r="AD102" s="283"/>
      <c r="AE102" s="283"/>
      <c r="AF102" s="283"/>
      <c r="AG102" s="283"/>
      <c r="AH102" s="282">
        <f t="shared" si="13"/>
        <v>0</v>
      </c>
    </row>
    <row r="103" spans="1:34" ht="13.5">
      <c r="A103" s="192" t="s">
        <v>81</v>
      </c>
      <c r="B103" s="268">
        <f t="shared" si="14"/>
        <v>0</v>
      </c>
      <c r="C103" s="429"/>
      <c r="D103" s="430"/>
      <c r="E103" s="430"/>
      <c r="F103" s="430"/>
      <c r="G103" s="430"/>
      <c r="H103" s="430"/>
      <c r="I103" s="430"/>
      <c r="J103" s="430"/>
      <c r="K103" s="430"/>
      <c r="L103" s="430"/>
      <c r="M103" s="430"/>
      <c r="N103" s="430"/>
      <c r="O103" s="430"/>
      <c r="P103" s="430"/>
      <c r="Q103" s="430"/>
      <c r="R103" s="430"/>
      <c r="S103" s="430"/>
      <c r="T103" s="283"/>
      <c r="U103" s="283"/>
      <c r="V103" s="283"/>
      <c r="W103" s="283"/>
      <c r="X103" s="283"/>
      <c r="Y103" s="283"/>
      <c r="Z103" s="283"/>
      <c r="AA103" s="283"/>
      <c r="AB103" s="283"/>
      <c r="AC103" s="283"/>
      <c r="AD103" s="283"/>
      <c r="AE103" s="283"/>
      <c r="AF103" s="283"/>
      <c r="AG103" s="283"/>
      <c r="AH103" s="282">
        <f t="shared" si="13"/>
        <v>0</v>
      </c>
    </row>
    <row r="104" spans="1:34" ht="13.5">
      <c r="A104" s="192" t="s">
        <v>82</v>
      </c>
      <c r="B104" s="268">
        <f t="shared" si="14"/>
        <v>0</v>
      </c>
      <c r="C104" s="429"/>
      <c r="D104" s="430"/>
      <c r="E104" s="430"/>
      <c r="F104" s="430"/>
      <c r="G104" s="430"/>
      <c r="H104" s="430"/>
      <c r="I104" s="430"/>
      <c r="J104" s="430"/>
      <c r="K104" s="430"/>
      <c r="L104" s="430"/>
      <c r="M104" s="430"/>
      <c r="N104" s="430"/>
      <c r="O104" s="430"/>
      <c r="P104" s="430"/>
      <c r="Q104" s="430"/>
      <c r="R104" s="430"/>
      <c r="S104" s="430"/>
      <c r="T104" s="283"/>
      <c r="U104" s="283"/>
      <c r="V104" s="283"/>
      <c r="W104" s="283"/>
      <c r="X104" s="283"/>
      <c r="Y104" s="283"/>
      <c r="Z104" s="283"/>
      <c r="AA104" s="283"/>
      <c r="AB104" s="283"/>
      <c r="AC104" s="283"/>
      <c r="AD104" s="283"/>
      <c r="AE104" s="283"/>
      <c r="AF104" s="283"/>
      <c r="AG104" s="283"/>
      <c r="AH104" s="282">
        <f t="shared" si="13"/>
        <v>0</v>
      </c>
    </row>
    <row r="105" spans="1:34" ht="13.5">
      <c r="A105" s="192" t="s">
        <v>83</v>
      </c>
      <c r="B105" s="268">
        <f t="shared" si="14"/>
        <v>0</v>
      </c>
      <c r="C105" s="429"/>
      <c r="D105" s="430"/>
      <c r="E105" s="430"/>
      <c r="F105" s="430"/>
      <c r="G105" s="430"/>
      <c r="H105" s="430"/>
      <c r="I105" s="430"/>
      <c r="J105" s="430"/>
      <c r="K105" s="430"/>
      <c r="L105" s="430"/>
      <c r="M105" s="430"/>
      <c r="N105" s="430"/>
      <c r="O105" s="430"/>
      <c r="P105" s="430"/>
      <c r="Q105" s="430"/>
      <c r="R105" s="430"/>
      <c r="S105" s="430"/>
      <c r="T105" s="283"/>
      <c r="U105" s="283"/>
      <c r="V105" s="283"/>
      <c r="W105" s="283"/>
      <c r="X105" s="283"/>
      <c r="Y105" s="283"/>
      <c r="Z105" s="283"/>
      <c r="AA105" s="283"/>
      <c r="AB105" s="283"/>
      <c r="AC105" s="283"/>
      <c r="AD105" s="283"/>
      <c r="AE105" s="283"/>
      <c r="AF105" s="283"/>
      <c r="AG105" s="283"/>
      <c r="AH105" s="282">
        <f t="shared" si="13"/>
        <v>0</v>
      </c>
    </row>
    <row r="106" spans="1:34" ht="13.5">
      <c r="A106" s="192" t="s">
        <v>84</v>
      </c>
      <c r="B106" s="268">
        <f t="shared" si="14"/>
        <v>0</v>
      </c>
      <c r="C106" s="429"/>
      <c r="D106" s="430"/>
      <c r="E106" s="430"/>
      <c r="F106" s="430"/>
      <c r="G106" s="430"/>
      <c r="H106" s="430"/>
      <c r="I106" s="430"/>
      <c r="J106" s="430"/>
      <c r="K106" s="430"/>
      <c r="L106" s="430"/>
      <c r="M106" s="430"/>
      <c r="N106" s="430"/>
      <c r="O106" s="430"/>
      <c r="P106" s="430"/>
      <c r="Q106" s="430"/>
      <c r="R106" s="430"/>
      <c r="S106" s="430"/>
      <c r="T106" s="283"/>
      <c r="U106" s="283"/>
      <c r="V106" s="283"/>
      <c r="W106" s="283"/>
      <c r="X106" s="283"/>
      <c r="Y106" s="283"/>
      <c r="Z106" s="283"/>
      <c r="AA106" s="283"/>
      <c r="AB106" s="283"/>
      <c r="AC106" s="283"/>
      <c r="AD106" s="283"/>
      <c r="AE106" s="283"/>
      <c r="AF106" s="283"/>
      <c r="AG106" s="283"/>
      <c r="AH106" s="282">
        <f t="shared" si="13"/>
        <v>0</v>
      </c>
    </row>
    <row r="107" spans="1:34" ht="13.5">
      <c r="A107" s="192" t="s">
        <v>85</v>
      </c>
      <c r="B107" s="268">
        <f t="shared" si="14"/>
        <v>0</v>
      </c>
      <c r="C107" s="429"/>
      <c r="D107" s="430"/>
      <c r="E107" s="430"/>
      <c r="F107" s="430"/>
      <c r="G107" s="430"/>
      <c r="H107" s="430"/>
      <c r="I107" s="430"/>
      <c r="J107" s="430"/>
      <c r="K107" s="430"/>
      <c r="L107" s="430"/>
      <c r="M107" s="430"/>
      <c r="N107" s="430"/>
      <c r="O107" s="430"/>
      <c r="P107" s="430"/>
      <c r="Q107" s="430"/>
      <c r="R107" s="430"/>
      <c r="S107" s="430"/>
      <c r="T107" s="283"/>
      <c r="U107" s="283"/>
      <c r="V107" s="283"/>
      <c r="W107" s="283"/>
      <c r="X107" s="283"/>
      <c r="Y107" s="283"/>
      <c r="Z107" s="283"/>
      <c r="AA107" s="283"/>
      <c r="AB107" s="283"/>
      <c r="AC107" s="283"/>
      <c r="AD107" s="283"/>
      <c r="AE107" s="283"/>
      <c r="AF107" s="283"/>
      <c r="AG107" s="283"/>
      <c r="AH107" s="282">
        <f t="shared" si="13"/>
        <v>0</v>
      </c>
    </row>
    <row r="108" spans="1:34" ht="13.5">
      <c r="A108" s="192" t="s">
        <v>86</v>
      </c>
      <c r="B108" s="268">
        <f t="shared" si="14"/>
        <v>0</v>
      </c>
      <c r="C108" s="429"/>
      <c r="D108" s="430"/>
      <c r="E108" s="430"/>
      <c r="F108" s="430"/>
      <c r="G108" s="430"/>
      <c r="H108" s="430"/>
      <c r="I108" s="430"/>
      <c r="J108" s="430"/>
      <c r="K108" s="430"/>
      <c r="L108" s="430"/>
      <c r="M108" s="430"/>
      <c r="N108" s="430"/>
      <c r="O108" s="430"/>
      <c r="P108" s="430"/>
      <c r="Q108" s="430"/>
      <c r="R108" s="430"/>
      <c r="S108" s="430"/>
      <c r="T108" s="283"/>
      <c r="U108" s="283"/>
      <c r="V108" s="283"/>
      <c r="W108" s="283"/>
      <c r="X108" s="283"/>
      <c r="Y108" s="283"/>
      <c r="Z108" s="283"/>
      <c r="AA108" s="283"/>
      <c r="AB108" s="283"/>
      <c r="AC108" s="283"/>
      <c r="AD108" s="283"/>
      <c r="AE108" s="283"/>
      <c r="AF108" s="283"/>
      <c r="AG108" s="283"/>
      <c r="AH108" s="282">
        <f t="shared" si="13"/>
        <v>0</v>
      </c>
    </row>
    <row r="109" spans="1:34" ht="13.5">
      <c r="A109" s="774" t="s">
        <v>52</v>
      </c>
      <c r="B109" s="775">
        <f>SUM(B97:B108)</f>
        <v>0</v>
      </c>
      <c r="C109" s="431"/>
      <c r="D109" s="431"/>
      <c r="E109" s="431"/>
      <c r="F109" s="431"/>
      <c r="G109" s="431"/>
      <c r="H109" s="431"/>
      <c r="I109" s="431"/>
      <c r="J109" s="431"/>
      <c r="K109" s="431"/>
      <c r="L109" s="431"/>
      <c r="M109" s="431"/>
      <c r="N109" s="431"/>
      <c r="O109" s="431"/>
      <c r="P109" s="431"/>
      <c r="Q109" s="431"/>
      <c r="R109" s="431"/>
      <c r="S109" s="431"/>
      <c r="T109" s="285"/>
      <c r="U109" s="285"/>
      <c r="V109" s="285"/>
      <c r="W109" s="285"/>
      <c r="X109" s="285"/>
      <c r="Y109" s="285"/>
      <c r="Z109" s="285"/>
      <c r="AA109" s="285"/>
      <c r="AB109" s="285"/>
      <c r="AC109" s="285"/>
      <c r="AD109" s="285"/>
      <c r="AE109" s="285"/>
      <c r="AF109" s="285"/>
      <c r="AG109" s="285"/>
      <c r="AH109" s="282">
        <f t="shared" si="13"/>
        <v>0</v>
      </c>
    </row>
    <row r="110" spans="1:34">
      <c r="A110" s="299" t="s">
        <v>240</v>
      </c>
      <c r="B110" s="300"/>
      <c r="C110" s="210"/>
      <c r="D110" s="210"/>
      <c r="E110" s="210"/>
      <c r="F110" s="210"/>
      <c r="G110" s="210"/>
      <c r="H110" s="210"/>
      <c r="I110" s="210"/>
      <c r="J110" s="210"/>
      <c r="K110" s="210"/>
      <c r="L110" s="210"/>
      <c r="M110" s="210"/>
      <c r="N110" s="210"/>
      <c r="O110" s="210"/>
      <c r="P110" s="210"/>
      <c r="Q110" s="210"/>
      <c r="R110" s="210"/>
      <c r="S110" s="210"/>
      <c r="T110" s="210"/>
      <c r="U110" s="210"/>
      <c r="V110" s="210"/>
      <c r="W110" s="210"/>
      <c r="X110" s="210"/>
      <c r="Y110" s="210"/>
      <c r="Z110" s="210"/>
      <c r="AA110" s="210"/>
      <c r="AB110" s="210"/>
      <c r="AC110" s="210"/>
      <c r="AD110" s="210"/>
      <c r="AE110" s="210"/>
      <c r="AF110" s="210"/>
      <c r="AG110" s="210"/>
      <c r="AH110" s="210"/>
    </row>
    <row r="111" spans="1:34" ht="13.5">
      <c r="A111" s="779" t="s">
        <v>68</v>
      </c>
      <c r="B111" s="780"/>
    </row>
    <row r="112" spans="1:34" ht="14.25" thickBot="1">
      <c r="A112" s="933"/>
      <c r="B112" s="934"/>
      <c r="H112" s="1308"/>
    </row>
    <row r="113" spans="1:34" ht="14.25" thickBot="1">
      <c r="A113" s="633" t="s">
        <v>537</v>
      </c>
      <c r="B113" s="634"/>
      <c r="C113" s="635"/>
      <c r="D113" s="636"/>
      <c r="E113" s="636"/>
      <c r="F113" s="1168"/>
      <c r="G113" s="278"/>
      <c r="H113" s="1447"/>
      <c r="I113" s="278"/>
      <c r="J113" s="278"/>
      <c r="K113" s="278"/>
      <c r="L113" s="278"/>
      <c r="M113" s="279"/>
      <c r="N113" s="278"/>
      <c r="O113" s="278"/>
      <c r="P113" s="278"/>
      <c r="Q113" s="278"/>
      <c r="R113" s="278"/>
      <c r="S113" s="278"/>
      <c r="T113" s="278"/>
      <c r="U113" s="278"/>
      <c r="V113" s="278"/>
      <c r="W113" s="278"/>
      <c r="X113" s="278"/>
      <c r="Y113" s="278"/>
      <c r="Z113" s="278"/>
      <c r="AA113" s="278"/>
      <c r="AB113" s="278"/>
      <c r="AC113" s="278"/>
      <c r="AD113" s="278"/>
      <c r="AE113" s="278"/>
      <c r="AF113" s="278"/>
      <c r="AG113" s="278"/>
      <c r="AH113" s="210"/>
    </row>
    <row r="114" spans="1:34" ht="13.5">
      <c r="A114" s="630" t="s">
        <v>72</v>
      </c>
      <c r="B114" s="631" t="s">
        <v>73</v>
      </c>
      <c r="C114" s="752">
        <v>1</v>
      </c>
      <c r="D114" s="632">
        <v>2</v>
      </c>
      <c r="E114" s="632">
        <v>3</v>
      </c>
      <c r="F114" s="632">
        <v>4</v>
      </c>
      <c r="G114" s="426">
        <v>5</v>
      </c>
      <c r="H114" s="426">
        <v>6</v>
      </c>
      <c r="I114" s="426">
        <v>7</v>
      </c>
      <c r="J114" s="426">
        <v>8</v>
      </c>
      <c r="K114" s="426">
        <v>9</v>
      </c>
      <c r="L114" s="426">
        <v>10</v>
      </c>
      <c r="M114" s="426">
        <v>11</v>
      </c>
      <c r="N114" s="426">
        <v>12</v>
      </c>
      <c r="O114" s="426">
        <v>13</v>
      </c>
      <c r="P114" s="426">
        <v>14</v>
      </c>
      <c r="Q114" s="426">
        <v>15</v>
      </c>
      <c r="R114" s="426">
        <v>16</v>
      </c>
      <c r="S114" s="426">
        <v>17</v>
      </c>
      <c r="T114" s="294">
        <v>18</v>
      </c>
      <c r="U114" s="294">
        <v>19</v>
      </c>
      <c r="V114" s="294">
        <v>20</v>
      </c>
      <c r="W114" s="294">
        <v>21</v>
      </c>
      <c r="X114" s="294">
        <v>22</v>
      </c>
      <c r="Y114" s="294">
        <v>23</v>
      </c>
      <c r="Z114" s="294">
        <v>24</v>
      </c>
      <c r="AA114" s="294">
        <v>25</v>
      </c>
      <c r="AB114" s="294">
        <v>26</v>
      </c>
      <c r="AC114" s="294">
        <v>27</v>
      </c>
      <c r="AD114" s="294">
        <v>28</v>
      </c>
      <c r="AE114" s="294">
        <v>29</v>
      </c>
      <c r="AF114" s="294">
        <v>30</v>
      </c>
      <c r="AG114" s="294">
        <v>31</v>
      </c>
      <c r="AH114" s="281" t="s">
        <v>52</v>
      </c>
    </row>
    <row r="115" spans="1:34" ht="13.5">
      <c r="A115" s="179" t="s">
        <v>75</v>
      </c>
      <c r="B115" s="268">
        <v>0</v>
      </c>
      <c r="C115" s="427">
        <v>0</v>
      </c>
      <c r="D115" s="427">
        <v>0</v>
      </c>
      <c r="E115" s="427">
        <v>0</v>
      </c>
      <c r="F115" s="427">
        <v>0</v>
      </c>
      <c r="G115" s="427">
        <v>0</v>
      </c>
      <c r="H115" s="427">
        <v>0</v>
      </c>
      <c r="I115" s="427">
        <v>0</v>
      </c>
      <c r="J115" s="427">
        <v>0</v>
      </c>
      <c r="K115" s="427">
        <v>0</v>
      </c>
      <c r="L115" s="427">
        <v>0</v>
      </c>
      <c r="M115" s="427">
        <v>0</v>
      </c>
      <c r="N115" s="427">
        <v>0</v>
      </c>
      <c r="O115" s="427">
        <v>0</v>
      </c>
      <c r="P115" s="427">
        <v>0</v>
      </c>
      <c r="Q115" s="427">
        <v>0</v>
      </c>
      <c r="R115" s="427">
        <v>0</v>
      </c>
      <c r="S115" s="427">
        <v>0</v>
      </c>
      <c r="T115" s="286">
        <v>0</v>
      </c>
      <c r="U115" s="286">
        <v>0</v>
      </c>
      <c r="V115" s="286">
        <v>0</v>
      </c>
      <c r="W115" s="286">
        <v>0</v>
      </c>
      <c r="X115" s="286">
        <v>0</v>
      </c>
      <c r="Y115" s="286">
        <v>0</v>
      </c>
      <c r="Z115" s="286">
        <v>0</v>
      </c>
      <c r="AA115" s="286">
        <v>0</v>
      </c>
      <c r="AB115" s="286">
        <v>0</v>
      </c>
      <c r="AC115" s="286">
        <v>0</v>
      </c>
      <c r="AD115" s="286">
        <v>0</v>
      </c>
      <c r="AE115" s="286">
        <v>0</v>
      </c>
      <c r="AF115" s="286">
        <v>0</v>
      </c>
      <c r="AG115" s="286">
        <v>0</v>
      </c>
      <c r="AH115" s="282">
        <f>SUM(C115:AG115)</f>
        <v>0</v>
      </c>
    </row>
    <row r="116" spans="1:34" ht="13.5">
      <c r="A116" s="179" t="s">
        <v>76</v>
      </c>
      <c r="B116" s="268">
        <v>0</v>
      </c>
      <c r="C116" s="427">
        <v>0</v>
      </c>
      <c r="D116" s="427">
        <v>0</v>
      </c>
      <c r="E116" s="427">
        <v>0</v>
      </c>
      <c r="F116" s="427">
        <v>0</v>
      </c>
      <c r="G116" s="427">
        <v>0</v>
      </c>
      <c r="H116" s="427">
        <v>0</v>
      </c>
      <c r="I116" s="427">
        <v>0</v>
      </c>
      <c r="J116" s="427">
        <v>0</v>
      </c>
      <c r="K116" s="427">
        <v>0</v>
      </c>
      <c r="L116" s="427">
        <v>0</v>
      </c>
      <c r="M116" s="427">
        <v>0</v>
      </c>
      <c r="N116" s="427">
        <v>0</v>
      </c>
      <c r="O116" s="427">
        <v>0</v>
      </c>
      <c r="P116" s="427">
        <v>0</v>
      </c>
      <c r="Q116" s="427">
        <v>0</v>
      </c>
      <c r="R116" s="427">
        <v>0</v>
      </c>
      <c r="S116" s="427">
        <v>0</v>
      </c>
      <c r="T116" s="286">
        <v>0</v>
      </c>
      <c r="U116" s="286">
        <v>0</v>
      </c>
      <c r="V116" s="286">
        <v>0</v>
      </c>
      <c r="W116" s="286">
        <v>0</v>
      </c>
      <c r="X116" s="286">
        <v>0</v>
      </c>
      <c r="Y116" s="286">
        <v>0</v>
      </c>
      <c r="Z116" s="286">
        <v>0</v>
      </c>
      <c r="AA116" s="286">
        <v>0</v>
      </c>
      <c r="AB116" s="286">
        <v>0</v>
      </c>
      <c r="AC116" s="286">
        <v>0</v>
      </c>
      <c r="AD116" s="286">
        <v>0</v>
      </c>
      <c r="AE116" s="286">
        <v>0</v>
      </c>
      <c r="AF116" s="286">
        <v>0</v>
      </c>
      <c r="AG116" s="286">
        <v>0</v>
      </c>
      <c r="AH116" s="282">
        <f>SUM(C116:AG116)</f>
        <v>0</v>
      </c>
    </row>
    <row r="117" spans="1:34" ht="13.5">
      <c r="A117" s="179" t="s">
        <v>77</v>
      </c>
      <c r="B117" s="268">
        <v>0</v>
      </c>
      <c r="C117" s="427">
        <v>0</v>
      </c>
      <c r="D117" s="427">
        <v>0</v>
      </c>
      <c r="E117" s="427">
        <v>0</v>
      </c>
      <c r="F117" s="427">
        <v>0</v>
      </c>
      <c r="G117" s="427">
        <v>0</v>
      </c>
      <c r="H117" s="427">
        <v>0</v>
      </c>
      <c r="I117" s="427">
        <v>0</v>
      </c>
      <c r="J117" s="427">
        <v>0</v>
      </c>
      <c r="K117" s="427">
        <v>0</v>
      </c>
      <c r="L117" s="427">
        <v>0</v>
      </c>
      <c r="M117" s="427">
        <v>0</v>
      </c>
      <c r="N117" s="427">
        <v>0</v>
      </c>
      <c r="O117" s="427">
        <v>0</v>
      </c>
      <c r="P117" s="427">
        <v>0</v>
      </c>
      <c r="Q117" s="427">
        <v>0</v>
      </c>
      <c r="R117" s="427">
        <v>0</v>
      </c>
      <c r="S117" s="427">
        <v>0</v>
      </c>
      <c r="T117" s="286">
        <v>0</v>
      </c>
      <c r="U117" s="286">
        <v>0</v>
      </c>
      <c r="V117" s="286">
        <v>0</v>
      </c>
      <c r="W117" s="286">
        <v>0</v>
      </c>
      <c r="X117" s="286">
        <v>0</v>
      </c>
      <c r="Y117" s="286">
        <v>0</v>
      </c>
      <c r="Z117" s="286">
        <v>0</v>
      </c>
      <c r="AA117" s="286">
        <v>0</v>
      </c>
      <c r="AB117" s="286">
        <v>0</v>
      </c>
      <c r="AC117" s="286">
        <v>0</v>
      </c>
      <c r="AD117" s="286">
        <v>0</v>
      </c>
      <c r="AE117" s="286">
        <v>0</v>
      </c>
      <c r="AF117" s="286">
        <v>0</v>
      </c>
      <c r="AG117" s="286">
        <v>0</v>
      </c>
      <c r="AH117" s="282">
        <f>SUM(C117:AG117)</f>
        <v>0</v>
      </c>
    </row>
    <row r="118" spans="1:34" ht="13.5">
      <c r="A118" s="179" t="s">
        <v>78</v>
      </c>
      <c r="B118" s="268">
        <v>0</v>
      </c>
      <c r="C118" s="428">
        <v>0</v>
      </c>
      <c r="D118" s="428">
        <v>0</v>
      </c>
      <c r="E118" s="428">
        <v>0</v>
      </c>
      <c r="F118" s="428">
        <v>0</v>
      </c>
      <c r="G118" s="428">
        <v>0</v>
      </c>
      <c r="H118" s="428">
        <v>0</v>
      </c>
      <c r="I118" s="428">
        <v>0</v>
      </c>
      <c r="J118" s="428">
        <v>0</v>
      </c>
      <c r="K118" s="428">
        <v>0</v>
      </c>
      <c r="L118" s="428">
        <v>0</v>
      </c>
      <c r="M118" s="428">
        <v>0</v>
      </c>
      <c r="N118" s="428">
        <v>0</v>
      </c>
      <c r="O118" s="428">
        <v>0</v>
      </c>
      <c r="P118" s="428">
        <v>0</v>
      </c>
      <c r="Q118" s="428">
        <v>0</v>
      </c>
      <c r="R118" s="428">
        <v>0</v>
      </c>
      <c r="S118" s="428">
        <v>0</v>
      </c>
      <c r="T118" s="298">
        <v>0</v>
      </c>
      <c r="U118" s="298">
        <v>0</v>
      </c>
      <c r="V118" s="298">
        <v>0</v>
      </c>
      <c r="W118" s="298">
        <v>0</v>
      </c>
      <c r="X118" s="298">
        <v>0</v>
      </c>
      <c r="Y118" s="298">
        <v>0</v>
      </c>
      <c r="Z118" s="298">
        <v>0</v>
      </c>
      <c r="AA118" s="298">
        <v>0</v>
      </c>
      <c r="AB118" s="298">
        <v>0</v>
      </c>
      <c r="AC118" s="298">
        <v>0</v>
      </c>
      <c r="AD118" s="298">
        <v>0</v>
      </c>
      <c r="AE118" s="298">
        <v>0</v>
      </c>
      <c r="AF118" s="298">
        <v>0</v>
      </c>
      <c r="AG118" s="298">
        <v>0</v>
      </c>
      <c r="AH118" s="282">
        <f t="shared" ref="AH118:AH127" si="15">SUM(C118:AG118)</f>
        <v>0</v>
      </c>
    </row>
    <row r="119" spans="1:34" ht="13.5">
      <c r="A119" s="179" t="s">
        <v>79</v>
      </c>
      <c r="B119" s="268">
        <v>0</v>
      </c>
      <c r="C119" s="428">
        <v>0</v>
      </c>
      <c r="D119" s="428">
        <v>0</v>
      </c>
      <c r="E119" s="428">
        <v>0</v>
      </c>
      <c r="F119" s="428">
        <v>0</v>
      </c>
      <c r="G119" s="428">
        <v>0</v>
      </c>
      <c r="H119" s="428">
        <v>0</v>
      </c>
      <c r="I119" s="428">
        <v>0</v>
      </c>
      <c r="J119" s="428">
        <v>0</v>
      </c>
      <c r="K119" s="428">
        <v>0</v>
      </c>
      <c r="L119" s="428">
        <v>0</v>
      </c>
      <c r="M119" s="428">
        <v>0</v>
      </c>
      <c r="N119" s="428">
        <v>0</v>
      </c>
      <c r="O119" s="428">
        <v>0</v>
      </c>
      <c r="P119" s="428">
        <v>0</v>
      </c>
      <c r="Q119" s="428">
        <v>0</v>
      </c>
      <c r="R119" s="428">
        <v>0</v>
      </c>
      <c r="S119" s="428">
        <v>0</v>
      </c>
      <c r="T119" s="298">
        <v>0</v>
      </c>
      <c r="U119" s="298">
        <v>0</v>
      </c>
      <c r="V119" s="298">
        <v>0</v>
      </c>
      <c r="W119" s="298">
        <v>0</v>
      </c>
      <c r="X119" s="298">
        <v>0</v>
      </c>
      <c r="Y119" s="298">
        <v>0</v>
      </c>
      <c r="Z119" s="298">
        <v>0</v>
      </c>
      <c r="AA119" s="298">
        <v>0</v>
      </c>
      <c r="AB119" s="283"/>
      <c r="AC119" s="283"/>
      <c r="AD119" s="283"/>
      <c r="AE119" s="283"/>
      <c r="AF119" s="283"/>
      <c r="AG119" s="283"/>
      <c r="AH119" s="282">
        <f t="shared" si="15"/>
        <v>0</v>
      </c>
    </row>
    <row r="120" spans="1:34" ht="13.5">
      <c r="A120" s="179" t="s">
        <v>80</v>
      </c>
      <c r="B120" s="268">
        <f t="shared" ref="B120:B126" si="16">+AH120</f>
        <v>0</v>
      </c>
      <c r="C120" s="870"/>
      <c r="D120" s="1145"/>
      <c r="E120" s="1145"/>
      <c r="F120" s="1145"/>
      <c r="G120" s="1145"/>
      <c r="H120" s="1145"/>
      <c r="I120" s="1145"/>
      <c r="J120" s="1145"/>
      <c r="K120" s="1145"/>
      <c r="L120" s="1145"/>
      <c r="M120" s="1145"/>
      <c r="N120" s="1145"/>
      <c r="O120" s="1145"/>
      <c r="P120" s="1145"/>
      <c r="Q120" s="1145"/>
      <c r="R120" s="1145"/>
      <c r="S120" s="1145"/>
      <c r="T120" s="1146"/>
      <c r="U120" s="1146"/>
      <c r="V120" s="1146"/>
      <c r="W120" s="1146"/>
      <c r="X120" s="1146"/>
      <c r="Y120" s="1146"/>
      <c r="Z120" s="1146"/>
      <c r="AA120" s="1146"/>
      <c r="AB120" s="1146"/>
      <c r="AC120" s="1146"/>
      <c r="AD120" s="1146"/>
      <c r="AE120" s="1146"/>
      <c r="AF120" s="1146"/>
      <c r="AG120" s="1146"/>
      <c r="AH120" s="276">
        <f t="shared" si="15"/>
        <v>0</v>
      </c>
    </row>
    <row r="121" spans="1:34" ht="13.5">
      <c r="A121" s="192" t="s">
        <v>81</v>
      </c>
      <c r="B121" s="268">
        <f t="shared" si="16"/>
        <v>0</v>
      </c>
      <c r="C121" s="870"/>
      <c r="D121" s="1145"/>
      <c r="E121" s="1145"/>
      <c r="F121" s="1145"/>
      <c r="G121" s="1145"/>
      <c r="H121" s="1145"/>
      <c r="I121" s="1145"/>
      <c r="J121" s="1145"/>
      <c r="K121" s="1145"/>
      <c r="L121" s="1145"/>
      <c r="M121" s="1145"/>
      <c r="N121" s="1145"/>
      <c r="O121" s="1145"/>
      <c r="P121" s="1145"/>
      <c r="Q121" s="1145"/>
      <c r="R121" s="1145"/>
      <c r="S121" s="1145"/>
      <c r="T121" s="1146"/>
      <c r="U121" s="1146"/>
      <c r="V121" s="1146"/>
      <c r="W121" s="1146"/>
      <c r="X121" s="1146"/>
      <c r="Y121" s="1146"/>
      <c r="Z121" s="1146"/>
      <c r="AA121" s="1146"/>
      <c r="AB121" s="1146"/>
      <c r="AC121" s="1146"/>
      <c r="AD121" s="1146"/>
      <c r="AE121" s="1146"/>
      <c r="AF121" s="1146"/>
      <c r="AG121" s="1146"/>
      <c r="AH121" s="276">
        <f t="shared" si="15"/>
        <v>0</v>
      </c>
    </row>
    <row r="122" spans="1:34" ht="13.5">
      <c r="A122" s="192" t="s">
        <v>82</v>
      </c>
      <c r="B122" s="268">
        <f t="shared" si="16"/>
        <v>0</v>
      </c>
      <c r="C122" s="870"/>
      <c r="D122" s="1145"/>
      <c r="E122" s="1145"/>
      <c r="F122" s="1145"/>
      <c r="G122" s="1145"/>
      <c r="H122" s="1145"/>
      <c r="I122" s="1145"/>
      <c r="J122" s="1145"/>
      <c r="K122" s="1145"/>
      <c r="L122" s="1145"/>
      <c r="M122" s="1145"/>
      <c r="N122" s="1145"/>
      <c r="O122" s="1145"/>
      <c r="P122" s="1145"/>
      <c r="Q122" s="1145"/>
      <c r="R122" s="1145"/>
      <c r="S122" s="1145"/>
      <c r="T122" s="1146"/>
      <c r="U122" s="1146"/>
      <c r="V122" s="1146"/>
      <c r="W122" s="1146"/>
      <c r="X122" s="1146"/>
      <c r="Y122" s="1146"/>
      <c r="Z122" s="1146"/>
      <c r="AA122" s="1146"/>
      <c r="AB122" s="1146"/>
      <c r="AC122" s="1146"/>
      <c r="AD122" s="1146"/>
      <c r="AE122" s="1146"/>
      <c r="AF122" s="1146"/>
      <c r="AG122" s="1146"/>
      <c r="AH122" s="276">
        <f t="shared" si="15"/>
        <v>0</v>
      </c>
    </row>
    <row r="123" spans="1:34" ht="13.5">
      <c r="A123" s="192" t="s">
        <v>83</v>
      </c>
      <c r="B123" s="268">
        <f t="shared" si="16"/>
        <v>0</v>
      </c>
      <c r="C123" s="870"/>
      <c r="D123" s="1145"/>
      <c r="E123" s="1145"/>
      <c r="F123" s="1145"/>
      <c r="G123" s="1145"/>
      <c r="H123" s="1145"/>
      <c r="I123" s="1145"/>
      <c r="J123" s="1145"/>
      <c r="K123" s="1145"/>
      <c r="L123" s="1145"/>
      <c r="M123" s="1145"/>
      <c r="N123" s="1145"/>
      <c r="O123" s="1145"/>
      <c r="P123" s="1145"/>
      <c r="Q123" s="1145"/>
      <c r="R123" s="1145"/>
      <c r="S123" s="1145"/>
      <c r="T123" s="1146"/>
      <c r="U123" s="1146"/>
      <c r="V123" s="1146"/>
      <c r="W123" s="1146"/>
      <c r="X123" s="1146"/>
      <c r="Y123" s="1146"/>
      <c r="Z123" s="1146"/>
      <c r="AA123" s="1146"/>
      <c r="AB123" s="1146"/>
      <c r="AC123" s="1146"/>
      <c r="AD123" s="1146"/>
      <c r="AE123" s="1146"/>
      <c r="AF123" s="1146"/>
      <c r="AG123" s="1146"/>
      <c r="AH123" s="276">
        <f t="shared" si="15"/>
        <v>0</v>
      </c>
    </row>
    <row r="124" spans="1:34" ht="13.5">
      <c r="A124" s="192" t="s">
        <v>84</v>
      </c>
      <c r="B124" s="268">
        <f t="shared" si="16"/>
        <v>0</v>
      </c>
      <c r="C124" s="870"/>
      <c r="D124" s="1145"/>
      <c r="E124" s="1145"/>
      <c r="F124" s="1145"/>
      <c r="G124" s="1145"/>
      <c r="H124" s="1145"/>
      <c r="I124" s="1145"/>
      <c r="J124" s="1145"/>
      <c r="K124" s="1145"/>
      <c r="L124" s="1145"/>
      <c r="M124" s="1145"/>
      <c r="N124" s="1145"/>
      <c r="O124" s="1145"/>
      <c r="P124" s="1145"/>
      <c r="Q124" s="1145"/>
      <c r="R124" s="1145"/>
      <c r="S124" s="1145"/>
      <c r="T124" s="1146"/>
      <c r="U124" s="1146"/>
      <c r="V124" s="1146"/>
      <c r="W124" s="1146"/>
      <c r="X124" s="1146"/>
      <c r="Y124" s="1146"/>
      <c r="Z124" s="1146"/>
      <c r="AA124" s="1146"/>
      <c r="AB124" s="1146"/>
      <c r="AC124" s="1146"/>
      <c r="AD124" s="1146"/>
      <c r="AE124" s="1146"/>
      <c r="AF124" s="1146"/>
      <c r="AG124" s="1146"/>
      <c r="AH124" s="276">
        <f t="shared" si="15"/>
        <v>0</v>
      </c>
    </row>
    <row r="125" spans="1:34" ht="13.5">
      <c r="A125" s="192" t="s">
        <v>85</v>
      </c>
      <c r="B125" s="268">
        <f t="shared" si="16"/>
        <v>0</v>
      </c>
      <c r="C125" s="870"/>
      <c r="D125" s="1145"/>
      <c r="E125" s="1145"/>
      <c r="F125" s="1145"/>
      <c r="G125" s="1145"/>
      <c r="H125" s="1145"/>
      <c r="I125" s="1145"/>
      <c r="J125" s="1145"/>
      <c r="K125" s="1145"/>
      <c r="L125" s="1145"/>
      <c r="M125" s="1145"/>
      <c r="N125" s="1145"/>
      <c r="O125" s="1145"/>
      <c r="P125" s="1145"/>
      <c r="Q125" s="1145"/>
      <c r="R125" s="1145"/>
      <c r="S125" s="1145"/>
      <c r="T125" s="1146"/>
      <c r="U125" s="1146"/>
      <c r="V125" s="1146"/>
      <c r="W125" s="1146"/>
      <c r="X125" s="1146"/>
      <c r="Y125" s="1146"/>
      <c r="Z125" s="1146"/>
      <c r="AA125" s="1146"/>
      <c r="AB125" s="1146"/>
      <c r="AC125" s="1146"/>
      <c r="AD125" s="1146"/>
      <c r="AE125" s="1146"/>
      <c r="AF125" s="1146"/>
      <c r="AG125" s="1146"/>
      <c r="AH125" s="276">
        <f t="shared" si="15"/>
        <v>0</v>
      </c>
    </row>
    <row r="126" spans="1:34" ht="13.5">
      <c r="A126" s="192" t="s">
        <v>86</v>
      </c>
      <c r="B126" s="268">
        <f t="shared" si="16"/>
        <v>0</v>
      </c>
      <c r="C126" s="870"/>
      <c r="D126" s="1145"/>
      <c r="E126" s="1145"/>
      <c r="F126" s="1145"/>
      <c r="G126" s="1145"/>
      <c r="H126" s="1145"/>
      <c r="I126" s="1145"/>
      <c r="J126" s="1145"/>
      <c r="K126" s="1145"/>
      <c r="L126" s="1145"/>
      <c r="M126" s="1145"/>
      <c r="N126" s="1145"/>
      <c r="O126" s="1145"/>
      <c r="P126" s="1145"/>
      <c r="Q126" s="1145"/>
      <c r="R126" s="1145"/>
      <c r="S126" s="1145"/>
      <c r="T126" s="1146"/>
      <c r="U126" s="1146"/>
      <c r="V126" s="1146"/>
      <c r="W126" s="1146"/>
      <c r="X126" s="1146"/>
      <c r="Y126" s="1146"/>
      <c r="Z126" s="1146"/>
      <c r="AA126" s="1146"/>
      <c r="AB126" s="1146"/>
      <c r="AC126" s="1146"/>
      <c r="AD126" s="1146"/>
      <c r="AE126" s="1146"/>
      <c r="AF126" s="1146"/>
      <c r="AG126" s="1146"/>
      <c r="AH126" s="276">
        <f t="shared" si="15"/>
        <v>0</v>
      </c>
    </row>
    <row r="127" spans="1:34" ht="13.5">
      <c r="A127" s="774" t="s">
        <v>52</v>
      </c>
      <c r="B127" s="775">
        <f>SUM(B115:B126)</f>
        <v>0</v>
      </c>
      <c r="C127" s="667"/>
      <c r="D127" s="667"/>
      <c r="E127" s="667"/>
      <c r="F127" s="667"/>
      <c r="G127" s="667"/>
      <c r="H127" s="667"/>
      <c r="I127" s="667"/>
      <c r="J127" s="667"/>
      <c r="K127" s="667"/>
      <c r="L127" s="667"/>
      <c r="M127" s="667"/>
      <c r="N127" s="667"/>
      <c r="O127" s="667"/>
      <c r="P127" s="667"/>
      <c r="Q127" s="667"/>
      <c r="R127" s="667"/>
      <c r="S127" s="667"/>
      <c r="T127" s="1147"/>
      <c r="U127" s="1147"/>
      <c r="V127" s="1147"/>
      <c r="W127" s="1147"/>
      <c r="X127" s="1147"/>
      <c r="Y127" s="1147"/>
      <c r="Z127" s="1147"/>
      <c r="AA127" s="1147"/>
      <c r="AB127" s="1147"/>
      <c r="AC127" s="1147"/>
      <c r="AD127" s="1147"/>
      <c r="AE127" s="1147"/>
      <c r="AF127" s="1147"/>
      <c r="AG127" s="1147"/>
      <c r="AH127" s="276">
        <f t="shared" si="15"/>
        <v>0</v>
      </c>
    </row>
    <row r="128" spans="1:34">
      <c r="A128" s="299" t="s">
        <v>240</v>
      </c>
      <c r="B128" s="300"/>
      <c r="C128" s="210"/>
      <c r="D128" s="210"/>
      <c r="E128" s="210"/>
      <c r="F128" s="210"/>
      <c r="G128" s="210"/>
      <c r="H128" s="210"/>
      <c r="I128" s="210"/>
      <c r="J128" s="210"/>
      <c r="K128" s="210"/>
      <c r="L128" s="210"/>
      <c r="M128" s="210"/>
      <c r="N128" s="210"/>
      <c r="O128" s="210"/>
      <c r="P128" s="210"/>
      <c r="Q128" s="210"/>
      <c r="R128" s="210"/>
      <c r="S128" s="210"/>
      <c r="T128" s="210"/>
      <c r="U128" s="210"/>
      <c r="V128" s="210"/>
      <c r="W128" s="210"/>
      <c r="X128" s="210"/>
      <c r="Y128" s="210"/>
      <c r="Z128" s="210"/>
      <c r="AA128" s="210"/>
      <c r="AB128" s="210"/>
      <c r="AC128" s="210"/>
      <c r="AD128" s="210"/>
      <c r="AE128" s="210"/>
      <c r="AF128" s="210"/>
      <c r="AG128" s="210"/>
      <c r="AH128" s="210"/>
    </row>
    <row r="129" spans="1:34" ht="13.5">
      <c r="A129" s="779" t="s">
        <v>68</v>
      </c>
      <c r="B129" s="780"/>
    </row>
    <row r="131" spans="1:34" s="1163" customFormat="1"/>
    <row r="132" spans="1:34" s="1163" customFormat="1" ht="13.5" thickBot="1"/>
    <row r="133" spans="1:34" ht="13.5" customHeight="1">
      <c r="A133" s="776" t="s">
        <v>518</v>
      </c>
      <c r="B133" s="777"/>
      <c r="C133" s="777"/>
      <c r="D133" s="777"/>
      <c r="E133" s="777"/>
      <c r="F133" s="777"/>
      <c r="G133" s="777"/>
      <c r="H133" s="778"/>
      <c r="I133" s="167"/>
      <c r="J133" s="167"/>
      <c r="K133" s="167"/>
      <c r="L133" s="167"/>
      <c r="M133" s="167"/>
      <c r="N133" s="167"/>
      <c r="O133" s="167"/>
      <c r="P133" s="167"/>
      <c r="Q133" s="167"/>
      <c r="R133" s="167"/>
      <c r="S133" s="167"/>
      <c r="T133" s="167"/>
      <c r="U133" s="167"/>
      <c r="V133" s="167"/>
      <c r="W133" s="167"/>
      <c r="X133" s="167"/>
      <c r="Y133" s="167"/>
      <c r="Z133" s="167"/>
      <c r="AA133" s="167"/>
      <c r="AB133" s="167"/>
      <c r="AC133" s="167"/>
      <c r="AD133" s="167"/>
      <c r="AE133" s="167"/>
      <c r="AF133" s="167"/>
      <c r="AG133" s="167"/>
      <c r="AH133" s="167"/>
    </row>
    <row r="134" spans="1:34" ht="10.5" customHeight="1" thickBot="1">
      <c r="A134" s="3702" t="s">
        <v>121</v>
      </c>
      <c r="B134" s="3703"/>
      <c r="C134" s="3703"/>
      <c r="D134" s="3703"/>
      <c r="E134" s="3703"/>
      <c r="F134" s="3703"/>
      <c r="G134" s="3703"/>
      <c r="H134" s="3704"/>
      <c r="I134" s="167"/>
      <c r="J134" s="167"/>
      <c r="K134" s="167"/>
      <c r="L134" s="167"/>
      <c r="M134" s="167"/>
      <c r="N134" s="167"/>
      <c r="O134" s="167"/>
      <c r="P134" s="167"/>
      <c r="Q134" s="167"/>
      <c r="R134" s="167"/>
      <c r="S134" s="167"/>
      <c r="T134" s="167"/>
      <c r="U134" s="167"/>
      <c r="V134" s="167"/>
      <c r="W134" s="167"/>
      <c r="X134" s="167"/>
      <c r="Y134" s="167"/>
      <c r="Z134" s="167"/>
      <c r="AA134" s="167"/>
      <c r="AB134" s="167"/>
      <c r="AC134" s="167"/>
      <c r="AD134" s="167"/>
      <c r="AE134" s="167"/>
      <c r="AF134" s="167"/>
      <c r="AG134" s="167"/>
      <c r="AH134" s="167"/>
    </row>
    <row r="135" spans="1:34">
      <c r="A135" s="167"/>
      <c r="B135" s="167"/>
      <c r="C135" s="167"/>
      <c r="D135" s="167"/>
      <c r="E135" s="167"/>
      <c r="F135" s="167"/>
      <c r="G135" s="167"/>
      <c r="H135" s="167"/>
      <c r="I135" s="167"/>
      <c r="J135" s="167"/>
      <c r="K135" s="167"/>
      <c r="L135" s="167"/>
      <c r="M135" s="167"/>
      <c r="N135" s="167"/>
      <c r="O135" s="167"/>
      <c r="P135" s="167"/>
      <c r="Q135" s="167"/>
      <c r="R135" s="167"/>
      <c r="S135" s="167"/>
      <c r="T135" s="167"/>
      <c r="U135" s="167"/>
      <c r="V135" s="167"/>
      <c r="W135" s="167"/>
      <c r="X135" s="167"/>
      <c r="Y135" s="167"/>
      <c r="Z135" s="167"/>
      <c r="AA135" s="167"/>
      <c r="AB135" s="167"/>
      <c r="AC135" s="167"/>
      <c r="AD135" s="167"/>
      <c r="AE135" s="167"/>
      <c r="AF135" s="167"/>
      <c r="AG135" s="167"/>
      <c r="AH135" s="167"/>
    </row>
    <row r="136" spans="1:34" ht="13.5">
      <c r="A136" s="3708" t="s">
        <v>152</v>
      </c>
      <c r="B136" s="3709"/>
      <c r="C136" s="3710"/>
      <c r="D136" s="64"/>
      <c r="E136" s="64"/>
      <c r="F136" s="64"/>
      <c r="G136" s="64"/>
      <c r="H136" s="64"/>
      <c r="I136" s="64"/>
      <c r="J136" s="64"/>
      <c r="K136" s="64"/>
      <c r="L136" s="64"/>
      <c r="M136" s="176"/>
      <c r="N136" s="64"/>
      <c r="O136" s="64"/>
      <c r="P136" s="64"/>
      <c r="Q136" s="64"/>
      <c r="R136" s="64"/>
      <c r="S136" s="64"/>
      <c r="T136" s="64"/>
      <c r="U136" s="64"/>
      <c r="V136" s="64"/>
      <c r="W136" s="64"/>
      <c r="X136" s="64"/>
      <c r="Y136" s="64"/>
      <c r="Z136" s="64"/>
      <c r="AA136" s="64"/>
      <c r="AB136" s="64"/>
      <c r="AC136" s="64"/>
      <c r="AD136" s="64"/>
      <c r="AE136" s="64"/>
      <c r="AF136" s="64"/>
      <c r="AG136" s="64"/>
      <c r="AH136" s="177"/>
    </row>
    <row r="137" spans="1:34" ht="13.5">
      <c r="A137" s="178" t="s">
        <v>72</v>
      </c>
      <c r="B137" s="178" t="s">
        <v>73</v>
      </c>
      <c r="C137" s="1487">
        <v>1</v>
      </c>
      <c r="D137" s="179">
        <v>2</v>
      </c>
      <c r="E137" s="179">
        <v>3</v>
      </c>
      <c r="F137" s="179">
        <v>4</v>
      </c>
      <c r="G137" s="179">
        <v>5</v>
      </c>
      <c r="H137" s="179">
        <v>6</v>
      </c>
      <c r="I137" s="179">
        <v>7</v>
      </c>
      <c r="J137" s="179">
        <v>8</v>
      </c>
      <c r="K137" s="179">
        <v>9</v>
      </c>
      <c r="L137" s="179">
        <v>10</v>
      </c>
      <c r="M137" s="179">
        <v>11</v>
      </c>
      <c r="N137" s="179">
        <v>12</v>
      </c>
      <c r="O137" s="179">
        <v>13</v>
      </c>
      <c r="P137" s="179">
        <v>14</v>
      </c>
      <c r="Q137" s="179">
        <v>15</v>
      </c>
      <c r="R137" s="179">
        <v>16</v>
      </c>
      <c r="S137" s="179">
        <v>17</v>
      </c>
      <c r="T137" s="179">
        <v>18</v>
      </c>
      <c r="U137" s="179">
        <v>19</v>
      </c>
      <c r="V137" s="179">
        <v>20</v>
      </c>
      <c r="W137" s="166">
        <v>21</v>
      </c>
      <c r="X137" s="179">
        <v>22</v>
      </c>
      <c r="Y137" s="179">
        <v>23</v>
      </c>
      <c r="Z137" s="179">
        <v>24</v>
      </c>
      <c r="AA137" s="179">
        <v>25</v>
      </c>
      <c r="AB137" s="179">
        <v>26</v>
      </c>
      <c r="AC137" s="179">
        <v>27</v>
      </c>
      <c r="AD137" s="179">
        <v>28</v>
      </c>
      <c r="AE137" s="179">
        <v>29</v>
      </c>
      <c r="AF137" s="179">
        <v>30</v>
      </c>
      <c r="AG137" s="179">
        <v>31</v>
      </c>
      <c r="AH137" s="181" t="s">
        <v>52</v>
      </c>
    </row>
    <row r="138" spans="1:34" ht="13.5">
      <c r="A138" s="192" t="s">
        <v>75</v>
      </c>
      <c r="B138" s="159">
        <f t="shared" ref="B138:B149" si="17">+AH138</f>
        <v>0</v>
      </c>
      <c r="C138" s="182"/>
      <c r="D138" s="182"/>
      <c r="E138" s="182"/>
      <c r="F138" s="182"/>
      <c r="G138" s="182"/>
      <c r="H138" s="182"/>
      <c r="I138" s="182"/>
      <c r="J138" s="182"/>
      <c r="K138" s="182"/>
      <c r="L138" s="182"/>
      <c r="M138" s="182"/>
      <c r="N138" s="182"/>
      <c r="O138" s="182"/>
      <c r="P138" s="182"/>
      <c r="Q138" s="182"/>
      <c r="R138" s="182"/>
      <c r="S138" s="182"/>
      <c r="T138" s="182"/>
      <c r="U138" s="182"/>
      <c r="V138" s="182"/>
      <c r="W138" s="182"/>
      <c r="X138" s="182"/>
      <c r="Y138" s="182"/>
      <c r="Z138" s="182"/>
      <c r="AA138" s="182"/>
      <c r="AB138" s="182"/>
      <c r="AC138" s="182"/>
      <c r="AD138" s="182"/>
      <c r="AE138" s="182"/>
      <c r="AF138" s="182"/>
      <c r="AG138" s="182"/>
      <c r="AH138" s="183">
        <f>SUM(C138:AG138)</f>
        <v>0</v>
      </c>
    </row>
    <row r="139" spans="1:34" ht="13.5">
      <c r="A139" s="192" t="s">
        <v>76</v>
      </c>
      <c r="B139" s="159">
        <f t="shared" si="17"/>
        <v>0</v>
      </c>
      <c r="C139" s="182"/>
      <c r="D139" s="182"/>
      <c r="E139" s="182"/>
      <c r="F139" s="182"/>
      <c r="G139" s="182"/>
      <c r="H139" s="182"/>
      <c r="I139" s="182"/>
      <c r="J139" s="182"/>
      <c r="K139" s="182"/>
      <c r="L139" s="182"/>
      <c r="M139" s="182"/>
      <c r="N139" s="182"/>
      <c r="O139" s="182"/>
      <c r="P139" s="182"/>
      <c r="Q139" s="182"/>
      <c r="R139" s="182"/>
      <c r="S139" s="182"/>
      <c r="T139" s="182"/>
      <c r="U139" s="182"/>
      <c r="V139" s="182"/>
      <c r="W139" s="182"/>
      <c r="X139" s="182"/>
      <c r="Y139" s="182"/>
      <c r="Z139" s="182"/>
      <c r="AA139" s="182"/>
      <c r="AB139" s="182"/>
      <c r="AC139" s="182"/>
      <c r="AD139" s="182"/>
      <c r="AE139" s="182"/>
      <c r="AF139" s="182"/>
      <c r="AG139" s="182"/>
      <c r="AH139" s="183">
        <f>SUM(C139:AG139)</f>
        <v>0</v>
      </c>
    </row>
    <row r="140" spans="1:34" ht="13.5">
      <c r="A140" s="192" t="s">
        <v>77</v>
      </c>
      <c r="B140" s="159">
        <f t="shared" si="17"/>
        <v>0</v>
      </c>
      <c r="C140" s="703"/>
      <c r="D140" s="704"/>
      <c r="E140" s="704"/>
      <c r="F140" s="704"/>
      <c r="G140" s="704"/>
      <c r="H140" s="704"/>
      <c r="I140" s="704"/>
      <c r="J140" s="704"/>
      <c r="K140" s="704"/>
      <c r="L140" s="704"/>
      <c r="M140" s="704"/>
      <c r="N140" s="704"/>
      <c r="O140" s="704"/>
      <c r="P140" s="704"/>
      <c r="Q140" s="704"/>
      <c r="R140" s="704"/>
      <c r="S140" s="704"/>
      <c r="T140" s="704"/>
      <c r="U140" s="704"/>
      <c r="V140" s="704"/>
      <c r="W140" s="704"/>
      <c r="X140" s="704"/>
      <c r="Y140" s="704"/>
      <c r="Z140" s="704"/>
      <c r="AA140" s="704"/>
      <c r="AB140" s="704"/>
      <c r="AC140" s="704"/>
      <c r="AD140" s="704"/>
      <c r="AE140" s="704"/>
      <c r="AF140" s="704"/>
      <c r="AG140" s="704"/>
      <c r="AH140" s="183">
        <f>SUM(C140:AG140)</f>
        <v>0</v>
      </c>
    </row>
    <row r="141" spans="1:34" ht="13.5">
      <c r="A141" s="192" t="s">
        <v>78</v>
      </c>
      <c r="B141" s="159">
        <f t="shared" si="17"/>
        <v>0</v>
      </c>
      <c r="C141" s="705"/>
      <c r="D141" s="360"/>
      <c r="E141" s="360"/>
      <c r="F141" s="360"/>
      <c r="G141" s="360"/>
      <c r="H141" s="360"/>
      <c r="I141" s="360"/>
      <c r="J141" s="360"/>
      <c r="K141" s="360"/>
      <c r="L141" s="360"/>
      <c r="M141" s="360"/>
      <c r="N141" s="360"/>
      <c r="O141" s="360"/>
      <c r="P141" s="360"/>
      <c r="Q141" s="360"/>
      <c r="R141" s="360"/>
      <c r="S141" s="360"/>
      <c r="T141" s="360"/>
      <c r="U141" s="360"/>
      <c r="V141" s="360"/>
      <c r="W141" s="360"/>
      <c r="X141" s="360"/>
      <c r="Y141" s="360"/>
      <c r="Z141" s="360"/>
      <c r="AA141" s="360"/>
      <c r="AB141" s="360"/>
      <c r="AC141" s="360"/>
      <c r="AD141" s="360"/>
      <c r="AE141" s="360"/>
      <c r="AF141" s="360"/>
      <c r="AG141" s="360"/>
      <c r="AH141" s="183">
        <f t="shared" ref="AH141:AH150" si="18">SUM(C141:AG141)</f>
        <v>0</v>
      </c>
    </row>
    <row r="142" spans="1:34" ht="13.5">
      <c r="A142" s="192" t="s">
        <v>79</v>
      </c>
      <c r="B142" s="159">
        <f t="shared" si="17"/>
        <v>0</v>
      </c>
      <c r="C142" s="705"/>
      <c r="D142" s="360"/>
      <c r="E142" s="360"/>
      <c r="F142" s="360"/>
      <c r="G142" s="360"/>
      <c r="H142" s="360"/>
      <c r="I142" s="360"/>
      <c r="J142" s="360"/>
      <c r="K142" s="360"/>
      <c r="L142" s="360"/>
      <c r="M142" s="360"/>
      <c r="N142" s="360"/>
      <c r="O142" s="360"/>
      <c r="P142" s="360"/>
      <c r="Q142" s="360"/>
      <c r="R142" s="360"/>
      <c r="S142" s="360"/>
      <c r="T142" s="360"/>
      <c r="U142" s="360"/>
      <c r="V142" s="360"/>
      <c r="W142" s="360"/>
      <c r="X142" s="360"/>
      <c r="Y142" s="360"/>
      <c r="Z142" s="360"/>
      <c r="AA142" s="360"/>
      <c r="AB142" s="360"/>
      <c r="AC142" s="360"/>
      <c r="AD142" s="360"/>
      <c r="AE142" s="360"/>
      <c r="AF142" s="360"/>
      <c r="AG142" s="360"/>
      <c r="AH142" s="183">
        <f t="shared" si="18"/>
        <v>0</v>
      </c>
    </row>
    <row r="143" spans="1:34" ht="13.5">
      <c r="A143" s="192" t="s">
        <v>80</v>
      </c>
      <c r="B143" s="159">
        <f t="shared" si="17"/>
        <v>0</v>
      </c>
      <c r="C143" s="184"/>
      <c r="D143" s="185"/>
      <c r="E143" s="185"/>
      <c r="F143" s="185"/>
      <c r="G143" s="185"/>
      <c r="H143" s="185"/>
      <c r="I143" s="185"/>
      <c r="J143" s="185"/>
      <c r="K143" s="185"/>
      <c r="L143" s="185"/>
      <c r="M143" s="185"/>
      <c r="N143" s="185"/>
      <c r="O143" s="185"/>
      <c r="P143" s="185"/>
      <c r="Q143" s="185"/>
      <c r="R143" s="185"/>
      <c r="S143" s="185"/>
      <c r="T143" s="185"/>
      <c r="U143" s="185"/>
      <c r="V143" s="185"/>
      <c r="W143" s="185"/>
      <c r="X143" s="185"/>
      <c r="Y143" s="185"/>
      <c r="Z143" s="185"/>
      <c r="AA143" s="185"/>
      <c r="AB143" s="185"/>
      <c r="AC143" s="185"/>
      <c r="AD143" s="185"/>
      <c r="AE143" s="185"/>
      <c r="AF143" s="185"/>
      <c r="AG143" s="185"/>
      <c r="AH143" s="183">
        <f t="shared" si="18"/>
        <v>0</v>
      </c>
    </row>
    <row r="144" spans="1:34" ht="13.5">
      <c r="A144" s="192" t="s">
        <v>81</v>
      </c>
      <c r="B144" s="159">
        <f t="shared" si="17"/>
        <v>0</v>
      </c>
      <c r="C144" s="184"/>
      <c r="D144" s="185"/>
      <c r="E144" s="185"/>
      <c r="F144" s="185"/>
      <c r="G144" s="185"/>
      <c r="H144" s="185"/>
      <c r="I144" s="185"/>
      <c r="J144" s="185"/>
      <c r="K144" s="185"/>
      <c r="L144" s="185"/>
      <c r="M144" s="185"/>
      <c r="N144" s="185"/>
      <c r="O144" s="185"/>
      <c r="P144" s="185"/>
      <c r="Q144" s="185"/>
      <c r="R144" s="185"/>
      <c r="S144" s="185"/>
      <c r="T144" s="185"/>
      <c r="U144" s="185"/>
      <c r="V144" s="185"/>
      <c r="W144" s="185"/>
      <c r="X144" s="185"/>
      <c r="Y144" s="185"/>
      <c r="Z144" s="185"/>
      <c r="AA144" s="185"/>
      <c r="AB144" s="185"/>
      <c r="AC144" s="185"/>
      <c r="AD144" s="185"/>
      <c r="AE144" s="185"/>
      <c r="AF144" s="185"/>
      <c r="AG144" s="185"/>
      <c r="AH144" s="183">
        <f t="shared" si="18"/>
        <v>0</v>
      </c>
    </row>
    <row r="145" spans="1:34" ht="13.5">
      <c r="A145" s="192" t="s">
        <v>82</v>
      </c>
      <c r="B145" s="159">
        <f t="shared" si="17"/>
        <v>0</v>
      </c>
      <c r="C145" s="184"/>
      <c r="D145" s="185"/>
      <c r="E145" s="185"/>
      <c r="F145" s="185"/>
      <c r="G145" s="185"/>
      <c r="H145" s="185"/>
      <c r="I145" s="185"/>
      <c r="J145" s="185"/>
      <c r="K145" s="185"/>
      <c r="L145" s="185"/>
      <c r="M145" s="185"/>
      <c r="N145" s="185"/>
      <c r="O145" s="185"/>
      <c r="P145" s="185"/>
      <c r="Q145" s="185"/>
      <c r="R145" s="185"/>
      <c r="S145" s="185"/>
      <c r="T145" s="185"/>
      <c r="U145" s="185"/>
      <c r="V145" s="185"/>
      <c r="W145" s="185"/>
      <c r="X145" s="185"/>
      <c r="Y145" s="185"/>
      <c r="Z145" s="185"/>
      <c r="AA145" s="185"/>
      <c r="AB145" s="185"/>
      <c r="AC145" s="185"/>
      <c r="AD145" s="185"/>
      <c r="AE145" s="185"/>
      <c r="AF145" s="185"/>
      <c r="AG145" s="185"/>
      <c r="AH145" s="183">
        <f t="shared" si="18"/>
        <v>0</v>
      </c>
    </row>
    <row r="146" spans="1:34" ht="13.5">
      <c r="A146" s="192" t="s">
        <v>83</v>
      </c>
      <c r="B146" s="159">
        <f t="shared" si="17"/>
        <v>0</v>
      </c>
      <c r="C146" s="184"/>
      <c r="D146" s="185"/>
      <c r="E146" s="185"/>
      <c r="F146" s="185"/>
      <c r="G146" s="185"/>
      <c r="H146" s="185"/>
      <c r="I146" s="185"/>
      <c r="J146" s="185"/>
      <c r="K146" s="185"/>
      <c r="L146" s="185"/>
      <c r="M146" s="185"/>
      <c r="N146" s="185"/>
      <c r="O146" s="185"/>
      <c r="P146" s="185"/>
      <c r="Q146" s="185"/>
      <c r="R146" s="185"/>
      <c r="S146" s="185"/>
      <c r="T146" s="185"/>
      <c r="U146" s="185"/>
      <c r="V146" s="185"/>
      <c r="W146" s="185"/>
      <c r="X146" s="185"/>
      <c r="Y146" s="185"/>
      <c r="Z146" s="185"/>
      <c r="AA146" s="185"/>
      <c r="AB146" s="185"/>
      <c r="AC146" s="185"/>
      <c r="AD146" s="185"/>
      <c r="AE146" s="185"/>
      <c r="AF146" s="185"/>
      <c r="AG146" s="185"/>
      <c r="AH146" s="183">
        <f t="shared" si="18"/>
        <v>0</v>
      </c>
    </row>
    <row r="147" spans="1:34" ht="13.5">
      <c r="A147" s="192" t="s">
        <v>84</v>
      </c>
      <c r="B147" s="159">
        <f t="shared" si="17"/>
        <v>0</v>
      </c>
      <c r="C147" s="184"/>
      <c r="D147" s="185"/>
      <c r="E147" s="185"/>
      <c r="F147" s="185"/>
      <c r="G147" s="185"/>
      <c r="H147" s="185"/>
      <c r="I147" s="185"/>
      <c r="J147" s="185"/>
      <c r="K147" s="185"/>
      <c r="L147" s="185"/>
      <c r="M147" s="185"/>
      <c r="N147" s="185"/>
      <c r="O147" s="185"/>
      <c r="P147" s="185"/>
      <c r="Q147" s="185"/>
      <c r="R147" s="185"/>
      <c r="S147" s="185"/>
      <c r="T147" s="185"/>
      <c r="U147" s="185"/>
      <c r="V147" s="185"/>
      <c r="W147" s="185"/>
      <c r="X147" s="185"/>
      <c r="Y147" s="185"/>
      <c r="Z147" s="185"/>
      <c r="AA147" s="185"/>
      <c r="AB147" s="185"/>
      <c r="AC147" s="185"/>
      <c r="AD147" s="185"/>
      <c r="AE147" s="185"/>
      <c r="AF147" s="185"/>
      <c r="AG147" s="185"/>
      <c r="AH147" s="183">
        <f t="shared" si="18"/>
        <v>0</v>
      </c>
    </row>
    <row r="148" spans="1:34" ht="13.5">
      <c r="A148" s="179" t="s">
        <v>85</v>
      </c>
      <c r="B148" s="159">
        <f t="shared" si="17"/>
        <v>0</v>
      </c>
      <c r="C148" s="184"/>
      <c r="D148" s="185"/>
      <c r="E148" s="185"/>
      <c r="F148" s="185"/>
      <c r="G148" s="185"/>
      <c r="H148" s="185"/>
      <c r="I148" s="185"/>
      <c r="J148" s="185"/>
      <c r="K148" s="185"/>
      <c r="L148" s="185"/>
      <c r="M148" s="185"/>
      <c r="N148" s="185"/>
      <c r="O148" s="185"/>
      <c r="P148" s="185"/>
      <c r="Q148" s="185"/>
      <c r="R148" s="185"/>
      <c r="S148" s="185"/>
      <c r="T148" s="185"/>
      <c r="U148" s="185"/>
      <c r="V148" s="185"/>
      <c r="W148" s="185"/>
      <c r="X148" s="185"/>
      <c r="Y148" s="185"/>
      <c r="Z148" s="185"/>
      <c r="AA148" s="185"/>
      <c r="AB148" s="185"/>
      <c r="AC148" s="185"/>
      <c r="AD148" s="185"/>
      <c r="AE148" s="185"/>
      <c r="AF148" s="185"/>
      <c r="AG148" s="185"/>
      <c r="AH148" s="183">
        <f t="shared" si="18"/>
        <v>0</v>
      </c>
    </row>
    <row r="149" spans="1:34" ht="13.5">
      <c r="A149" s="179" t="s">
        <v>86</v>
      </c>
      <c r="B149" s="159">
        <f t="shared" si="17"/>
        <v>0</v>
      </c>
      <c r="C149" s="184"/>
      <c r="D149" s="185"/>
      <c r="E149" s="185"/>
      <c r="F149" s="185"/>
      <c r="G149" s="185"/>
      <c r="H149" s="185"/>
      <c r="I149" s="185"/>
      <c r="J149" s="185"/>
      <c r="K149" s="185"/>
      <c r="L149" s="185"/>
      <c r="M149" s="185"/>
      <c r="N149" s="185"/>
      <c r="O149" s="185"/>
      <c r="P149" s="185"/>
      <c r="Q149" s="185"/>
      <c r="R149" s="185"/>
      <c r="S149" s="185"/>
      <c r="T149" s="185"/>
      <c r="U149" s="185"/>
      <c r="V149" s="185"/>
      <c r="W149" s="185"/>
      <c r="X149" s="185"/>
      <c r="Y149" s="185"/>
      <c r="Z149" s="185"/>
      <c r="AA149" s="185"/>
      <c r="AB149" s="185"/>
      <c r="AC149" s="185"/>
      <c r="AD149" s="185"/>
      <c r="AE149" s="185"/>
      <c r="AF149" s="185"/>
      <c r="AG149" s="185"/>
      <c r="AH149" s="183">
        <f t="shared" si="18"/>
        <v>0</v>
      </c>
    </row>
    <row r="150" spans="1:34" ht="13.5">
      <c r="A150" s="186" t="s">
        <v>52</v>
      </c>
      <c r="B150" s="186">
        <f>SUM(B138:B149)</f>
        <v>0</v>
      </c>
      <c r="C150" s="187"/>
      <c r="D150" s="187"/>
      <c r="E150" s="187"/>
      <c r="F150" s="187"/>
      <c r="G150" s="187"/>
      <c r="H150" s="187"/>
      <c r="I150" s="187"/>
      <c r="J150" s="187"/>
      <c r="K150" s="187"/>
      <c r="L150" s="187"/>
      <c r="M150" s="187"/>
      <c r="N150" s="187"/>
      <c r="O150" s="187"/>
      <c r="P150" s="187"/>
      <c r="Q150" s="187"/>
      <c r="R150" s="187"/>
      <c r="S150" s="187"/>
      <c r="T150" s="187"/>
      <c r="U150" s="187"/>
      <c r="V150" s="187"/>
      <c r="W150" s="187"/>
      <c r="X150" s="187"/>
      <c r="Y150" s="187"/>
      <c r="Z150" s="187"/>
      <c r="AA150" s="187"/>
      <c r="AB150" s="187"/>
      <c r="AC150" s="187"/>
      <c r="AD150" s="187"/>
      <c r="AE150" s="187"/>
      <c r="AF150" s="187"/>
      <c r="AG150" s="187"/>
      <c r="AH150" s="183">
        <f t="shared" si="18"/>
        <v>0</v>
      </c>
    </row>
    <row r="151" spans="1:34">
      <c r="A151" s="167"/>
      <c r="B151" s="167"/>
      <c r="C151" s="167"/>
      <c r="D151" s="167"/>
      <c r="E151" s="167"/>
      <c r="F151" s="167"/>
      <c r="G151" s="167"/>
      <c r="H151" s="167"/>
      <c r="I151" s="167"/>
      <c r="J151" s="167"/>
      <c r="K151" s="167"/>
      <c r="L151" s="167"/>
      <c r="M151" s="167"/>
      <c r="N151" s="167"/>
      <c r="O151" s="167"/>
      <c r="P151" s="167"/>
      <c r="Q151" s="167"/>
      <c r="R151" s="167"/>
      <c r="S151" s="167"/>
      <c r="T151" s="167"/>
      <c r="U151" s="167"/>
      <c r="V151" s="167"/>
      <c r="W151" s="167"/>
      <c r="X151" s="167"/>
      <c r="Y151" s="167"/>
      <c r="Z151" s="167"/>
      <c r="AA151" s="167"/>
      <c r="AB151" s="167"/>
      <c r="AC151" s="167"/>
      <c r="AD151" s="167"/>
      <c r="AE151" s="167"/>
      <c r="AF151" s="167"/>
      <c r="AG151" s="167"/>
      <c r="AH151" s="167"/>
    </row>
    <row r="152" spans="1:34" ht="13.5">
      <c r="A152" s="3605" t="s">
        <v>153</v>
      </c>
      <c r="B152" s="3606"/>
      <c r="C152" s="3607"/>
      <c r="D152" s="64"/>
      <c r="E152" s="64"/>
      <c r="F152" s="64"/>
      <c r="G152" s="64"/>
      <c r="H152" s="64"/>
      <c r="I152" s="64"/>
      <c r="J152" s="64"/>
      <c r="K152" s="64"/>
      <c r="L152" s="64"/>
      <c r="M152" s="176"/>
      <c r="N152" s="64"/>
      <c r="O152" s="64"/>
      <c r="P152" s="64"/>
      <c r="Q152" s="64"/>
      <c r="R152" s="64"/>
      <c r="S152" s="64"/>
      <c r="T152" s="64"/>
      <c r="U152" s="64"/>
      <c r="V152" s="64"/>
      <c r="W152" s="64"/>
      <c r="X152" s="64"/>
      <c r="Y152" s="64"/>
      <c r="Z152" s="64"/>
      <c r="AA152" s="64"/>
      <c r="AB152" s="64"/>
      <c r="AC152" s="64"/>
      <c r="AD152" s="64"/>
      <c r="AE152" s="64"/>
      <c r="AF152" s="64"/>
      <c r="AG152" s="64"/>
      <c r="AH152" s="177"/>
    </row>
    <row r="153" spans="1:34" ht="13.5">
      <c r="A153" s="178" t="s">
        <v>72</v>
      </c>
      <c r="B153" s="178" t="s">
        <v>73</v>
      </c>
      <c r="C153" s="1487">
        <v>1</v>
      </c>
      <c r="D153" s="179">
        <v>2</v>
      </c>
      <c r="E153" s="179">
        <v>3</v>
      </c>
      <c r="F153" s="179">
        <v>4</v>
      </c>
      <c r="G153" s="179">
        <v>5</v>
      </c>
      <c r="H153" s="179">
        <v>6</v>
      </c>
      <c r="I153" s="179">
        <v>7</v>
      </c>
      <c r="J153" s="179">
        <v>8</v>
      </c>
      <c r="K153" s="179">
        <v>9</v>
      </c>
      <c r="L153" s="179">
        <v>10</v>
      </c>
      <c r="M153" s="179">
        <v>11</v>
      </c>
      <c r="N153" s="179">
        <v>12</v>
      </c>
      <c r="O153" s="179">
        <v>13</v>
      </c>
      <c r="P153" s="179">
        <v>14</v>
      </c>
      <c r="Q153" s="179">
        <v>15</v>
      </c>
      <c r="R153" s="179">
        <v>16</v>
      </c>
      <c r="S153" s="179">
        <v>17</v>
      </c>
      <c r="T153" s="179">
        <v>18</v>
      </c>
      <c r="U153" s="179">
        <v>19</v>
      </c>
      <c r="V153" s="179">
        <v>20</v>
      </c>
      <c r="W153" s="166">
        <v>21</v>
      </c>
      <c r="X153" s="179">
        <v>22</v>
      </c>
      <c r="Y153" s="179">
        <v>23</v>
      </c>
      <c r="Z153" s="179">
        <v>24</v>
      </c>
      <c r="AA153" s="179">
        <v>25</v>
      </c>
      <c r="AB153" s="179">
        <v>26</v>
      </c>
      <c r="AC153" s="179">
        <v>27</v>
      </c>
      <c r="AD153" s="179">
        <v>28</v>
      </c>
      <c r="AE153" s="179">
        <v>29</v>
      </c>
      <c r="AF153" s="179">
        <v>30</v>
      </c>
      <c r="AG153" s="179">
        <v>31</v>
      </c>
      <c r="AH153" s="181" t="s">
        <v>52</v>
      </c>
    </row>
    <row r="154" spans="1:34" ht="13.5">
      <c r="A154" s="192" t="s">
        <v>75</v>
      </c>
      <c r="B154" s="159">
        <f t="shared" ref="B154:B165" si="19">+AH154</f>
        <v>0</v>
      </c>
      <c r="C154" s="1553"/>
      <c r="D154" s="182"/>
      <c r="E154" s="182"/>
      <c r="F154" s="182"/>
      <c r="G154" s="182"/>
      <c r="H154" s="182"/>
      <c r="I154" s="182"/>
      <c r="J154" s="182"/>
      <c r="K154" s="182"/>
      <c r="L154" s="182"/>
      <c r="M154" s="182"/>
      <c r="N154" s="182"/>
      <c r="O154" s="182"/>
      <c r="P154" s="182"/>
      <c r="Q154" s="182"/>
      <c r="R154" s="182"/>
      <c r="S154" s="182"/>
      <c r="T154" s="182"/>
      <c r="U154" s="182"/>
      <c r="V154" s="182"/>
      <c r="W154" s="182"/>
      <c r="X154" s="182"/>
      <c r="Y154" s="182"/>
      <c r="Z154" s="182"/>
      <c r="AA154" s="182"/>
      <c r="AB154" s="182"/>
      <c r="AC154" s="182"/>
      <c r="AD154" s="182"/>
      <c r="AE154" s="182"/>
      <c r="AF154" s="182"/>
      <c r="AG154" s="182"/>
      <c r="AH154" s="183">
        <f>SUM(C154:AG154)</f>
        <v>0</v>
      </c>
    </row>
    <row r="155" spans="1:34" ht="13.5">
      <c r="A155" s="192" t="s">
        <v>76</v>
      </c>
      <c r="B155" s="159">
        <f t="shared" si="19"/>
        <v>0</v>
      </c>
      <c r="C155" s="182"/>
      <c r="D155" s="182"/>
      <c r="E155" s="182"/>
      <c r="F155" s="182"/>
      <c r="G155" s="182"/>
      <c r="H155" s="182"/>
      <c r="I155" s="182"/>
      <c r="J155" s="182"/>
      <c r="K155" s="182"/>
      <c r="L155" s="182"/>
      <c r="M155" s="182"/>
      <c r="N155" s="182"/>
      <c r="O155" s="182"/>
      <c r="P155" s="182"/>
      <c r="Q155" s="182"/>
      <c r="R155" s="182"/>
      <c r="S155" s="182"/>
      <c r="T155" s="182"/>
      <c r="U155" s="182"/>
      <c r="V155" s="182"/>
      <c r="W155" s="182"/>
      <c r="X155" s="182"/>
      <c r="Y155" s="182"/>
      <c r="Z155" s="182"/>
      <c r="AA155" s="182"/>
      <c r="AB155" s="182"/>
      <c r="AC155" s="182"/>
      <c r="AD155" s="182"/>
      <c r="AE155" s="182"/>
      <c r="AF155" s="182"/>
      <c r="AG155" s="182"/>
      <c r="AH155" s="183">
        <f>SUM(C155:AG155)</f>
        <v>0</v>
      </c>
    </row>
    <row r="156" spans="1:34" ht="13.5">
      <c r="A156" s="192" t="s">
        <v>77</v>
      </c>
      <c r="B156" s="159">
        <f t="shared" si="19"/>
        <v>0</v>
      </c>
      <c r="C156" s="182"/>
      <c r="D156" s="182"/>
      <c r="E156" s="182"/>
      <c r="F156" s="182"/>
      <c r="G156" s="182"/>
      <c r="H156" s="182"/>
      <c r="I156" s="182"/>
      <c r="J156" s="182"/>
      <c r="K156" s="182"/>
      <c r="L156" s="182"/>
      <c r="M156" s="182"/>
      <c r="N156" s="182"/>
      <c r="O156" s="182"/>
      <c r="P156" s="182"/>
      <c r="Q156" s="182"/>
      <c r="R156" s="182"/>
      <c r="S156" s="182"/>
      <c r="T156" s="182"/>
      <c r="U156" s="182"/>
      <c r="V156" s="182"/>
      <c r="W156" s="182"/>
      <c r="X156" s="182"/>
      <c r="Y156" s="182"/>
      <c r="Z156" s="182"/>
      <c r="AA156" s="182"/>
      <c r="AB156" s="182"/>
      <c r="AC156" s="182"/>
      <c r="AD156" s="182"/>
      <c r="AE156" s="182"/>
      <c r="AF156" s="182"/>
      <c r="AG156" s="182"/>
      <c r="AH156" s="183">
        <f>SUM(C156:AG156)</f>
        <v>0</v>
      </c>
    </row>
    <row r="157" spans="1:34" ht="13.5">
      <c r="A157" s="192" t="s">
        <v>78</v>
      </c>
      <c r="B157" s="159">
        <f t="shared" si="19"/>
        <v>0</v>
      </c>
      <c r="C157" s="184"/>
      <c r="D157" s="185"/>
      <c r="E157" s="185"/>
      <c r="F157" s="185"/>
      <c r="G157" s="185"/>
      <c r="H157" s="185"/>
      <c r="I157" s="185"/>
      <c r="J157" s="185"/>
      <c r="K157" s="185"/>
      <c r="L157" s="185"/>
      <c r="M157" s="185"/>
      <c r="N157" s="185"/>
      <c r="O157" s="185"/>
      <c r="P157" s="185"/>
      <c r="Q157" s="185"/>
      <c r="R157" s="185"/>
      <c r="S157" s="185"/>
      <c r="T157" s="185"/>
      <c r="U157" s="185"/>
      <c r="V157" s="185"/>
      <c r="W157" s="185"/>
      <c r="X157" s="185"/>
      <c r="Y157" s="185"/>
      <c r="Z157" s="185"/>
      <c r="AA157" s="185"/>
      <c r="AB157" s="185"/>
      <c r="AC157" s="185"/>
      <c r="AD157" s="185"/>
      <c r="AE157" s="185"/>
      <c r="AF157" s="185"/>
      <c r="AG157" s="185"/>
      <c r="AH157" s="183">
        <f t="shared" ref="AH157:AH166" si="20">SUM(C157:AG157)</f>
        <v>0</v>
      </c>
    </row>
    <row r="158" spans="1:34" ht="13.5">
      <c r="A158" s="192" t="s">
        <v>79</v>
      </c>
      <c r="B158" s="159">
        <f t="shared" si="19"/>
        <v>0</v>
      </c>
      <c r="C158" s="184"/>
      <c r="D158" s="185"/>
      <c r="E158" s="185"/>
      <c r="F158" s="185"/>
      <c r="G158" s="185"/>
      <c r="H158" s="185"/>
      <c r="I158" s="185"/>
      <c r="J158" s="185"/>
      <c r="K158" s="185"/>
      <c r="L158" s="185"/>
      <c r="M158" s="185"/>
      <c r="N158" s="185"/>
      <c r="O158" s="185"/>
      <c r="P158" s="185"/>
      <c r="Q158" s="185"/>
      <c r="R158" s="185"/>
      <c r="S158" s="185"/>
      <c r="T158" s="185"/>
      <c r="U158" s="185"/>
      <c r="V158" s="185"/>
      <c r="W158" s="185"/>
      <c r="X158" s="185"/>
      <c r="Y158" s="185"/>
      <c r="Z158" s="185"/>
      <c r="AA158" s="185"/>
      <c r="AB158" s="185"/>
      <c r="AC158" s="185"/>
      <c r="AD158" s="185"/>
      <c r="AE158" s="185"/>
      <c r="AF158" s="185"/>
      <c r="AG158" s="185"/>
      <c r="AH158" s="183">
        <f t="shared" si="20"/>
        <v>0</v>
      </c>
    </row>
    <row r="159" spans="1:34" ht="13.5">
      <c r="A159" s="192" t="s">
        <v>80</v>
      </c>
      <c r="B159" s="159">
        <f t="shared" si="19"/>
        <v>0</v>
      </c>
      <c r="C159" s="184"/>
      <c r="D159" s="185"/>
      <c r="E159" s="185"/>
      <c r="F159" s="185"/>
      <c r="G159" s="185"/>
      <c r="H159" s="185"/>
      <c r="I159" s="185"/>
      <c r="J159" s="185"/>
      <c r="K159" s="185"/>
      <c r="L159" s="185"/>
      <c r="M159" s="185"/>
      <c r="N159" s="185"/>
      <c r="O159" s="185"/>
      <c r="P159" s="185"/>
      <c r="Q159" s="185"/>
      <c r="R159" s="185"/>
      <c r="S159" s="185"/>
      <c r="T159" s="185"/>
      <c r="U159" s="185"/>
      <c r="V159" s="185"/>
      <c r="W159" s="185"/>
      <c r="X159" s="185"/>
      <c r="Y159" s="185"/>
      <c r="Z159" s="185"/>
      <c r="AA159" s="185"/>
      <c r="AB159" s="185"/>
      <c r="AC159" s="185"/>
      <c r="AD159" s="185"/>
      <c r="AE159" s="185"/>
      <c r="AF159" s="185"/>
      <c r="AG159" s="185"/>
      <c r="AH159" s="183">
        <f t="shared" si="20"/>
        <v>0</v>
      </c>
    </row>
    <row r="160" spans="1:34" ht="13.5">
      <c r="A160" s="192" t="s">
        <v>81</v>
      </c>
      <c r="B160" s="159">
        <f t="shared" si="19"/>
        <v>0</v>
      </c>
      <c r="C160" s="184"/>
      <c r="D160" s="185"/>
      <c r="E160" s="185"/>
      <c r="F160" s="185"/>
      <c r="G160" s="185"/>
      <c r="H160" s="185"/>
      <c r="I160" s="185"/>
      <c r="J160" s="185"/>
      <c r="K160" s="185"/>
      <c r="L160" s="185"/>
      <c r="M160" s="185"/>
      <c r="N160" s="185"/>
      <c r="O160" s="185"/>
      <c r="P160" s="185"/>
      <c r="Q160" s="185"/>
      <c r="R160" s="185"/>
      <c r="S160" s="185"/>
      <c r="T160" s="185"/>
      <c r="U160" s="185"/>
      <c r="V160" s="185"/>
      <c r="W160" s="185"/>
      <c r="X160" s="185"/>
      <c r="Y160" s="185"/>
      <c r="Z160" s="185"/>
      <c r="AA160" s="185"/>
      <c r="AB160" s="185"/>
      <c r="AC160" s="185"/>
      <c r="AD160" s="185"/>
      <c r="AE160" s="185"/>
      <c r="AF160" s="185"/>
      <c r="AG160" s="185"/>
      <c r="AH160" s="183">
        <f t="shared" si="20"/>
        <v>0</v>
      </c>
    </row>
    <row r="161" spans="1:34" ht="13.5">
      <c r="A161" s="192" t="s">
        <v>82</v>
      </c>
      <c r="B161" s="159">
        <f t="shared" si="19"/>
        <v>0</v>
      </c>
      <c r="C161" s="184"/>
      <c r="D161" s="185"/>
      <c r="E161" s="185"/>
      <c r="F161" s="185"/>
      <c r="G161" s="185"/>
      <c r="H161" s="185"/>
      <c r="I161" s="185"/>
      <c r="J161" s="185"/>
      <c r="K161" s="185"/>
      <c r="L161" s="185"/>
      <c r="M161" s="185"/>
      <c r="N161" s="185"/>
      <c r="O161" s="185"/>
      <c r="P161" s="185"/>
      <c r="Q161" s="185"/>
      <c r="R161" s="185"/>
      <c r="S161" s="185"/>
      <c r="T161" s="185"/>
      <c r="U161" s="185"/>
      <c r="V161" s="185"/>
      <c r="W161" s="185"/>
      <c r="X161" s="185"/>
      <c r="Y161" s="185"/>
      <c r="Z161" s="185"/>
      <c r="AA161" s="185"/>
      <c r="AB161" s="185"/>
      <c r="AC161" s="185"/>
      <c r="AD161" s="185"/>
      <c r="AE161" s="185"/>
      <c r="AF161" s="185"/>
      <c r="AG161" s="185"/>
      <c r="AH161" s="183">
        <f t="shared" si="20"/>
        <v>0</v>
      </c>
    </row>
    <row r="162" spans="1:34" ht="13.5">
      <c r="A162" s="192" t="s">
        <v>83</v>
      </c>
      <c r="B162" s="159">
        <f t="shared" si="19"/>
        <v>0</v>
      </c>
      <c r="C162" s="184"/>
      <c r="D162" s="185"/>
      <c r="E162" s="185"/>
      <c r="F162" s="185"/>
      <c r="G162" s="185"/>
      <c r="H162" s="185"/>
      <c r="I162" s="185"/>
      <c r="J162" s="185"/>
      <c r="K162" s="185"/>
      <c r="L162" s="185"/>
      <c r="M162" s="185"/>
      <c r="N162" s="185"/>
      <c r="O162" s="185"/>
      <c r="P162" s="185"/>
      <c r="Q162" s="185"/>
      <c r="R162" s="185"/>
      <c r="S162" s="185"/>
      <c r="T162" s="185"/>
      <c r="U162" s="185"/>
      <c r="V162" s="185"/>
      <c r="W162" s="185"/>
      <c r="X162" s="185"/>
      <c r="Y162" s="185"/>
      <c r="Z162" s="185"/>
      <c r="AA162" s="185"/>
      <c r="AB162" s="185"/>
      <c r="AC162" s="185"/>
      <c r="AD162" s="185"/>
      <c r="AE162" s="185"/>
      <c r="AF162" s="185"/>
      <c r="AG162" s="185"/>
      <c r="AH162" s="183">
        <f t="shared" si="20"/>
        <v>0</v>
      </c>
    </row>
    <row r="163" spans="1:34" ht="13.5">
      <c r="A163" s="192" t="s">
        <v>84</v>
      </c>
      <c r="B163" s="159">
        <f t="shared" si="19"/>
        <v>0</v>
      </c>
      <c r="C163" s="184"/>
      <c r="D163" s="185"/>
      <c r="E163" s="185"/>
      <c r="F163" s="185"/>
      <c r="G163" s="185"/>
      <c r="H163" s="185"/>
      <c r="I163" s="185"/>
      <c r="J163" s="185"/>
      <c r="K163" s="185"/>
      <c r="L163" s="185"/>
      <c r="M163" s="185"/>
      <c r="N163" s="185"/>
      <c r="O163" s="185"/>
      <c r="P163" s="185"/>
      <c r="Q163" s="185"/>
      <c r="R163" s="185"/>
      <c r="S163" s="185"/>
      <c r="T163" s="185"/>
      <c r="U163" s="185"/>
      <c r="V163" s="185"/>
      <c r="W163" s="185"/>
      <c r="X163" s="185"/>
      <c r="Y163" s="185"/>
      <c r="Z163" s="185"/>
      <c r="AA163" s="185"/>
      <c r="AB163" s="185"/>
      <c r="AC163" s="185"/>
      <c r="AD163" s="185"/>
      <c r="AE163" s="185"/>
      <c r="AF163" s="185"/>
      <c r="AG163" s="185"/>
      <c r="AH163" s="183">
        <f t="shared" si="20"/>
        <v>0</v>
      </c>
    </row>
    <row r="164" spans="1:34" ht="13.5">
      <c r="A164" s="179" t="s">
        <v>85</v>
      </c>
      <c r="B164" s="159">
        <f t="shared" si="19"/>
        <v>0</v>
      </c>
      <c r="C164" s="184"/>
      <c r="D164" s="185"/>
      <c r="E164" s="185"/>
      <c r="F164" s="185"/>
      <c r="G164" s="185"/>
      <c r="H164" s="185"/>
      <c r="I164" s="185"/>
      <c r="J164" s="185"/>
      <c r="K164" s="185"/>
      <c r="L164" s="185"/>
      <c r="M164" s="185"/>
      <c r="N164" s="185"/>
      <c r="O164" s="185"/>
      <c r="P164" s="185"/>
      <c r="Q164" s="185"/>
      <c r="R164" s="185"/>
      <c r="S164" s="185"/>
      <c r="T164" s="185"/>
      <c r="U164" s="185"/>
      <c r="V164" s="185"/>
      <c r="W164" s="185"/>
      <c r="X164" s="185"/>
      <c r="Y164" s="185"/>
      <c r="Z164" s="185"/>
      <c r="AA164" s="185"/>
      <c r="AB164" s="185"/>
      <c r="AC164" s="185"/>
      <c r="AD164" s="185"/>
      <c r="AE164" s="185"/>
      <c r="AF164" s="185"/>
      <c r="AG164" s="185"/>
      <c r="AH164" s="183">
        <f t="shared" si="20"/>
        <v>0</v>
      </c>
    </row>
    <row r="165" spans="1:34" ht="13.5">
      <c r="A165" s="179" t="s">
        <v>86</v>
      </c>
      <c r="B165" s="159">
        <f t="shared" si="19"/>
        <v>0</v>
      </c>
      <c r="C165" s="184"/>
      <c r="D165" s="185"/>
      <c r="E165" s="185"/>
      <c r="F165" s="185"/>
      <c r="G165" s="185"/>
      <c r="H165" s="185"/>
      <c r="I165" s="185"/>
      <c r="J165" s="185"/>
      <c r="K165" s="185"/>
      <c r="L165" s="185"/>
      <c r="M165" s="185"/>
      <c r="N165" s="185"/>
      <c r="O165" s="185"/>
      <c r="P165" s="185"/>
      <c r="Q165" s="185"/>
      <c r="R165" s="185"/>
      <c r="S165" s="185"/>
      <c r="T165" s="185"/>
      <c r="U165" s="185"/>
      <c r="V165" s="185"/>
      <c r="W165" s="185"/>
      <c r="X165" s="185"/>
      <c r="Y165" s="185"/>
      <c r="Z165" s="185"/>
      <c r="AA165" s="185"/>
      <c r="AB165" s="185"/>
      <c r="AC165" s="185"/>
      <c r="AD165" s="185"/>
      <c r="AE165" s="185"/>
      <c r="AF165" s="185"/>
      <c r="AG165" s="185"/>
      <c r="AH165" s="183">
        <f t="shared" si="20"/>
        <v>0</v>
      </c>
    </row>
    <row r="166" spans="1:34" ht="13.5">
      <c r="A166" s="186" t="s">
        <v>52</v>
      </c>
      <c r="B166" s="186">
        <f>SUM(B154:B165)</f>
        <v>0</v>
      </c>
      <c r="C166" s="187"/>
      <c r="D166" s="187"/>
      <c r="E166" s="187"/>
      <c r="F166" s="187"/>
      <c r="G166" s="187"/>
      <c r="H166" s="187"/>
      <c r="I166" s="187"/>
      <c r="J166" s="187"/>
      <c r="K166" s="187"/>
      <c r="L166" s="187"/>
      <c r="M166" s="187"/>
      <c r="N166" s="187"/>
      <c r="O166" s="187"/>
      <c r="P166" s="187"/>
      <c r="Q166" s="187"/>
      <c r="R166" s="187"/>
      <c r="S166" s="187"/>
      <c r="T166" s="187"/>
      <c r="U166" s="187"/>
      <c r="V166" s="187"/>
      <c r="W166" s="187"/>
      <c r="X166" s="187"/>
      <c r="Y166" s="187"/>
      <c r="Z166" s="187"/>
      <c r="AA166" s="187"/>
      <c r="AB166" s="187"/>
      <c r="AC166" s="187"/>
      <c r="AD166" s="187"/>
      <c r="AE166" s="187"/>
      <c r="AF166" s="187"/>
      <c r="AG166" s="187"/>
      <c r="AH166" s="183">
        <f t="shared" si="20"/>
        <v>0</v>
      </c>
    </row>
    <row r="167" spans="1:34">
      <c r="A167" s="167"/>
      <c r="B167" s="167"/>
      <c r="C167" s="167"/>
      <c r="D167" s="167"/>
      <c r="E167" s="167"/>
      <c r="F167" s="167"/>
      <c r="G167" s="167"/>
      <c r="H167" s="167"/>
      <c r="I167" s="167"/>
      <c r="J167" s="167"/>
      <c r="K167" s="167"/>
      <c r="L167" s="167"/>
      <c r="M167" s="167"/>
      <c r="N167" s="167"/>
      <c r="O167" s="167"/>
      <c r="P167" s="167"/>
      <c r="Q167" s="167"/>
      <c r="R167" s="167"/>
      <c r="S167" s="167"/>
      <c r="T167" s="167"/>
      <c r="U167" s="167"/>
      <c r="V167" s="167"/>
      <c r="W167" s="167"/>
      <c r="X167" s="167"/>
      <c r="Y167" s="167"/>
      <c r="Z167" s="167"/>
      <c r="AA167" s="167"/>
      <c r="AB167" s="167"/>
      <c r="AC167" s="167"/>
      <c r="AD167" s="167"/>
      <c r="AE167" s="167"/>
      <c r="AF167" s="167"/>
      <c r="AG167" s="167"/>
      <c r="AH167" s="167"/>
    </row>
    <row r="168" spans="1:34" ht="13.5">
      <c r="A168" s="3605" t="s">
        <v>314</v>
      </c>
      <c r="B168" s="3606"/>
      <c r="C168" s="3607"/>
      <c r="D168" s="64"/>
      <c r="E168" s="64"/>
      <c r="F168" s="64"/>
      <c r="G168" s="64"/>
      <c r="H168" s="64"/>
      <c r="I168" s="64"/>
      <c r="J168" s="64"/>
      <c r="K168" s="64"/>
      <c r="L168" s="64"/>
      <c r="M168" s="176"/>
      <c r="N168" s="64"/>
      <c r="O168" s="64"/>
      <c r="P168" s="64"/>
      <c r="Q168" s="64"/>
      <c r="R168" s="64"/>
      <c r="S168" s="64"/>
      <c r="T168" s="64"/>
      <c r="U168" s="64"/>
      <c r="V168" s="64"/>
      <c r="W168" s="64"/>
      <c r="X168" s="64"/>
      <c r="Y168" s="64"/>
      <c r="Z168" s="64"/>
      <c r="AA168" s="64"/>
      <c r="AB168" s="64"/>
      <c r="AC168" s="64"/>
      <c r="AD168" s="64"/>
      <c r="AE168" s="64"/>
      <c r="AF168" s="64"/>
      <c r="AG168" s="64"/>
      <c r="AH168" s="177"/>
    </row>
    <row r="169" spans="1:34" ht="13.5">
      <c r="A169" s="178" t="s">
        <v>72</v>
      </c>
      <c r="B169" s="178" t="s">
        <v>73</v>
      </c>
      <c r="C169" s="1487">
        <v>1</v>
      </c>
      <c r="D169" s="179">
        <v>2</v>
      </c>
      <c r="E169" s="179">
        <v>3</v>
      </c>
      <c r="F169" s="179">
        <v>4</v>
      </c>
      <c r="G169" s="179">
        <v>5</v>
      </c>
      <c r="H169" s="179">
        <v>6</v>
      </c>
      <c r="I169" s="179">
        <v>7</v>
      </c>
      <c r="J169" s="179">
        <v>8</v>
      </c>
      <c r="K169" s="179">
        <v>9</v>
      </c>
      <c r="L169" s="179">
        <v>10</v>
      </c>
      <c r="M169" s="179">
        <v>11</v>
      </c>
      <c r="N169" s="179">
        <v>12</v>
      </c>
      <c r="O169" s="179">
        <v>13</v>
      </c>
      <c r="P169" s="179">
        <v>14</v>
      </c>
      <c r="Q169" s="179">
        <v>15</v>
      </c>
      <c r="R169" s="179">
        <v>16</v>
      </c>
      <c r="S169" s="179">
        <v>17</v>
      </c>
      <c r="T169" s="179">
        <v>18</v>
      </c>
      <c r="U169" s="179">
        <v>19</v>
      </c>
      <c r="V169" s="179">
        <v>20</v>
      </c>
      <c r="W169" s="166">
        <v>21</v>
      </c>
      <c r="X169" s="179">
        <v>22</v>
      </c>
      <c r="Y169" s="179">
        <v>23</v>
      </c>
      <c r="Z169" s="179">
        <v>24</v>
      </c>
      <c r="AA169" s="179">
        <v>25</v>
      </c>
      <c r="AB169" s="179">
        <v>26</v>
      </c>
      <c r="AC169" s="179">
        <v>27</v>
      </c>
      <c r="AD169" s="179">
        <v>28</v>
      </c>
      <c r="AE169" s="179">
        <v>29</v>
      </c>
      <c r="AF169" s="179">
        <v>30</v>
      </c>
      <c r="AG169" s="179">
        <v>31</v>
      </c>
      <c r="AH169" s="181" t="s">
        <v>52</v>
      </c>
    </row>
    <row r="170" spans="1:34" ht="13.5">
      <c r="A170" s="192" t="s">
        <v>75</v>
      </c>
      <c r="B170" s="159">
        <f t="shared" ref="B170:B181" si="21">+AH170</f>
        <v>0</v>
      </c>
      <c r="C170" s="182"/>
      <c r="D170" s="182"/>
      <c r="E170" s="182"/>
      <c r="F170" s="182"/>
      <c r="G170" s="182"/>
      <c r="H170" s="182"/>
      <c r="I170" s="182"/>
      <c r="J170" s="182"/>
      <c r="K170" s="182"/>
      <c r="L170" s="182"/>
      <c r="M170" s="182"/>
      <c r="N170" s="182"/>
      <c r="O170" s="182"/>
      <c r="P170" s="182"/>
      <c r="Q170" s="182"/>
      <c r="R170" s="182"/>
      <c r="S170" s="182"/>
      <c r="T170" s="182"/>
      <c r="U170" s="182"/>
      <c r="V170" s="182"/>
      <c r="W170" s="182"/>
      <c r="X170" s="182"/>
      <c r="Y170" s="182"/>
      <c r="Z170" s="182"/>
      <c r="AA170" s="182"/>
      <c r="AB170" s="182"/>
      <c r="AC170" s="182"/>
      <c r="AD170" s="182"/>
      <c r="AE170" s="182"/>
      <c r="AF170" s="182"/>
      <c r="AG170" s="182"/>
      <c r="AH170" s="183">
        <f>SUM(C170:AG170)</f>
        <v>0</v>
      </c>
    </row>
    <row r="171" spans="1:34" ht="13.5">
      <c r="A171" s="192" t="s">
        <v>76</v>
      </c>
      <c r="B171" s="159">
        <f t="shared" si="21"/>
        <v>0</v>
      </c>
      <c r="C171" s="182"/>
      <c r="D171" s="182"/>
      <c r="E171" s="182"/>
      <c r="F171" s="182"/>
      <c r="G171" s="182"/>
      <c r="H171" s="182"/>
      <c r="I171" s="182"/>
      <c r="J171" s="182"/>
      <c r="K171" s="182"/>
      <c r="L171" s="182"/>
      <c r="M171" s="182"/>
      <c r="N171" s="182"/>
      <c r="O171" s="182"/>
      <c r="P171" s="182"/>
      <c r="Q171" s="182"/>
      <c r="R171" s="182"/>
      <c r="S171" s="182"/>
      <c r="T171" s="182"/>
      <c r="U171" s="182"/>
      <c r="V171" s="182"/>
      <c r="W171" s="182"/>
      <c r="X171" s="182"/>
      <c r="Y171" s="182"/>
      <c r="Z171" s="182"/>
      <c r="AA171" s="182"/>
      <c r="AB171" s="182"/>
      <c r="AC171" s="182"/>
      <c r="AD171" s="182"/>
      <c r="AE171" s="182"/>
      <c r="AF171" s="182"/>
      <c r="AG171" s="182"/>
      <c r="AH171" s="183">
        <f>SUM(C171:AG171)</f>
        <v>0</v>
      </c>
    </row>
    <row r="172" spans="1:34" ht="13.5">
      <c r="A172" s="192" t="s">
        <v>77</v>
      </c>
      <c r="B172" s="159">
        <f t="shared" si="21"/>
        <v>0</v>
      </c>
      <c r="C172" s="923"/>
      <c r="D172" s="924"/>
      <c r="E172" s="925"/>
      <c r="F172" s="925"/>
      <c r="G172" s="925"/>
      <c r="H172" s="925"/>
      <c r="I172" s="925"/>
      <c r="J172" s="925"/>
      <c r="K172" s="925"/>
      <c r="L172" s="925"/>
      <c r="M172" s="925"/>
      <c r="N172" s="925"/>
      <c r="O172" s="925"/>
      <c r="P172" s="925"/>
      <c r="Q172" s="925"/>
      <c r="R172" s="925"/>
      <c r="S172" s="925"/>
      <c r="T172" s="925"/>
      <c r="U172" s="925"/>
      <c r="V172" s="925"/>
      <c r="W172" s="925"/>
      <c r="X172" s="925"/>
      <c r="Y172" s="925"/>
      <c r="Z172" s="207"/>
      <c r="AA172" s="207"/>
      <c r="AB172" s="207"/>
      <c r="AC172" s="207"/>
      <c r="AD172" s="207"/>
      <c r="AE172" s="207"/>
      <c r="AF172" s="207"/>
      <c r="AG172" s="207"/>
      <c r="AH172" s="183">
        <f>SUM(C172:AG172)</f>
        <v>0</v>
      </c>
    </row>
    <row r="173" spans="1:34" ht="13.5">
      <c r="A173" s="192" t="s">
        <v>78</v>
      </c>
      <c r="B173" s="159">
        <f t="shared" si="21"/>
        <v>0</v>
      </c>
      <c r="C173" s="203"/>
      <c r="D173" s="201"/>
      <c r="E173" s="840"/>
      <c r="F173" s="840"/>
      <c r="G173" s="840"/>
      <c r="H173" s="840"/>
      <c r="I173" s="840"/>
      <c r="J173" s="840"/>
      <c r="K173" s="840"/>
      <c r="L173" s="840"/>
      <c r="M173" s="840"/>
      <c r="N173" s="840"/>
      <c r="O173" s="840"/>
      <c r="P173" s="840"/>
      <c r="Q173" s="840"/>
      <c r="R173" s="840"/>
      <c r="S173" s="840"/>
      <c r="T173" s="840"/>
      <c r="U173" s="840"/>
      <c r="V173" s="840"/>
      <c r="W173" s="840"/>
      <c r="X173" s="840"/>
      <c r="Y173" s="840"/>
      <c r="Z173" s="840"/>
      <c r="AA173" s="840"/>
      <c r="AB173" s="840"/>
      <c r="AC173" s="840"/>
      <c r="AD173" s="840"/>
      <c r="AE173" s="840"/>
      <c r="AF173" s="840"/>
      <c r="AG173" s="840"/>
      <c r="AH173" s="183">
        <f t="shared" ref="AH173:AH181" si="22">SUM(C173:AG173)</f>
        <v>0</v>
      </c>
    </row>
    <row r="174" spans="1:34" ht="13.5">
      <c r="A174" s="192" t="s">
        <v>79</v>
      </c>
      <c r="B174" s="159">
        <f t="shared" si="21"/>
        <v>0</v>
      </c>
      <c r="C174" s="203"/>
      <c r="D174" s="201"/>
      <c r="E174" s="840"/>
      <c r="F174" s="840"/>
      <c r="G174" s="840"/>
      <c r="H174" s="840"/>
      <c r="I174" s="840"/>
      <c r="J174" s="840"/>
      <c r="K174" s="840"/>
      <c r="L174" s="840"/>
      <c r="M174" s="840"/>
      <c r="N174" s="840"/>
      <c r="O174" s="840"/>
      <c r="P174" s="840"/>
      <c r="Q174" s="840"/>
      <c r="R174" s="840"/>
      <c r="S174" s="840"/>
      <c r="T174" s="840"/>
      <c r="U174" s="840"/>
      <c r="V174" s="840"/>
      <c r="W174" s="840"/>
      <c r="X174" s="840"/>
      <c r="Y174" s="840"/>
      <c r="Z174" s="840"/>
      <c r="AA174" s="840"/>
      <c r="AB174" s="840"/>
      <c r="AC174" s="840"/>
      <c r="AD174" s="840"/>
      <c r="AE174" s="840"/>
      <c r="AF174" s="840"/>
      <c r="AG174" s="840"/>
      <c r="AH174" s="183">
        <f t="shared" si="22"/>
        <v>0</v>
      </c>
    </row>
    <row r="175" spans="1:34" ht="13.5">
      <c r="A175" s="192" t="s">
        <v>80</v>
      </c>
      <c r="B175" s="159">
        <f t="shared" si="21"/>
        <v>0</v>
      </c>
      <c r="C175" s="203"/>
      <c r="D175" s="201"/>
      <c r="E175" s="840"/>
      <c r="F175" s="840"/>
      <c r="G175" s="840"/>
      <c r="H175" s="840"/>
      <c r="I175" s="840"/>
      <c r="J175" s="840"/>
      <c r="K175" s="840"/>
      <c r="L175" s="840"/>
      <c r="M175" s="840"/>
      <c r="N175" s="840"/>
      <c r="O175" s="840"/>
      <c r="P175" s="840"/>
      <c r="Q175" s="840"/>
      <c r="R175" s="840"/>
      <c r="S175" s="840"/>
      <c r="T175" s="840"/>
      <c r="U175" s="840"/>
      <c r="V175" s="840"/>
      <c r="W175" s="840"/>
      <c r="X175" s="840"/>
      <c r="Y175" s="840"/>
      <c r="Z175" s="840"/>
      <c r="AA175" s="840"/>
      <c r="AB175" s="840"/>
      <c r="AC175" s="840"/>
      <c r="AD175" s="840"/>
      <c r="AE175" s="840"/>
      <c r="AF175" s="840"/>
      <c r="AG175" s="840"/>
      <c r="AH175" s="183">
        <f t="shared" si="22"/>
        <v>0</v>
      </c>
    </row>
    <row r="176" spans="1:34" ht="13.5">
      <c r="A176" s="192" t="s">
        <v>81</v>
      </c>
      <c r="B176" s="159">
        <f t="shared" si="21"/>
        <v>0</v>
      </c>
      <c r="C176" s="841"/>
      <c r="D176" s="201"/>
      <c r="E176" s="840"/>
      <c r="F176" s="840"/>
      <c r="G176" s="840"/>
      <c r="H176" s="840"/>
      <c r="I176" s="840"/>
      <c r="J176" s="840"/>
      <c r="K176" s="840"/>
      <c r="L176" s="840"/>
      <c r="M176" s="840"/>
      <c r="N176" s="840"/>
      <c r="O176" s="840"/>
      <c r="P176" s="840"/>
      <c r="Q176" s="840"/>
      <c r="R176" s="840"/>
      <c r="S176" s="840"/>
      <c r="T176" s="840"/>
      <c r="U176" s="840"/>
      <c r="V176" s="840"/>
      <c r="W176" s="840"/>
      <c r="X176" s="840"/>
      <c r="Y176" s="840"/>
      <c r="Z176" s="840"/>
      <c r="AA176" s="840"/>
      <c r="AB176" s="840"/>
      <c r="AC176" s="840"/>
      <c r="AD176" s="840"/>
      <c r="AE176" s="840"/>
      <c r="AF176" s="840"/>
      <c r="AG176" s="840"/>
      <c r="AH176" s="183">
        <f t="shared" si="22"/>
        <v>0</v>
      </c>
    </row>
    <row r="177" spans="1:34" ht="13.5">
      <c r="A177" s="192" t="s">
        <v>82</v>
      </c>
      <c r="B177" s="159">
        <f t="shared" si="21"/>
        <v>0</v>
      </c>
      <c r="C177" s="926"/>
      <c r="D177" s="842"/>
      <c r="E177" s="201"/>
      <c r="F177" s="201"/>
      <c r="G177" s="201"/>
      <c r="H177" s="201"/>
      <c r="I177" s="201"/>
      <c r="J177" s="201"/>
      <c r="K177" s="201"/>
      <c r="L177" s="201"/>
      <c r="M177" s="201"/>
      <c r="N177" s="201"/>
      <c r="O177" s="201"/>
      <c r="P177" s="201"/>
      <c r="Q177" s="201"/>
      <c r="R177" s="201"/>
      <c r="S177" s="201"/>
      <c r="T177" s="201"/>
      <c r="U177" s="201"/>
      <c r="V177" s="201"/>
      <c r="W177" s="201"/>
      <c r="X177" s="201"/>
      <c r="Y177" s="201"/>
      <c r="Z177" s="201"/>
      <c r="AA177" s="201"/>
      <c r="AB177" s="201"/>
      <c r="AC177" s="201"/>
      <c r="AD177" s="201"/>
      <c r="AE177" s="201"/>
      <c r="AF177" s="201"/>
      <c r="AG177" s="201"/>
      <c r="AH177" s="183">
        <f t="shared" si="22"/>
        <v>0</v>
      </c>
    </row>
    <row r="178" spans="1:34" ht="13.5">
      <c r="A178" s="192" t="s">
        <v>83</v>
      </c>
      <c r="B178" s="159">
        <f t="shared" si="21"/>
        <v>0</v>
      </c>
      <c r="C178" s="184"/>
      <c r="D178" s="185"/>
      <c r="E178" s="185"/>
      <c r="F178" s="185"/>
      <c r="G178" s="185"/>
      <c r="H178" s="185"/>
      <c r="I178" s="185"/>
      <c r="J178" s="185"/>
      <c r="K178" s="185"/>
      <c r="L178" s="185"/>
      <c r="M178" s="185"/>
      <c r="N178" s="185"/>
      <c r="O178" s="185"/>
      <c r="P178" s="185"/>
      <c r="Q178" s="185"/>
      <c r="R178" s="185"/>
      <c r="S178" s="185"/>
      <c r="T178" s="185"/>
      <c r="U178" s="185"/>
      <c r="V178" s="185"/>
      <c r="W178" s="185"/>
      <c r="X178" s="185"/>
      <c r="Y178" s="185"/>
      <c r="Z178" s="185"/>
      <c r="AA178" s="185"/>
      <c r="AB178" s="185"/>
      <c r="AC178" s="185"/>
      <c r="AD178" s="185"/>
      <c r="AE178" s="185"/>
      <c r="AF178" s="185"/>
      <c r="AG178" s="185"/>
      <c r="AH178" s="183">
        <f t="shared" si="22"/>
        <v>0</v>
      </c>
    </row>
    <row r="179" spans="1:34" ht="13.5">
      <c r="A179" s="192" t="s">
        <v>84</v>
      </c>
      <c r="B179" s="159">
        <f t="shared" si="21"/>
        <v>0</v>
      </c>
      <c r="C179" s="184"/>
      <c r="D179" s="185"/>
      <c r="E179" s="185"/>
      <c r="F179" s="185"/>
      <c r="G179" s="185"/>
      <c r="H179" s="185"/>
      <c r="I179" s="185"/>
      <c r="J179" s="185"/>
      <c r="K179" s="185"/>
      <c r="L179" s="185"/>
      <c r="M179" s="185"/>
      <c r="N179" s="185"/>
      <c r="O179" s="185"/>
      <c r="P179" s="185"/>
      <c r="Q179" s="185"/>
      <c r="R179" s="185"/>
      <c r="S179" s="185"/>
      <c r="T179" s="185"/>
      <c r="U179" s="185"/>
      <c r="V179" s="185"/>
      <c r="W179" s="185"/>
      <c r="X179" s="185"/>
      <c r="Y179" s="185"/>
      <c r="Z179" s="185"/>
      <c r="AA179" s="185"/>
      <c r="AB179" s="185"/>
      <c r="AC179" s="185"/>
      <c r="AD179" s="185"/>
      <c r="AE179" s="185"/>
      <c r="AF179" s="185"/>
      <c r="AG179" s="185"/>
      <c r="AH179" s="183">
        <f t="shared" si="22"/>
        <v>0</v>
      </c>
    </row>
    <row r="180" spans="1:34" ht="13.5">
      <c r="A180" s="179" t="s">
        <v>85</v>
      </c>
      <c r="B180" s="159">
        <f t="shared" si="21"/>
        <v>0</v>
      </c>
      <c r="C180" s="184"/>
      <c r="D180" s="185"/>
      <c r="E180" s="185"/>
      <c r="F180" s="185"/>
      <c r="G180" s="185"/>
      <c r="H180" s="185"/>
      <c r="I180" s="185"/>
      <c r="J180" s="185"/>
      <c r="K180" s="185"/>
      <c r="L180" s="185"/>
      <c r="M180" s="185"/>
      <c r="N180" s="185"/>
      <c r="O180" s="185"/>
      <c r="P180" s="185"/>
      <c r="Q180" s="185"/>
      <c r="R180" s="185"/>
      <c r="S180" s="185"/>
      <c r="T180" s="185"/>
      <c r="U180" s="185"/>
      <c r="V180" s="185"/>
      <c r="W180" s="185"/>
      <c r="X180" s="185"/>
      <c r="Y180" s="185"/>
      <c r="Z180" s="185"/>
      <c r="AA180" s="185"/>
      <c r="AB180" s="185"/>
      <c r="AC180" s="185"/>
      <c r="AD180" s="185"/>
      <c r="AE180" s="185"/>
      <c r="AF180" s="185"/>
      <c r="AG180" s="185"/>
      <c r="AH180" s="183">
        <f t="shared" si="22"/>
        <v>0</v>
      </c>
    </row>
    <row r="181" spans="1:34" ht="13.5">
      <c r="A181" s="179" t="s">
        <v>86</v>
      </c>
      <c r="B181" s="159">
        <f t="shared" si="21"/>
        <v>0</v>
      </c>
      <c r="C181" s="184"/>
      <c r="D181" s="185"/>
      <c r="E181" s="185"/>
      <c r="F181" s="185"/>
      <c r="G181" s="185"/>
      <c r="H181" s="185"/>
      <c r="I181" s="185"/>
      <c r="J181" s="185"/>
      <c r="K181" s="185"/>
      <c r="L181" s="185"/>
      <c r="M181" s="185"/>
      <c r="N181" s="185"/>
      <c r="O181" s="185"/>
      <c r="P181" s="185"/>
      <c r="Q181" s="185"/>
      <c r="R181" s="185"/>
      <c r="S181" s="185"/>
      <c r="T181" s="185"/>
      <c r="U181" s="185"/>
      <c r="V181" s="185"/>
      <c r="W181" s="185"/>
      <c r="X181" s="185"/>
      <c r="Y181" s="185"/>
      <c r="Z181" s="185"/>
      <c r="AA181" s="185"/>
      <c r="AB181" s="185"/>
      <c r="AC181" s="185"/>
      <c r="AD181" s="185"/>
      <c r="AE181" s="185"/>
      <c r="AF181" s="185"/>
      <c r="AG181" s="185"/>
      <c r="AH181" s="183">
        <f t="shared" si="22"/>
        <v>0</v>
      </c>
    </row>
    <row r="182" spans="1:34" ht="13.5">
      <c r="A182" s="186" t="s">
        <v>52</v>
      </c>
      <c r="B182" s="186">
        <f>SUM(B170:B181)</f>
        <v>0</v>
      </c>
      <c r="C182" s="187">
        <f>SUM(C170:C181)</f>
        <v>0</v>
      </c>
      <c r="D182" s="187">
        <f t="shared" ref="D182:AG182" si="23">SUM(D170:D181)</f>
        <v>0</v>
      </c>
      <c r="E182" s="187">
        <f t="shared" si="23"/>
        <v>0</v>
      </c>
      <c r="F182" s="187">
        <f t="shared" si="23"/>
        <v>0</v>
      </c>
      <c r="G182" s="187">
        <f t="shared" si="23"/>
        <v>0</v>
      </c>
      <c r="H182" s="187">
        <f t="shared" si="23"/>
        <v>0</v>
      </c>
      <c r="I182" s="187">
        <f t="shared" si="23"/>
        <v>0</v>
      </c>
      <c r="J182" s="187">
        <f t="shared" si="23"/>
        <v>0</v>
      </c>
      <c r="K182" s="187">
        <f t="shared" si="23"/>
        <v>0</v>
      </c>
      <c r="L182" s="187">
        <f t="shared" si="23"/>
        <v>0</v>
      </c>
      <c r="M182" s="187">
        <f t="shared" si="23"/>
        <v>0</v>
      </c>
      <c r="N182" s="187">
        <f t="shared" si="23"/>
        <v>0</v>
      </c>
      <c r="O182" s="187">
        <f t="shared" si="23"/>
        <v>0</v>
      </c>
      <c r="P182" s="187">
        <f t="shared" si="23"/>
        <v>0</v>
      </c>
      <c r="Q182" s="187">
        <f t="shared" si="23"/>
        <v>0</v>
      </c>
      <c r="R182" s="187">
        <f t="shared" si="23"/>
        <v>0</v>
      </c>
      <c r="S182" s="187">
        <f t="shared" si="23"/>
        <v>0</v>
      </c>
      <c r="T182" s="187">
        <f t="shared" si="23"/>
        <v>0</v>
      </c>
      <c r="U182" s="187">
        <f t="shared" si="23"/>
        <v>0</v>
      </c>
      <c r="V182" s="187">
        <f t="shared" si="23"/>
        <v>0</v>
      </c>
      <c r="W182" s="187">
        <f t="shared" si="23"/>
        <v>0</v>
      </c>
      <c r="X182" s="187">
        <f t="shared" si="23"/>
        <v>0</v>
      </c>
      <c r="Y182" s="187">
        <f t="shared" si="23"/>
        <v>0</v>
      </c>
      <c r="Z182" s="187">
        <f t="shared" si="23"/>
        <v>0</v>
      </c>
      <c r="AA182" s="187">
        <f t="shared" si="23"/>
        <v>0</v>
      </c>
      <c r="AB182" s="187">
        <f t="shared" si="23"/>
        <v>0</v>
      </c>
      <c r="AC182" s="187">
        <f t="shared" si="23"/>
        <v>0</v>
      </c>
      <c r="AD182" s="187">
        <f t="shared" si="23"/>
        <v>0</v>
      </c>
      <c r="AE182" s="187">
        <f t="shared" si="23"/>
        <v>0</v>
      </c>
      <c r="AF182" s="187">
        <f t="shared" si="23"/>
        <v>0</v>
      </c>
      <c r="AG182" s="187">
        <f t="shared" si="23"/>
        <v>0</v>
      </c>
      <c r="AH182" s="188"/>
    </row>
    <row r="183" spans="1:34">
      <c r="A183" s="167"/>
      <c r="B183" s="167"/>
      <c r="C183" s="167"/>
      <c r="D183" s="167"/>
      <c r="E183" s="167"/>
      <c r="F183" s="167"/>
      <c r="G183" s="167"/>
      <c r="H183" s="167"/>
      <c r="I183" s="167"/>
      <c r="J183" s="167"/>
      <c r="K183" s="167"/>
      <c r="L183" s="167"/>
      <c r="M183" s="167"/>
      <c r="N183" s="167"/>
      <c r="O183" s="167"/>
      <c r="P183" s="167"/>
      <c r="Q183" s="167"/>
      <c r="R183" s="167"/>
      <c r="S183" s="167"/>
      <c r="T183" s="167"/>
      <c r="U183" s="167"/>
      <c r="V183" s="167"/>
      <c r="W183" s="167"/>
      <c r="X183" s="167"/>
      <c r="Y183" s="167"/>
      <c r="Z183" s="167"/>
      <c r="AA183" s="167"/>
      <c r="AB183" s="167"/>
      <c r="AC183" s="167"/>
      <c r="AD183" s="167"/>
      <c r="AE183" s="167"/>
      <c r="AF183" s="167"/>
      <c r="AG183" s="167"/>
      <c r="AH183" s="167"/>
    </row>
    <row r="184" spans="1:34" ht="13.5">
      <c r="A184" s="3605" t="s">
        <v>171</v>
      </c>
      <c r="B184" s="3606"/>
      <c r="C184" s="3607"/>
      <c r="D184" s="64"/>
      <c r="E184" s="64"/>
      <c r="F184" s="64"/>
      <c r="G184" s="64"/>
      <c r="H184" s="64"/>
      <c r="I184" s="64"/>
      <c r="J184" s="64"/>
      <c r="K184" s="64"/>
      <c r="L184" s="64"/>
      <c r="M184" s="176"/>
      <c r="N184" s="64"/>
      <c r="O184" s="64"/>
      <c r="P184" s="64"/>
      <c r="Q184" s="64"/>
      <c r="R184" s="64"/>
      <c r="S184" s="64"/>
      <c r="T184" s="64"/>
      <c r="U184" s="64"/>
      <c r="V184" s="64"/>
      <c r="W184" s="64"/>
      <c r="X184" s="64"/>
      <c r="Y184" s="64"/>
      <c r="Z184" s="64"/>
      <c r="AA184" s="64"/>
      <c r="AB184" s="64"/>
      <c r="AC184" s="64"/>
      <c r="AD184" s="64"/>
      <c r="AE184" s="64"/>
      <c r="AF184" s="64"/>
      <c r="AG184" s="64"/>
      <c r="AH184" s="177"/>
    </row>
    <row r="185" spans="1:34" ht="13.5">
      <c r="A185" s="178" t="s">
        <v>72</v>
      </c>
      <c r="B185" s="178" t="s">
        <v>73</v>
      </c>
      <c r="C185" s="1487">
        <v>1</v>
      </c>
      <c r="D185" s="179">
        <v>2</v>
      </c>
      <c r="E185" s="179">
        <v>3</v>
      </c>
      <c r="F185" s="179">
        <v>4</v>
      </c>
      <c r="G185" s="179">
        <v>5</v>
      </c>
      <c r="H185" s="179">
        <v>6</v>
      </c>
      <c r="I185" s="179">
        <v>7</v>
      </c>
      <c r="J185" s="179">
        <v>8</v>
      </c>
      <c r="K185" s="179">
        <v>9</v>
      </c>
      <c r="L185" s="179">
        <v>10</v>
      </c>
      <c r="M185" s="179">
        <v>11</v>
      </c>
      <c r="N185" s="179">
        <v>12</v>
      </c>
      <c r="O185" s="179">
        <v>13</v>
      </c>
      <c r="P185" s="179">
        <v>14</v>
      </c>
      <c r="Q185" s="179">
        <v>15</v>
      </c>
      <c r="R185" s="179">
        <v>16</v>
      </c>
      <c r="S185" s="179">
        <v>17</v>
      </c>
      <c r="T185" s="179">
        <v>18</v>
      </c>
      <c r="U185" s="179">
        <v>19</v>
      </c>
      <c r="V185" s="179">
        <v>20</v>
      </c>
      <c r="W185" s="166">
        <v>21</v>
      </c>
      <c r="X185" s="179">
        <v>22</v>
      </c>
      <c r="Y185" s="179">
        <v>23</v>
      </c>
      <c r="Z185" s="179">
        <v>24</v>
      </c>
      <c r="AA185" s="179">
        <v>25</v>
      </c>
      <c r="AB185" s="179">
        <v>26</v>
      </c>
      <c r="AC185" s="179">
        <v>27</v>
      </c>
      <c r="AD185" s="179">
        <v>28</v>
      </c>
      <c r="AE185" s="179">
        <v>29</v>
      </c>
      <c r="AF185" s="179">
        <v>30</v>
      </c>
      <c r="AG185" s="179">
        <v>31</v>
      </c>
      <c r="AH185" s="181" t="s">
        <v>52</v>
      </c>
    </row>
    <row r="186" spans="1:34" ht="13.5">
      <c r="A186" s="192" t="s">
        <v>75</v>
      </c>
      <c r="B186" s="159">
        <f t="shared" ref="B186:B197" si="24">+AH186</f>
        <v>0</v>
      </c>
      <c r="C186" s="182"/>
      <c r="D186" s="182"/>
      <c r="E186" s="182"/>
      <c r="F186" s="182"/>
      <c r="G186" s="182"/>
      <c r="H186" s="182"/>
      <c r="I186" s="182"/>
      <c r="J186" s="182"/>
      <c r="K186" s="182"/>
      <c r="L186" s="182"/>
      <c r="M186" s="182"/>
      <c r="N186" s="182"/>
      <c r="O186" s="182"/>
      <c r="P186" s="182"/>
      <c r="Q186" s="182"/>
      <c r="R186" s="182"/>
      <c r="S186" s="182"/>
      <c r="T186" s="182"/>
      <c r="U186" s="182"/>
      <c r="V186" s="182"/>
      <c r="W186" s="182"/>
      <c r="X186" s="182"/>
      <c r="Y186" s="182"/>
      <c r="Z186" s="182"/>
      <c r="AA186" s="182"/>
      <c r="AB186" s="182"/>
      <c r="AC186" s="182"/>
      <c r="AD186" s="182"/>
      <c r="AE186" s="182"/>
      <c r="AF186" s="182"/>
      <c r="AG186" s="182"/>
      <c r="AH186" s="183">
        <f>SUM(C186:AG186)</f>
        <v>0</v>
      </c>
    </row>
    <row r="187" spans="1:34" ht="13.5">
      <c r="A187" s="192" t="s">
        <v>76</v>
      </c>
      <c r="B187" s="159">
        <f t="shared" si="24"/>
        <v>0</v>
      </c>
      <c r="C187" s="182"/>
      <c r="D187" s="182"/>
      <c r="E187" s="182"/>
      <c r="F187" s="182"/>
      <c r="G187" s="182"/>
      <c r="H187" s="182"/>
      <c r="I187" s="182"/>
      <c r="J187" s="182"/>
      <c r="K187" s="182"/>
      <c r="L187" s="182"/>
      <c r="M187" s="182"/>
      <c r="N187" s="182"/>
      <c r="O187" s="182"/>
      <c r="P187" s="182"/>
      <c r="Q187" s="182"/>
      <c r="R187" s="182"/>
      <c r="S187" s="182"/>
      <c r="T187" s="182"/>
      <c r="U187" s="182"/>
      <c r="V187" s="182"/>
      <c r="W187" s="182"/>
      <c r="X187" s="182"/>
      <c r="Y187" s="182"/>
      <c r="Z187" s="182"/>
      <c r="AA187" s="182"/>
      <c r="AB187" s="182"/>
      <c r="AC187" s="182"/>
      <c r="AD187" s="182"/>
      <c r="AE187" s="182"/>
      <c r="AF187" s="182"/>
      <c r="AG187" s="182"/>
      <c r="AH187" s="183">
        <f>SUM(C187:AG187)</f>
        <v>0</v>
      </c>
    </row>
    <row r="188" spans="1:34" ht="13.5">
      <c r="A188" s="192" t="s">
        <v>77</v>
      </c>
      <c r="B188" s="159">
        <f t="shared" si="24"/>
        <v>0</v>
      </c>
      <c r="C188" s="703"/>
      <c r="D188" s="704"/>
      <c r="E188" s="704"/>
      <c r="F188" s="704"/>
      <c r="G188" s="704"/>
      <c r="H188" s="704"/>
      <c r="I188" s="704"/>
      <c r="J188" s="704"/>
      <c r="K188" s="704"/>
      <c r="L188" s="704"/>
      <c r="M188" s="704"/>
      <c r="N188" s="704"/>
      <c r="O188" s="704"/>
      <c r="P188" s="704"/>
      <c r="Q188" s="704"/>
      <c r="R188" s="704"/>
      <c r="S188" s="704"/>
      <c r="T188" s="704"/>
      <c r="U188" s="704"/>
      <c r="V188" s="704"/>
      <c r="W188" s="704"/>
      <c r="X188" s="704"/>
      <c r="Y188" s="704"/>
      <c r="Z188" s="704"/>
      <c r="AA188" s="704"/>
      <c r="AB188" s="704"/>
      <c r="AC188" s="704"/>
      <c r="AD188" s="704"/>
      <c r="AE188" s="704"/>
      <c r="AF188" s="704"/>
      <c r="AG188" s="704"/>
      <c r="AH188" s="183">
        <f>SUM(C188:AG188)</f>
        <v>0</v>
      </c>
    </row>
    <row r="189" spans="1:34" ht="13.5">
      <c r="A189" s="192" t="s">
        <v>78</v>
      </c>
      <c r="B189" s="159">
        <f t="shared" si="24"/>
        <v>0</v>
      </c>
      <c r="C189" s="705"/>
      <c r="D189" s="360"/>
      <c r="E189" s="360"/>
      <c r="F189" s="360"/>
      <c r="G189" s="360"/>
      <c r="H189" s="360"/>
      <c r="I189" s="360"/>
      <c r="J189" s="360"/>
      <c r="K189" s="360"/>
      <c r="L189" s="360"/>
      <c r="M189" s="360"/>
      <c r="N189" s="360"/>
      <c r="O189" s="360"/>
      <c r="P189" s="360"/>
      <c r="Q189" s="360"/>
      <c r="R189" s="360"/>
      <c r="S189" s="360"/>
      <c r="T189" s="360"/>
      <c r="U189" s="360"/>
      <c r="V189" s="360"/>
      <c r="W189" s="360"/>
      <c r="X189" s="360"/>
      <c r="Y189" s="360"/>
      <c r="Z189" s="360"/>
      <c r="AA189" s="360"/>
      <c r="AB189" s="360"/>
      <c r="AC189" s="360"/>
      <c r="AD189" s="360"/>
      <c r="AE189" s="360"/>
      <c r="AF189" s="360"/>
      <c r="AG189" s="360"/>
      <c r="AH189" s="183">
        <f t="shared" ref="AH189:AH198" si="25">SUM(C189:AG189)</f>
        <v>0</v>
      </c>
    </row>
    <row r="190" spans="1:34" ht="13.5">
      <c r="A190" s="192" t="s">
        <v>79</v>
      </c>
      <c r="B190" s="159">
        <f t="shared" si="24"/>
        <v>0</v>
      </c>
      <c r="C190" s="705"/>
      <c r="D190" s="360"/>
      <c r="E190" s="360"/>
      <c r="F190" s="360"/>
      <c r="G190" s="360"/>
      <c r="H190" s="360"/>
      <c r="I190" s="360"/>
      <c r="J190" s="360"/>
      <c r="K190" s="360"/>
      <c r="L190" s="360"/>
      <c r="M190" s="360"/>
      <c r="N190" s="360"/>
      <c r="O190" s="360"/>
      <c r="P190" s="360"/>
      <c r="Q190" s="360"/>
      <c r="R190" s="360"/>
      <c r="S190" s="360"/>
      <c r="T190" s="360"/>
      <c r="U190" s="360"/>
      <c r="V190" s="360"/>
      <c r="W190" s="360"/>
      <c r="X190" s="360"/>
      <c r="Y190" s="360"/>
      <c r="Z190" s="360"/>
      <c r="AA190" s="360"/>
      <c r="AB190" s="360"/>
      <c r="AC190" s="360"/>
      <c r="AD190" s="360"/>
      <c r="AE190" s="360"/>
      <c r="AF190" s="360"/>
      <c r="AG190" s="360"/>
      <c r="AH190" s="183">
        <f t="shared" si="25"/>
        <v>0</v>
      </c>
    </row>
    <row r="191" spans="1:34" ht="13.5">
      <c r="A191" s="192" t="s">
        <v>80</v>
      </c>
      <c r="B191" s="159">
        <f t="shared" si="24"/>
        <v>0</v>
      </c>
      <c r="C191" s="184"/>
      <c r="D191" s="185"/>
      <c r="E191" s="185"/>
      <c r="F191" s="185"/>
      <c r="G191" s="185"/>
      <c r="H191" s="185"/>
      <c r="I191" s="185"/>
      <c r="J191" s="185"/>
      <c r="K191" s="185"/>
      <c r="L191" s="185"/>
      <c r="M191" s="185"/>
      <c r="N191" s="185"/>
      <c r="O191" s="185"/>
      <c r="P191" s="185"/>
      <c r="Q191" s="185"/>
      <c r="R191" s="185"/>
      <c r="S191" s="185"/>
      <c r="T191" s="185"/>
      <c r="U191" s="185"/>
      <c r="V191" s="185"/>
      <c r="W191" s="185"/>
      <c r="X191" s="185"/>
      <c r="Y191" s="185"/>
      <c r="Z191" s="185"/>
      <c r="AA191" s="185"/>
      <c r="AB191" s="185"/>
      <c r="AC191" s="185"/>
      <c r="AD191" s="185"/>
      <c r="AE191" s="185"/>
      <c r="AF191" s="185"/>
      <c r="AG191" s="185"/>
      <c r="AH191" s="183">
        <f t="shared" si="25"/>
        <v>0</v>
      </c>
    </row>
    <row r="192" spans="1:34" ht="13.5">
      <c r="A192" s="192" t="s">
        <v>81</v>
      </c>
      <c r="B192" s="159">
        <f t="shared" si="24"/>
        <v>0</v>
      </c>
      <c r="C192" s="184"/>
      <c r="D192" s="185"/>
      <c r="E192" s="185"/>
      <c r="F192" s="185"/>
      <c r="G192" s="185"/>
      <c r="H192" s="185"/>
      <c r="I192" s="185"/>
      <c r="J192" s="185"/>
      <c r="K192" s="185"/>
      <c r="L192" s="185"/>
      <c r="M192" s="185"/>
      <c r="N192" s="185"/>
      <c r="O192" s="185"/>
      <c r="P192" s="185"/>
      <c r="Q192" s="185"/>
      <c r="R192" s="185"/>
      <c r="S192" s="185"/>
      <c r="T192" s="185"/>
      <c r="U192" s="185"/>
      <c r="V192" s="185"/>
      <c r="W192" s="185"/>
      <c r="X192" s="185"/>
      <c r="Y192" s="185"/>
      <c r="Z192" s="185"/>
      <c r="AA192" s="185"/>
      <c r="AB192" s="185"/>
      <c r="AC192" s="185"/>
      <c r="AD192" s="185"/>
      <c r="AE192" s="185"/>
      <c r="AF192" s="185"/>
      <c r="AG192" s="185"/>
      <c r="AH192" s="183">
        <f t="shared" si="25"/>
        <v>0</v>
      </c>
    </row>
    <row r="193" spans="1:34" ht="13.5">
      <c r="A193" s="192" t="s">
        <v>82</v>
      </c>
      <c r="B193" s="159">
        <f t="shared" si="24"/>
        <v>0</v>
      </c>
      <c r="C193" s="184"/>
      <c r="D193" s="185"/>
      <c r="E193" s="185"/>
      <c r="F193" s="185"/>
      <c r="G193" s="185"/>
      <c r="H193" s="185"/>
      <c r="I193" s="185"/>
      <c r="J193" s="185"/>
      <c r="K193" s="185"/>
      <c r="L193" s="185"/>
      <c r="M193" s="185"/>
      <c r="N193" s="185"/>
      <c r="O193" s="185"/>
      <c r="P193" s="185"/>
      <c r="Q193" s="185"/>
      <c r="R193" s="185"/>
      <c r="S193" s="185"/>
      <c r="T193" s="185"/>
      <c r="U193" s="185"/>
      <c r="V193" s="185"/>
      <c r="W193" s="185"/>
      <c r="X193" s="185"/>
      <c r="Y193" s="185"/>
      <c r="Z193" s="185"/>
      <c r="AA193" s="185"/>
      <c r="AB193" s="185"/>
      <c r="AC193" s="185"/>
      <c r="AD193" s="185"/>
      <c r="AE193" s="185"/>
      <c r="AF193" s="185"/>
      <c r="AG193" s="185"/>
      <c r="AH193" s="183">
        <f t="shared" si="25"/>
        <v>0</v>
      </c>
    </row>
    <row r="194" spans="1:34" ht="13.5">
      <c r="A194" s="192" t="s">
        <v>83</v>
      </c>
      <c r="B194" s="159">
        <f t="shared" si="24"/>
        <v>0</v>
      </c>
      <c r="C194" s="184"/>
      <c r="D194" s="185"/>
      <c r="E194" s="185"/>
      <c r="F194" s="185"/>
      <c r="G194" s="185"/>
      <c r="H194" s="185"/>
      <c r="I194" s="185"/>
      <c r="J194" s="185"/>
      <c r="K194" s="185"/>
      <c r="L194" s="185"/>
      <c r="M194" s="185"/>
      <c r="N194" s="185"/>
      <c r="O194" s="185"/>
      <c r="P194" s="185"/>
      <c r="Q194" s="185"/>
      <c r="R194" s="185"/>
      <c r="S194" s="185"/>
      <c r="T194" s="185"/>
      <c r="U194" s="185"/>
      <c r="V194" s="185"/>
      <c r="W194" s="185"/>
      <c r="X194" s="185"/>
      <c r="Y194" s="185"/>
      <c r="Z194" s="185"/>
      <c r="AA194" s="185"/>
      <c r="AB194" s="185"/>
      <c r="AC194" s="185"/>
      <c r="AD194" s="185"/>
      <c r="AE194" s="185"/>
      <c r="AF194" s="185"/>
      <c r="AG194" s="185"/>
      <c r="AH194" s="183">
        <f t="shared" si="25"/>
        <v>0</v>
      </c>
    </row>
    <row r="195" spans="1:34" ht="13.5">
      <c r="A195" s="192" t="s">
        <v>84</v>
      </c>
      <c r="B195" s="159">
        <f t="shared" si="24"/>
        <v>0</v>
      </c>
      <c r="C195" s="184"/>
      <c r="D195" s="185"/>
      <c r="E195" s="185"/>
      <c r="F195" s="185"/>
      <c r="G195" s="185"/>
      <c r="H195" s="185"/>
      <c r="I195" s="185"/>
      <c r="J195" s="185"/>
      <c r="K195" s="185"/>
      <c r="L195" s="185"/>
      <c r="M195" s="185"/>
      <c r="N195" s="185"/>
      <c r="O195" s="185"/>
      <c r="P195" s="185"/>
      <c r="Q195" s="185"/>
      <c r="R195" s="185"/>
      <c r="S195" s="185"/>
      <c r="T195" s="185"/>
      <c r="U195" s="185"/>
      <c r="V195" s="185"/>
      <c r="W195" s="185"/>
      <c r="X195" s="185"/>
      <c r="Y195" s="185"/>
      <c r="Z195" s="185"/>
      <c r="AA195" s="185"/>
      <c r="AB195" s="185"/>
      <c r="AC195" s="185"/>
      <c r="AD195" s="185"/>
      <c r="AE195" s="185"/>
      <c r="AF195" s="185"/>
      <c r="AG195" s="185"/>
      <c r="AH195" s="183">
        <f t="shared" si="25"/>
        <v>0</v>
      </c>
    </row>
    <row r="196" spans="1:34" ht="13.5">
      <c r="A196" s="179" t="s">
        <v>85</v>
      </c>
      <c r="B196" s="159">
        <f t="shared" si="24"/>
        <v>0</v>
      </c>
      <c r="C196" s="184"/>
      <c r="D196" s="185"/>
      <c r="E196" s="185"/>
      <c r="F196" s="185"/>
      <c r="G196" s="185"/>
      <c r="H196" s="185"/>
      <c r="I196" s="185"/>
      <c r="J196" s="185"/>
      <c r="K196" s="185"/>
      <c r="L196" s="185"/>
      <c r="M196" s="185"/>
      <c r="N196" s="185"/>
      <c r="O196" s="185"/>
      <c r="P196" s="185"/>
      <c r="Q196" s="185"/>
      <c r="R196" s="185"/>
      <c r="S196" s="185"/>
      <c r="T196" s="185"/>
      <c r="U196" s="185"/>
      <c r="V196" s="185"/>
      <c r="W196" s="185"/>
      <c r="X196" s="185"/>
      <c r="Y196" s="185"/>
      <c r="Z196" s="185"/>
      <c r="AA196" s="185"/>
      <c r="AB196" s="185"/>
      <c r="AC196" s="185"/>
      <c r="AD196" s="185"/>
      <c r="AE196" s="185"/>
      <c r="AF196" s="185"/>
      <c r="AG196" s="185"/>
      <c r="AH196" s="183">
        <f t="shared" si="25"/>
        <v>0</v>
      </c>
    </row>
    <row r="197" spans="1:34" ht="13.5">
      <c r="A197" s="179" t="s">
        <v>86</v>
      </c>
      <c r="B197" s="159">
        <f t="shared" si="24"/>
        <v>0</v>
      </c>
      <c r="C197" s="184"/>
      <c r="D197" s="185"/>
      <c r="E197" s="185"/>
      <c r="F197" s="185"/>
      <c r="G197" s="185"/>
      <c r="H197" s="185"/>
      <c r="I197" s="185"/>
      <c r="J197" s="185"/>
      <c r="K197" s="185"/>
      <c r="L197" s="185"/>
      <c r="M197" s="185"/>
      <c r="N197" s="185"/>
      <c r="O197" s="185"/>
      <c r="P197" s="185"/>
      <c r="Q197" s="185"/>
      <c r="R197" s="185"/>
      <c r="S197" s="185"/>
      <c r="T197" s="185"/>
      <c r="U197" s="185"/>
      <c r="V197" s="185"/>
      <c r="W197" s="185"/>
      <c r="X197" s="185"/>
      <c r="Y197" s="185"/>
      <c r="Z197" s="185"/>
      <c r="AA197" s="185"/>
      <c r="AB197" s="185"/>
      <c r="AC197" s="185"/>
      <c r="AD197" s="185"/>
      <c r="AE197" s="185"/>
      <c r="AF197" s="185"/>
      <c r="AG197" s="185"/>
      <c r="AH197" s="183">
        <f t="shared" si="25"/>
        <v>0</v>
      </c>
    </row>
    <row r="198" spans="1:34" ht="13.5">
      <c r="A198" s="186" t="s">
        <v>52</v>
      </c>
      <c r="B198" s="186">
        <f>SUM(B186:B197)</f>
        <v>0</v>
      </c>
      <c r="C198" s="187"/>
      <c r="D198" s="187"/>
      <c r="E198" s="187"/>
      <c r="F198" s="187"/>
      <c r="G198" s="187"/>
      <c r="H198" s="187"/>
      <c r="I198" s="187"/>
      <c r="J198" s="187"/>
      <c r="K198" s="187"/>
      <c r="L198" s="187"/>
      <c r="M198" s="187"/>
      <c r="N198" s="187"/>
      <c r="O198" s="187"/>
      <c r="P198" s="187"/>
      <c r="Q198" s="187"/>
      <c r="R198" s="187"/>
      <c r="S198" s="187"/>
      <c r="T198" s="187"/>
      <c r="U198" s="187"/>
      <c r="V198" s="187"/>
      <c r="W198" s="187"/>
      <c r="X198" s="187"/>
      <c r="Y198" s="187"/>
      <c r="Z198" s="187"/>
      <c r="AA198" s="187"/>
      <c r="AB198" s="187"/>
      <c r="AC198" s="187"/>
      <c r="AD198" s="187"/>
      <c r="AE198" s="187"/>
      <c r="AF198" s="187"/>
      <c r="AG198" s="187"/>
      <c r="AH198" s="183">
        <f t="shared" si="25"/>
        <v>0</v>
      </c>
    </row>
    <row r="199" spans="1:34" ht="13.5" thickBot="1"/>
    <row r="200" spans="1:34" ht="14.25" thickBot="1">
      <c r="A200" s="3605" t="s">
        <v>116</v>
      </c>
      <c r="B200" s="3606"/>
      <c r="C200" s="3606"/>
      <c r="D200" s="249" t="s">
        <v>8</v>
      </c>
      <c r="E200" s="250"/>
      <c r="F200" s="709" t="s">
        <v>354</v>
      </c>
      <c r="G200" s="709"/>
    </row>
    <row r="201" spans="1:34" ht="13.5">
      <c r="A201" s="178" t="s">
        <v>72</v>
      </c>
      <c r="B201" s="178" t="s">
        <v>73</v>
      </c>
      <c r="C201" s="1487">
        <v>1</v>
      </c>
      <c r="D201" s="248">
        <v>2</v>
      </c>
      <c r="E201" s="248">
        <v>3</v>
      </c>
      <c r="F201" s="179">
        <v>4</v>
      </c>
      <c r="G201" s="179">
        <v>5</v>
      </c>
      <c r="H201" s="179">
        <v>6</v>
      </c>
      <c r="I201" s="179">
        <v>7</v>
      </c>
      <c r="J201" s="179">
        <v>8</v>
      </c>
      <c r="K201" s="179">
        <v>9</v>
      </c>
      <c r="L201" s="179">
        <v>10</v>
      </c>
      <c r="M201" s="179">
        <v>11</v>
      </c>
      <c r="N201" s="179">
        <v>12</v>
      </c>
      <c r="O201" s="179">
        <v>13</v>
      </c>
      <c r="P201" s="179">
        <v>14</v>
      </c>
      <c r="Q201" s="179">
        <v>15</v>
      </c>
      <c r="R201" s="179">
        <v>16</v>
      </c>
      <c r="S201" s="179">
        <v>17</v>
      </c>
      <c r="T201" s="179">
        <v>18</v>
      </c>
      <c r="U201" s="179">
        <v>19</v>
      </c>
      <c r="V201" s="179">
        <v>20</v>
      </c>
      <c r="W201" s="166">
        <v>21</v>
      </c>
      <c r="X201" s="179">
        <v>22</v>
      </c>
      <c r="Y201" s="179">
        <v>23</v>
      </c>
      <c r="Z201" s="179">
        <v>24</v>
      </c>
      <c r="AA201" s="179">
        <v>25</v>
      </c>
      <c r="AB201" s="179">
        <v>26</v>
      </c>
      <c r="AC201" s="179">
        <v>27</v>
      </c>
      <c r="AD201" s="179">
        <v>28</v>
      </c>
      <c r="AE201" s="179">
        <v>29</v>
      </c>
      <c r="AF201" s="179">
        <v>30</v>
      </c>
      <c r="AG201" s="179">
        <v>31</v>
      </c>
      <c r="AH201" s="181" t="s">
        <v>52</v>
      </c>
    </row>
    <row r="202" spans="1:34" ht="13.5">
      <c r="A202" s="192" t="s">
        <v>75</v>
      </c>
      <c r="B202" s="159">
        <f t="shared" ref="B202:B213" si="26">+AH202</f>
        <v>0</v>
      </c>
      <c r="C202" s="182"/>
      <c r="D202" s="182"/>
      <c r="E202" s="182"/>
      <c r="F202" s="182"/>
      <c r="G202" s="182"/>
      <c r="H202" s="182"/>
      <c r="I202" s="182"/>
      <c r="J202" s="182"/>
      <c r="K202" s="182"/>
      <c r="L202" s="182"/>
      <c r="M202" s="182"/>
      <c r="N202" s="182"/>
      <c r="O202" s="182"/>
      <c r="P202" s="182"/>
      <c r="Q202" s="182"/>
      <c r="R202" s="182"/>
      <c r="S202" s="182"/>
      <c r="T202" s="182"/>
      <c r="U202" s="182"/>
      <c r="V202" s="182"/>
      <c r="W202" s="182"/>
      <c r="X202" s="182"/>
      <c r="Y202" s="182"/>
      <c r="Z202" s="182"/>
      <c r="AA202" s="182"/>
      <c r="AB202" s="182"/>
      <c r="AC202" s="182"/>
      <c r="AD202" s="182"/>
      <c r="AE202" s="182"/>
      <c r="AF202" s="182"/>
      <c r="AG202" s="182"/>
      <c r="AH202" s="183">
        <f>SUM(C202:AG202)</f>
        <v>0</v>
      </c>
    </row>
    <row r="203" spans="1:34" ht="13.5">
      <c r="A203" s="192" t="s">
        <v>76</v>
      </c>
      <c r="B203" s="159">
        <f t="shared" si="26"/>
        <v>0</v>
      </c>
      <c r="C203" s="182"/>
      <c r="D203" s="182"/>
      <c r="E203" s="182"/>
      <c r="F203" s="182"/>
      <c r="G203" s="182"/>
      <c r="H203" s="182"/>
      <c r="I203" s="182"/>
      <c r="J203" s="182"/>
      <c r="K203" s="182"/>
      <c r="L203" s="182"/>
      <c r="M203" s="182"/>
      <c r="N203" s="182"/>
      <c r="O203" s="182"/>
      <c r="P203" s="182"/>
      <c r="Q203" s="182"/>
      <c r="R203" s="182"/>
      <c r="S203" s="182"/>
      <c r="T203" s="182"/>
      <c r="U203" s="182"/>
      <c r="V203" s="182"/>
      <c r="W203" s="182"/>
      <c r="X203" s="182"/>
      <c r="Y203" s="182"/>
      <c r="Z203" s="182"/>
      <c r="AA203" s="182"/>
      <c r="AB203" s="182"/>
      <c r="AC203" s="182"/>
      <c r="AD203" s="182"/>
      <c r="AE203" s="182"/>
      <c r="AF203" s="182"/>
      <c r="AG203" s="182"/>
      <c r="AH203" s="183">
        <f>SUM(C203:AG203)</f>
        <v>0</v>
      </c>
    </row>
    <row r="204" spans="1:34" ht="13.5">
      <c r="A204" s="192" t="s">
        <v>77</v>
      </c>
      <c r="B204" s="159">
        <f t="shared" si="26"/>
        <v>0</v>
      </c>
      <c r="C204" s="182"/>
      <c r="D204" s="182"/>
      <c r="E204" s="182"/>
      <c r="F204" s="182"/>
      <c r="G204" s="182"/>
      <c r="H204" s="182"/>
      <c r="I204" s="182"/>
      <c r="J204" s="182"/>
      <c r="K204" s="182"/>
      <c r="L204" s="182"/>
      <c r="M204" s="182"/>
      <c r="N204" s="182"/>
      <c r="O204" s="182"/>
      <c r="P204" s="182"/>
      <c r="Q204" s="182"/>
      <c r="R204" s="182"/>
      <c r="S204" s="182"/>
      <c r="T204" s="182"/>
      <c r="U204" s="182"/>
      <c r="V204" s="182"/>
      <c r="W204" s="182"/>
      <c r="X204" s="182"/>
      <c r="Y204" s="182"/>
      <c r="Z204" s="182"/>
      <c r="AA204" s="182"/>
      <c r="AB204" s="182"/>
      <c r="AC204" s="182"/>
      <c r="AD204" s="182"/>
      <c r="AE204" s="182"/>
      <c r="AF204" s="182"/>
      <c r="AG204" s="182"/>
      <c r="AH204" s="183">
        <f>SUM(C204:AG204)</f>
        <v>0</v>
      </c>
    </row>
    <row r="205" spans="1:34" ht="13.5">
      <c r="A205" s="192" t="s">
        <v>78</v>
      </c>
      <c r="B205" s="159">
        <f t="shared" si="26"/>
        <v>0</v>
      </c>
      <c r="C205" s="288"/>
      <c r="D205" s="288"/>
      <c r="E205" s="288"/>
      <c r="F205" s="288"/>
      <c r="G205" s="288"/>
      <c r="H205" s="288"/>
      <c r="I205" s="288"/>
      <c r="J205" s="288"/>
      <c r="K205" s="288"/>
      <c r="L205" s="288"/>
      <c r="M205" s="288"/>
      <c r="N205" s="288"/>
      <c r="O205" s="288"/>
      <c r="P205" s="288"/>
      <c r="Q205" s="288"/>
      <c r="R205" s="288"/>
      <c r="S205" s="288"/>
      <c r="T205" s="288"/>
      <c r="U205" s="288"/>
      <c r="V205" s="288"/>
      <c r="W205" s="288"/>
      <c r="X205" s="288"/>
      <c r="Y205" s="288"/>
      <c r="Z205" s="288"/>
      <c r="AA205" s="288"/>
      <c r="AB205" s="288"/>
      <c r="AC205" s="288"/>
      <c r="AD205" s="288"/>
      <c r="AE205" s="288"/>
      <c r="AF205" s="288"/>
      <c r="AG205" s="185"/>
      <c r="AH205" s="183">
        <f>SUM(C205:AG205)</f>
        <v>0</v>
      </c>
    </row>
    <row r="206" spans="1:34" ht="13.5">
      <c r="A206" s="192" t="s">
        <v>79</v>
      </c>
      <c r="B206" s="159">
        <f t="shared" si="26"/>
        <v>0</v>
      </c>
      <c r="C206" s="288"/>
      <c r="D206" s="288"/>
      <c r="E206" s="288"/>
      <c r="F206" s="288"/>
      <c r="G206" s="288"/>
      <c r="H206" s="288"/>
      <c r="I206" s="288"/>
      <c r="J206" s="288"/>
      <c r="K206" s="288"/>
      <c r="L206" s="288"/>
      <c r="M206" s="288"/>
      <c r="N206" s="288"/>
      <c r="O206" s="288"/>
      <c r="P206" s="288"/>
      <c r="Q206" s="288"/>
      <c r="R206" s="288"/>
      <c r="S206" s="288"/>
      <c r="T206" s="288"/>
      <c r="U206" s="288"/>
      <c r="V206" s="288"/>
      <c r="W206" s="288"/>
      <c r="X206" s="288"/>
      <c r="Y206" s="288"/>
      <c r="Z206" s="288"/>
      <c r="AA206" s="288"/>
      <c r="AB206" s="288"/>
      <c r="AC206" s="288"/>
      <c r="AD206" s="288"/>
      <c r="AE206" s="288"/>
      <c r="AF206" s="288"/>
      <c r="AG206" s="288"/>
      <c r="AH206" s="183">
        <f t="shared" ref="AH206:AH213" si="27">SUM(C206:AG206)</f>
        <v>0</v>
      </c>
    </row>
    <row r="207" spans="1:34" ht="13.5">
      <c r="A207" s="192" t="s">
        <v>80</v>
      </c>
      <c r="B207" s="159">
        <f t="shared" si="26"/>
        <v>0</v>
      </c>
      <c r="C207" s="184"/>
      <c r="D207" s="185"/>
      <c r="E207" s="185"/>
      <c r="F207" s="185"/>
      <c r="G207" s="185"/>
      <c r="H207" s="185"/>
      <c r="I207" s="185"/>
      <c r="J207" s="185"/>
      <c r="K207" s="185"/>
      <c r="L207" s="185"/>
      <c r="M207" s="185"/>
      <c r="N207" s="185"/>
      <c r="O207" s="185"/>
      <c r="P207" s="185"/>
      <c r="Q207" s="185"/>
      <c r="R207" s="185"/>
      <c r="S207" s="185"/>
      <c r="T207" s="185"/>
      <c r="U207" s="185"/>
      <c r="V207" s="185"/>
      <c r="W207" s="185"/>
      <c r="X207" s="185"/>
      <c r="Y207" s="185"/>
      <c r="Z207" s="185"/>
      <c r="AA207" s="185"/>
      <c r="AB207" s="185"/>
      <c r="AC207" s="185"/>
      <c r="AD207" s="185"/>
      <c r="AE207" s="185"/>
      <c r="AF207" s="185"/>
      <c r="AG207" s="185"/>
      <c r="AH207" s="183">
        <f t="shared" si="27"/>
        <v>0</v>
      </c>
    </row>
    <row r="208" spans="1:34" ht="13.5">
      <c r="A208" s="192" t="s">
        <v>81</v>
      </c>
      <c r="B208" s="159">
        <f t="shared" si="26"/>
        <v>0</v>
      </c>
      <c r="C208" s="184"/>
      <c r="D208" s="185"/>
      <c r="E208" s="185"/>
      <c r="F208" s="185"/>
      <c r="G208" s="185"/>
      <c r="H208" s="185"/>
      <c r="I208" s="185"/>
      <c r="J208" s="185"/>
      <c r="K208" s="185"/>
      <c r="L208" s="185"/>
      <c r="M208" s="185"/>
      <c r="N208" s="185"/>
      <c r="O208" s="185"/>
      <c r="P208" s="185"/>
      <c r="Q208" s="185"/>
      <c r="R208" s="185"/>
      <c r="S208" s="185"/>
      <c r="T208" s="185"/>
      <c r="U208" s="185"/>
      <c r="V208" s="185"/>
      <c r="W208" s="185"/>
      <c r="X208" s="185"/>
      <c r="Y208" s="185"/>
      <c r="Z208" s="185"/>
      <c r="AA208" s="185"/>
      <c r="AB208" s="185"/>
      <c r="AC208" s="185"/>
      <c r="AD208" s="185"/>
      <c r="AE208" s="185"/>
      <c r="AF208" s="185"/>
      <c r="AG208" s="185"/>
      <c r="AH208" s="183">
        <f t="shared" si="27"/>
        <v>0</v>
      </c>
    </row>
    <row r="209" spans="1:34" ht="13.5">
      <c r="A209" s="192" t="s">
        <v>82</v>
      </c>
      <c r="B209" s="159">
        <f t="shared" si="26"/>
        <v>0</v>
      </c>
      <c r="C209" s="184"/>
      <c r="D209" s="185"/>
      <c r="E209" s="185"/>
      <c r="F209" s="185"/>
      <c r="G209" s="185"/>
      <c r="H209" s="185"/>
      <c r="I209" s="185"/>
      <c r="J209" s="185"/>
      <c r="K209" s="185"/>
      <c r="L209" s="185"/>
      <c r="M209" s="185"/>
      <c r="N209" s="185"/>
      <c r="O209" s="185"/>
      <c r="P209" s="185"/>
      <c r="Q209" s="185"/>
      <c r="R209" s="185"/>
      <c r="S209" s="185"/>
      <c r="T209" s="185"/>
      <c r="U209" s="185"/>
      <c r="V209" s="185"/>
      <c r="W209" s="185"/>
      <c r="X209" s="185"/>
      <c r="Y209" s="185"/>
      <c r="Z209" s="185"/>
      <c r="AA209" s="185"/>
      <c r="AB209" s="185"/>
      <c r="AC209" s="185"/>
      <c r="AD209" s="185"/>
      <c r="AE209" s="185"/>
      <c r="AF209" s="185"/>
      <c r="AG209" s="185"/>
      <c r="AH209" s="183">
        <f t="shared" si="27"/>
        <v>0</v>
      </c>
    </row>
    <row r="210" spans="1:34" ht="13.5">
      <c r="A210" s="192" t="s">
        <v>83</v>
      </c>
      <c r="B210" s="159">
        <f t="shared" si="26"/>
        <v>0</v>
      </c>
      <c r="C210" s="107"/>
      <c r="D210" s="107"/>
      <c r="E210" s="107"/>
      <c r="F210" s="107"/>
      <c r="G210" s="107"/>
      <c r="H210" s="107"/>
      <c r="I210" s="107"/>
      <c r="J210" s="107"/>
      <c r="K210" s="107"/>
      <c r="L210" s="107"/>
      <c r="M210" s="107"/>
      <c r="N210" s="107"/>
      <c r="O210" s="107"/>
      <c r="P210" s="107"/>
      <c r="Q210" s="107"/>
      <c r="R210" s="107"/>
      <c r="S210" s="107"/>
      <c r="T210" s="107"/>
      <c r="U210" s="107"/>
      <c r="V210" s="107"/>
      <c r="W210" s="107"/>
      <c r="X210" s="107"/>
      <c r="Y210" s="107"/>
      <c r="Z210" s="107"/>
      <c r="AA210" s="107"/>
      <c r="AB210" s="107"/>
      <c r="AC210" s="107"/>
      <c r="AD210" s="107"/>
      <c r="AE210" s="107"/>
      <c r="AF210" s="107"/>
      <c r="AG210" s="185"/>
      <c r="AH210" s="183">
        <f t="shared" si="27"/>
        <v>0</v>
      </c>
    </row>
    <row r="211" spans="1:34" ht="13.5">
      <c r="A211" s="192" t="s">
        <v>84</v>
      </c>
      <c r="B211" s="159">
        <f t="shared" si="26"/>
        <v>0</v>
      </c>
      <c r="C211" s="184"/>
      <c r="D211" s="185"/>
      <c r="E211" s="185"/>
      <c r="F211" s="185"/>
      <c r="G211" s="185"/>
      <c r="H211" s="185"/>
      <c r="I211" s="185"/>
      <c r="J211" s="185"/>
      <c r="K211" s="185"/>
      <c r="L211" s="185"/>
      <c r="M211" s="185"/>
      <c r="N211" s="185"/>
      <c r="O211" s="185"/>
      <c r="P211" s="185"/>
      <c r="Q211" s="185"/>
      <c r="R211" s="185"/>
      <c r="S211" s="185"/>
      <c r="T211" s="185"/>
      <c r="U211" s="185"/>
      <c r="V211" s="185"/>
      <c r="W211" s="185"/>
      <c r="X211" s="185"/>
      <c r="Y211" s="185"/>
      <c r="Z211" s="185"/>
      <c r="AA211" s="185"/>
      <c r="AB211" s="185"/>
      <c r="AC211" s="185"/>
      <c r="AD211" s="185"/>
      <c r="AE211" s="185"/>
      <c r="AF211" s="185"/>
      <c r="AG211" s="185"/>
      <c r="AH211" s="183">
        <f t="shared" si="27"/>
        <v>0</v>
      </c>
    </row>
    <row r="212" spans="1:34" ht="13.5">
      <c r="A212" s="179" t="s">
        <v>85</v>
      </c>
      <c r="B212" s="159">
        <f t="shared" si="26"/>
        <v>0</v>
      </c>
      <c r="C212" s="184"/>
      <c r="D212" s="185"/>
      <c r="E212" s="185"/>
      <c r="F212" s="185"/>
      <c r="G212" s="185"/>
      <c r="H212" s="185"/>
      <c r="I212" s="185"/>
      <c r="J212" s="185"/>
      <c r="K212" s="185"/>
      <c r="L212" s="185"/>
      <c r="M212" s="185"/>
      <c r="N212" s="185"/>
      <c r="O212" s="185"/>
      <c r="P212" s="185"/>
      <c r="Q212" s="185"/>
      <c r="R212" s="185"/>
      <c r="S212" s="185"/>
      <c r="T212" s="185"/>
      <c r="U212" s="185"/>
      <c r="V212" s="185"/>
      <c r="W212" s="185"/>
      <c r="X212" s="185"/>
      <c r="Y212" s="185"/>
      <c r="Z212" s="185"/>
      <c r="AA212" s="185"/>
      <c r="AB212" s="185"/>
      <c r="AC212" s="185"/>
      <c r="AD212" s="185"/>
      <c r="AE212" s="185"/>
      <c r="AF212" s="185"/>
      <c r="AG212" s="185"/>
      <c r="AH212" s="183">
        <f t="shared" si="27"/>
        <v>0</v>
      </c>
    </row>
    <row r="213" spans="1:34" ht="13.5">
      <c r="A213" s="179" t="s">
        <v>86</v>
      </c>
      <c r="B213" s="159">
        <f t="shared" si="26"/>
        <v>0</v>
      </c>
      <c r="C213" s="184"/>
      <c r="D213" s="185"/>
      <c r="E213" s="185"/>
      <c r="F213" s="185"/>
      <c r="G213" s="185"/>
      <c r="H213" s="185"/>
      <c r="I213" s="185"/>
      <c r="J213" s="185"/>
      <c r="K213" s="185"/>
      <c r="L213" s="185"/>
      <c r="M213" s="185"/>
      <c r="N213" s="185"/>
      <c r="O213" s="185"/>
      <c r="P213" s="185"/>
      <c r="Q213" s="185"/>
      <c r="R213" s="185"/>
      <c r="S213" s="185"/>
      <c r="T213" s="185"/>
      <c r="U213" s="185"/>
      <c r="V213" s="185"/>
      <c r="W213" s="185"/>
      <c r="X213" s="185"/>
      <c r="Y213" s="185"/>
      <c r="Z213" s="185"/>
      <c r="AA213" s="185"/>
      <c r="AB213" s="185"/>
      <c r="AC213" s="185"/>
      <c r="AD213" s="185"/>
      <c r="AE213" s="185"/>
      <c r="AF213" s="185"/>
      <c r="AG213" s="185"/>
      <c r="AH213" s="183">
        <f t="shared" si="27"/>
        <v>0</v>
      </c>
    </row>
    <row r="214" spans="1:34" ht="13.5">
      <c r="A214" s="186" t="s">
        <v>52</v>
      </c>
      <c r="B214" s="186">
        <f>SUM(B202:B213)</f>
        <v>0</v>
      </c>
      <c r="C214" s="187"/>
      <c r="D214" s="187"/>
      <c r="E214" s="187"/>
      <c r="F214" s="187"/>
      <c r="G214" s="187"/>
      <c r="H214" s="187"/>
      <c r="I214" s="187"/>
      <c r="J214" s="187"/>
      <c r="K214" s="187"/>
      <c r="L214" s="187"/>
      <c r="M214" s="187"/>
      <c r="N214" s="187"/>
      <c r="O214" s="187"/>
      <c r="P214" s="187"/>
      <c r="Q214" s="187"/>
      <c r="R214" s="187"/>
      <c r="S214" s="187"/>
      <c r="T214" s="187"/>
      <c r="U214" s="187"/>
      <c r="V214" s="187"/>
      <c r="W214" s="187"/>
      <c r="X214" s="187"/>
      <c r="Y214" s="187"/>
      <c r="Z214" s="187"/>
      <c r="AA214" s="187"/>
      <c r="AB214" s="187"/>
      <c r="AC214" s="187"/>
      <c r="AD214" s="187"/>
      <c r="AE214" s="187"/>
      <c r="AF214" s="187"/>
      <c r="AG214" s="187"/>
      <c r="AH214" s="188"/>
    </row>
    <row r="215" spans="1:34" ht="13.5" thickBot="1">
      <c r="F215" s="103"/>
    </row>
    <row r="216" spans="1:34" ht="14.25" thickBot="1">
      <c r="A216" s="3605" t="s">
        <v>116</v>
      </c>
      <c r="B216" s="3606"/>
      <c r="C216" s="3606"/>
      <c r="D216" s="249" t="s">
        <v>14</v>
      </c>
      <c r="E216" s="251"/>
      <c r="F216" s="250"/>
      <c r="G216" s="709" t="s">
        <v>354</v>
      </c>
      <c r="H216" s="709"/>
    </row>
    <row r="217" spans="1:34" ht="13.5">
      <c r="A217" s="178" t="s">
        <v>72</v>
      </c>
      <c r="B217" s="178" t="s">
        <v>73</v>
      </c>
      <c r="C217" s="1487">
        <v>1</v>
      </c>
      <c r="D217" s="248">
        <v>2</v>
      </c>
      <c r="E217" s="248">
        <v>3</v>
      </c>
      <c r="F217" s="248">
        <v>4</v>
      </c>
      <c r="G217" s="179">
        <v>5</v>
      </c>
      <c r="H217" s="179">
        <v>6</v>
      </c>
      <c r="I217" s="179">
        <v>7</v>
      </c>
      <c r="J217" s="179">
        <v>8</v>
      </c>
      <c r="K217" s="179">
        <v>9</v>
      </c>
      <c r="L217" s="179">
        <v>10</v>
      </c>
      <c r="M217" s="179">
        <v>11</v>
      </c>
      <c r="N217" s="179">
        <v>12</v>
      </c>
      <c r="O217" s="179">
        <v>13</v>
      </c>
      <c r="P217" s="179">
        <v>14</v>
      </c>
      <c r="Q217" s="179">
        <v>15</v>
      </c>
      <c r="R217" s="179">
        <v>16</v>
      </c>
      <c r="S217" s="179">
        <v>17</v>
      </c>
      <c r="T217" s="179">
        <v>18</v>
      </c>
      <c r="U217" s="179">
        <v>19</v>
      </c>
      <c r="V217" s="179">
        <v>20</v>
      </c>
      <c r="W217" s="166">
        <v>21</v>
      </c>
      <c r="X217" s="179">
        <v>22</v>
      </c>
      <c r="Y217" s="179">
        <v>23</v>
      </c>
      <c r="Z217" s="179">
        <v>24</v>
      </c>
      <c r="AA217" s="179">
        <v>25</v>
      </c>
      <c r="AB217" s="179">
        <v>26</v>
      </c>
      <c r="AC217" s="179">
        <v>27</v>
      </c>
      <c r="AD217" s="179">
        <v>28</v>
      </c>
      <c r="AE217" s="179">
        <v>29</v>
      </c>
      <c r="AF217" s="179">
        <v>30</v>
      </c>
      <c r="AG217" s="179">
        <v>31</v>
      </c>
      <c r="AH217" s="181" t="s">
        <v>52</v>
      </c>
    </row>
    <row r="218" spans="1:34" ht="13.5">
      <c r="A218" s="192" t="s">
        <v>75</v>
      </c>
      <c r="B218" s="159">
        <f t="shared" ref="B218:B229" si="28">+AH218</f>
        <v>0</v>
      </c>
      <c r="C218" s="182"/>
      <c r="D218" s="182"/>
      <c r="E218" s="182"/>
      <c r="F218" s="182"/>
      <c r="G218" s="182"/>
      <c r="H218" s="182"/>
      <c r="I218" s="182"/>
      <c r="J218" s="182"/>
      <c r="K218" s="182"/>
      <c r="L218" s="182"/>
      <c r="M218" s="182"/>
      <c r="N218" s="182"/>
      <c r="O218" s="182"/>
      <c r="P218" s="182"/>
      <c r="Q218" s="182"/>
      <c r="R218" s="182"/>
      <c r="S218" s="182"/>
      <c r="T218" s="182"/>
      <c r="U218" s="182"/>
      <c r="V218" s="182"/>
      <c r="W218" s="182"/>
      <c r="X218" s="182"/>
      <c r="Y218" s="182"/>
      <c r="Z218" s="182"/>
      <c r="AA218" s="182"/>
      <c r="AB218" s="182"/>
      <c r="AC218" s="182"/>
      <c r="AD218" s="182"/>
      <c r="AE218" s="182"/>
      <c r="AF218" s="182"/>
      <c r="AG218" s="182"/>
      <c r="AH218" s="183">
        <f>SUM(C218:AG218)</f>
        <v>0</v>
      </c>
    </row>
    <row r="219" spans="1:34" ht="13.5">
      <c r="A219" s="192" t="s">
        <v>76</v>
      </c>
      <c r="B219" s="159">
        <f t="shared" si="28"/>
        <v>0</v>
      </c>
      <c r="C219" s="182"/>
      <c r="D219" s="182"/>
      <c r="E219" s="182"/>
      <c r="F219" s="182"/>
      <c r="G219" s="182"/>
      <c r="H219" s="182"/>
      <c r="I219" s="182"/>
      <c r="J219" s="182"/>
      <c r="K219" s="182"/>
      <c r="L219" s="182"/>
      <c r="M219" s="182"/>
      <c r="N219" s="182"/>
      <c r="O219" s="182"/>
      <c r="P219" s="182"/>
      <c r="Q219" s="182"/>
      <c r="R219" s="182"/>
      <c r="S219" s="182"/>
      <c r="T219" s="182"/>
      <c r="U219" s="182"/>
      <c r="V219" s="182"/>
      <c r="W219" s="182"/>
      <c r="X219" s="182"/>
      <c r="Y219" s="182"/>
      <c r="Z219" s="182"/>
      <c r="AA219" s="182"/>
      <c r="AB219" s="182"/>
      <c r="AC219" s="182"/>
      <c r="AD219" s="182"/>
      <c r="AE219" s="182"/>
      <c r="AF219" s="182"/>
      <c r="AG219" s="182"/>
      <c r="AH219" s="183">
        <f>SUM(C219:AG219)</f>
        <v>0</v>
      </c>
    </row>
    <row r="220" spans="1:34" ht="13.5">
      <c r="A220" s="192" t="s">
        <v>77</v>
      </c>
      <c r="B220" s="159">
        <f t="shared" si="28"/>
        <v>0</v>
      </c>
      <c r="C220" s="182"/>
      <c r="D220" s="182"/>
      <c r="E220" s="182"/>
      <c r="F220" s="182"/>
      <c r="G220" s="182"/>
      <c r="H220" s="182"/>
      <c r="I220" s="182"/>
      <c r="J220" s="182"/>
      <c r="K220" s="182"/>
      <c r="L220" s="182"/>
      <c r="M220" s="182"/>
      <c r="N220" s="182"/>
      <c r="O220" s="182"/>
      <c r="P220" s="182"/>
      <c r="Q220" s="182"/>
      <c r="R220" s="182"/>
      <c r="S220" s="182"/>
      <c r="T220" s="182"/>
      <c r="U220" s="182"/>
      <c r="V220" s="182"/>
      <c r="W220" s="182"/>
      <c r="X220" s="182"/>
      <c r="Y220" s="182"/>
      <c r="Z220" s="182"/>
      <c r="AA220" s="182"/>
      <c r="AB220" s="182"/>
      <c r="AC220" s="182"/>
      <c r="AD220" s="182"/>
      <c r="AE220" s="182"/>
      <c r="AF220" s="182"/>
      <c r="AG220" s="182"/>
      <c r="AH220" s="183">
        <f>SUM(C220:AG220)</f>
        <v>0</v>
      </c>
    </row>
    <row r="221" spans="1:34" ht="13.5">
      <c r="A221" s="192" t="s">
        <v>78</v>
      </c>
      <c r="B221" s="159">
        <f t="shared" si="28"/>
        <v>0</v>
      </c>
      <c r="C221" s="184"/>
      <c r="D221" s="185"/>
      <c r="E221" s="185"/>
      <c r="F221" s="185"/>
      <c r="G221" s="185"/>
      <c r="H221" s="185"/>
      <c r="I221" s="185"/>
      <c r="J221" s="185"/>
      <c r="K221" s="185"/>
      <c r="L221" s="185"/>
      <c r="M221" s="185"/>
      <c r="N221" s="185"/>
      <c r="O221" s="185"/>
      <c r="P221" s="185"/>
      <c r="Q221" s="185"/>
      <c r="R221" s="185"/>
      <c r="S221" s="185"/>
      <c r="T221" s="185"/>
      <c r="U221" s="185"/>
      <c r="V221" s="185"/>
      <c r="W221" s="185"/>
      <c r="X221" s="185"/>
      <c r="Y221" s="185"/>
      <c r="Z221" s="185"/>
      <c r="AA221" s="185"/>
      <c r="AB221" s="185"/>
      <c r="AC221" s="185"/>
      <c r="AD221" s="185"/>
      <c r="AE221" s="185"/>
      <c r="AF221" s="185"/>
      <c r="AG221" s="185"/>
      <c r="AH221" s="183">
        <f>SUM(C221:AG221)</f>
        <v>0</v>
      </c>
    </row>
    <row r="222" spans="1:34" ht="13.5">
      <c r="A222" s="192" t="s">
        <v>79</v>
      </c>
      <c r="B222" s="159">
        <f t="shared" si="28"/>
        <v>0</v>
      </c>
      <c r="C222" s="184"/>
      <c r="D222" s="185"/>
      <c r="E222" s="185"/>
      <c r="F222" s="185"/>
      <c r="G222" s="185"/>
      <c r="H222" s="185"/>
      <c r="I222" s="185"/>
      <c r="J222" s="185"/>
      <c r="K222" s="185"/>
      <c r="L222" s="185"/>
      <c r="M222" s="185"/>
      <c r="N222" s="185"/>
      <c r="O222" s="185"/>
      <c r="P222" s="185"/>
      <c r="Q222" s="185"/>
      <c r="R222" s="185"/>
      <c r="S222" s="185"/>
      <c r="T222" s="185"/>
      <c r="U222" s="185"/>
      <c r="V222" s="185"/>
      <c r="W222" s="185"/>
      <c r="X222" s="185"/>
      <c r="Y222" s="185"/>
      <c r="Z222" s="185"/>
      <c r="AA222" s="185"/>
      <c r="AB222" s="185"/>
      <c r="AC222" s="185"/>
      <c r="AD222" s="185"/>
      <c r="AE222" s="185"/>
      <c r="AF222" s="185"/>
      <c r="AG222" s="185"/>
      <c r="AH222" s="183"/>
    </row>
    <row r="223" spans="1:34" ht="13.5">
      <c r="A223" s="192" t="s">
        <v>80</v>
      </c>
      <c r="B223" s="159">
        <f t="shared" si="28"/>
        <v>0</v>
      </c>
      <c r="C223" s="184"/>
      <c r="D223" s="185"/>
      <c r="E223" s="185"/>
      <c r="F223" s="185"/>
      <c r="G223" s="185"/>
      <c r="H223" s="185"/>
      <c r="I223" s="185"/>
      <c r="J223" s="185"/>
      <c r="K223" s="185"/>
      <c r="L223" s="185"/>
      <c r="M223" s="185"/>
      <c r="N223" s="185"/>
      <c r="O223" s="185"/>
      <c r="P223" s="185"/>
      <c r="Q223" s="185"/>
      <c r="R223" s="185"/>
      <c r="S223" s="185"/>
      <c r="T223" s="185"/>
      <c r="U223" s="185"/>
      <c r="V223" s="185"/>
      <c r="W223" s="185"/>
      <c r="X223" s="185"/>
      <c r="Y223" s="185"/>
      <c r="Z223" s="185"/>
      <c r="AA223" s="185"/>
      <c r="AB223" s="185"/>
      <c r="AC223" s="185"/>
      <c r="AD223" s="185"/>
      <c r="AE223" s="185"/>
      <c r="AF223" s="185"/>
      <c r="AG223" s="185"/>
      <c r="AH223" s="183"/>
    </row>
    <row r="224" spans="1:34" ht="13.5">
      <c r="A224" s="192" t="s">
        <v>81</v>
      </c>
      <c r="B224" s="159">
        <f t="shared" si="28"/>
        <v>0</v>
      </c>
      <c r="C224" s="184"/>
      <c r="D224" s="185"/>
      <c r="E224" s="185"/>
      <c r="F224" s="185"/>
      <c r="G224" s="185"/>
      <c r="H224" s="185"/>
      <c r="I224" s="185"/>
      <c r="J224" s="185"/>
      <c r="K224" s="185"/>
      <c r="L224" s="185"/>
      <c r="M224" s="185"/>
      <c r="N224" s="185"/>
      <c r="O224" s="185"/>
      <c r="P224" s="185"/>
      <c r="Q224" s="185"/>
      <c r="R224" s="185"/>
      <c r="S224" s="185"/>
      <c r="T224" s="185"/>
      <c r="U224" s="185"/>
      <c r="V224" s="185"/>
      <c r="W224" s="185"/>
      <c r="X224" s="185"/>
      <c r="Y224" s="185"/>
      <c r="Z224" s="185"/>
      <c r="AA224" s="185"/>
      <c r="AB224" s="185"/>
      <c r="AC224" s="185"/>
      <c r="AD224" s="185"/>
      <c r="AE224" s="185"/>
      <c r="AF224" s="185"/>
      <c r="AG224" s="185"/>
      <c r="AH224" s="183"/>
    </row>
    <row r="225" spans="1:34" ht="13.5">
      <c r="A225" s="192" t="s">
        <v>82</v>
      </c>
      <c r="B225" s="159">
        <f t="shared" si="28"/>
        <v>0</v>
      </c>
      <c r="C225" s="184"/>
      <c r="D225" s="185"/>
      <c r="E225" s="185"/>
      <c r="F225" s="185"/>
      <c r="G225" s="185"/>
      <c r="H225" s="185"/>
      <c r="I225" s="185"/>
      <c r="J225" s="185"/>
      <c r="K225" s="185"/>
      <c r="L225" s="185"/>
      <c r="M225" s="185"/>
      <c r="N225" s="185"/>
      <c r="O225" s="185"/>
      <c r="P225" s="185"/>
      <c r="Q225" s="185"/>
      <c r="R225" s="185"/>
      <c r="S225" s="185"/>
      <c r="T225" s="185"/>
      <c r="U225" s="185"/>
      <c r="V225" s="185"/>
      <c r="W225" s="185"/>
      <c r="X225" s="185"/>
      <c r="Y225" s="185"/>
      <c r="Z225" s="185"/>
      <c r="AA225" s="185"/>
      <c r="AB225" s="185"/>
      <c r="AC225" s="185"/>
      <c r="AD225" s="185"/>
      <c r="AE225" s="185"/>
      <c r="AF225" s="185"/>
      <c r="AG225" s="185"/>
      <c r="AH225" s="183"/>
    </row>
    <row r="226" spans="1:34" ht="13.5">
      <c r="A226" s="192" t="s">
        <v>83</v>
      </c>
      <c r="B226" s="159">
        <f t="shared" si="28"/>
        <v>0</v>
      </c>
      <c r="C226" s="184"/>
      <c r="D226" s="185"/>
      <c r="E226" s="185"/>
      <c r="F226" s="185"/>
      <c r="G226" s="185"/>
      <c r="H226" s="185"/>
      <c r="I226" s="185"/>
      <c r="J226" s="185"/>
      <c r="K226" s="185"/>
      <c r="L226" s="185"/>
      <c r="M226" s="185"/>
      <c r="N226" s="185"/>
      <c r="O226" s="185"/>
      <c r="P226" s="185"/>
      <c r="Q226" s="185"/>
      <c r="R226" s="185"/>
      <c r="S226" s="185"/>
      <c r="T226" s="185"/>
      <c r="U226" s="185"/>
      <c r="V226" s="185"/>
      <c r="W226" s="185"/>
      <c r="X226" s="185"/>
      <c r="Y226" s="185"/>
      <c r="Z226" s="185"/>
      <c r="AA226" s="185"/>
      <c r="AB226" s="185"/>
      <c r="AC226" s="185"/>
      <c r="AD226" s="185"/>
      <c r="AE226" s="185"/>
      <c r="AF226" s="185"/>
      <c r="AG226" s="185"/>
      <c r="AH226" s="183"/>
    </row>
    <row r="227" spans="1:34" ht="13.5">
      <c r="A227" s="192" t="s">
        <v>84</v>
      </c>
      <c r="B227" s="159">
        <f t="shared" si="28"/>
        <v>0</v>
      </c>
      <c r="C227" s="184"/>
      <c r="D227" s="185"/>
      <c r="E227" s="185"/>
      <c r="F227" s="185"/>
      <c r="G227" s="185"/>
      <c r="H227" s="185"/>
      <c r="I227" s="185"/>
      <c r="J227" s="185"/>
      <c r="K227" s="185"/>
      <c r="L227" s="185"/>
      <c r="M227" s="185"/>
      <c r="N227" s="185"/>
      <c r="O227" s="185"/>
      <c r="P227" s="185"/>
      <c r="Q227" s="185"/>
      <c r="R227" s="185"/>
      <c r="S227" s="185"/>
      <c r="T227" s="185"/>
      <c r="U227" s="185"/>
      <c r="V227" s="185"/>
      <c r="W227" s="185"/>
      <c r="X227" s="185"/>
      <c r="Y227" s="185"/>
      <c r="Z227" s="185"/>
      <c r="AA227" s="185"/>
      <c r="AB227" s="185"/>
      <c r="AC227" s="185"/>
      <c r="AD227" s="185"/>
      <c r="AE227" s="185"/>
      <c r="AF227" s="185"/>
      <c r="AG227" s="185"/>
      <c r="AH227" s="183"/>
    </row>
    <row r="228" spans="1:34" ht="13.5">
      <c r="A228" s="179" t="s">
        <v>85</v>
      </c>
      <c r="B228" s="159">
        <f t="shared" si="28"/>
        <v>0</v>
      </c>
      <c r="C228" s="184"/>
      <c r="D228" s="185"/>
      <c r="E228" s="185"/>
      <c r="F228" s="185"/>
      <c r="G228" s="185"/>
      <c r="H228" s="185"/>
      <c r="I228" s="185"/>
      <c r="J228" s="185"/>
      <c r="K228" s="185"/>
      <c r="L228" s="185"/>
      <c r="M228" s="185"/>
      <c r="N228" s="185"/>
      <c r="O228" s="185"/>
      <c r="P228" s="185"/>
      <c r="Q228" s="185"/>
      <c r="R228" s="185"/>
      <c r="S228" s="185"/>
      <c r="T228" s="185"/>
      <c r="U228" s="185"/>
      <c r="V228" s="185"/>
      <c r="W228" s="185"/>
      <c r="X228" s="185"/>
      <c r="Y228" s="185"/>
      <c r="Z228" s="185"/>
      <c r="AA228" s="185"/>
      <c r="AB228" s="185"/>
      <c r="AC228" s="185"/>
      <c r="AD228" s="185"/>
      <c r="AE228" s="185"/>
      <c r="AF228" s="185"/>
      <c r="AG228" s="185"/>
      <c r="AH228" s="183"/>
    </row>
    <row r="229" spans="1:34" ht="13.5">
      <c r="A229" s="179" t="s">
        <v>86</v>
      </c>
      <c r="B229" s="159">
        <f t="shared" si="28"/>
        <v>0</v>
      </c>
      <c r="C229" s="184"/>
      <c r="D229" s="185"/>
      <c r="E229" s="185"/>
      <c r="F229" s="185"/>
      <c r="G229" s="185"/>
      <c r="H229" s="185"/>
      <c r="I229" s="185"/>
      <c r="J229" s="185"/>
      <c r="K229" s="185"/>
      <c r="L229" s="185"/>
      <c r="M229" s="185"/>
      <c r="N229" s="185"/>
      <c r="O229" s="185"/>
      <c r="P229" s="185"/>
      <c r="Q229" s="185"/>
      <c r="R229" s="185"/>
      <c r="S229" s="185"/>
      <c r="T229" s="185"/>
      <c r="U229" s="185"/>
      <c r="V229" s="185"/>
      <c r="W229" s="185"/>
      <c r="X229" s="185"/>
      <c r="Y229" s="185"/>
      <c r="Z229" s="185"/>
      <c r="AA229" s="185"/>
      <c r="AB229" s="185"/>
      <c r="AC229" s="185"/>
      <c r="AD229" s="185"/>
      <c r="AE229" s="185"/>
      <c r="AF229" s="185"/>
      <c r="AG229" s="185"/>
      <c r="AH229" s="183"/>
    </row>
    <row r="230" spans="1:34" ht="13.5">
      <c r="A230" s="186" t="s">
        <v>52</v>
      </c>
      <c r="B230" s="186">
        <f>SUM(B218:B229)</f>
        <v>0</v>
      </c>
      <c r="C230" s="187"/>
      <c r="D230" s="187"/>
      <c r="E230" s="187"/>
      <c r="F230" s="187"/>
      <c r="G230" s="187"/>
      <c r="H230" s="187"/>
      <c r="I230" s="187"/>
      <c r="J230" s="187"/>
      <c r="K230" s="187"/>
      <c r="L230" s="187"/>
      <c r="M230" s="187"/>
      <c r="N230" s="187"/>
      <c r="O230" s="187"/>
      <c r="P230" s="187"/>
      <c r="Q230" s="187"/>
      <c r="R230" s="187"/>
      <c r="S230" s="187"/>
      <c r="T230" s="187"/>
      <c r="U230" s="187"/>
      <c r="V230" s="187"/>
      <c r="W230" s="187"/>
      <c r="X230" s="187"/>
      <c r="Y230" s="187"/>
      <c r="Z230" s="187"/>
      <c r="AA230" s="187"/>
      <c r="AB230" s="187"/>
      <c r="AC230" s="187"/>
      <c r="AD230" s="187"/>
      <c r="AE230" s="187"/>
      <c r="AF230" s="187"/>
      <c r="AG230" s="187"/>
      <c r="AH230" s="188"/>
    </row>
    <row r="231" spans="1:34" ht="14.25" thickBot="1">
      <c r="A231" s="750"/>
      <c r="B231" s="750"/>
      <c r="C231" s="751"/>
      <c r="D231" s="751"/>
      <c r="E231" s="751"/>
      <c r="F231" s="680"/>
      <c r="G231" s="680"/>
      <c r="H231" s="680"/>
      <c r="I231" s="680"/>
      <c r="J231" s="680"/>
      <c r="K231" s="680"/>
      <c r="L231" s="680"/>
      <c r="M231" s="680"/>
      <c r="N231" s="680"/>
      <c r="O231" s="680"/>
      <c r="P231" s="680"/>
      <c r="Q231" s="680"/>
      <c r="R231" s="680"/>
      <c r="S231" s="680"/>
      <c r="T231" s="680"/>
      <c r="U231" s="680"/>
      <c r="V231" s="680"/>
      <c r="W231" s="680"/>
      <c r="X231" s="680"/>
      <c r="Y231" s="680"/>
      <c r="Z231" s="680"/>
      <c r="AA231" s="680"/>
      <c r="AB231" s="680"/>
      <c r="AC231" s="680"/>
      <c r="AD231" s="680"/>
      <c r="AE231" s="680"/>
      <c r="AF231" s="680"/>
      <c r="AG231" s="680"/>
      <c r="AH231" s="749"/>
    </row>
    <row r="232" spans="1:34" ht="14.25" thickBot="1">
      <c r="A232" s="3721" t="s">
        <v>344</v>
      </c>
      <c r="B232" s="3722"/>
      <c r="C232" s="3722"/>
      <c r="D232" s="249" t="s">
        <v>364</v>
      </c>
      <c r="E232" s="251"/>
      <c r="F232" s="250"/>
      <c r="G232" s="820"/>
      <c r="H232" s="821"/>
    </row>
    <row r="233" spans="1:34" ht="13.5">
      <c r="A233" s="630" t="s">
        <v>72</v>
      </c>
      <c r="B233" s="630" t="s">
        <v>73</v>
      </c>
      <c r="C233" s="248">
        <v>1</v>
      </c>
      <c r="D233" s="248">
        <v>2</v>
      </c>
      <c r="E233" s="248">
        <v>3</v>
      </c>
      <c r="F233" s="248">
        <v>4</v>
      </c>
      <c r="G233" s="248">
        <v>5</v>
      </c>
      <c r="H233" s="248">
        <v>6</v>
      </c>
      <c r="I233" s="179">
        <v>7</v>
      </c>
      <c r="J233" s="179">
        <v>8</v>
      </c>
      <c r="K233" s="179">
        <v>9</v>
      </c>
      <c r="L233" s="179">
        <v>10</v>
      </c>
      <c r="M233" s="179">
        <v>11</v>
      </c>
      <c r="N233" s="179">
        <v>12</v>
      </c>
      <c r="O233" s="179">
        <v>13</v>
      </c>
      <c r="P233" s="179">
        <v>14</v>
      </c>
      <c r="Q233" s="179">
        <v>15</v>
      </c>
      <c r="R233" s="179">
        <v>16</v>
      </c>
      <c r="S233" s="179">
        <v>17</v>
      </c>
      <c r="T233" s="179">
        <v>18</v>
      </c>
      <c r="U233" s="179">
        <v>19</v>
      </c>
      <c r="V233" s="179">
        <v>20</v>
      </c>
      <c r="W233" s="166">
        <v>21</v>
      </c>
      <c r="X233" s="179">
        <v>22</v>
      </c>
      <c r="Y233" s="179">
        <v>23</v>
      </c>
      <c r="Z233" s="179">
        <v>24</v>
      </c>
      <c r="AA233" s="179">
        <v>25</v>
      </c>
      <c r="AB233" s="179">
        <v>26</v>
      </c>
      <c r="AC233" s="179">
        <v>27</v>
      </c>
      <c r="AD233" s="179">
        <v>28</v>
      </c>
      <c r="AE233" s="179">
        <v>29</v>
      </c>
      <c r="AF233" s="179">
        <v>30</v>
      </c>
      <c r="AG233" s="179">
        <v>31</v>
      </c>
      <c r="AH233" s="181" t="s">
        <v>52</v>
      </c>
    </row>
    <row r="234" spans="1:34" ht="13.5">
      <c r="A234" s="192" t="s">
        <v>75</v>
      </c>
      <c r="B234" s="159">
        <f t="shared" ref="B234:B245" si="29">+AH234</f>
        <v>0</v>
      </c>
      <c r="C234" s="182"/>
      <c r="D234" s="182"/>
      <c r="E234" s="182"/>
      <c r="F234" s="182"/>
      <c r="G234" s="182"/>
      <c r="H234" s="182"/>
      <c r="I234" s="182"/>
      <c r="J234" s="182"/>
      <c r="K234" s="182"/>
      <c r="L234" s="182"/>
      <c r="M234" s="182"/>
      <c r="N234" s="182"/>
      <c r="O234" s="182"/>
      <c r="P234" s="182"/>
      <c r="Q234" s="182"/>
      <c r="R234" s="182"/>
      <c r="S234" s="182"/>
      <c r="T234" s="182"/>
      <c r="U234" s="182"/>
      <c r="V234" s="182"/>
      <c r="W234" s="182"/>
      <c r="X234" s="182"/>
      <c r="Y234" s="182"/>
      <c r="Z234" s="182"/>
      <c r="AA234" s="182"/>
      <c r="AB234" s="182"/>
      <c r="AC234" s="182"/>
      <c r="AD234" s="182"/>
      <c r="AE234" s="182"/>
      <c r="AF234" s="182"/>
      <c r="AG234" s="182"/>
      <c r="AH234" s="183">
        <f>SUM(C234:AG234)</f>
        <v>0</v>
      </c>
    </row>
    <row r="235" spans="1:34" ht="13.5">
      <c r="A235" s="192" t="s">
        <v>76</v>
      </c>
      <c r="B235" s="159">
        <f t="shared" si="29"/>
        <v>0</v>
      </c>
      <c r="C235" s="182"/>
      <c r="D235" s="182"/>
      <c r="E235" s="182"/>
      <c r="F235" s="182"/>
      <c r="G235" s="182"/>
      <c r="H235" s="182"/>
      <c r="I235" s="182"/>
      <c r="J235" s="182"/>
      <c r="K235" s="182"/>
      <c r="L235" s="182"/>
      <c r="M235" s="182"/>
      <c r="N235" s="182"/>
      <c r="O235" s="182"/>
      <c r="P235" s="182"/>
      <c r="Q235" s="182"/>
      <c r="R235" s="182"/>
      <c r="S235" s="182"/>
      <c r="T235" s="182"/>
      <c r="U235" s="182"/>
      <c r="V235" s="182"/>
      <c r="W235" s="182"/>
      <c r="X235" s="182"/>
      <c r="Y235" s="182"/>
      <c r="Z235" s="182"/>
      <c r="AA235" s="182"/>
      <c r="AB235" s="182"/>
      <c r="AC235" s="182"/>
      <c r="AD235" s="182"/>
      <c r="AE235" s="182"/>
      <c r="AF235" s="182"/>
      <c r="AG235" s="182"/>
      <c r="AH235" s="183">
        <f t="shared" ref="AH235:AH245" si="30">SUM(C235:AG235)</f>
        <v>0</v>
      </c>
    </row>
    <row r="236" spans="1:34" ht="13.5">
      <c r="A236" s="192" t="s">
        <v>77</v>
      </c>
      <c r="B236" s="159">
        <f t="shared" si="29"/>
        <v>0</v>
      </c>
      <c r="C236" s="182"/>
      <c r="D236" s="182"/>
      <c r="E236" s="182"/>
      <c r="F236" s="182"/>
      <c r="G236" s="182"/>
      <c r="H236" s="182"/>
      <c r="I236" s="182"/>
      <c r="J236" s="182"/>
      <c r="K236" s="182"/>
      <c r="L236" s="182"/>
      <c r="M236" s="182"/>
      <c r="N236" s="182"/>
      <c r="O236" s="182"/>
      <c r="P236" s="182"/>
      <c r="Q236" s="182"/>
      <c r="R236" s="182"/>
      <c r="S236" s="182"/>
      <c r="T236" s="182"/>
      <c r="U236" s="182"/>
      <c r="V236" s="182"/>
      <c r="W236" s="182"/>
      <c r="X236" s="182"/>
      <c r="Y236" s="182"/>
      <c r="Z236" s="182"/>
      <c r="AA236" s="182"/>
      <c r="AB236" s="182"/>
      <c r="AC236" s="182"/>
      <c r="AD236" s="182"/>
      <c r="AE236" s="182"/>
      <c r="AF236" s="182"/>
      <c r="AG236" s="182"/>
      <c r="AH236" s="183">
        <f t="shared" si="30"/>
        <v>0</v>
      </c>
    </row>
    <row r="237" spans="1:34" ht="13.5">
      <c r="A237" s="192" t="s">
        <v>78</v>
      </c>
      <c r="B237" s="159">
        <f t="shared" si="29"/>
        <v>0</v>
      </c>
      <c r="C237" s="184"/>
      <c r="D237" s="185"/>
      <c r="E237" s="185"/>
      <c r="F237" s="185"/>
      <c r="G237" s="185"/>
      <c r="H237" s="185"/>
      <c r="I237" s="185"/>
      <c r="J237" s="185"/>
      <c r="K237" s="185"/>
      <c r="L237" s="185"/>
      <c r="M237" s="185"/>
      <c r="N237" s="185"/>
      <c r="O237" s="185"/>
      <c r="P237" s="185"/>
      <c r="Q237" s="185"/>
      <c r="R237" s="185"/>
      <c r="S237" s="185"/>
      <c r="T237" s="185"/>
      <c r="U237" s="185"/>
      <c r="V237" s="185"/>
      <c r="W237" s="185"/>
      <c r="X237" s="185"/>
      <c r="Y237" s="185"/>
      <c r="Z237" s="185"/>
      <c r="AA237" s="185"/>
      <c r="AB237" s="185"/>
      <c r="AC237" s="185"/>
      <c r="AD237" s="185"/>
      <c r="AE237" s="185"/>
      <c r="AF237" s="185"/>
      <c r="AG237" s="185"/>
      <c r="AH237" s="183">
        <f t="shared" si="30"/>
        <v>0</v>
      </c>
    </row>
    <row r="238" spans="1:34" ht="13.5">
      <c r="A238" s="192" t="s">
        <v>79</v>
      </c>
      <c r="B238" s="159">
        <f t="shared" si="29"/>
        <v>0</v>
      </c>
      <c r="C238" s="184"/>
      <c r="D238" s="185"/>
      <c r="E238" s="185"/>
      <c r="F238" s="185"/>
      <c r="G238" s="185"/>
      <c r="H238" s="185"/>
      <c r="I238" s="185"/>
      <c r="J238" s="185"/>
      <c r="K238" s="185"/>
      <c r="L238" s="185"/>
      <c r="M238" s="185"/>
      <c r="N238" s="185"/>
      <c r="O238" s="185"/>
      <c r="P238" s="185"/>
      <c r="Q238" s="185"/>
      <c r="R238" s="185"/>
      <c r="S238" s="185"/>
      <c r="T238" s="185"/>
      <c r="U238" s="185"/>
      <c r="V238" s="185"/>
      <c r="W238" s="185"/>
      <c r="X238" s="185"/>
      <c r="Y238" s="185"/>
      <c r="Z238" s="185"/>
      <c r="AA238" s="185"/>
      <c r="AB238" s="185"/>
      <c r="AC238" s="185"/>
      <c r="AD238" s="185"/>
      <c r="AE238" s="185"/>
      <c r="AF238" s="185"/>
      <c r="AG238" s="185"/>
      <c r="AH238" s="183">
        <f t="shared" si="30"/>
        <v>0</v>
      </c>
    </row>
    <row r="239" spans="1:34" ht="13.5">
      <c r="A239" s="192" t="s">
        <v>80</v>
      </c>
      <c r="B239" s="159">
        <f t="shared" si="29"/>
        <v>0</v>
      </c>
      <c r="C239" s="184"/>
      <c r="D239" s="185"/>
      <c r="E239" s="185"/>
      <c r="F239" s="185"/>
      <c r="G239" s="185"/>
      <c r="H239" s="185"/>
      <c r="I239" s="185"/>
      <c r="J239" s="185"/>
      <c r="K239" s="185"/>
      <c r="L239" s="185"/>
      <c r="M239" s="185"/>
      <c r="N239" s="185"/>
      <c r="O239" s="185"/>
      <c r="P239" s="185"/>
      <c r="Q239" s="185"/>
      <c r="R239" s="185"/>
      <c r="S239" s="185"/>
      <c r="T239" s="185"/>
      <c r="U239" s="185"/>
      <c r="V239" s="185"/>
      <c r="W239" s="185"/>
      <c r="X239" s="185"/>
      <c r="Y239" s="185"/>
      <c r="Z239" s="185"/>
      <c r="AA239" s="185"/>
      <c r="AB239" s="185"/>
      <c r="AC239" s="185"/>
      <c r="AD239" s="185"/>
      <c r="AE239" s="185"/>
      <c r="AF239" s="185"/>
      <c r="AG239" s="185"/>
      <c r="AH239" s="183">
        <f t="shared" si="30"/>
        <v>0</v>
      </c>
    </row>
    <row r="240" spans="1:34" ht="13.5">
      <c r="A240" s="192" t="s">
        <v>81</v>
      </c>
      <c r="B240" s="159">
        <f t="shared" si="29"/>
        <v>0</v>
      </c>
      <c r="C240" s="184"/>
      <c r="D240" s="185"/>
      <c r="E240" s="185"/>
      <c r="F240" s="185"/>
      <c r="G240" s="185"/>
      <c r="H240" s="185"/>
      <c r="I240" s="185"/>
      <c r="J240" s="185"/>
      <c r="K240" s="185"/>
      <c r="L240" s="185"/>
      <c r="M240" s="185"/>
      <c r="N240" s="185"/>
      <c r="O240" s="185"/>
      <c r="P240" s="185"/>
      <c r="Q240" s="185"/>
      <c r="R240" s="185"/>
      <c r="S240" s="185"/>
      <c r="T240" s="185"/>
      <c r="U240" s="185"/>
      <c r="V240" s="185"/>
      <c r="W240" s="185"/>
      <c r="X240" s="185"/>
      <c r="Y240" s="185"/>
      <c r="Z240" s="185"/>
      <c r="AA240" s="185"/>
      <c r="AB240" s="185"/>
      <c r="AC240" s="185"/>
      <c r="AD240" s="185"/>
      <c r="AE240" s="185"/>
      <c r="AF240" s="185"/>
      <c r="AG240" s="185"/>
      <c r="AH240" s="183">
        <f t="shared" si="30"/>
        <v>0</v>
      </c>
    </row>
    <row r="241" spans="1:34" ht="13.5">
      <c r="A241" s="192" t="s">
        <v>82</v>
      </c>
      <c r="B241" s="159">
        <f t="shared" si="29"/>
        <v>0</v>
      </c>
      <c r="C241" s="184"/>
      <c r="D241" s="185"/>
      <c r="E241" s="185"/>
      <c r="F241" s="185"/>
      <c r="G241" s="185"/>
      <c r="H241" s="185"/>
      <c r="I241" s="185"/>
      <c r="J241" s="185"/>
      <c r="K241" s="185"/>
      <c r="L241" s="185"/>
      <c r="M241" s="185"/>
      <c r="N241" s="185"/>
      <c r="O241" s="185"/>
      <c r="P241" s="185"/>
      <c r="Q241" s="185"/>
      <c r="R241" s="185"/>
      <c r="S241" s="185"/>
      <c r="T241" s="185"/>
      <c r="U241" s="185"/>
      <c r="V241" s="185"/>
      <c r="W241" s="185"/>
      <c r="X241" s="185"/>
      <c r="Y241" s="185"/>
      <c r="Z241" s="185"/>
      <c r="AA241" s="185"/>
      <c r="AB241" s="185"/>
      <c r="AC241" s="185"/>
      <c r="AD241" s="185"/>
      <c r="AE241" s="185"/>
      <c r="AF241" s="185"/>
      <c r="AG241" s="185"/>
      <c r="AH241" s="183">
        <f t="shared" si="30"/>
        <v>0</v>
      </c>
    </row>
    <row r="242" spans="1:34" ht="13.5">
      <c r="A242" s="192" t="s">
        <v>83</v>
      </c>
      <c r="B242" s="159">
        <f t="shared" si="29"/>
        <v>0</v>
      </c>
      <c r="C242" s="184"/>
      <c r="D242" s="185"/>
      <c r="E242" s="185"/>
      <c r="F242" s="185"/>
      <c r="G242" s="185"/>
      <c r="H242" s="185"/>
      <c r="I242" s="185"/>
      <c r="J242" s="185"/>
      <c r="K242" s="185"/>
      <c r="L242" s="185"/>
      <c r="M242" s="185"/>
      <c r="N242" s="185"/>
      <c r="O242" s="185"/>
      <c r="P242" s="185"/>
      <c r="Q242" s="185"/>
      <c r="R242" s="185"/>
      <c r="S242" s="185"/>
      <c r="T242" s="185"/>
      <c r="U242" s="185"/>
      <c r="V242" s="185"/>
      <c r="W242" s="185"/>
      <c r="X242" s="185"/>
      <c r="Y242" s="185"/>
      <c r="Z242" s="185"/>
      <c r="AA242" s="185"/>
      <c r="AB242" s="185"/>
      <c r="AC242" s="185"/>
      <c r="AD242" s="185"/>
      <c r="AE242" s="185"/>
      <c r="AF242" s="185"/>
      <c r="AG242" s="185"/>
      <c r="AH242" s="183">
        <f t="shared" si="30"/>
        <v>0</v>
      </c>
    </row>
    <row r="243" spans="1:34" ht="13.5">
      <c r="A243" s="192" t="s">
        <v>84</v>
      </c>
      <c r="B243" s="159">
        <f t="shared" si="29"/>
        <v>0</v>
      </c>
      <c r="C243" s="184"/>
      <c r="D243" s="185"/>
      <c r="E243" s="185"/>
      <c r="F243" s="185"/>
      <c r="G243" s="185"/>
      <c r="H243" s="185"/>
      <c r="I243" s="185"/>
      <c r="J243" s="185"/>
      <c r="K243" s="185"/>
      <c r="L243" s="185"/>
      <c r="M243" s="185"/>
      <c r="N243" s="185"/>
      <c r="O243" s="185"/>
      <c r="P243" s="185"/>
      <c r="Q243" s="185"/>
      <c r="R243" s="185"/>
      <c r="S243" s="185"/>
      <c r="T243" s="185"/>
      <c r="U243" s="185"/>
      <c r="V243" s="185"/>
      <c r="W243" s="185"/>
      <c r="X243" s="185"/>
      <c r="Y243" s="185"/>
      <c r="Z243" s="185"/>
      <c r="AA243" s="185"/>
      <c r="AB243" s="185"/>
      <c r="AC243" s="185"/>
      <c r="AD243" s="185"/>
      <c r="AE243" s="185"/>
      <c r="AF243" s="185"/>
      <c r="AG243" s="185"/>
      <c r="AH243" s="183">
        <f t="shared" si="30"/>
        <v>0</v>
      </c>
    </row>
    <row r="244" spans="1:34" ht="13.5">
      <c r="A244" s="179" t="s">
        <v>85</v>
      </c>
      <c r="B244" s="159">
        <f t="shared" si="29"/>
        <v>0</v>
      </c>
      <c r="C244" s="184"/>
      <c r="D244" s="185"/>
      <c r="E244" s="185"/>
      <c r="F244" s="185"/>
      <c r="G244" s="185"/>
      <c r="H244" s="185"/>
      <c r="I244" s="185"/>
      <c r="J244" s="185"/>
      <c r="K244" s="185"/>
      <c r="L244" s="185"/>
      <c r="M244" s="185"/>
      <c r="N244" s="185"/>
      <c r="O244" s="185"/>
      <c r="P244" s="185"/>
      <c r="Q244" s="185"/>
      <c r="R244" s="185"/>
      <c r="S244" s="185"/>
      <c r="T244" s="185"/>
      <c r="U244" s="185"/>
      <c r="V244" s="185"/>
      <c r="W244" s="185"/>
      <c r="X244" s="185"/>
      <c r="Y244" s="185"/>
      <c r="Z244" s="185"/>
      <c r="AA244" s="185"/>
      <c r="AB244" s="185"/>
      <c r="AC244" s="185"/>
      <c r="AD244" s="185"/>
      <c r="AE244" s="185"/>
      <c r="AF244" s="185"/>
      <c r="AG244" s="185"/>
      <c r="AH244" s="183">
        <f t="shared" si="30"/>
        <v>0</v>
      </c>
    </row>
    <row r="245" spans="1:34" ht="13.5">
      <c r="A245" s="179" t="s">
        <v>86</v>
      </c>
      <c r="B245" s="159">
        <f t="shared" si="29"/>
        <v>0</v>
      </c>
      <c r="C245" s="184"/>
      <c r="D245" s="185"/>
      <c r="E245" s="185"/>
      <c r="F245" s="185"/>
      <c r="G245" s="185"/>
      <c r="H245" s="185"/>
      <c r="I245" s="185"/>
      <c r="J245" s="185"/>
      <c r="K245" s="185"/>
      <c r="L245" s="185"/>
      <c r="M245" s="185"/>
      <c r="N245" s="185"/>
      <c r="O245" s="185"/>
      <c r="P245" s="185"/>
      <c r="Q245" s="185"/>
      <c r="R245" s="185"/>
      <c r="S245" s="185"/>
      <c r="T245" s="185"/>
      <c r="U245" s="185"/>
      <c r="V245" s="185"/>
      <c r="W245" s="185"/>
      <c r="X245" s="185"/>
      <c r="Y245" s="185"/>
      <c r="Z245" s="185"/>
      <c r="AA245" s="185"/>
      <c r="AB245" s="185"/>
      <c r="AC245" s="185"/>
      <c r="AD245" s="185"/>
      <c r="AE245" s="185"/>
      <c r="AF245" s="185"/>
      <c r="AG245" s="185"/>
      <c r="AH245" s="183">
        <f t="shared" si="30"/>
        <v>0</v>
      </c>
    </row>
    <row r="246" spans="1:34" ht="13.5">
      <c r="A246" s="186" t="s">
        <v>52</v>
      </c>
      <c r="B246" s="838">
        <f>SUM(B234:B245)</f>
        <v>0</v>
      </c>
      <c r="C246" s="187"/>
      <c r="D246" s="187"/>
      <c r="E246" s="187"/>
      <c r="F246" s="187"/>
      <c r="G246" s="187"/>
      <c r="H246" s="187"/>
      <c r="I246" s="187"/>
      <c r="J246" s="187"/>
      <c r="K246" s="187"/>
      <c r="L246" s="187"/>
      <c r="M246" s="187"/>
      <c r="N246" s="187"/>
      <c r="O246" s="187"/>
      <c r="P246" s="187"/>
      <c r="Q246" s="187"/>
      <c r="R246" s="187"/>
      <c r="S246" s="187"/>
      <c r="T246" s="187"/>
      <c r="U246" s="187"/>
      <c r="V246" s="187"/>
      <c r="W246" s="187"/>
      <c r="X246" s="187"/>
      <c r="Y246" s="187"/>
      <c r="Z246" s="187"/>
      <c r="AA246" s="187"/>
      <c r="AB246" s="187"/>
      <c r="AC246" s="187"/>
      <c r="AD246" s="187"/>
      <c r="AE246" s="187"/>
      <c r="AF246" s="187"/>
      <c r="AG246" s="187"/>
      <c r="AH246" s="188"/>
    </row>
    <row r="247" spans="1:34" ht="14.25" thickBot="1">
      <c r="A247" s="750"/>
      <c r="B247" s="750"/>
      <c r="C247" s="680"/>
      <c r="D247" s="680"/>
      <c r="E247" s="680"/>
      <c r="F247" s="680"/>
      <c r="G247" s="680"/>
      <c r="H247" s="680"/>
      <c r="I247" s="680"/>
      <c r="J247" s="680"/>
      <c r="K247" s="680"/>
      <c r="L247" s="680"/>
      <c r="M247" s="680"/>
      <c r="N247" s="680"/>
      <c r="O247" s="680"/>
      <c r="P247" s="680"/>
      <c r="Q247" s="680"/>
      <c r="R247" s="680"/>
      <c r="S247" s="680"/>
      <c r="T247" s="680"/>
      <c r="U247" s="680"/>
      <c r="V247" s="680"/>
      <c r="W247" s="680"/>
      <c r="X247" s="680"/>
      <c r="Y247" s="680"/>
      <c r="Z247" s="680"/>
      <c r="AA247" s="680"/>
      <c r="AB247" s="680"/>
      <c r="AC247" s="680"/>
      <c r="AD247" s="680"/>
      <c r="AE247" s="680"/>
      <c r="AF247" s="680"/>
      <c r="AG247" s="680"/>
      <c r="AH247" s="749"/>
    </row>
    <row r="248" spans="1:34" ht="14.25" thickBot="1">
      <c r="A248" s="3605" t="s">
        <v>344</v>
      </c>
      <c r="B248" s="3606"/>
      <c r="C248" s="3606"/>
      <c r="D248" s="249" t="s">
        <v>355</v>
      </c>
      <c r="E248" s="251"/>
      <c r="F248" s="250"/>
      <c r="G248" s="821"/>
    </row>
    <row r="249" spans="1:34" ht="13.5">
      <c r="A249" s="178" t="s">
        <v>72</v>
      </c>
      <c r="B249" s="178" t="s">
        <v>73</v>
      </c>
      <c r="C249" s="179">
        <v>1</v>
      </c>
      <c r="D249" s="248">
        <v>2</v>
      </c>
      <c r="E249" s="248">
        <v>3</v>
      </c>
      <c r="F249" s="248">
        <v>4</v>
      </c>
      <c r="G249" s="248">
        <v>5</v>
      </c>
      <c r="H249" s="179">
        <v>6</v>
      </c>
      <c r="I249" s="179">
        <v>7</v>
      </c>
      <c r="J249" s="179">
        <v>8</v>
      </c>
      <c r="K249" s="179">
        <v>9</v>
      </c>
      <c r="L249" s="179">
        <v>10</v>
      </c>
      <c r="M249" s="179">
        <v>11</v>
      </c>
      <c r="N249" s="179">
        <v>12</v>
      </c>
      <c r="O249" s="179">
        <v>13</v>
      </c>
      <c r="P249" s="179">
        <v>14</v>
      </c>
      <c r="Q249" s="179">
        <v>15</v>
      </c>
      <c r="R249" s="179">
        <v>16</v>
      </c>
      <c r="S249" s="179">
        <v>17</v>
      </c>
      <c r="T249" s="179">
        <v>18</v>
      </c>
      <c r="U249" s="179">
        <v>19</v>
      </c>
      <c r="V249" s="179">
        <v>20</v>
      </c>
      <c r="W249" s="166">
        <v>21</v>
      </c>
      <c r="X249" s="179">
        <v>22</v>
      </c>
      <c r="Y249" s="179">
        <v>23</v>
      </c>
      <c r="Z249" s="179">
        <v>24</v>
      </c>
      <c r="AA249" s="179">
        <v>25</v>
      </c>
      <c r="AB249" s="179">
        <v>26</v>
      </c>
      <c r="AC249" s="179">
        <v>27</v>
      </c>
      <c r="AD249" s="179">
        <v>28</v>
      </c>
      <c r="AE249" s="179">
        <v>29</v>
      </c>
      <c r="AF249" s="179">
        <v>30</v>
      </c>
      <c r="AG249" s="179">
        <v>31</v>
      </c>
      <c r="AH249" s="181" t="s">
        <v>52</v>
      </c>
    </row>
    <row r="250" spans="1:34" ht="13.5">
      <c r="A250" s="192" t="s">
        <v>75</v>
      </c>
      <c r="B250" s="159">
        <f t="shared" ref="B250:B261" si="31">+AH250</f>
        <v>0</v>
      </c>
      <c r="C250" s="182"/>
      <c r="D250" s="182"/>
      <c r="E250" s="182"/>
      <c r="F250" s="182"/>
      <c r="G250" s="182"/>
      <c r="H250" s="182"/>
      <c r="I250" s="182"/>
      <c r="J250" s="182"/>
      <c r="K250" s="182"/>
      <c r="L250" s="182"/>
      <c r="M250" s="182"/>
      <c r="N250" s="182"/>
      <c r="O250" s="182"/>
      <c r="P250" s="182"/>
      <c r="Q250" s="182"/>
      <c r="R250" s="182"/>
      <c r="S250" s="182"/>
      <c r="T250" s="182"/>
      <c r="U250" s="182"/>
      <c r="V250" s="182"/>
      <c r="W250" s="182"/>
      <c r="X250" s="182"/>
      <c r="Y250" s="182"/>
      <c r="Z250" s="182"/>
      <c r="AA250" s="182"/>
      <c r="AB250" s="182"/>
      <c r="AC250" s="182"/>
      <c r="AD250" s="182"/>
      <c r="AE250" s="182"/>
      <c r="AF250" s="182"/>
      <c r="AG250" s="182"/>
      <c r="AH250" s="183">
        <f>SUM(C250:AG250)</f>
        <v>0</v>
      </c>
    </row>
    <row r="251" spans="1:34" ht="13.5">
      <c r="A251" s="192" t="s">
        <v>76</v>
      </c>
      <c r="B251" s="159">
        <f t="shared" si="31"/>
        <v>0</v>
      </c>
      <c r="C251" s="182"/>
      <c r="D251" s="182"/>
      <c r="E251" s="182"/>
      <c r="F251" s="182"/>
      <c r="G251" s="182"/>
      <c r="H251" s="182"/>
      <c r="I251" s="182"/>
      <c r="J251" s="182"/>
      <c r="K251" s="182"/>
      <c r="L251" s="182"/>
      <c r="M251" s="182"/>
      <c r="N251" s="182"/>
      <c r="O251" s="182"/>
      <c r="P251" s="182"/>
      <c r="Q251" s="182"/>
      <c r="R251" s="182"/>
      <c r="S251" s="182"/>
      <c r="T251" s="182"/>
      <c r="U251" s="182"/>
      <c r="V251" s="182"/>
      <c r="W251" s="182"/>
      <c r="X251" s="182"/>
      <c r="Y251" s="182"/>
      <c r="Z251" s="182"/>
      <c r="AA251" s="182"/>
      <c r="AB251" s="182"/>
      <c r="AC251" s="182"/>
      <c r="AD251" s="182"/>
      <c r="AE251" s="182"/>
      <c r="AF251" s="182"/>
      <c r="AG251" s="182"/>
      <c r="AH251" s="183">
        <f>SUM(C251:AG251)</f>
        <v>0</v>
      </c>
    </row>
    <row r="252" spans="1:34" ht="13.5">
      <c r="A252" s="192" t="s">
        <v>77</v>
      </c>
      <c r="B252" s="159">
        <f t="shared" si="31"/>
        <v>0</v>
      </c>
      <c r="C252" s="182"/>
      <c r="D252" s="182"/>
      <c r="E252" s="182"/>
      <c r="F252" s="182"/>
      <c r="G252" s="182"/>
      <c r="H252" s="182"/>
      <c r="I252" s="182"/>
      <c r="J252" s="182"/>
      <c r="K252" s="182"/>
      <c r="L252" s="182"/>
      <c r="M252" s="182"/>
      <c r="N252" s="182"/>
      <c r="O252" s="182"/>
      <c r="P252" s="182"/>
      <c r="Q252" s="182"/>
      <c r="R252" s="182"/>
      <c r="S252" s="182"/>
      <c r="T252" s="182"/>
      <c r="U252" s="182"/>
      <c r="V252" s="182"/>
      <c r="W252" s="182"/>
      <c r="X252" s="182"/>
      <c r="Y252" s="182"/>
      <c r="Z252" s="182"/>
      <c r="AA252" s="182"/>
      <c r="AB252" s="182"/>
      <c r="AC252" s="182"/>
      <c r="AD252" s="182"/>
      <c r="AE252" s="182"/>
      <c r="AF252" s="182"/>
      <c r="AG252" s="182"/>
      <c r="AH252" s="183">
        <f>SUM(C252:AG252)</f>
        <v>0</v>
      </c>
    </row>
    <row r="253" spans="1:34" ht="13.5">
      <c r="A253" s="192" t="s">
        <v>78</v>
      </c>
      <c r="B253" s="159">
        <f t="shared" si="31"/>
        <v>0</v>
      </c>
      <c r="C253" s="184"/>
      <c r="D253" s="185"/>
      <c r="E253" s="185"/>
      <c r="F253" s="185"/>
      <c r="G253" s="185"/>
      <c r="H253" s="185"/>
      <c r="I253" s="185"/>
      <c r="J253" s="185"/>
      <c r="K253" s="185"/>
      <c r="L253" s="185"/>
      <c r="M253" s="185"/>
      <c r="N253" s="185"/>
      <c r="O253" s="185"/>
      <c r="P253" s="185"/>
      <c r="Q253" s="185"/>
      <c r="R253" s="185"/>
      <c r="S253" s="185"/>
      <c r="T253" s="185"/>
      <c r="U253" s="185"/>
      <c r="V253" s="185"/>
      <c r="W253" s="185"/>
      <c r="X253" s="185"/>
      <c r="Y253" s="185"/>
      <c r="Z253" s="185"/>
      <c r="AA253" s="185"/>
      <c r="AB253" s="185"/>
      <c r="AC253" s="185"/>
      <c r="AD253" s="185"/>
      <c r="AE253" s="185"/>
      <c r="AF253" s="185"/>
      <c r="AG253" s="185"/>
      <c r="AH253" s="183">
        <f>SUM(C253:AG253)</f>
        <v>0</v>
      </c>
    </row>
    <row r="254" spans="1:34" ht="13.5">
      <c r="A254" s="192" t="s">
        <v>79</v>
      </c>
      <c r="B254" s="159">
        <f t="shared" si="31"/>
        <v>0</v>
      </c>
      <c r="C254" s="184"/>
      <c r="D254" s="185"/>
      <c r="E254" s="185"/>
      <c r="F254" s="185"/>
      <c r="G254" s="185"/>
      <c r="H254" s="185"/>
      <c r="I254" s="185"/>
      <c r="J254" s="185"/>
      <c r="K254" s="185"/>
      <c r="L254" s="185"/>
      <c r="M254" s="185"/>
      <c r="N254" s="185"/>
      <c r="O254" s="185"/>
      <c r="P254" s="185"/>
      <c r="Q254" s="185"/>
      <c r="R254" s="185"/>
      <c r="S254" s="185"/>
      <c r="T254" s="185"/>
      <c r="U254" s="185"/>
      <c r="V254" s="185"/>
      <c r="W254" s="185"/>
      <c r="X254" s="185"/>
      <c r="Y254" s="185"/>
      <c r="Z254" s="185"/>
      <c r="AA254" s="185"/>
      <c r="AB254" s="185"/>
      <c r="AC254" s="185"/>
      <c r="AD254" s="185"/>
      <c r="AE254" s="185"/>
      <c r="AF254" s="185"/>
      <c r="AG254" s="185"/>
      <c r="AH254" s="183">
        <f t="shared" ref="AH254:AH261" si="32">SUM(C254:AG254)</f>
        <v>0</v>
      </c>
    </row>
    <row r="255" spans="1:34" ht="13.5">
      <c r="A255" s="192" t="s">
        <v>80</v>
      </c>
      <c r="B255" s="159">
        <f t="shared" si="31"/>
        <v>0</v>
      </c>
      <c r="C255" s="184"/>
      <c r="D255" s="185"/>
      <c r="E255" s="185"/>
      <c r="F255" s="185"/>
      <c r="G255" s="185"/>
      <c r="H255" s="185"/>
      <c r="I255" s="185"/>
      <c r="J255" s="185"/>
      <c r="K255" s="185"/>
      <c r="L255" s="185"/>
      <c r="M255" s="185"/>
      <c r="N255" s="185"/>
      <c r="O255" s="185"/>
      <c r="P255" s="185"/>
      <c r="Q255" s="185"/>
      <c r="R255" s="185"/>
      <c r="S255" s="185"/>
      <c r="T255" s="185"/>
      <c r="U255" s="185"/>
      <c r="V255" s="185"/>
      <c r="W255" s="185"/>
      <c r="X255" s="185"/>
      <c r="Y255" s="185"/>
      <c r="Z255" s="185"/>
      <c r="AA255" s="185"/>
      <c r="AB255" s="185"/>
      <c r="AC255" s="185"/>
      <c r="AD255" s="185"/>
      <c r="AE255" s="185"/>
      <c r="AF255" s="185"/>
      <c r="AG255" s="185"/>
      <c r="AH255" s="183">
        <f t="shared" si="32"/>
        <v>0</v>
      </c>
    </row>
    <row r="256" spans="1:34" ht="13.5">
      <c r="A256" s="192" t="s">
        <v>81</v>
      </c>
      <c r="B256" s="159">
        <f t="shared" si="31"/>
        <v>0</v>
      </c>
      <c r="C256" s="184"/>
      <c r="D256" s="185"/>
      <c r="E256" s="185"/>
      <c r="F256" s="185"/>
      <c r="G256" s="185"/>
      <c r="H256" s="185"/>
      <c r="I256" s="185"/>
      <c r="J256" s="185"/>
      <c r="K256" s="185"/>
      <c r="L256" s="185"/>
      <c r="M256" s="185"/>
      <c r="N256" s="185"/>
      <c r="O256" s="185"/>
      <c r="P256" s="185"/>
      <c r="Q256" s="185"/>
      <c r="R256" s="185"/>
      <c r="S256" s="185"/>
      <c r="T256" s="185"/>
      <c r="U256" s="185"/>
      <c r="V256" s="185"/>
      <c r="W256" s="185"/>
      <c r="X256" s="185"/>
      <c r="Y256" s="185"/>
      <c r="Z256" s="185"/>
      <c r="AA256" s="185"/>
      <c r="AB256" s="185"/>
      <c r="AC256" s="185"/>
      <c r="AD256" s="185"/>
      <c r="AE256" s="185"/>
      <c r="AF256" s="185"/>
      <c r="AG256" s="185"/>
      <c r="AH256" s="183">
        <f t="shared" si="32"/>
        <v>0</v>
      </c>
    </row>
    <row r="257" spans="1:34" ht="13.5">
      <c r="A257" s="192" t="s">
        <v>82</v>
      </c>
      <c r="B257" s="159">
        <f t="shared" si="31"/>
        <v>0</v>
      </c>
      <c r="C257" s="184"/>
      <c r="D257" s="185"/>
      <c r="E257" s="185"/>
      <c r="F257" s="185"/>
      <c r="G257" s="185"/>
      <c r="H257" s="185"/>
      <c r="I257" s="185"/>
      <c r="J257" s="185"/>
      <c r="K257" s="185"/>
      <c r="L257" s="185"/>
      <c r="M257" s="185"/>
      <c r="N257" s="185"/>
      <c r="O257" s="185"/>
      <c r="P257" s="185"/>
      <c r="Q257" s="185"/>
      <c r="R257" s="185"/>
      <c r="S257" s="185"/>
      <c r="T257" s="185"/>
      <c r="U257" s="185"/>
      <c r="V257" s="185"/>
      <c r="W257" s="185"/>
      <c r="X257" s="185"/>
      <c r="Y257" s="185"/>
      <c r="Z257" s="185"/>
      <c r="AA257" s="185"/>
      <c r="AB257" s="185"/>
      <c r="AC257" s="185"/>
      <c r="AD257" s="185"/>
      <c r="AE257" s="185"/>
      <c r="AF257" s="185"/>
      <c r="AG257" s="185"/>
      <c r="AH257" s="183">
        <f t="shared" si="32"/>
        <v>0</v>
      </c>
    </row>
    <row r="258" spans="1:34" ht="13.5">
      <c r="A258" s="192" t="s">
        <v>83</v>
      </c>
      <c r="B258" s="159">
        <f t="shared" si="31"/>
        <v>0</v>
      </c>
      <c r="C258" s="184"/>
      <c r="D258" s="185"/>
      <c r="E258" s="185"/>
      <c r="F258" s="185"/>
      <c r="G258" s="185"/>
      <c r="H258" s="185"/>
      <c r="I258" s="185"/>
      <c r="J258" s="185"/>
      <c r="K258" s="185"/>
      <c r="L258" s="185"/>
      <c r="M258" s="185"/>
      <c r="N258" s="185"/>
      <c r="O258" s="185"/>
      <c r="P258" s="185"/>
      <c r="Q258" s="185"/>
      <c r="R258" s="185"/>
      <c r="S258" s="185"/>
      <c r="T258" s="185"/>
      <c r="U258" s="185"/>
      <c r="V258" s="185"/>
      <c r="W258" s="185"/>
      <c r="X258" s="185"/>
      <c r="Y258" s="185"/>
      <c r="Z258" s="185"/>
      <c r="AA258" s="185"/>
      <c r="AB258" s="185"/>
      <c r="AC258" s="185"/>
      <c r="AD258" s="185"/>
      <c r="AE258" s="185"/>
      <c r="AF258" s="185"/>
      <c r="AG258" s="185"/>
      <c r="AH258" s="183">
        <f t="shared" si="32"/>
        <v>0</v>
      </c>
    </row>
    <row r="259" spans="1:34" ht="13.5">
      <c r="A259" s="192" t="s">
        <v>84</v>
      </c>
      <c r="B259" s="159">
        <f t="shared" si="31"/>
        <v>0</v>
      </c>
      <c r="C259" s="184"/>
      <c r="D259" s="185"/>
      <c r="E259" s="185"/>
      <c r="F259" s="185"/>
      <c r="G259" s="185"/>
      <c r="H259" s="185"/>
      <c r="I259" s="185"/>
      <c r="J259" s="185"/>
      <c r="K259" s="185"/>
      <c r="L259" s="185"/>
      <c r="M259" s="185"/>
      <c r="N259" s="185"/>
      <c r="O259" s="185"/>
      <c r="P259" s="185"/>
      <c r="Q259" s="185"/>
      <c r="R259" s="185"/>
      <c r="S259" s="185"/>
      <c r="T259" s="185"/>
      <c r="U259" s="185"/>
      <c r="V259" s="185"/>
      <c r="W259" s="185"/>
      <c r="X259" s="185"/>
      <c r="Y259" s="185"/>
      <c r="Z259" s="185"/>
      <c r="AA259" s="185"/>
      <c r="AB259" s="185"/>
      <c r="AC259" s="185"/>
      <c r="AD259" s="185"/>
      <c r="AE259" s="185"/>
      <c r="AF259" s="185"/>
      <c r="AG259" s="185"/>
      <c r="AH259" s="183">
        <f t="shared" si="32"/>
        <v>0</v>
      </c>
    </row>
    <row r="260" spans="1:34" ht="13.5">
      <c r="A260" s="179" t="s">
        <v>85</v>
      </c>
      <c r="B260" s="159">
        <f t="shared" si="31"/>
        <v>0</v>
      </c>
      <c r="C260" s="184"/>
      <c r="D260" s="185"/>
      <c r="E260" s="185"/>
      <c r="F260" s="185"/>
      <c r="G260" s="185"/>
      <c r="H260" s="185"/>
      <c r="I260" s="185"/>
      <c r="J260" s="185"/>
      <c r="K260" s="185"/>
      <c r="L260" s="185"/>
      <c r="M260" s="185"/>
      <c r="N260" s="185"/>
      <c r="O260" s="185"/>
      <c r="P260" s="185"/>
      <c r="Q260" s="185"/>
      <c r="R260" s="185"/>
      <c r="S260" s="185"/>
      <c r="T260" s="185"/>
      <c r="U260" s="185"/>
      <c r="V260" s="185"/>
      <c r="W260" s="185"/>
      <c r="X260" s="185"/>
      <c r="Y260" s="185"/>
      <c r="Z260" s="185"/>
      <c r="AA260" s="185"/>
      <c r="AB260" s="185"/>
      <c r="AC260" s="185"/>
      <c r="AD260" s="185"/>
      <c r="AE260" s="185"/>
      <c r="AF260" s="185"/>
      <c r="AG260" s="185"/>
      <c r="AH260" s="183">
        <f t="shared" si="32"/>
        <v>0</v>
      </c>
    </row>
    <row r="261" spans="1:34" ht="13.5">
      <c r="A261" s="179" t="s">
        <v>86</v>
      </c>
      <c r="B261" s="159">
        <f t="shared" si="31"/>
        <v>0</v>
      </c>
      <c r="C261" s="184"/>
      <c r="D261" s="185"/>
      <c r="E261" s="185"/>
      <c r="F261" s="185"/>
      <c r="G261" s="185"/>
      <c r="H261" s="185"/>
      <c r="I261" s="185"/>
      <c r="J261" s="185"/>
      <c r="K261" s="185"/>
      <c r="L261" s="185"/>
      <c r="M261" s="185"/>
      <c r="N261" s="185"/>
      <c r="O261" s="185"/>
      <c r="P261" s="185"/>
      <c r="Q261" s="185"/>
      <c r="R261" s="185"/>
      <c r="S261" s="185"/>
      <c r="T261" s="185"/>
      <c r="U261" s="185"/>
      <c r="V261" s="185"/>
      <c r="W261" s="185"/>
      <c r="X261" s="185"/>
      <c r="Y261" s="185"/>
      <c r="Z261" s="185"/>
      <c r="AA261" s="185"/>
      <c r="AB261" s="185"/>
      <c r="AC261" s="185"/>
      <c r="AD261" s="185"/>
      <c r="AE261" s="185"/>
      <c r="AF261" s="185"/>
      <c r="AG261" s="185"/>
      <c r="AH261" s="183">
        <f t="shared" si="32"/>
        <v>0</v>
      </c>
    </row>
    <row r="262" spans="1:34" ht="13.5">
      <c r="A262" s="186" t="s">
        <v>52</v>
      </c>
      <c r="B262" s="186">
        <f>SUM(B250:B261)</f>
        <v>0</v>
      </c>
      <c r="C262" s="187"/>
      <c r="D262" s="187"/>
      <c r="E262" s="187"/>
      <c r="F262" s="187"/>
      <c r="G262" s="187"/>
      <c r="H262" s="187"/>
      <c r="I262" s="187"/>
      <c r="J262" s="187"/>
      <c r="K262" s="187"/>
      <c r="L262" s="187"/>
      <c r="M262" s="187"/>
      <c r="N262" s="187"/>
      <c r="O262" s="187"/>
      <c r="P262" s="187"/>
      <c r="Q262" s="187"/>
      <c r="R262" s="187"/>
      <c r="S262" s="187"/>
      <c r="T262" s="187"/>
      <c r="U262" s="187"/>
      <c r="V262" s="187"/>
      <c r="W262" s="187"/>
      <c r="X262" s="187"/>
      <c r="Y262" s="187"/>
      <c r="Z262" s="187"/>
      <c r="AA262" s="187"/>
      <c r="AB262" s="187"/>
      <c r="AC262" s="187"/>
      <c r="AD262" s="187"/>
      <c r="AE262" s="187"/>
      <c r="AF262" s="187"/>
      <c r="AG262" s="187"/>
      <c r="AH262" s="188">
        <f>SUM(AH250:AH261)</f>
        <v>0</v>
      </c>
    </row>
    <row r="263" spans="1:34" ht="14.25" thickBot="1">
      <c r="A263" s="750"/>
      <c r="B263" s="750"/>
      <c r="C263" s="751"/>
      <c r="D263" s="680"/>
      <c r="E263" s="680"/>
      <c r="F263" s="680"/>
      <c r="G263" s="680"/>
      <c r="H263" s="680"/>
      <c r="I263" s="680"/>
      <c r="J263" s="680"/>
      <c r="K263" s="680"/>
      <c r="L263" s="680"/>
      <c r="M263" s="680"/>
      <c r="N263" s="680"/>
      <c r="O263" s="680"/>
      <c r="P263" s="680"/>
      <c r="Q263" s="680"/>
      <c r="R263" s="680"/>
      <c r="S263" s="680"/>
      <c r="T263" s="680"/>
      <c r="U263" s="680"/>
      <c r="V263" s="680"/>
      <c r="W263" s="680"/>
      <c r="X263" s="680"/>
      <c r="Y263" s="680"/>
      <c r="Z263" s="680"/>
      <c r="AA263" s="680"/>
      <c r="AB263" s="680"/>
      <c r="AC263" s="680"/>
      <c r="AD263" s="680"/>
      <c r="AE263" s="680"/>
      <c r="AF263" s="680"/>
      <c r="AG263" s="680"/>
      <c r="AH263" s="749"/>
    </row>
    <row r="264" spans="1:34" ht="14.25" thickBot="1">
      <c r="A264" s="3605" t="s">
        <v>344</v>
      </c>
      <c r="B264" s="3606"/>
      <c r="C264" s="3606"/>
      <c r="D264" s="249" t="s">
        <v>437</v>
      </c>
      <c r="E264" s="251"/>
      <c r="F264" s="250"/>
      <c r="G264" s="821"/>
    </row>
    <row r="265" spans="1:34" ht="13.5">
      <c r="A265" s="178" t="s">
        <v>72</v>
      </c>
      <c r="B265" s="178" t="s">
        <v>73</v>
      </c>
      <c r="C265" s="179">
        <v>1</v>
      </c>
      <c r="D265" s="248">
        <v>2</v>
      </c>
      <c r="E265" s="248">
        <v>3</v>
      </c>
      <c r="F265" s="248">
        <v>4</v>
      </c>
      <c r="G265" s="248">
        <v>5</v>
      </c>
      <c r="H265" s="179">
        <v>6</v>
      </c>
      <c r="I265" s="179">
        <v>7</v>
      </c>
      <c r="J265" s="179">
        <v>8</v>
      </c>
      <c r="K265" s="179">
        <v>9</v>
      </c>
      <c r="L265" s="179">
        <v>10</v>
      </c>
      <c r="M265" s="179">
        <v>11</v>
      </c>
      <c r="N265" s="179">
        <v>12</v>
      </c>
      <c r="O265" s="179">
        <v>13</v>
      </c>
      <c r="P265" s="179">
        <v>14</v>
      </c>
      <c r="Q265" s="179">
        <v>15</v>
      </c>
      <c r="R265" s="179">
        <v>16</v>
      </c>
      <c r="S265" s="179">
        <v>17</v>
      </c>
      <c r="T265" s="179">
        <v>18</v>
      </c>
      <c r="U265" s="179">
        <v>19</v>
      </c>
      <c r="V265" s="179">
        <v>20</v>
      </c>
      <c r="W265" s="166">
        <v>21</v>
      </c>
      <c r="X265" s="179">
        <v>22</v>
      </c>
      <c r="Y265" s="179">
        <v>23</v>
      </c>
      <c r="Z265" s="179">
        <v>24</v>
      </c>
      <c r="AA265" s="179">
        <v>25</v>
      </c>
      <c r="AB265" s="179">
        <v>26</v>
      </c>
      <c r="AC265" s="179">
        <v>27</v>
      </c>
      <c r="AD265" s="179">
        <v>28</v>
      </c>
      <c r="AE265" s="179">
        <v>29</v>
      </c>
      <c r="AF265" s="179">
        <v>30</v>
      </c>
      <c r="AG265" s="179">
        <v>31</v>
      </c>
      <c r="AH265" s="181" t="s">
        <v>52</v>
      </c>
    </row>
    <row r="266" spans="1:34" ht="13.5">
      <c r="A266" s="192" t="s">
        <v>75</v>
      </c>
      <c r="B266" s="159">
        <f t="shared" ref="B266:B277" si="33">+AH266</f>
        <v>0</v>
      </c>
      <c r="C266" s="182"/>
      <c r="D266" s="182"/>
      <c r="E266" s="182"/>
      <c r="F266" s="182"/>
      <c r="G266" s="182"/>
      <c r="H266" s="182"/>
      <c r="I266" s="182"/>
      <c r="J266" s="182"/>
      <c r="K266" s="182"/>
      <c r="L266" s="182"/>
      <c r="M266" s="182"/>
      <c r="N266" s="182"/>
      <c r="O266" s="182"/>
      <c r="P266" s="182"/>
      <c r="Q266" s="182"/>
      <c r="R266" s="182"/>
      <c r="S266" s="182"/>
      <c r="T266" s="182"/>
      <c r="U266" s="182"/>
      <c r="V266" s="182"/>
      <c r="W266" s="182"/>
      <c r="X266" s="182"/>
      <c r="Y266" s="182"/>
      <c r="Z266" s="182"/>
      <c r="AA266" s="182"/>
      <c r="AB266" s="182"/>
      <c r="AC266" s="182"/>
      <c r="AD266" s="182"/>
      <c r="AE266" s="182"/>
      <c r="AF266" s="182"/>
      <c r="AG266" s="182"/>
      <c r="AH266" s="183">
        <f>SUM(C266:AG266)</f>
        <v>0</v>
      </c>
    </row>
    <row r="267" spans="1:34" ht="13.5">
      <c r="A267" s="192" t="s">
        <v>76</v>
      </c>
      <c r="B267" s="159">
        <f t="shared" si="33"/>
        <v>0</v>
      </c>
      <c r="C267" s="182"/>
      <c r="D267" s="182"/>
      <c r="E267" s="182"/>
      <c r="F267" s="182"/>
      <c r="G267" s="182"/>
      <c r="H267" s="182"/>
      <c r="I267" s="182"/>
      <c r="J267" s="182"/>
      <c r="K267" s="182"/>
      <c r="L267" s="182"/>
      <c r="M267" s="182"/>
      <c r="N267" s="182"/>
      <c r="O267" s="182"/>
      <c r="P267" s="182"/>
      <c r="Q267" s="182"/>
      <c r="R267" s="182"/>
      <c r="S267" s="182"/>
      <c r="T267" s="182"/>
      <c r="U267" s="182"/>
      <c r="V267" s="182"/>
      <c r="W267" s="182"/>
      <c r="X267" s="182"/>
      <c r="Y267" s="182"/>
      <c r="Z267" s="182"/>
      <c r="AA267" s="182"/>
      <c r="AB267" s="182"/>
      <c r="AC267" s="182"/>
      <c r="AD267" s="182"/>
      <c r="AE267" s="182"/>
      <c r="AF267" s="182"/>
      <c r="AG267" s="182"/>
      <c r="AH267" s="183">
        <f>SUM(C267:AG267)</f>
        <v>0</v>
      </c>
    </row>
    <row r="268" spans="1:34" ht="13.5">
      <c r="A268" s="192" t="s">
        <v>77</v>
      </c>
      <c r="B268" s="159">
        <f t="shared" si="33"/>
        <v>0</v>
      </c>
      <c r="C268" s="182"/>
      <c r="D268" s="182"/>
      <c r="E268" s="182"/>
      <c r="F268" s="182"/>
      <c r="G268" s="182"/>
      <c r="H268" s="182"/>
      <c r="I268" s="182"/>
      <c r="J268" s="182"/>
      <c r="K268" s="182"/>
      <c r="L268" s="182"/>
      <c r="M268" s="182"/>
      <c r="N268" s="182"/>
      <c r="O268" s="182"/>
      <c r="P268" s="182"/>
      <c r="Q268" s="182"/>
      <c r="R268" s="182"/>
      <c r="S268" s="182"/>
      <c r="T268" s="182"/>
      <c r="U268" s="182"/>
      <c r="V268" s="182"/>
      <c r="W268" s="182"/>
      <c r="X268" s="182"/>
      <c r="Y268" s="182"/>
      <c r="Z268" s="182"/>
      <c r="AA268" s="182"/>
      <c r="AB268" s="182"/>
      <c r="AC268" s="182"/>
      <c r="AD268" s="182"/>
      <c r="AE268" s="182"/>
      <c r="AF268" s="182"/>
      <c r="AG268" s="182"/>
      <c r="AH268" s="183">
        <f>SUM(C268:AG268)</f>
        <v>0</v>
      </c>
    </row>
    <row r="269" spans="1:34" ht="13.5">
      <c r="A269" s="192" t="s">
        <v>78</v>
      </c>
      <c r="B269" s="159">
        <f t="shared" si="33"/>
        <v>0</v>
      </c>
      <c r="C269" s="184"/>
      <c r="D269" s="185"/>
      <c r="E269" s="185"/>
      <c r="F269" s="185"/>
      <c r="G269" s="185"/>
      <c r="H269" s="185"/>
      <c r="I269" s="185"/>
      <c r="J269" s="185"/>
      <c r="K269" s="185"/>
      <c r="L269" s="185"/>
      <c r="M269" s="185"/>
      <c r="N269" s="185"/>
      <c r="O269" s="185"/>
      <c r="P269" s="185"/>
      <c r="Q269" s="185"/>
      <c r="R269" s="185"/>
      <c r="S269" s="185"/>
      <c r="T269" s="185"/>
      <c r="U269" s="185"/>
      <c r="V269" s="185"/>
      <c r="W269" s="185"/>
      <c r="X269" s="185"/>
      <c r="Y269" s="185"/>
      <c r="Z269" s="185"/>
      <c r="AA269" s="185"/>
      <c r="AB269" s="185"/>
      <c r="AC269" s="185"/>
      <c r="AD269" s="185"/>
      <c r="AE269" s="185"/>
      <c r="AF269" s="185"/>
      <c r="AG269" s="185"/>
      <c r="AH269" s="183">
        <f>SUM(C269:AG269)</f>
        <v>0</v>
      </c>
    </row>
    <row r="270" spans="1:34" ht="13.5">
      <c r="A270" s="192" t="s">
        <v>79</v>
      </c>
      <c r="B270" s="159">
        <f t="shared" si="33"/>
        <v>0</v>
      </c>
      <c r="C270" s="184"/>
      <c r="D270" s="185"/>
      <c r="E270" s="185"/>
      <c r="F270" s="185"/>
      <c r="G270" s="185"/>
      <c r="H270" s="185"/>
      <c r="I270" s="185"/>
      <c r="J270" s="185"/>
      <c r="K270" s="185"/>
      <c r="L270" s="185"/>
      <c r="M270" s="185"/>
      <c r="N270" s="185"/>
      <c r="O270" s="185"/>
      <c r="P270" s="185"/>
      <c r="Q270" s="185"/>
      <c r="R270" s="185"/>
      <c r="S270" s="185"/>
      <c r="T270" s="185"/>
      <c r="U270" s="185"/>
      <c r="V270" s="185"/>
      <c r="W270" s="185"/>
      <c r="X270" s="185"/>
      <c r="Y270" s="185"/>
      <c r="Z270" s="185"/>
      <c r="AA270" s="185"/>
      <c r="AB270" s="185"/>
      <c r="AC270" s="185"/>
      <c r="AD270" s="185"/>
      <c r="AE270" s="185"/>
      <c r="AF270" s="185"/>
      <c r="AG270" s="185"/>
      <c r="AH270" s="183">
        <f t="shared" ref="AH270:AH277" si="34">SUM(C270:AG270)</f>
        <v>0</v>
      </c>
    </row>
    <row r="271" spans="1:34" ht="13.5">
      <c r="A271" s="192" t="s">
        <v>80</v>
      </c>
      <c r="B271" s="159">
        <f t="shared" si="33"/>
        <v>0</v>
      </c>
      <c r="C271" s="184"/>
      <c r="D271" s="185"/>
      <c r="E271" s="185"/>
      <c r="F271" s="185"/>
      <c r="G271" s="185"/>
      <c r="H271" s="185"/>
      <c r="I271" s="185"/>
      <c r="J271" s="185"/>
      <c r="K271" s="185"/>
      <c r="L271" s="185"/>
      <c r="M271" s="185"/>
      <c r="N271" s="185"/>
      <c r="O271" s="185"/>
      <c r="P271" s="185"/>
      <c r="Q271" s="185"/>
      <c r="R271" s="185"/>
      <c r="S271" s="185"/>
      <c r="T271" s="185"/>
      <c r="U271" s="185"/>
      <c r="V271" s="185"/>
      <c r="W271" s="185"/>
      <c r="X271" s="185"/>
      <c r="Y271" s="185"/>
      <c r="Z271" s="185"/>
      <c r="AA271" s="185"/>
      <c r="AB271" s="185"/>
      <c r="AC271" s="185"/>
      <c r="AD271" s="185"/>
      <c r="AE271" s="185"/>
      <c r="AF271" s="185"/>
      <c r="AG271" s="185"/>
      <c r="AH271" s="183">
        <f t="shared" si="34"/>
        <v>0</v>
      </c>
    </row>
    <row r="272" spans="1:34" ht="13.5">
      <c r="A272" s="192" t="s">
        <v>81</v>
      </c>
      <c r="B272" s="159">
        <f t="shared" si="33"/>
        <v>0</v>
      </c>
      <c r="C272" s="184"/>
      <c r="D272" s="185"/>
      <c r="E272" s="185"/>
      <c r="F272" s="185"/>
      <c r="G272" s="185"/>
      <c r="H272" s="185"/>
      <c r="I272" s="185"/>
      <c r="J272" s="185"/>
      <c r="K272" s="185"/>
      <c r="L272" s="185"/>
      <c r="M272" s="185"/>
      <c r="N272" s="185"/>
      <c r="O272" s="185"/>
      <c r="P272" s="185"/>
      <c r="Q272" s="185"/>
      <c r="R272" s="185"/>
      <c r="S272" s="185"/>
      <c r="T272" s="185"/>
      <c r="U272" s="185"/>
      <c r="V272" s="185"/>
      <c r="W272" s="185"/>
      <c r="X272" s="185"/>
      <c r="Y272" s="185"/>
      <c r="Z272" s="185"/>
      <c r="AA272" s="185"/>
      <c r="AB272" s="185"/>
      <c r="AC272" s="185"/>
      <c r="AD272" s="185"/>
      <c r="AE272" s="185"/>
      <c r="AF272" s="185"/>
      <c r="AG272" s="185"/>
      <c r="AH272" s="183">
        <f t="shared" si="34"/>
        <v>0</v>
      </c>
    </row>
    <row r="273" spans="1:35" ht="13.5">
      <c r="A273" s="192" t="s">
        <v>82</v>
      </c>
      <c r="B273" s="159">
        <f t="shared" si="33"/>
        <v>0</v>
      </c>
      <c r="C273" s="184"/>
      <c r="D273" s="185"/>
      <c r="E273" s="185"/>
      <c r="F273" s="185"/>
      <c r="G273" s="185"/>
      <c r="H273" s="185"/>
      <c r="I273" s="185"/>
      <c r="J273" s="185"/>
      <c r="K273" s="185"/>
      <c r="L273" s="185"/>
      <c r="M273" s="185"/>
      <c r="N273" s="185"/>
      <c r="O273" s="185"/>
      <c r="P273" s="185"/>
      <c r="Q273" s="185"/>
      <c r="R273" s="185"/>
      <c r="S273" s="185"/>
      <c r="T273" s="185"/>
      <c r="U273" s="185"/>
      <c r="V273" s="185"/>
      <c r="W273" s="185"/>
      <c r="X273" s="185"/>
      <c r="Y273" s="185"/>
      <c r="Z273" s="185"/>
      <c r="AA273" s="185"/>
      <c r="AB273" s="185"/>
      <c r="AC273" s="185"/>
      <c r="AD273" s="185"/>
      <c r="AE273" s="185"/>
      <c r="AF273" s="185"/>
      <c r="AG273" s="185"/>
      <c r="AH273" s="183">
        <f t="shared" si="34"/>
        <v>0</v>
      </c>
    </row>
    <row r="274" spans="1:35" ht="13.5">
      <c r="A274" s="192" t="s">
        <v>83</v>
      </c>
      <c r="B274" s="159">
        <f t="shared" si="33"/>
        <v>0</v>
      </c>
      <c r="C274" s="184"/>
      <c r="D274" s="185"/>
      <c r="E274" s="185"/>
      <c r="F274" s="185"/>
      <c r="G274" s="185"/>
      <c r="H274" s="185"/>
      <c r="I274" s="185"/>
      <c r="J274" s="185"/>
      <c r="K274" s="185"/>
      <c r="L274" s="185"/>
      <c r="M274" s="185"/>
      <c r="N274" s="185"/>
      <c r="O274" s="185"/>
      <c r="P274" s="185"/>
      <c r="Q274" s="185"/>
      <c r="R274" s="185"/>
      <c r="S274" s="185"/>
      <c r="T274" s="185"/>
      <c r="U274" s="185"/>
      <c r="V274" s="185"/>
      <c r="W274" s="185"/>
      <c r="X274" s="185"/>
      <c r="Y274" s="185"/>
      <c r="Z274" s="185"/>
      <c r="AA274" s="185"/>
      <c r="AB274" s="185"/>
      <c r="AC274" s="185"/>
      <c r="AD274" s="185"/>
      <c r="AE274" s="185"/>
      <c r="AF274" s="185"/>
      <c r="AG274" s="185"/>
      <c r="AH274" s="183">
        <f t="shared" si="34"/>
        <v>0</v>
      </c>
    </row>
    <row r="275" spans="1:35" ht="13.5">
      <c r="A275" s="192" t="s">
        <v>84</v>
      </c>
      <c r="B275" s="159">
        <f t="shared" si="33"/>
        <v>0</v>
      </c>
      <c r="C275" s="184"/>
      <c r="D275" s="185"/>
      <c r="E275" s="185"/>
      <c r="F275" s="185"/>
      <c r="G275" s="185"/>
      <c r="H275" s="185"/>
      <c r="I275" s="185"/>
      <c r="J275" s="185"/>
      <c r="K275" s="185"/>
      <c r="L275" s="185"/>
      <c r="M275" s="185"/>
      <c r="N275" s="185"/>
      <c r="O275" s="185"/>
      <c r="P275" s="185"/>
      <c r="Q275" s="185"/>
      <c r="R275" s="185"/>
      <c r="S275" s="185"/>
      <c r="T275" s="185"/>
      <c r="U275" s="185"/>
      <c r="V275" s="185"/>
      <c r="W275" s="185"/>
      <c r="X275" s="185"/>
      <c r="Y275" s="185"/>
      <c r="Z275" s="185"/>
      <c r="AA275" s="185"/>
      <c r="AB275" s="185"/>
      <c r="AC275" s="185"/>
      <c r="AD275" s="185"/>
      <c r="AE275" s="185"/>
      <c r="AF275" s="185"/>
      <c r="AG275" s="185"/>
      <c r="AH275" s="183">
        <f t="shared" si="34"/>
        <v>0</v>
      </c>
    </row>
    <row r="276" spans="1:35" ht="13.5">
      <c r="A276" s="179" t="s">
        <v>85</v>
      </c>
      <c r="B276" s="159">
        <f t="shared" si="33"/>
        <v>0</v>
      </c>
      <c r="C276" s="184"/>
      <c r="D276" s="185"/>
      <c r="E276" s="185"/>
      <c r="F276" s="185"/>
      <c r="G276" s="185"/>
      <c r="H276" s="185"/>
      <c r="I276" s="185"/>
      <c r="J276" s="185"/>
      <c r="K276" s="185"/>
      <c r="L276" s="185"/>
      <c r="M276" s="185"/>
      <c r="N276" s="185"/>
      <c r="O276" s="185"/>
      <c r="P276" s="185"/>
      <c r="Q276" s="185"/>
      <c r="R276" s="185"/>
      <c r="S276" s="185"/>
      <c r="T276" s="185"/>
      <c r="U276" s="185"/>
      <c r="V276" s="185"/>
      <c r="W276" s="185"/>
      <c r="X276" s="185"/>
      <c r="Y276" s="185"/>
      <c r="Z276" s="185"/>
      <c r="AA276" s="185"/>
      <c r="AB276" s="185"/>
      <c r="AC276" s="185"/>
      <c r="AD276" s="185"/>
      <c r="AE276" s="185"/>
      <c r="AF276" s="185"/>
      <c r="AG276" s="185"/>
      <c r="AH276" s="183">
        <f t="shared" si="34"/>
        <v>0</v>
      </c>
    </row>
    <row r="277" spans="1:35" ht="13.5">
      <c r="A277" s="179" t="s">
        <v>86</v>
      </c>
      <c r="B277" s="159">
        <f t="shared" si="33"/>
        <v>0</v>
      </c>
      <c r="C277" s="184"/>
      <c r="D277" s="185"/>
      <c r="E277" s="185"/>
      <c r="F277" s="185"/>
      <c r="G277" s="185"/>
      <c r="H277" s="185"/>
      <c r="I277" s="185"/>
      <c r="J277" s="185"/>
      <c r="K277" s="185"/>
      <c r="L277" s="185"/>
      <c r="M277" s="185"/>
      <c r="N277" s="185"/>
      <c r="O277" s="185"/>
      <c r="P277" s="185"/>
      <c r="Q277" s="185"/>
      <c r="R277" s="185"/>
      <c r="S277" s="185"/>
      <c r="T277" s="185"/>
      <c r="U277" s="185"/>
      <c r="V277" s="185"/>
      <c r="W277" s="185"/>
      <c r="X277" s="185"/>
      <c r="Y277" s="185"/>
      <c r="Z277" s="185"/>
      <c r="AA277" s="185"/>
      <c r="AB277" s="185"/>
      <c r="AC277" s="185"/>
      <c r="AD277" s="185"/>
      <c r="AE277" s="185"/>
      <c r="AF277" s="185"/>
      <c r="AG277" s="185"/>
      <c r="AH277" s="183">
        <f t="shared" si="34"/>
        <v>0</v>
      </c>
    </row>
    <row r="278" spans="1:35" ht="13.5">
      <c r="A278" s="186" t="s">
        <v>52</v>
      </c>
      <c r="B278" s="186">
        <f>SUM(B266:B277)</f>
        <v>0</v>
      </c>
      <c r="C278" s="187"/>
      <c r="D278" s="187"/>
      <c r="E278" s="187"/>
      <c r="F278" s="187"/>
      <c r="G278" s="187"/>
      <c r="H278" s="187"/>
      <c r="I278" s="187"/>
      <c r="J278" s="187"/>
      <c r="K278" s="187"/>
      <c r="L278" s="187"/>
      <c r="M278" s="187"/>
      <c r="N278" s="187"/>
      <c r="O278" s="187"/>
      <c r="P278" s="187"/>
      <c r="Q278" s="187"/>
      <c r="R278" s="187"/>
      <c r="S278" s="187"/>
      <c r="T278" s="187"/>
      <c r="U278" s="187"/>
      <c r="V278" s="187"/>
      <c r="W278" s="187"/>
      <c r="X278" s="187"/>
      <c r="Y278" s="187"/>
      <c r="Z278" s="187"/>
      <c r="AA278" s="187"/>
      <c r="AB278" s="187"/>
      <c r="AC278" s="187"/>
      <c r="AD278" s="187"/>
      <c r="AE278" s="187"/>
      <c r="AF278" s="187"/>
      <c r="AG278" s="187"/>
      <c r="AH278" s="188">
        <f>SUM(AH266:AH277)</f>
        <v>0</v>
      </c>
      <c r="AI278" s="1560"/>
    </row>
    <row r="279" spans="1:35" s="1373" customFormat="1" ht="14.25" thickBot="1">
      <c r="A279" s="1374"/>
      <c r="B279" s="1374"/>
      <c r="C279" s="680"/>
      <c r="D279" s="680"/>
      <c r="E279" s="680"/>
      <c r="F279" s="680"/>
      <c r="G279" s="680"/>
      <c r="H279" s="680"/>
      <c r="I279" s="680"/>
      <c r="J279" s="680"/>
      <c r="K279" s="680"/>
      <c r="L279" s="680"/>
      <c r="M279" s="680"/>
      <c r="N279" s="680"/>
      <c r="O279" s="680"/>
      <c r="P279" s="680"/>
      <c r="Q279" s="680"/>
      <c r="R279" s="680"/>
      <c r="S279" s="680"/>
      <c r="T279" s="680"/>
      <c r="U279" s="680"/>
      <c r="V279" s="680"/>
      <c r="W279" s="680"/>
      <c r="X279" s="680"/>
      <c r="Y279" s="680"/>
      <c r="Z279" s="680"/>
      <c r="AA279" s="680"/>
      <c r="AB279" s="680"/>
      <c r="AC279" s="680"/>
      <c r="AD279" s="680"/>
      <c r="AE279" s="680"/>
      <c r="AF279" s="680"/>
      <c r="AG279" s="680"/>
      <c r="AH279" s="749"/>
    </row>
    <row r="280" spans="1:35" s="1373" customFormat="1" ht="14.25" thickBot="1">
      <c r="A280" s="3605" t="s">
        <v>344</v>
      </c>
      <c r="B280" s="3606"/>
      <c r="C280" s="3606"/>
      <c r="D280" s="249" t="s">
        <v>519</v>
      </c>
      <c r="E280" s="251"/>
      <c r="F280" s="250"/>
      <c r="G280" s="821"/>
    </row>
    <row r="281" spans="1:35" s="1373" customFormat="1" ht="13.5">
      <c r="A281" s="178" t="s">
        <v>72</v>
      </c>
      <c r="B281" s="178" t="s">
        <v>73</v>
      </c>
      <c r="C281" s="179">
        <v>1</v>
      </c>
      <c r="D281" s="248">
        <v>2</v>
      </c>
      <c r="E281" s="248">
        <v>3</v>
      </c>
      <c r="F281" s="248">
        <v>4</v>
      </c>
      <c r="G281" s="248">
        <v>5</v>
      </c>
      <c r="H281" s="179">
        <v>6</v>
      </c>
      <c r="I281" s="179">
        <v>7</v>
      </c>
      <c r="J281" s="179">
        <v>8</v>
      </c>
      <c r="K281" s="179">
        <v>9</v>
      </c>
      <c r="L281" s="179">
        <v>10</v>
      </c>
      <c r="M281" s="179">
        <v>11</v>
      </c>
      <c r="N281" s="179">
        <v>12</v>
      </c>
      <c r="O281" s="179">
        <v>13</v>
      </c>
      <c r="P281" s="179">
        <v>14</v>
      </c>
      <c r="Q281" s="179">
        <v>15</v>
      </c>
      <c r="R281" s="179">
        <v>16</v>
      </c>
      <c r="S281" s="179">
        <v>17</v>
      </c>
      <c r="T281" s="179">
        <v>18</v>
      </c>
      <c r="U281" s="179">
        <v>19</v>
      </c>
      <c r="V281" s="179">
        <v>20</v>
      </c>
      <c r="W281" s="166">
        <v>21</v>
      </c>
      <c r="X281" s="179">
        <v>22</v>
      </c>
      <c r="Y281" s="179">
        <v>23</v>
      </c>
      <c r="Z281" s="179">
        <v>24</v>
      </c>
      <c r="AA281" s="179">
        <v>25</v>
      </c>
      <c r="AB281" s="179">
        <v>26</v>
      </c>
      <c r="AC281" s="179">
        <v>27</v>
      </c>
      <c r="AD281" s="179">
        <v>28</v>
      </c>
      <c r="AE281" s="179">
        <v>29</v>
      </c>
      <c r="AF281" s="179">
        <v>30</v>
      </c>
      <c r="AG281" s="179">
        <v>31</v>
      </c>
      <c r="AH281" s="181" t="s">
        <v>52</v>
      </c>
    </row>
    <row r="282" spans="1:35" s="1373" customFormat="1" ht="13.5">
      <c r="A282" s="192" t="s">
        <v>75</v>
      </c>
      <c r="B282" s="159">
        <f t="shared" ref="B282:B293" si="35">+AH282</f>
        <v>0</v>
      </c>
      <c r="C282" s="182"/>
      <c r="D282" s="182"/>
      <c r="E282" s="182"/>
      <c r="F282" s="182"/>
      <c r="G282" s="182"/>
      <c r="H282" s="182"/>
      <c r="I282" s="182"/>
      <c r="J282" s="182"/>
      <c r="K282" s="182"/>
      <c r="L282" s="182"/>
      <c r="M282" s="182"/>
      <c r="N282" s="182"/>
      <c r="O282" s="182"/>
      <c r="P282" s="182"/>
      <c r="Q282" s="182"/>
      <c r="R282" s="182"/>
      <c r="S282" s="182"/>
      <c r="T282" s="182"/>
      <c r="U282" s="182"/>
      <c r="V282" s="182"/>
      <c r="W282" s="182"/>
      <c r="X282" s="182"/>
      <c r="Y282" s="182"/>
      <c r="Z282" s="182"/>
      <c r="AA282" s="182"/>
      <c r="AB282" s="182"/>
      <c r="AC282" s="182"/>
      <c r="AD282" s="182"/>
      <c r="AE282" s="182"/>
      <c r="AF282" s="182"/>
      <c r="AG282" s="182"/>
      <c r="AH282" s="183">
        <f>SUM(C282:AG282)</f>
        <v>0</v>
      </c>
    </row>
    <row r="283" spans="1:35" s="1373" customFormat="1" ht="13.5">
      <c r="A283" s="192" t="s">
        <v>76</v>
      </c>
      <c r="B283" s="159">
        <f t="shared" si="35"/>
        <v>0</v>
      </c>
      <c r="C283" s="182"/>
      <c r="D283" s="182"/>
      <c r="E283" s="182"/>
      <c r="F283" s="182"/>
      <c r="G283" s="182"/>
      <c r="H283" s="182"/>
      <c r="I283" s="182"/>
      <c r="J283" s="182"/>
      <c r="K283" s="182"/>
      <c r="L283" s="182"/>
      <c r="M283" s="182"/>
      <c r="N283" s="182"/>
      <c r="O283" s="182"/>
      <c r="P283" s="182"/>
      <c r="Q283" s="182"/>
      <c r="R283" s="182"/>
      <c r="S283" s="182"/>
      <c r="T283" s="182"/>
      <c r="U283" s="182"/>
      <c r="V283" s="182"/>
      <c r="W283" s="182"/>
      <c r="X283" s="182"/>
      <c r="Y283" s="182"/>
      <c r="Z283" s="182"/>
      <c r="AA283" s="182"/>
      <c r="AB283" s="182"/>
      <c r="AC283" s="182"/>
      <c r="AD283" s="182"/>
      <c r="AE283" s="182"/>
      <c r="AF283" s="182"/>
      <c r="AG283" s="182"/>
      <c r="AH283" s="183">
        <f>SUM(C283:AG283)</f>
        <v>0</v>
      </c>
    </row>
    <row r="284" spans="1:35" s="1373" customFormat="1" ht="13.5">
      <c r="A284" s="192" t="s">
        <v>77</v>
      </c>
      <c r="B284" s="159">
        <f t="shared" si="35"/>
        <v>0</v>
      </c>
      <c r="C284" s="182"/>
      <c r="D284" s="182"/>
      <c r="E284" s="182"/>
      <c r="F284" s="182"/>
      <c r="G284" s="182"/>
      <c r="H284" s="182"/>
      <c r="I284" s="182"/>
      <c r="J284" s="182"/>
      <c r="K284" s="182"/>
      <c r="L284" s="182"/>
      <c r="M284" s="182"/>
      <c r="N284" s="182"/>
      <c r="O284" s="182"/>
      <c r="P284" s="182"/>
      <c r="Q284" s="182"/>
      <c r="R284" s="182"/>
      <c r="S284" s="182"/>
      <c r="T284" s="182"/>
      <c r="U284" s="182"/>
      <c r="V284" s="182"/>
      <c r="W284" s="182"/>
      <c r="X284" s="182"/>
      <c r="Y284" s="182"/>
      <c r="Z284" s="182"/>
      <c r="AA284" s="182"/>
      <c r="AB284" s="182"/>
      <c r="AC284" s="182"/>
      <c r="AD284" s="182"/>
      <c r="AE284" s="182"/>
      <c r="AF284" s="182"/>
      <c r="AG284" s="182"/>
      <c r="AH284" s="183">
        <f>SUM(C284:AG284)</f>
        <v>0</v>
      </c>
    </row>
    <row r="285" spans="1:35" s="1373" customFormat="1" ht="13.5">
      <c r="A285" s="192" t="s">
        <v>78</v>
      </c>
      <c r="B285" s="159">
        <f t="shared" si="35"/>
        <v>0</v>
      </c>
      <c r="C285" s="184"/>
      <c r="D285" s="185"/>
      <c r="E285" s="185"/>
      <c r="F285" s="185"/>
      <c r="G285" s="185"/>
      <c r="H285" s="185"/>
      <c r="I285" s="185"/>
      <c r="J285" s="185"/>
      <c r="K285" s="185"/>
      <c r="L285" s="185"/>
      <c r="M285" s="185"/>
      <c r="N285" s="185"/>
      <c r="O285" s="185"/>
      <c r="P285" s="185"/>
      <c r="Q285" s="185"/>
      <c r="R285" s="185"/>
      <c r="S285" s="185"/>
      <c r="T285" s="185"/>
      <c r="U285" s="185"/>
      <c r="V285" s="185"/>
      <c r="W285" s="185"/>
      <c r="X285" s="185"/>
      <c r="Y285" s="185"/>
      <c r="Z285" s="185"/>
      <c r="AA285" s="185"/>
      <c r="AB285" s="185"/>
      <c r="AC285" s="185"/>
      <c r="AD285" s="185"/>
      <c r="AE285" s="185"/>
      <c r="AF285" s="185"/>
      <c r="AG285" s="185"/>
      <c r="AH285" s="183">
        <f>SUM(C285:AG285)</f>
        <v>0</v>
      </c>
    </row>
    <row r="286" spans="1:35" s="1373" customFormat="1" ht="13.5">
      <c r="A286" s="192" t="s">
        <v>79</v>
      </c>
      <c r="B286" s="159">
        <f t="shared" si="35"/>
        <v>0</v>
      </c>
      <c r="C286" s="184"/>
      <c r="D286" s="185"/>
      <c r="E286" s="185"/>
      <c r="F286" s="185"/>
      <c r="G286" s="185"/>
      <c r="H286" s="185"/>
      <c r="I286" s="185"/>
      <c r="J286" s="185"/>
      <c r="K286" s="185"/>
      <c r="L286" s="185"/>
      <c r="M286" s="185"/>
      <c r="N286" s="185"/>
      <c r="O286" s="185"/>
      <c r="P286" s="185"/>
      <c r="Q286" s="185"/>
      <c r="R286" s="185"/>
      <c r="S286" s="185"/>
      <c r="T286" s="185"/>
      <c r="U286" s="185"/>
      <c r="V286" s="185"/>
      <c r="W286" s="185"/>
      <c r="X286" s="185"/>
      <c r="Y286" s="185"/>
      <c r="Z286" s="185"/>
      <c r="AA286" s="185"/>
      <c r="AB286" s="185"/>
      <c r="AC286" s="185"/>
      <c r="AD286" s="185"/>
      <c r="AE286" s="185"/>
      <c r="AF286" s="185"/>
      <c r="AG286" s="185"/>
      <c r="AH286" s="183">
        <f t="shared" ref="AH286:AH293" si="36">SUM(C286:AG286)</f>
        <v>0</v>
      </c>
    </row>
    <row r="287" spans="1:35" s="1373" customFormat="1" ht="13.5">
      <c r="A287" s="192" t="s">
        <v>80</v>
      </c>
      <c r="B287" s="159">
        <f t="shared" si="35"/>
        <v>0</v>
      </c>
      <c r="C287" s="184"/>
      <c r="D287" s="185"/>
      <c r="E287" s="185"/>
      <c r="F287" s="185"/>
      <c r="G287" s="185"/>
      <c r="H287" s="185"/>
      <c r="I287" s="185"/>
      <c r="J287" s="185"/>
      <c r="K287" s="185"/>
      <c r="L287" s="185"/>
      <c r="M287" s="185"/>
      <c r="N287" s="185"/>
      <c r="O287" s="185"/>
      <c r="P287" s="185"/>
      <c r="Q287" s="185"/>
      <c r="R287" s="185"/>
      <c r="S287" s="185"/>
      <c r="T287" s="185"/>
      <c r="U287" s="185"/>
      <c r="V287" s="185"/>
      <c r="W287" s="185"/>
      <c r="X287" s="185"/>
      <c r="Y287" s="185"/>
      <c r="Z287" s="185"/>
      <c r="AA287" s="185"/>
      <c r="AB287" s="185"/>
      <c r="AC287" s="185"/>
      <c r="AD287" s="185"/>
      <c r="AE287" s="185"/>
      <c r="AF287" s="185"/>
      <c r="AG287" s="185"/>
      <c r="AH287" s="183">
        <f t="shared" si="36"/>
        <v>0</v>
      </c>
    </row>
    <row r="288" spans="1:35" s="1373" customFormat="1" ht="13.5">
      <c r="A288" s="192" t="s">
        <v>81</v>
      </c>
      <c r="B288" s="159">
        <f t="shared" si="35"/>
        <v>0</v>
      </c>
      <c r="C288" s="184"/>
      <c r="D288" s="185"/>
      <c r="E288" s="185"/>
      <c r="F288" s="185"/>
      <c r="G288" s="185"/>
      <c r="H288" s="185"/>
      <c r="I288" s="185"/>
      <c r="J288" s="185"/>
      <c r="K288" s="185"/>
      <c r="L288" s="185"/>
      <c r="M288" s="185"/>
      <c r="N288" s="185"/>
      <c r="O288" s="185"/>
      <c r="P288" s="185"/>
      <c r="Q288" s="185"/>
      <c r="R288" s="185"/>
      <c r="S288" s="185"/>
      <c r="T288" s="185"/>
      <c r="U288" s="185"/>
      <c r="V288" s="185"/>
      <c r="W288" s="185"/>
      <c r="X288" s="185"/>
      <c r="Y288" s="185"/>
      <c r="Z288" s="185"/>
      <c r="AA288" s="185"/>
      <c r="AB288" s="185"/>
      <c r="AC288" s="185"/>
      <c r="AD288" s="185"/>
      <c r="AE288" s="185"/>
      <c r="AF288" s="185"/>
      <c r="AG288" s="185"/>
      <c r="AH288" s="183">
        <f t="shared" si="36"/>
        <v>0</v>
      </c>
    </row>
    <row r="289" spans="1:34" s="1373" customFormat="1" ht="13.5">
      <c r="A289" s="192" t="s">
        <v>82</v>
      </c>
      <c r="B289" s="159">
        <f t="shared" si="35"/>
        <v>0</v>
      </c>
      <c r="C289" s="184"/>
      <c r="D289" s="185"/>
      <c r="E289" s="185"/>
      <c r="F289" s="185"/>
      <c r="G289" s="185"/>
      <c r="H289" s="185"/>
      <c r="I289" s="185"/>
      <c r="J289" s="185"/>
      <c r="K289" s="185"/>
      <c r="L289" s="185"/>
      <c r="M289" s="185"/>
      <c r="N289" s="185"/>
      <c r="O289" s="185"/>
      <c r="P289" s="185"/>
      <c r="Q289" s="185"/>
      <c r="R289" s="185"/>
      <c r="S289" s="185"/>
      <c r="T289" s="185"/>
      <c r="U289" s="185"/>
      <c r="V289" s="185"/>
      <c r="W289" s="185"/>
      <c r="X289" s="185"/>
      <c r="Y289" s="185"/>
      <c r="Z289" s="185"/>
      <c r="AA289" s="185"/>
      <c r="AB289" s="185"/>
      <c r="AC289" s="185"/>
      <c r="AD289" s="185"/>
      <c r="AE289" s="185"/>
      <c r="AF289" s="185"/>
      <c r="AG289" s="185"/>
      <c r="AH289" s="183">
        <f t="shared" si="36"/>
        <v>0</v>
      </c>
    </row>
    <row r="290" spans="1:34" s="1373" customFormat="1" ht="13.5">
      <c r="A290" s="192" t="s">
        <v>83</v>
      </c>
      <c r="B290" s="159">
        <f t="shared" si="35"/>
        <v>0</v>
      </c>
      <c r="C290" s="184"/>
      <c r="D290" s="185"/>
      <c r="E290" s="185"/>
      <c r="F290" s="185"/>
      <c r="G290" s="185"/>
      <c r="H290" s="185"/>
      <c r="I290" s="185"/>
      <c r="J290" s="185"/>
      <c r="K290" s="185"/>
      <c r="L290" s="185"/>
      <c r="M290" s="185"/>
      <c r="N290" s="185"/>
      <c r="O290" s="185"/>
      <c r="P290" s="185"/>
      <c r="Q290" s="185"/>
      <c r="R290" s="185"/>
      <c r="S290" s="185"/>
      <c r="T290" s="185"/>
      <c r="U290" s="185"/>
      <c r="V290" s="185"/>
      <c r="W290" s="185"/>
      <c r="X290" s="185"/>
      <c r="Y290" s="185"/>
      <c r="Z290" s="185"/>
      <c r="AA290" s="185"/>
      <c r="AB290" s="185"/>
      <c r="AC290" s="185"/>
      <c r="AD290" s="185"/>
      <c r="AE290" s="185"/>
      <c r="AF290" s="185"/>
      <c r="AG290" s="185"/>
      <c r="AH290" s="183">
        <f t="shared" si="36"/>
        <v>0</v>
      </c>
    </row>
    <row r="291" spans="1:34" s="1373" customFormat="1" ht="13.5">
      <c r="A291" s="192" t="s">
        <v>84</v>
      </c>
      <c r="B291" s="159">
        <f t="shared" si="35"/>
        <v>0</v>
      </c>
      <c r="C291" s="184"/>
      <c r="D291" s="185"/>
      <c r="E291" s="185"/>
      <c r="F291" s="185"/>
      <c r="G291" s="185"/>
      <c r="H291" s="185"/>
      <c r="I291" s="185"/>
      <c r="J291" s="185"/>
      <c r="K291" s="185"/>
      <c r="L291" s="185"/>
      <c r="M291" s="185"/>
      <c r="N291" s="185"/>
      <c r="O291" s="185"/>
      <c r="P291" s="185"/>
      <c r="Q291" s="185"/>
      <c r="R291" s="185"/>
      <c r="S291" s="185"/>
      <c r="T291" s="185"/>
      <c r="U291" s="185"/>
      <c r="V291" s="185"/>
      <c r="W291" s="185"/>
      <c r="X291" s="185"/>
      <c r="Y291" s="185"/>
      <c r="Z291" s="185"/>
      <c r="AA291" s="185"/>
      <c r="AB291" s="185"/>
      <c r="AC291" s="185"/>
      <c r="AD291" s="185"/>
      <c r="AE291" s="185"/>
      <c r="AF291" s="185"/>
      <c r="AG291" s="185"/>
      <c r="AH291" s="183">
        <f t="shared" si="36"/>
        <v>0</v>
      </c>
    </row>
    <row r="292" spans="1:34" s="1373" customFormat="1" ht="13.5">
      <c r="A292" s="179" t="s">
        <v>85</v>
      </c>
      <c r="B292" s="159">
        <f t="shared" si="35"/>
        <v>0</v>
      </c>
      <c r="C292" s="184"/>
      <c r="D292" s="185"/>
      <c r="E292" s="185"/>
      <c r="F292" s="185"/>
      <c r="G292" s="185"/>
      <c r="H292" s="185"/>
      <c r="I292" s="185"/>
      <c r="J292" s="185"/>
      <c r="K292" s="185"/>
      <c r="L292" s="185"/>
      <c r="M292" s="185"/>
      <c r="N292" s="185"/>
      <c r="O292" s="185"/>
      <c r="P292" s="185"/>
      <c r="Q292" s="185"/>
      <c r="R292" s="185"/>
      <c r="S292" s="185"/>
      <c r="T292" s="185"/>
      <c r="U292" s="185"/>
      <c r="V292" s="185"/>
      <c r="W292" s="185"/>
      <c r="X292" s="185"/>
      <c r="Y292" s="185"/>
      <c r="Z292" s="185"/>
      <c r="AA292" s="185"/>
      <c r="AB292" s="185"/>
      <c r="AC292" s="185"/>
      <c r="AD292" s="185"/>
      <c r="AE292" s="185"/>
      <c r="AF292" s="185"/>
      <c r="AG292" s="185"/>
      <c r="AH292" s="183">
        <f t="shared" si="36"/>
        <v>0</v>
      </c>
    </row>
    <row r="293" spans="1:34" s="1373" customFormat="1" ht="13.5">
      <c r="A293" s="179" t="s">
        <v>86</v>
      </c>
      <c r="B293" s="159">
        <f t="shared" si="35"/>
        <v>0</v>
      </c>
      <c r="C293" s="184"/>
      <c r="D293" s="185"/>
      <c r="E293" s="185"/>
      <c r="F293" s="1308"/>
      <c r="G293" s="185"/>
      <c r="H293" s="185"/>
      <c r="I293" s="185"/>
      <c r="J293" s="185"/>
      <c r="K293" s="185"/>
      <c r="L293" s="185"/>
      <c r="M293" s="185"/>
      <c r="N293" s="185"/>
      <c r="O293" s="185"/>
      <c r="P293" s="185"/>
      <c r="Q293" s="185"/>
      <c r="R293" s="185"/>
      <c r="S293" s="185"/>
      <c r="T293" s="185"/>
      <c r="U293" s="185"/>
      <c r="V293" s="185"/>
      <c r="W293" s="185"/>
      <c r="X293" s="185"/>
      <c r="Y293" s="185"/>
      <c r="Z293" s="185"/>
      <c r="AA293" s="185"/>
      <c r="AB293" s="185"/>
      <c r="AC293" s="185"/>
      <c r="AD293" s="185"/>
      <c r="AE293" s="185"/>
      <c r="AF293" s="185"/>
      <c r="AG293" s="185"/>
      <c r="AH293" s="183">
        <f t="shared" si="36"/>
        <v>0</v>
      </c>
    </row>
    <row r="294" spans="1:34" s="1373" customFormat="1" ht="13.5">
      <c r="A294" s="186" t="s">
        <v>52</v>
      </c>
      <c r="B294" s="838">
        <f>SUM(B282:B293)</f>
        <v>0</v>
      </c>
      <c r="C294" s="187"/>
      <c r="D294" s="187"/>
      <c r="E294" s="187"/>
      <c r="F294" s="187"/>
      <c r="G294" s="187"/>
      <c r="H294" s="187"/>
      <c r="I294" s="187"/>
      <c r="J294" s="187"/>
      <c r="K294" s="187"/>
      <c r="L294" s="187"/>
      <c r="M294" s="187"/>
      <c r="N294" s="187"/>
      <c r="O294" s="187"/>
      <c r="P294" s="187"/>
      <c r="Q294" s="187"/>
      <c r="R294" s="187"/>
      <c r="S294" s="187"/>
      <c r="T294" s="187"/>
      <c r="U294" s="187"/>
      <c r="V294" s="187"/>
      <c r="W294" s="187"/>
      <c r="X294" s="187"/>
      <c r="Y294" s="187"/>
      <c r="Z294" s="187"/>
      <c r="AA294" s="187"/>
      <c r="AB294" s="187"/>
      <c r="AC294" s="187"/>
      <c r="AD294" s="187"/>
      <c r="AE294" s="187"/>
      <c r="AF294" s="187"/>
      <c r="AG294" s="187"/>
      <c r="AH294" s="188">
        <f>SUM(AH282:AH293)</f>
        <v>0</v>
      </c>
    </row>
    <row r="295" spans="1:34" s="1373" customFormat="1" ht="14.25" thickBot="1">
      <c r="A295" s="1374"/>
      <c r="B295" s="1374"/>
      <c r="C295" s="680"/>
      <c r="D295" s="680"/>
      <c r="E295" s="680"/>
      <c r="F295" s="680"/>
      <c r="G295" s="680"/>
      <c r="H295" s="680"/>
      <c r="I295" s="680"/>
      <c r="J295" s="680"/>
      <c r="K295" s="680"/>
      <c r="L295" s="680"/>
      <c r="M295" s="680"/>
      <c r="N295" s="680"/>
      <c r="O295" s="680"/>
      <c r="P295" s="680"/>
      <c r="Q295" s="680"/>
      <c r="R295" s="680"/>
      <c r="S295" s="680"/>
      <c r="T295" s="680"/>
      <c r="U295" s="680"/>
      <c r="V295" s="680"/>
      <c r="W295" s="680"/>
      <c r="X295" s="680"/>
      <c r="Y295" s="680"/>
      <c r="Z295" s="680"/>
      <c r="AA295" s="680"/>
      <c r="AB295" s="680"/>
      <c r="AC295" s="680"/>
      <c r="AD295" s="680"/>
      <c r="AE295" s="680"/>
      <c r="AF295" s="680"/>
      <c r="AG295" s="680"/>
      <c r="AH295" s="749"/>
    </row>
    <row r="296" spans="1:34" ht="13.5" thickBot="1">
      <c r="A296" s="3705" t="s">
        <v>317</v>
      </c>
      <c r="B296" s="3706"/>
      <c r="C296" s="3706"/>
      <c r="D296" s="3706"/>
      <c r="E296" s="3706"/>
      <c r="F296" s="3706"/>
      <c r="G296" s="3706"/>
      <c r="H296" s="3706"/>
      <c r="I296" s="3706"/>
      <c r="J296" s="3706"/>
      <c r="K296" s="3706"/>
      <c r="L296" s="3706"/>
      <c r="M296" s="3706"/>
      <c r="N296" s="3706"/>
      <c r="O296" s="3707"/>
    </row>
    <row r="297" spans="1:34" ht="14.25" thickBot="1">
      <c r="A297" s="3714" t="s">
        <v>318</v>
      </c>
      <c r="B297" s="3715"/>
      <c r="C297" s="3715"/>
      <c r="D297" s="624" t="s">
        <v>40</v>
      </c>
      <c r="E297" s="625"/>
      <c r="F297" s="626"/>
    </row>
    <row r="298" spans="1:34" ht="13.5">
      <c r="A298" s="178" t="s">
        <v>72</v>
      </c>
      <c r="B298" s="178" t="s">
        <v>73</v>
      </c>
      <c r="C298" s="1487">
        <v>1</v>
      </c>
      <c r="D298" s="248">
        <v>2</v>
      </c>
      <c r="E298" s="248">
        <v>3</v>
      </c>
      <c r="F298" s="248">
        <v>4</v>
      </c>
      <c r="G298" s="179">
        <v>5</v>
      </c>
      <c r="H298" s="179">
        <v>6</v>
      </c>
      <c r="I298" s="179">
        <v>7</v>
      </c>
      <c r="J298" s="179">
        <v>8</v>
      </c>
      <c r="K298" s="179">
        <v>9</v>
      </c>
      <c r="L298" s="179">
        <v>10</v>
      </c>
      <c r="M298" s="179">
        <v>11</v>
      </c>
      <c r="N298" s="179">
        <v>12</v>
      </c>
      <c r="O298" s="179">
        <v>13</v>
      </c>
      <c r="P298" s="179">
        <v>14</v>
      </c>
      <c r="Q298" s="179">
        <v>15</v>
      </c>
      <c r="R298" s="179">
        <v>16</v>
      </c>
      <c r="S298" s="179">
        <v>17</v>
      </c>
      <c r="T298" s="179">
        <v>18</v>
      </c>
      <c r="U298" s="179">
        <v>19</v>
      </c>
      <c r="V298" s="179">
        <v>20</v>
      </c>
      <c r="W298" s="166">
        <v>21</v>
      </c>
      <c r="X298" s="179">
        <v>22</v>
      </c>
      <c r="Y298" s="179">
        <v>23</v>
      </c>
      <c r="Z298" s="179">
        <v>24</v>
      </c>
      <c r="AA298" s="179">
        <v>25</v>
      </c>
      <c r="AB298" s="179">
        <v>26</v>
      </c>
      <c r="AC298" s="179">
        <v>27</v>
      </c>
      <c r="AD298" s="179">
        <v>28</v>
      </c>
      <c r="AE298" s="179">
        <v>29</v>
      </c>
      <c r="AF298" s="179">
        <v>30</v>
      </c>
      <c r="AG298" s="179">
        <v>31</v>
      </c>
      <c r="AH298" s="181" t="s">
        <v>52</v>
      </c>
    </row>
    <row r="299" spans="1:34" ht="13.5">
      <c r="A299" s="166" t="s">
        <v>75</v>
      </c>
      <c r="B299" s="159">
        <f t="shared" ref="B299:B310" si="37">+AH299</f>
        <v>0</v>
      </c>
      <c r="C299" s="182"/>
      <c r="D299" s="182"/>
      <c r="E299" s="182"/>
      <c r="F299" s="182"/>
      <c r="G299" s="182"/>
      <c r="H299" s="182"/>
      <c r="I299" s="182"/>
      <c r="J299" s="182"/>
      <c r="K299" s="182"/>
      <c r="L299" s="182"/>
      <c r="M299" s="182"/>
      <c r="N299" s="182"/>
      <c r="O299" s="182"/>
      <c r="P299" s="182"/>
      <c r="Q299" s="182"/>
      <c r="R299" s="182"/>
      <c r="S299" s="182"/>
      <c r="T299" s="182"/>
      <c r="U299" s="182"/>
      <c r="V299" s="182"/>
      <c r="W299" s="182"/>
      <c r="X299" s="182"/>
      <c r="Y299" s="182"/>
      <c r="Z299" s="182"/>
      <c r="AA299" s="182"/>
      <c r="AB299" s="182"/>
      <c r="AC299" s="182"/>
      <c r="AD299" s="182"/>
      <c r="AE299" s="182"/>
      <c r="AF299" s="182"/>
      <c r="AG299" s="182"/>
      <c r="AH299" s="183">
        <f>SUM(C299:AG299)</f>
        <v>0</v>
      </c>
    </row>
    <row r="300" spans="1:34" ht="13.5">
      <c r="A300" s="166" t="s">
        <v>76</v>
      </c>
      <c r="B300" s="159">
        <f t="shared" si="37"/>
        <v>0</v>
      </c>
      <c r="C300" s="182"/>
      <c r="D300" s="182"/>
      <c r="E300" s="182"/>
      <c r="F300" s="182"/>
      <c r="G300" s="182"/>
      <c r="H300" s="182"/>
      <c r="I300" s="182"/>
      <c r="J300" s="182"/>
      <c r="K300" s="182"/>
      <c r="L300" s="182"/>
      <c r="M300" s="182"/>
      <c r="N300" s="182"/>
      <c r="O300" s="182"/>
      <c r="P300" s="182"/>
      <c r="Q300" s="182"/>
      <c r="R300" s="182"/>
      <c r="S300" s="182"/>
      <c r="T300" s="182"/>
      <c r="U300" s="182"/>
      <c r="V300" s="182"/>
      <c r="W300" s="182"/>
      <c r="X300" s="182"/>
      <c r="Y300" s="182"/>
      <c r="Z300" s="182"/>
      <c r="AA300" s="182"/>
      <c r="AB300" s="182"/>
      <c r="AC300" s="182"/>
      <c r="AD300" s="182"/>
      <c r="AE300" s="182"/>
      <c r="AF300" s="182"/>
      <c r="AG300" s="182"/>
      <c r="AH300" s="183">
        <f t="shared" ref="AH300:AH310" si="38">SUM(C300:AG300)</f>
        <v>0</v>
      </c>
    </row>
    <row r="301" spans="1:34" ht="13.5">
      <c r="A301" s="166" t="s">
        <v>77</v>
      </c>
      <c r="B301" s="159">
        <f t="shared" si="37"/>
        <v>0</v>
      </c>
      <c r="C301" s="182"/>
      <c r="D301" s="182"/>
      <c r="E301" s="182"/>
      <c r="F301" s="182"/>
      <c r="G301" s="182"/>
      <c r="H301" s="182"/>
      <c r="I301" s="182"/>
      <c r="J301" s="182"/>
      <c r="K301" s="182"/>
      <c r="L301" s="182"/>
      <c r="M301" s="182"/>
      <c r="N301" s="182"/>
      <c r="O301" s="182"/>
      <c r="P301" s="182"/>
      <c r="Q301" s="182"/>
      <c r="R301" s="182"/>
      <c r="S301" s="182"/>
      <c r="T301" s="182"/>
      <c r="U301" s="182"/>
      <c r="V301" s="182"/>
      <c r="W301" s="182"/>
      <c r="X301" s="182"/>
      <c r="Y301" s="182"/>
      <c r="Z301" s="182"/>
      <c r="AA301" s="182"/>
      <c r="AB301" s="182"/>
      <c r="AC301" s="182"/>
      <c r="AD301" s="182"/>
      <c r="AE301" s="182"/>
      <c r="AF301" s="182"/>
      <c r="AG301" s="182"/>
      <c r="AH301" s="183">
        <f t="shared" si="38"/>
        <v>0</v>
      </c>
    </row>
    <row r="302" spans="1:34" ht="13.5">
      <c r="A302" s="166" t="s">
        <v>78</v>
      </c>
      <c r="B302" s="159">
        <f t="shared" si="37"/>
        <v>0</v>
      </c>
      <c r="C302" s="184"/>
      <c r="D302" s="185"/>
      <c r="E302" s="185"/>
      <c r="F302" s="185"/>
      <c r="G302" s="185"/>
      <c r="H302" s="185"/>
      <c r="I302" s="185"/>
      <c r="J302" s="185"/>
      <c r="K302" s="185"/>
      <c r="L302" s="185"/>
      <c r="M302" s="185"/>
      <c r="N302" s="185"/>
      <c r="O302" s="185"/>
      <c r="P302" s="185"/>
      <c r="Q302" s="185"/>
      <c r="R302" s="185"/>
      <c r="S302" s="185"/>
      <c r="T302" s="185"/>
      <c r="U302" s="185"/>
      <c r="V302" s="185"/>
      <c r="W302" s="185"/>
      <c r="X302" s="185"/>
      <c r="Y302" s="185"/>
      <c r="Z302" s="185"/>
      <c r="AA302" s="185"/>
      <c r="AB302" s="185"/>
      <c r="AC302" s="185"/>
      <c r="AD302" s="185"/>
      <c r="AE302" s="185"/>
      <c r="AF302" s="185"/>
      <c r="AG302" s="185"/>
      <c r="AH302" s="183">
        <f t="shared" si="38"/>
        <v>0</v>
      </c>
    </row>
    <row r="303" spans="1:34" ht="13.5">
      <c r="A303" s="166" t="s">
        <v>79</v>
      </c>
      <c r="B303" s="159">
        <f t="shared" si="37"/>
        <v>0</v>
      </c>
      <c r="C303" s="184"/>
      <c r="D303" s="185"/>
      <c r="E303" s="185"/>
      <c r="F303" s="185"/>
      <c r="G303" s="185"/>
      <c r="H303" s="185"/>
      <c r="I303" s="185"/>
      <c r="J303" s="185"/>
      <c r="K303" s="185"/>
      <c r="L303" s="185"/>
      <c r="M303" s="185"/>
      <c r="N303" s="185"/>
      <c r="O303" s="185"/>
      <c r="P303" s="185"/>
      <c r="Q303" s="185"/>
      <c r="R303" s="185"/>
      <c r="S303" s="185"/>
      <c r="T303" s="185"/>
      <c r="U303" s="185"/>
      <c r="V303" s="185"/>
      <c r="W303" s="185"/>
      <c r="X303" s="185"/>
      <c r="Y303" s="185"/>
      <c r="Z303" s="185"/>
      <c r="AA303" s="185"/>
      <c r="AB303" s="185"/>
      <c r="AC303" s="185"/>
      <c r="AD303" s="185"/>
      <c r="AE303" s="185"/>
      <c r="AF303" s="185"/>
      <c r="AG303" s="185"/>
      <c r="AH303" s="183">
        <f t="shared" si="38"/>
        <v>0</v>
      </c>
    </row>
    <row r="304" spans="1:34" ht="13.5">
      <c r="A304" s="166" t="s">
        <v>80</v>
      </c>
      <c r="B304" s="159">
        <f t="shared" si="37"/>
        <v>0</v>
      </c>
      <c r="C304" s="184"/>
      <c r="D304" s="185"/>
      <c r="E304" s="185"/>
      <c r="F304" s="185"/>
      <c r="G304" s="185"/>
      <c r="H304" s="185"/>
      <c r="I304" s="185"/>
      <c r="J304" s="185"/>
      <c r="K304" s="185"/>
      <c r="L304" s="185"/>
      <c r="M304" s="185"/>
      <c r="N304" s="185"/>
      <c r="O304" s="185"/>
      <c r="P304" s="185"/>
      <c r="Q304" s="185"/>
      <c r="R304" s="185"/>
      <c r="S304" s="185"/>
      <c r="T304" s="185"/>
      <c r="U304" s="185"/>
      <c r="V304" s="185"/>
      <c r="W304" s="185"/>
      <c r="X304" s="185"/>
      <c r="Y304" s="185"/>
      <c r="Z304" s="185"/>
      <c r="AA304" s="185"/>
      <c r="AB304" s="185"/>
      <c r="AC304" s="185"/>
      <c r="AD304" s="185"/>
      <c r="AE304" s="185"/>
      <c r="AF304" s="185"/>
      <c r="AG304" s="185"/>
      <c r="AH304" s="183">
        <f t="shared" si="38"/>
        <v>0</v>
      </c>
    </row>
    <row r="305" spans="1:34" ht="13.5">
      <c r="A305" s="166" t="s">
        <v>81</v>
      </c>
      <c r="B305" s="159">
        <f t="shared" si="37"/>
        <v>0</v>
      </c>
      <c r="C305" s="184"/>
      <c r="D305" s="185"/>
      <c r="E305" s="185"/>
      <c r="F305" s="185"/>
      <c r="G305" s="185"/>
      <c r="H305" s="185"/>
      <c r="I305" s="185"/>
      <c r="J305" s="185"/>
      <c r="K305" s="185"/>
      <c r="L305" s="185"/>
      <c r="M305" s="185"/>
      <c r="N305" s="185"/>
      <c r="O305" s="185"/>
      <c r="P305" s="185"/>
      <c r="Q305" s="185"/>
      <c r="R305" s="185"/>
      <c r="S305" s="185"/>
      <c r="T305" s="185"/>
      <c r="U305" s="185"/>
      <c r="V305" s="185"/>
      <c r="W305" s="185"/>
      <c r="X305" s="185"/>
      <c r="Y305" s="185"/>
      <c r="Z305" s="185"/>
      <c r="AA305" s="185"/>
      <c r="AB305" s="185"/>
      <c r="AC305" s="185"/>
      <c r="AD305" s="185"/>
      <c r="AE305" s="185"/>
      <c r="AF305" s="185"/>
      <c r="AG305" s="185"/>
      <c r="AH305" s="183">
        <f t="shared" si="38"/>
        <v>0</v>
      </c>
    </row>
    <row r="306" spans="1:34" ht="13.5">
      <c r="A306" s="166" t="s">
        <v>82</v>
      </c>
      <c r="B306" s="159">
        <f t="shared" si="37"/>
        <v>0</v>
      </c>
      <c r="C306" s="184"/>
      <c r="D306" s="185"/>
      <c r="E306" s="185"/>
      <c r="F306" s="185"/>
      <c r="G306" s="185"/>
      <c r="H306" s="185"/>
      <c r="I306" s="185"/>
      <c r="J306" s="185"/>
      <c r="K306" s="185"/>
      <c r="L306" s="185"/>
      <c r="M306" s="185"/>
      <c r="N306" s="185"/>
      <c r="O306" s="185"/>
      <c r="P306" s="185"/>
      <c r="Q306" s="185"/>
      <c r="R306" s="185"/>
      <c r="S306" s="185"/>
      <c r="T306" s="185"/>
      <c r="U306" s="185"/>
      <c r="V306" s="185"/>
      <c r="W306" s="185"/>
      <c r="X306" s="185"/>
      <c r="Y306" s="185"/>
      <c r="Z306" s="185"/>
      <c r="AA306" s="185"/>
      <c r="AB306" s="185"/>
      <c r="AC306" s="185"/>
      <c r="AD306" s="185"/>
      <c r="AE306" s="185"/>
      <c r="AF306" s="185"/>
      <c r="AG306" s="185"/>
      <c r="AH306" s="183">
        <f t="shared" si="38"/>
        <v>0</v>
      </c>
    </row>
    <row r="307" spans="1:34" ht="13.5">
      <c r="A307" s="166" t="s">
        <v>83</v>
      </c>
      <c r="B307" s="159">
        <f t="shared" si="37"/>
        <v>0</v>
      </c>
      <c r="C307" s="184"/>
      <c r="D307" s="185"/>
      <c r="E307" s="185"/>
      <c r="F307" s="185"/>
      <c r="G307" s="185"/>
      <c r="H307" s="185"/>
      <c r="I307" s="185"/>
      <c r="J307" s="185"/>
      <c r="K307" s="185"/>
      <c r="L307" s="185"/>
      <c r="M307" s="185"/>
      <c r="N307" s="185"/>
      <c r="O307" s="185"/>
      <c r="P307" s="185"/>
      <c r="Q307" s="185"/>
      <c r="R307" s="185"/>
      <c r="S307" s="185"/>
      <c r="T307" s="185"/>
      <c r="U307" s="185"/>
      <c r="V307" s="185"/>
      <c r="W307" s="185"/>
      <c r="X307" s="185"/>
      <c r="Y307" s="185"/>
      <c r="Z307" s="185"/>
      <c r="AA307" s="185"/>
      <c r="AB307" s="185"/>
      <c r="AC307" s="185"/>
      <c r="AD307" s="185"/>
      <c r="AE307" s="185"/>
      <c r="AF307" s="185"/>
      <c r="AG307" s="185"/>
      <c r="AH307" s="183">
        <f t="shared" si="38"/>
        <v>0</v>
      </c>
    </row>
    <row r="308" spans="1:34" ht="13.5">
      <c r="A308" s="166" t="s">
        <v>84</v>
      </c>
      <c r="B308" s="159">
        <f t="shared" si="37"/>
        <v>0</v>
      </c>
      <c r="C308" s="184"/>
      <c r="D308" s="185"/>
      <c r="E308" s="185"/>
      <c r="F308" s="185"/>
      <c r="G308" s="185"/>
      <c r="H308" s="185"/>
      <c r="I308" s="185"/>
      <c r="J308" s="185"/>
      <c r="K308" s="185"/>
      <c r="L308" s="185"/>
      <c r="M308" s="185"/>
      <c r="N308" s="185"/>
      <c r="O308" s="185"/>
      <c r="P308" s="185"/>
      <c r="Q308" s="185"/>
      <c r="R308" s="185"/>
      <c r="S308" s="185"/>
      <c r="T308" s="185"/>
      <c r="U308" s="185"/>
      <c r="V308" s="185"/>
      <c r="W308" s="185"/>
      <c r="X308" s="185"/>
      <c r="Y308" s="185"/>
      <c r="Z308" s="185"/>
      <c r="AA308" s="185"/>
      <c r="AB308" s="185"/>
      <c r="AC308" s="185"/>
      <c r="AD308" s="185"/>
      <c r="AE308" s="185"/>
      <c r="AF308" s="185"/>
      <c r="AG308" s="185"/>
      <c r="AH308" s="183">
        <f t="shared" si="38"/>
        <v>0</v>
      </c>
    </row>
    <row r="309" spans="1:34" ht="13.5">
      <c r="A309" s="179" t="s">
        <v>85</v>
      </c>
      <c r="B309" s="159">
        <f t="shared" si="37"/>
        <v>0</v>
      </c>
      <c r="C309" s="184"/>
      <c r="D309" s="185"/>
      <c r="E309" s="185"/>
      <c r="F309" s="185"/>
      <c r="G309" s="185"/>
      <c r="H309" s="185"/>
      <c r="I309" s="185"/>
      <c r="J309" s="185"/>
      <c r="K309" s="185"/>
      <c r="L309" s="185"/>
      <c r="M309" s="185"/>
      <c r="N309" s="185"/>
      <c r="O309" s="185"/>
      <c r="P309" s="185"/>
      <c r="Q309" s="185"/>
      <c r="R309" s="185"/>
      <c r="S309" s="185"/>
      <c r="T309" s="185"/>
      <c r="U309" s="185"/>
      <c r="V309" s="185"/>
      <c r="W309" s="185"/>
      <c r="X309" s="185"/>
      <c r="Y309" s="185"/>
      <c r="Z309" s="185"/>
      <c r="AA309" s="185"/>
      <c r="AB309" s="185"/>
      <c r="AC309" s="185"/>
      <c r="AD309" s="185"/>
      <c r="AE309" s="185"/>
      <c r="AF309" s="185"/>
      <c r="AG309" s="185"/>
      <c r="AH309" s="183">
        <f t="shared" si="38"/>
        <v>0</v>
      </c>
    </row>
    <row r="310" spans="1:34" ht="13.5">
      <c r="A310" s="179" t="s">
        <v>86</v>
      </c>
      <c r="B310" s="159">
        <f t="shared" si="37"/>
        <v>0</v>
      </c>
      <c r="C310" s="184"/>
      <c r="D310" s="185"/>
      <c r="E310" s="185"/>
      <c r="F310" s="185"/>
      <c r="G310" s="185"/>
      <c r="H310" s="185"/>
      <c r="I310" s="185"/>
      <c r="J310" s="185"/>
      <c r="K310" s="185"/>
      <c r="L310" s="185"/>
      <c r="M310" s="185"/>
      <c r="N310" s="185"/>
      <c r="O310" s="185"/>
      <c r="P310" s="185"/>
      <c r="Q310" s="185"/>
      <c r="R310" s="185"/>
      <c r="S310" s="185"/>
      <c r="T310" s="185"/>
      <c r="U310" s="185"/>
      <c r="V310" s="185"/>
      <c r="W310" s="185"/>
      <c r="X310" s="185"/>
      <c r="Y310" s="185"/>
      <c r="Z310" s="185"/>
      <c r="AA310" s="185"/>
      <c r="AB310" s="185"/>
      <c r="AC310" s="185"/>
      <c r="AD310" s="185"/>
      <c r="AE310" s="185"/>
      <c r="AF310" s="185"/>
      <c r="AG310" s="185"/>
      <c r="AH310" s="183">
        <f t="shared" si="38"/>
        <v>0</v>
      </c>
    </row>
    <row r="311" spans="1:34" ht="13.5">
      <c r="A311" s="186" t="s">
        <v>52</v>
      </c>
      <c r="B311" s="838">
        <f>SUM(B299:B310)</f>
        <v>0</v>
      </c>
      <c r="C311" s="187"/>
      <c r="D311" s="187"/>
      <c r="E311" s="187"/>
      <c r="F311" s="187"/>
      <c r="G311" s="187"/>
      <c r="H311" s="187"/>
      <c r="I311" s="187"/>
      <c r="J311" s="187"/>
      <c r="K311" s="187"/>
      <c r="L311" s="187"/>
      <c r="M311" s="187"/>
      <c r="N311" s="187"/>
      <c r="O311" s="187"/>
      <c r="P311" s="187"/>
      <c r="Q311" s="187"/>
      <c r="R311" s="187"/>
      <c r="S311" s="187"/>
      <c r="T311" s="187"/>
      <c r="U311" s="187"/>
      <c r="V311" s="187"/>
      <c r="W311" s="187"/>
      <c r="X311" s="187"/>
      <c r="Y311" s="187"/>
      <c r="Z311" s="187"/>
      <c r="AA311" s="187"/>
      <c r="AB311" s="187"/>
      <c r="AC311" s="187"/>
      <c r="AD311" s="187"/>
      <c r="AE311" s="187"/>
      <c r="AF311" s="187"/>
      <c r="AG311" s="187"/>
      <c r="AH311" s="188"/>
    </row>
    <row r="313" spans="1:34" ht="13.5" thickBot="1"/>
    <row r="314" spans="1:34" ht="14.25" thickBot="1">
      <c r="A314" s="3716" t="s">
        <v>319</v>
      </c>
      <c r="B314" s="3717"/>
      <c r="C314" s="3717"/>
      <c r="D314" s="627" t="s">
        <v>40</v>
      </c>
      <c r="E314" s="623"/>
      <c r="F314" s="628"/>
    </row>
    <row r="315" spans="1:34" ht="13.5">
      <c r="A315" s="178" t="s">
        <v>72</v>
      </c>
      <c r="B315" s="178" t="s">
        <v>73</v>
      </c>
      <c r="C315" s="1487">
        <v>1</v>
      </c>
      <c r="D315" s="248">
        <v>2</v>
      </c>
      <c r="E315" s="248">
        <v>3</v>
      </c>
      <c r="F315" s="248">
        <v>4</v>
      </c>
      <c r="G315" s="179">
        <v>5</v>
      </c>
      <c r="H315" s="179">
        <v>6</v>
      </c>
      <c r="I315" s="179">
        <v>7</v>
      </c>
      <c r="J315" s="179">
        <v>8</v>
      </c>
      <c r="K315" s="179">
        <v>9</v>
      </c>
      <c r="L315" s="179">
        <v>10</v>
      </c>
      <c r="M315" s="179">
        <v>11</v>
      </c>
      <c r="N315" s="179">
        <v>12</v>
      </c>
      <c r="O315" s="179">
        <v>13</v>
      </c>
      <c r="P315" s="179">
        <v>14</v>
      </c>
      <c r="Q315" s="179">
        <v>15</v>
      </c>
      <c r="R315" s="179">
        <v>16</v>
      </c>
      <c r="S315" s="179">
        <v>17</v>
      </c>
      <c r="T315" s="179">
        <v>18</v>
      </c>
      <c r="U315" s="179">
        <v>19</v>
      </c>
      <c r="V315" s="179">
        <v>20</v>
      </c>
      <c r="W315" s="166">
        <v>21</v>
      </c>
      <c r="X315" s="179">
        <v>22</v>
      </c>
      <c r="Y315" s="179">
        <v>23</v>
      </c>
      <c r="Z315" s="179">
        <v>24</v>
      </c>
      <c r="AA315" s="179">
        <v>25</v>
      </c>
      <c r="AB315" s="179">
        <v>26</v>
      </c>
      <c r="AC315" s="179">
        <v>27</v>
      </c>
      <c r="AD315" s="179">
        <v>28</v>
      </c>
      <c r="AE315" s="179">
        <v>29</v>
      </c>
      <c r="AF315" s="179">
        <v>30</v>
      </c>
      <c r="AG315" s="179">
        <v>31</v>
      </c>
      <c r="AH315" s="181" t="s">
        <v>52</v>
      </c>
    </row>
    <row r="316" spans="1:34" ht="13.5">
      <c r="A316" s="166" t="s">
        <v>75</v>
      </c>
      <c r="B316" s="159">
        <f t="shared" ref="B316:B327" si="39">+AH316</f>
        <v>0</v>
      </c>
      <c r="C316" s="182"/>
      <c r="D316" s="182"/>
      <c r="E316" s="182"/>
      <c r="F316" s="182"/>
      <c r="G316" s="182"/>
      <c r="H316" s="182"/>
      <c r="I316" s="182"/>
      <c r="J316" s="182"/>
      <c r="K316" s="182"/>
      <c r="L316" s="182"/>
      <c r="M316" s="182"/>
      <c r="N316" s="182"/>
      <c r="O316" s="182"/>
      <c r="P316" s="182"/>
      <c r="Q316" s="182"/>
      <c r="R316" s="182"/>
      <c r="S316" s="182"/>
      <c r="T316" s="182"/>
      <c r="U316" s="182"/>
      <c r="V316" s="182"/>
      <c r="W316" s="182"/>
      <c r="X316" s="182"/>
      <c r="Y316" s="182"/>
      <c r="Z316" s="182"/>
      <c r="AA316" s="182"/>
      <c r="AB316" s="182"/>
      <c r="AC316" s="182"/>
      <c r="AD316" s="182"/>
      <c r="AE316" s="182"/>
      <c r="AF316" s="182"/>
      <c r="AG316" s="182"/>
      <c r="AH316" s="183">
        <f>SUM(C316:AG316)</f>
        <v>0</v>
      </c>
    </row>
    <row r="317" spans="1:34" ht="13.5">
      <c r="A317" s="166" t="s">
        <v>76</v>
      </c>
      <c r="B317" s="159">
        <f t="shared" si="39"/>
        <v>0</v>
      </c>
      <c r="C317" s="182"/>
      <c r="D317" s="182"/>
      <c r="E317" s="182"/>
      <c r="F317" s="182"/>
      <c r="G317" s="182"/>
      <c r="H317" s="182"/>
      <c r="I317" s="182"/>
      <c r="J317" s="182"/>
      <c r="K317" s="182"/>
      <c r="L317" s="182"/>
      <c r="M317" s="182"/>
      <c r="N317" s="182"/>
      <c r="O317" s="182"/>
      <c r="P317" s="182"/>
      <c r="Q317" s="182"/>
      <c r="R317" s="182"/>
      <c r="S317" s="182"/>
      <c r="T317" s="182"/>
      <c r="U317" s="182"/>
      <c r="V317" s="182"/>
      <c r="W317" s="182"/>
      <c r="X317" s="182"/>
      <c r="Y317" s="182"/>
      <c r="Z317" s="182"/>
      <c r="AA317" s="182"/>
      <c r="AB317" s="182"/>
      <c r="AC317" s="182"/>
      <c r="AD317" s="182"/>
      <c r="AE317" s="182"/>
      <c r="AF317" s="182"/>
      <c r="AG317" s="182"/>
      <c r="AH317" s="183">
        <f t="shared" ref="AH317:AH327" si="40">SUM(C317:AG317)</f>
        <v>0</v>
      </c>
    </row>
    <row r="318" spans="1:34" ht="13.5">
      <c r="A318" s="166" t="s">
        <v>77</v>
      </c>
      <c r="B318" s="159">
        <f t="shared" si="39"/>
        <v>0</v>
      </c>
      <c r="C318" s="182"/>
      <c r="D318" s="182"/>
      <c r="E318" s="182"/>
      <c r="F318" s="182"/>
      <c r="G318" s="182"/>
      <c r="H318" s="182"/>
      <c r="I318" s="182"/>
      <c r="J318" s="182"/>
      <c r="K318" s="182"/>
      <c r="L318" s="182"/>
      <c r="M318" s="182"/>
      <c r="N318" s="182"/>
      <c r="O318" s="182"/>
      <c r="P318" s="182"/>
      <c r="Q318" s="182"/>
      <c r="R318" s="182"/>
      <c r="S318" s="182"/>
      <c r="T318" s="182"/>
      <c r="U318" s="182"/>
      <c r="V318" s="182"/>
      <c r="W318" s="182"/>
      <c r="X318" s="182"/>
      <c r="Y318" s="182"/>
      <c r="Z318" s="182"/>
      <c r="AA318" s="182"/>
      <c r="AB318" s="182"/>
      <c r="AC318" s="182"/>
      <c r="AD318" s="182"/>
      <c r="AE318" s="182"/>
      <c r="AF318" s="182"/>
      <c r="AG318" s="182"/>
      <c r="AH318" s="183">
        <f t="shared" si="40"/>
        <v>0</v>
      </c>
    </row>
    <row r="319" spans="1:34" ht="13.5">
      <c r="A319" s="166" t="s">
        <v>78</v>
      </c>
      <c r="B319" s="159">
        <f t="shared" si="39"/>
        <v>0</v>
      </c>
      <c r="C319" s="184"/>
      <c r="D319" s="185"/>
      <c r="E319" s="185"/>
      <c r="F319" s="185"/>
      <c r="G319" s="185"/>
      <c r="H319" s="185"/>
      <c r="I319" s="185"/>
      <c r="J319" s="185"/>
      <c r="K319" s="185"/>
      <c r="L319" s="185"/>
      <c r="M319" s="185"/>
      <c r="N319" s="185"/>
      <c r="O319" s="185"/>
      <c r="P319" s="185"/>
      <c r="Q319" s="185"/>
      <c r="R319" s="185"/>
      <c r="S319" s="185"/>
      <c r="T319" s="185"/>
      <c r="U319" s="185"/>
      <c r="V319" s="185"/>
      <c r="W319" s="185"/>
      <c r="X319" s="185"/>
      <c r="Y319" s="185"/>
      <c r="Z319" s="185"/>
      <c r="AA319" s="185"/>
      <c r="AB319" s="185"/>
      <c r="AC319" s="185"/>
      <c r="AD319" s="185"/>
      <c r="AE319" s="185"/>
      <c r="AF319" s="185"/>
      <c r="AG319" s="185"/>
      <c r="AH319" s="183">
        <f t="shared" si="40"/>
        <v>0</v>
      </c>
    </row>
    <row r="320" spans="1:34" ht="13.5">
      <c r="A320" s="166" t="s">
        <v>79</v>
      </c>
      <c r="B320" s="159">
        <f t="shared" si="39"/>
        <v>0</v>
      </c>
      <c r="C320" s="184"/>
      <c r="D320" s="185"/>
      <c r="E320" s="185"/>
      <c r="F320" s="185"/>
      <c r="G320" s="185"/>
      <c r="H320" s="185"/>
      <c r="I320" s="185"/>
      <c r="J320" s="185"/>
      <c r="K320" s="185"/>
      <c r="L320" s="185"/>
      <c r="M320" s="185"/>
      <c r="N320" s="185"/>
      <c r="O320" s="185"/>
      <c r="P320" s="185"/>
      <c r="Q320" s="185"/>
      <c r="R320" s="185"/>
      <c r="S320" s="185"/>
      <c r="T320" s="185"/>
      <c r="U320" s="185"/>
      <c r="V320" s="185"/>
      <c r="W320" s="185"/>
      <c r="X320" s="185"/>
      <c r="Y320" s="185"/>
      <c r="Z320" s="185"/>
      <c r="AA320" s="185"/>
      <c r="AB320" s="185"/>
      <c r="AC320" s="185"/>
      <c r="AD320" s="185"/>
      <c r="AE320" s="185"/>
      <c r="AF320" s="185"/>
      <c r="AG320" s="185"/>
      <c r="AH320" s="183">
        <f t="shared" si="40"/>
        <v>0</v>
      </c>
    </row>
    <row r="321" spans="1:34" ht="13.5">
      <c r="A321" s="166" t="s">
        <v>80</v>
      </c>
      <c r="B321" s="159">
        <f t="shared" si="39"/>
        <v>0</v>
      </c>
      <c r="C321" s="184"/>
      <c r="D321" s="185"/>
      <c r="E321" s="185"/>
      <c r="F321" s="185"/>
      <c r="G321" s="185"/>
      <c r="H321" s="185"/>
      <c r="I321" s="185"/>
      <c r="J321" s="185"/>
      <c r="K321" s="185"/>
      <c r="L321" s="185"/>
      <c r="M321" s="185"/>
      <c r="N321" s="185"/>
      <c r="O321" s="185"/>
      <c r="P321" s="185"/>
      <c r="Q321" s="185"/>
      <c r="R321" s="185"/>
      <c r="S321" s="185"/>
      <c r="T321" s="185"/>
      <c r="U321" s="185"/>
      <c r="V321" s="185"/>
      <c r="W321" s="185"/>
      <c r="X321" s="185"/>
      <c r="Y321" s="185"/>
      <c r="Z321" s="185"/>
      <c r="AA321" s="185"/>
      <c r="AB321" s="185"/>
      <c r="AC321" s="185"/>
      <c r="AD321" s="185"/>
      <c r="AE321" s="185"/>
      <c r="AF321" s="185"/>
      <c r="AG321" s="185"/>
      <c r="AH321" s="183">
        <f t="shared" si="40"/>
        <v>0</v>
      </c>
    </row>
    <row r="322" spans="1:34" ht="13.5">
      <c r="A322" s="166" t="s">
        <v>81</v>
      </c>
      <c r="B322" s="159">
        <f t="shared" si="39"/>
        <v>0</v>
      </c>
      <c r="C322" s="184"/>
      <c r="D322" s="185"/>
      <c r="E322" s="185"/>
      <c r="F322" s="185"/>
      <c r="G322" s="185"/>
      <c r="H322" s="185"/>
      <c r="I322" s="185"/>
      <c r="J322" s="185"/>
      <c r="K322" s="185"/>
      <c r="L322" s="185"/>
      <c r="M322" s="185"/>
      <c r="N322" s="185"/>
      <c r="O322" s="185"/>
      <c r="P322" s="185"/>
      <c r="Q322" s="185"/>
      <c r="R322" s="185"/>
      <c r="S322" s="185"/>
      <c r="T322" s="185"/>
      <c r="U322" s="185"/>
      <c r="V322" s="185"/>
      <c r="W322" s="185"/>
      <c r="X322" s="185"/>
      <c r="Y322" s="185"/>
      <c r="Z322" s="185"/>
      <c r="AA322" s="185"/>
      <c r="AB322" s="185"/>
      <c r="AC322" s="185"/>
      <c r="AD322" s="185"/>
      <c r="AE322" s="185"/>
      <c r="AF322" s="185"/>
      <c r="AG322" s="185"/>
      <c r="AH322" s="183">
        <f t="shared" si="40"/>
        <v>0</v>
      </c>
    </row>
    <row r="323" spans="1:34" ht="13.5">
      <c r="A323" s="166" t="s">
        <v>82</v>
      </c>
      <c r="B323" s="159">
        <f t="shared" si="39"/>
        <v>0</v>
      </c>
      <c r="C323" s="184"/>
      <c r="D323" s="185"/>
      <c r="E323" s="185"/>
      <c r="F323" s="185"/>
      <c r="G323" s="185"/>
      <c r="H323" s="185"/>
      <c r="I323" s="185"/>
      <c r="J323" s="185"/>
      <c r="K323" s="185"/>
      <c r="L323" s="185"/>
      <c r="M323" s="185"/>
      <c r="N323" s="185"/>
      <c r="O323" s="185"/>
      <c r="P323" s="185"/>
      <c r="Q323" s="185"/>
      <c r="R323" s="185"/>
      <c r="S323" s="185"/>
      <c r="T323" s="185"/>
      <c r="U323" s="185"/>
      <c r="V323" s="185"/>
      <c r="W323" s="185"/>
      <c r="X323" s="185"/>
      <c r="Y323" s="185"/>
      <c r="Z323" s="185"/>
      <c r="AA323" s="185"/>
      <c r="AB323" s="185"/>
      <c r="AC323" s="185"/>
      <c r="AD323" s="185"/>
      <c r="AE323" s="185"/>
      <c r="AF323" s="185"/>
      <c r="AG323" s="185"/>
      <c r="AH323" s="183">
        <f t="shared" si="40"/>
        <v>0</v>
      </c>
    </row>
    <row r="324" spans="1:34" ht="13.5">
      <c r="A324" s="166" t="s">
        <v>83</v>
      </c>
      <c r="B324" s="159">
        <f t="shared" si="39"/>
        <v>0</v>
      </c>
      <c r="C324" s="184"/>
      <c r="D324" s="185"/>
      <c r="E324" s="185"/>
      <c r="F324" s="185"/>
      <c r="G324" s="185"/>
      <c r="H324" s="185"/>
      <c r="I324" s="185"/>
      <c r="J324" s="185"/>
      <c r="K324" s="185"/>
      <c r="L324" s="185"/>
      <c r="M324" s="185"/>
      <c r="N324" s="185"/>
      <c r="O324" s="185"/>
      <c r="P324" s="185"/>
      <c r="Q324" s="185"/>
      <c r="R324" s="185"/>
      <c r="S324" s="185"/>
      <c r="T324" s="185"/>
      <c r="U324" s="185"/>
      <c r="V324" s="185"/>
      <c r="W324" s="185"/>
      <c r="X324" s="185"/>
      <c r="Y324" s="185"/>
      <c r="Z324" s="185"/>
      <c r="AA324" s="185"/>
      <c r="AB324" s="185"/>
      <c r="AC324" s="185"/>
      <c r="AD324" s="185"/>
      <c r="AE324" s="185"/>
      <c r="AF324" s="185"/>
      <c r="AG324" s="185"/>
      <c r="AH324" s="183">
        <f t="shared" si="40"/>
        <v>0</v>
      </c>
    </row>
    <row r="325" spans="1:34" ht="13.5">
      <c r="A325" s="166" t="s">
        <v>84</v>
      </c>
      <c r="B325" s="159">
        <f t="shared" si="39"/>
        <v>0</v>
      </c>
      <c r="C325" s="683"/>
      <c r="D325" s="683"/>
      <c r="E325" s="683"/>
      <c r="F325" s="683"/>
      <c r="G325" s="683"/>
      <c r="H325" s="683"/>
      <c r="I325" s="683"/>
      <c r="J325" s="683"/>
      <c r="K325" s="683"/>
      <c r="L325" s="683"/>
      <c r="M325" s="683"/>
      <c r="N325" s="683"/>
      <c r="O325" s="683"/>
      <c r="P325" s="683"/>
      <c r="Q325" s="683"/>
      <c r="R325" s="683"/>
      <c r="S325" s="683"/>
      <c r="T325" s="683"/>
      <c r="U325" s="683"/>
      <c r="V325" s="683"/>
      <c r="W325" s="683"/>
      <c r="X325" s="683"/>
      <c r="Y325" s="683"/>
      <c r="Z325" s="683"/>
      <c r="AA325" s="683"/>
      <c r="AB325" s="683"/>
      <c r="AC325" s="683"/>
      <c r="AD325" s="683"/>
      <c r="AE325" s="683"/>
      <c r="AF325" s="683"/>
      <c r="AG325" s="683"/>
      <c r="AH325" s="967">
        <f t="shared" si="40"/>
        <v>0</v>
      </c>
    </row>
    <row r="326" spans="1:34" ht="13.5">
      <c r="A326" s="166" t="s">
        <v>85</v>
      </c>
      <c r="B326" s="159">
        <f t="shared" si="39"/>
        <v>0</v>
      </c>
      <c r="C326" s="968"/>
      <c r="D326" s="969"/>
      <c r="E326" s="969"/>
      <c r="F326" s="969"/>
      <c r="G326" s="969"/>
      <c r="H326" s="969"/>
      <c r="I326" s="969"/>
      <c r="J326" s="969"/>
      <c r="K326" s="969"/>
      <c r="L326" s="969"/>
      <c r="M326" s="969"/>
      <c r="N326" s="969"/>
      <c r="O326" s="969"/>
      <c r="P326" s="969"/>
      <c r="Q326" s="969"/>
      <c r="R326" s="969"/>
      <c r="S326" s="969"/>
      <c r="T326" s="969"/>
      <c r="U326" s="969"/>
      <c r="V326" s="969"/>
      <c r="W326" s="969"/>
      <c r="X326" s="969"/>
      <c r="Y326" s="969"/>
      <c r="Z326" s="969"/>
      <c r="AA326" s="969"/>
      <c r="AB326" s="969"/>
      <c r="AC326" s="969"/>
      <c r="AD326" s="969"/>
      <c r="AE326" s="969"/>
      <c r="AF326" s="969"/>
      <c r="AG326" s="969"/>
      <c r="AH326" s="183">
        <f t="shared" si="40"/>
        <v>0</v>
      </c>
    </row>
    <row r="327" spans="1:34" ht="13.5">
      <c r="A327" s="179" t="s">
        <v>86</v>
      </c>
      <c r="B327" s="159">
        <f t="shared" si="39"/>
        <v>0</v>
      </c>
      <c r="C327" s="184"/>
      <c r="D327" s="185"/>
      <c r="E327" s="185"/>
      <c r="F327" s="185"/>
      <c r="G327" s="185"/>
      <c r="H327" s="185"/>
      <c r="I327" s="185"/>
      <c r="J327" s="185"/>
      <c r="K327" s="185"/>
      <c r="L327" s="185"/>
      <c r="M327" s="185"/>
      <c r="N327" s="185"/>
      <c r="O327" s="185"/>
      <c r="P327" s="185"/>
      <c r="Q327" s="185"/>
      <c r="R327" s="185"/>
      <c r="S327" s="185"/>
      <c r="T327" s="185"/>
      <c r="U327" s="185"/>
      <c r="V327" s="185"/>
      <c r="W327" s="185"/>
      <c r="X327" s="185"/>
      <c r="Y327" s="185"/>
      <c r="Z327" s="185"/>
      <c r="AA327" s="185"/>
      <c r="AB327" s="185"/>
      <c r="AC327" s="185"/>
      <c r="AD327" s="185"/>
      <c r="AE327" s="185"/>
      <c r="AF327" s="185"/>
      <c r="AG327" s="185"/>
      <c r="AH327" s="183">
        <f t="shared" si="40"/>
        <v>0</v>
      </c>
    </row>
    <row r="328" spans="1:34" ht="13.5">
      <c r="A328" s="186" t="s">
        <v>52</v>
      </c>
      <c r="B328" s="186">
        <f>SUM(B316:B327)</f>
        <v>0</v>
      </c>
      <c r="C328" s="187"/>
      <c r="D328" s="187"/>
      <c r="E328" s="187"/>
      <c r="F328" s="187"/>
      <c r="G328" s="187"/>
      <c r="H328" s="187"/>
      <c r="I328" s="187"/>
      <c r="J328" s="187"/>
      <c r="K328" s="187"/>
      <c r="L328" s="187"/>
      <c r="M328" s="187"/>
      <c r="N328" s="187"/>
      <c r="O328" s="187"/>
      <c r="P328" s="187"/>
      <c r="Q328" s="187"/>
      <c r="R328" s="187"/>
      <c r="S328" s="187"/>
      <c r="T328" s="187"/>
      <c r="U328" s="187"/>
      <c r="V328" s="187"/>
      <c r="W328" s="187"/>
      <c r="X328" s="187"/>
      <c r="Y328" s="187"/>
      <c r="Z328" s="187"/>
      <c r="AA328" s="187"/>
      <c r="AB328" s="187"/>
      <c r="AC328" s="187"/>
      <c r="AD328" s="187"/>
      <c r="AE328" s="187"/>
      <c r="AF328" s="187"/>
      <c r="AG328" s="187"/>
      <c r="AH328" s="188"/>
    </row>
    <row r="329" spans="1:34" ht="13.5" thickBot="1"/>
    <row r="330" spans="1:34" ht="14.25" thickBot="1">
      <c r="A330" s="3716" t="s">
        <v>323</v>
      </c>
      <c r="B330" s="3717"/>
      <c r="C330" s="3717"/>
      <c r="D330" s="627" t="s">
        <v>40</v>
      </c>
      <c r="E330" s="623"/>
      <c r="F330" s="628"/>
    </row>
    <row r="331" spans="1:34" ht="13.5">
      <c r="A331" s="178" t="s">
        <v>72</v>
      </c>
      <c r="B331" s="178" t="s">
        <v>73</v>
      </c>
      <c r="C331" s="1487">
        <v>1</v>
      </c>
      <c r="D331" s="248">
        <v>2</v>
      </c>
      <c r="E331" s="248">
        <v>3</v>
      </c>
      <c r="F331" s="248">
        <v>4</v>
      </c>
      <c r="G331" s="179">
        <v>5</v>
      </c>
      <c r="H331" s="179">
        <v>6</v>
      </c>
      <c r="I331" s="179">
        <v>7</v>
      </c>
      <c r="J331" s="179">
        <v>8</v>
      </c>
      <c r="K331" s="179">
        <v>9</v>
      </c>
      <c r="L331" s="179">
        <v>10</v>
      </c>
      <c r="M331" s="179">
        <v>11</v>
      </c>
      <c r="N331" s="179">
        <v>12</v>
      </c>
      <c r="O331" s="179">
        <v>13</v>
      </c>
      <c r="P331" s="179">
        <v>14</v>
      </c>
      <c r="Q331" s="179">
        <v>15</v>
      </c>
      <c r="R331" s="179">
        <v>16</v>
      </c>
      <c r="S331" s="179">
        <v>17</v>
      </c>
      <c r="T331" s="179">
        <v>18</v>
      </c>
      <c r="U331" s="179">
        <v>19</v>
      </c>
      <c r="V331" s="179">
        <v>20</v>
      </c>
      <c r="W331" s="166">
        <v>21</v>
      </c>
      <c r="X331" s="179">
        <v>22</v>
      </c>
      <c r="Y331" s="179">
        <v>23</v>
      </c>
      <c r="Z331" s="179">
        <v>24</v>
      </c>
      <c r="AA331" s="179">
        <v>25</v>
      </c>
      <c r="AB331" s="179">
        <v>26</v>
      </c>
      <c r="AC331" s="179">
        <v>27</v>
      </c>
      <c r="AD331" s="179">
        <v>28</v>
      </c>
      <c r="AE331" s="179">
        <v>29</v>
      </c>
      <c r="AF331" s="179">
        <v>30</v>
      </c>
      <c r="AG331" s="179">
        <v>31</v>
      </c>
      <c r="AH331" s="181" t="s">
        <v>52</v>
      </c>
    </row>
    <row r="332" spans="1:34" ht="13.5">
      <c r="A332" s="166" t="s">
        <v>75</v>
      </c>
      <c r="B332" s="159">
        <f t="shared" ref="B332:B343" si="41">+AH332</f>
        <v>0</v>
      </c>
      <c r="C332" s="182"/>
      <c r="D332" s="182"/>
      <c r="E332" s="182"/>
      <c r="F332" s="182"/>
      <c r="G332" s="182"/>
      <c r="H332" s="182"/>
      <c r="I332" s="182"/>
      <c r="J332" s="182"/>
      <c r="K332" s="182"/>
      <c r="L332" s="182"/>
      <c r="M332" s="182"/>
      <c r="N332" s="182"/>
      <c r="O332" s="182"/>
      <c r="P332" s="182"/>
      <c r="Q332" s="182"/>
      <c r="R332" s="182"/>
      <c r="S332" s="182"/>
      <c r="T332" s="182"/>
      <c r="U332" s="182"/>
      <c r="V332" s="182"/>
      <c r="W332" s="182"/>
      <c r="X332" s="182"/>
      <c r="Y332" s="182"/>
      <c r="Z332" s="182"/>
      <c r="AA332" s="182"/>
      <c r="AB332" s="182"/>
      <c r="AC332" s="182"/>
      <c r="AD332" s="182"/>
      <c r="AE332" s="182"/>
      <c r="AF332" s="182"/>
      <c r="AG332" s="182"/>
      <c r="AH332" s="183">
        <f>SUM(C332:AG332)</f>
        <v>0</v>
      </c>
    </row>
    <row r="333" spans="1:34" ht="13.5">
      <c r="A333" s="166" t="s">
        <v>76</v>
      </c>
      <c r="B333" s="159">
        <f t="shared" si="41"/>
        <v>0</v>
      </c>
      <c r="C333" s="182"/>
      <c r="D333" s="182"/>
      <c r="E333" s="182"/>
      <c r="F333" s="182"/>
      <c r="G333" s="182"/>
      <c r="H333" s="182"/>
      <c r="I333" s="182"/>
      <c r="J333" s="182"/>
      <c r="K333" s="182"/>
      <c r="L333" s="182"/>
      <c r="M333" s="182"/>
      <c r="N333" s="182"/>
      <c r="O333" s="182"/>
      <c r="P333" s="182"/>
      <c r="Q333" s="182"/>
      <c r="R333" s="182"/>
      <c r="S333" s="182"/>
      <c r="T333" s="182"/>
      <c r="U333" s="182"/>
      <c r="V333" s="182"/>
      <c r="W333" s="182"/>
      <c r="X333" s="182"/>
      <c r="Y333" s="182"/>
      <c r="Z333" s="182"/>
      <c r="AA333" s="182"/>
      <c r="AB333" s="182"/>
      <c r="AC333" s="182"/>
      <c r="AD333" s="182"/>
      <c r="AE333" s="182"/>
      <c r="AF333" s="182"/>
      <c r="AG333" s="182"/>
      <c r="AH333" s="183">
        <f t="shared" ref="AH333:AH343" si="42">SUM(C333:AG333)</f>
        <v>0</v>
      </c>
    </row>
    <row r="334" spans="1:34" ht="13.5">
      <c r="A334" s="166" t="s">
        <v>77</v>
      </c>
      <c r="B334" s="159">
        <f t="shared" si="41"/>
        <v>0</v>
      </c>
      <c r="C334" s="182"/>
      <c r="D334" s="182"/>
      <c r="E334" s="182"/>
      <c r="F334" s="182"/>
      <c r="G334" s="182"/>
      <c r="H334" s="182"/>
      <c r="I334" s="182"/>
      <c r="J334" s="182"/>
      <c r="K334" s="182"/>
      <c r="L334" s="182"/>
      <c r="M334" s="182"/>
      <c r="N334" s="182"/>
      <c r="O334" s="182"/>
      <c r="P334" s="182"/>
      <c r="Q334" s="182"/>
      <c r="R334" s="182"/>
      <c r="S334" s="182"/>
      <c r="T334" s="182"/>
      <c r="U334" s="182"/>
      <c r="V334" s="182"/>
      <c r="W334" s="182"/>
      <c r="X334" s="182"/>
      <c r="Y334" s="182"/>
      <c r="Z334" s="182"/>
      <c r="AA334" s="182"/>
      <c r="AB334" s="182"/>
      <c r="AC334" s="182"/>
      <c r="AD334" s="182"/>
      <c r="AE334" s="182"/>
      <c r="AF334" s="182"/>
      <c r="AG334" s="182"/>
      <c r="AH334" s="183">
        <f t="shared" si="42"/>
        <v>0</v>
      </c>
    </row>
    <row r="335" spans="1:34" ht="13.5">
      <c r="A335" s="166" t="s">
        <v>78</v>
      </c>
      <c r="B335" s="159">
        <f t="shared" si="41"/>
        <v>0</v>
      </c>
      <c r="C335" s="184"/>
      <c r="D335" s="185"/>
      <c r="E335" s="185"/>
      <c r="F335" s="185"/>
      <c r="G335" s="185"/>
      <c r="H335" s="185"/>
      <c r="I335" s="185"/>
      <c r="J335" s="185"/>
      <c r="K335" s="185"/>
      <c r="L335" s="185"/>
      <c r="M335" s="185"/>
      <c r="N335" s="185"/>
      <c r="O335" s="185"/>
      <c r="P335" s="185"/>
      <c r="Q335" s="185"/>
      <c r="R335" s="185"/>
      <c r="S335" s="185"/>
      <c r="T335" s="185"/>
      <c r="U335" s="185"/>
      <c r="V335" s="185"/>
      <c r="W335" s="185"/>
      <c r="X335" s="185"/>
      <c r="Y335" s="185"/>
      <c r="Z335" s="185"/>
      <c r="AA335" s="185"/>
      <c r="AB335" s="185"/>
      <c r="AC335" s="185"/>
      <c r="AD335" s="185"/>
      <c r="AE335" s="185"/>
      <c r="AF335" s="185"/>
      <c r="AG335" s="185"/>
      <c r="AH335" s="183">
        <f t="shared" si="42"/>
        <v>0</v>
      </c>
    </row>
    <row r="336" spans="1:34" ht="13.5">
      <c r="A336" s="166" t="s">
        <v>79</v>
      </c>
      <c r="B336" s="159">
        <f t="shared" si="41"/>
        <v>0</v>
      </c>
      <c r="C336" s="184"/>
      <c r="D336" s="185"/>
      <c r="E336" s="185"/>
      <c r="F336" s="185"/>
      <c r="G336" s="185"/>
      <c r="H336" s="185"/>
      <c r="I336" s="185"/>
      <c r="J336" s="185"/>
      <c r="K336" s="185"/>
      <c r="L336" s="185"/>
      <c r="M336" s="185"/>
      <c r="N336" s="185"/>
      <c r="O336" s="185"/>
      <c r="P336" s="185"/>
      <c r="Q336" s="185"/>
      <c r="R336" s="185"/>
      <c r="S336" s="185"/>
      <c r="T336" s="185"/>
      <c r="U336" s="185"/>
      <c r="V336" s="185"/>
      <c r="W336" s="185"/>
      <c r="X336" s="185"/>
      <c r="Y336" s="185"/>
      <c r="Z336" s="185"/>
      <c r="AA336" s="185"/>
      <c r="AB336" s="185"/>
      <c r="AC336" s="185"/>
      <c r="AD336" s="185"/>
      <c r="AE336" s="185"/>
      <c r="AF336" s="185"/>
      <c r="AG336" s="185"/>
      <c r="AH336" s="183">
        <f t="shared" si="42"/>
        <v>0</v>
      </c>
    </row>
    <row r="337" spans="1:34" ht="13.5">
      <c r="A337" s="166" t="s">
        <v>80</v>
      </c>
      <c r="B337" s="159">
        <f t="shared" si="41"/>
        <v>0</v>
      </c>
      <c r="C337" s="184"/>
      <c r="D337" s="185"/>
      <c r="E337" s="185"/>
      <c r="F337" s="185"/>
      <c r="G337" s="185"/>
      <c r="H337" s="185"/>
      <c r="I337" s="185"/>
      <c r="J337" s="185"/>
      <c r="K337" s="185"/>
      <c r="L337" s="185"/>
      <c r="M337" s="185"/>
      <c r="N337" s="185"/>
      <c r="O337" s="185"/>
      <c r="P337" s="185"/>
      <c r="Q337" s="185"/>
      <c r="R337" s="185"/>
      <c r="S337" s="185"/>
      <c r="T337" s="185"/>
      <c r="U337" s="185"/>
      <c r="V337" s="185"/>
      <c r="W337" s="185"/>
      <c r="X337" s="185"/>
      <c r="Y337" s="185"/>
      <c r="Z337" s="185"/>
      <c r="AA337" s="185"/>
      <c r="AB337" s="185"/>
      <c r="AC337" s="185"/>
      <c r="AD337" s="185"/>
      <c r="AE337" s="185"/>
      <c r="AF337" s="185"/>
      <c r="AG337" s="185"/>
      <c r="AH337" s="183">
        <f t="shared" si="42"/>
        <v>0</v>
      </c>
    </row>
    <row r="338" spans="1:34" ht="13.5">
      <c r="A338" s="166" t="s">
        <v>81</v>
      </c>
      <c r="B338" s="159">
        <f t="shared" si="41"/>
        <v>0</v>
      </c>
      <c r="C338" s="184"/>
      <c r="D338" s="185"/>
      <c r="E338" s="185"/>
      <c r="F338" s="185"/>
      <c r="G338" s="185"/>
      <c r="H338" s="185"/>
      <c r="I338" s="185"/>
      <c r="J338" s="185"/>
      <c r="K338" s="185"/>
      <c r="L338" s="185"/>
      <c r="M338" s="185"/>
      <c r="N338" s="185"/>
      <c r="O338" s="185"/>
      <c r="P338" s="185"/>
      <c r="Q338" s="185"/>
      <c r="R338" s="185"/>
      <c r="S338" s="185"/>
      <c r="T338" s="185"/>
      <c r="U338" s="185"/>
      <c r="V338" s="185"/>
      <c r="W338" s="185"/>
      <c r="X338" s="185"/>
      <c r="Y338" s="185"/>
      <c r="Z338" s="185"/>
      <c r="AA338" s="185"/>
      <c r="AB338" s="185"/>
      <c r="AC338" s="185"/>
      <c r="AD338" s="185"/>
      <c r="AE338" s="185"/>
      <c r="AF338" s="185"/>
      <c r="AG338" s="185"/>
      <c r="AH338" s="183">
        <f t="shared" si="42"/>
        <v>0</v>
      </c>
    </row>
    <row r="339" spans="1:34" ht="13.5">
      <c r="A339" s="166" t="s">
        <v>82</v>
      </c>
      <c r="B339" s="159">
        <f t="shared" si="41"/>
        <v>0</v>
      </c>
      <c r="C339" s="184"/>
      <c r="D339" s="185"/>
      <c r="E339" s="185"/>
      <c r="F339" s="185"/>
      <c r="G339" s="185"/>
      <c r="H339" s="185"/>
      <c r="I339" s="185"/>
      <c r="J339" s="185"/>
      <c r="K339" s="185"/>
      <c r="L339" s="185"/>
      <c r="M339" s="185"/>
      <c r="N339" s="185"/>
      <c r="O339" s="185"/>
      <c r="P339" s="185"/>
      <c r="Q339" s="185"/>
      <c r="R339" s="185"/>
      <c r="S339" s="185"/>
      <c r="T339" s="185"/>
      <c r="U339" s="185"/>
      <c r="V339" s="185"/>
      <c r="W339" s="185"/>
      <c r="X339" s="185"/>
      <c r="Y339" s="185"/>
      <c r="Z339" s="185"/>
      <c r="AA339" s="185"/>
      <c r="AB339" s="185"/>
      <c r="AC339" s="185"/>
      <c r="AD339" s="185"/>
      <c r="AE339" s="185"/>
      <c r="AF339" s="185"/>
      <c r="AG339" s="185"/>
      <c r="AH339" s="183">
        <f t="shared" si="42"/>
        <v>0</v>
      </c>
    </row>
    <row r="340" spans="1:34" ht="13.5">
      <c r="A340" s="166" t="s">
        <v>83</v>
      </c>
      <c r="B340" s="159">
        <f t="shared" si="41"/>
        <v>0</v>
      </c>
      <c r="C340" s="184"/>
      <c r="D340" s="185"/>
      <c r="E340" s="185"/>
      <c r="F340" s="185"/>
      <c r="G340" s="185"/>
      <c r="H340" s="185"/>
      <c r="I340" s="185"/>
      <c r="J340" s="185"/>
      <c r="K340" s="185"/>
      <c r="L340" s="185"/>
      <c r="M340" s="185"/>
      <c r="N340" s="185"/>
      <c r="O340" s="185"/>
      <c r="P340" s="185"/>
      <c r="Q340" s="185"/>
      <c r="R340" s="185"/>
      <c r="S340" s="185"/>
      <c r="T340" s="185"/>
      <c r="U340" s="185"/>
      <c r="V340" s="185"/>
      <c r="W340" s="185"/>
      <c r="X340" s="185"/>
      <c r="Y340" s="185"/>
      <c r="Z340" s="185"/>
      <c r="AA340" s="185"/>
      <c r="AB340" s="185"/>
      <c r="AC340" s="185"/>
      <c r="AD340" s="185"/>
      <c r="AE340" s="185"/>
      <c r="AF340" s="185"/>
      <c r="AG340" s="185"/>
      <c r="AH340" s="183">
        <f t="shared" si="42"/>
        <v>0</v>
      </c>
    </row>
    <row r="341" spans="1:34" ht="13.5">
      <c r="A341" s="166" t="s">
        <v>84</v>
      </c>
      <c r="B341" s="159">
        <f t="shared" si="41"/>
        <v>0</v>
      </c>
      <c r="C341" s="184"/>
      <c r="D341" s="185"/>
      <c r="E341" s="185"/>
      <c r="F341" s="185"/>
      <c r="G341" s="185"/>
      <c r="H341" s="185"/>
      <c r="I341" s="185"/>
      <c r="J341" s="185"/>
      <c r="K341" s="185"/>
      <c r="L341" s="185"/>
      <c r="M341" s="185"/>
      <c r="N341" s="185"/>
      <c r="O341" s="185"/>
      <c r="P341" s="185"/>
      <c r="Q341" s="185"/>
      <c r="R341" s="185"/>
      <c r="S341" s="185"/>
      <c r="T341" s="185"/>
      <c r="U341" s="185"/>
      <c r="V341" s="185"/>
      <c r="W341" s="185"/>
      <c r="X341" s="185"/>
      <c r="Y341" s="185"/>
      <c r="Z341" s="185"/>
      <c r="AA341" s="185"/>
      <c r="AB341" s="185"/>
      <c r="AC341" s="185"/>
      <c r="AD341" s="185"/>
      <c r="AE341" s="185"/>
      <c r="AF341" s="185"/>
      <c r="AG341" s="185"/>
      <c r="AH341" s="183">
        <f t="shared" si="42"/>
        <v>0</v>
      </c>
    </row>
    <row r="342" spans="1:34" ht="13.5">
      <c r="A342" s="166" t="s">
        <v>85</v>
      </c>
      <c r="B342" s="159">
        <f t="shared" si="41"/>
        <v>0</v>
      </c>
      <c r="C342" s="184"/>
      <c r="D342" s="185"/>
      <c r="E342" s="185"/>
      <c r="F342" s="185"/>
      <c r="G342" s="185"/>
      <c r="H342" s="185"/>
      <c r="I342" s="185"/>
      <c r="J342" s="185"/>
      <c r="K342" s="185"/>
      <c r="L342" s="185"/>
      <c r="M342" s="185"/>
      <c r="N342" s="185"/>
      <c r="O342" s="185"/>
      <c r="P342" s="185"/>
      <c r="Q342" s="185"/>
      <c r="R342" s="185"/>
      <c r="S342" s="185"/>
      <c r="T342" s="185"/>
      <c r="U342" s="185"/>
      <c r="V342" s="185"/>
      <c r="W342" s="185"/>
      <c r="X342" s="185"/>
      <c r="Y342" s="185"/>
      <c r="Z342" s="185"/>
      <c r="AA342" s="185"/>
      <c r="AB342" s="185"/>
      <c r="AC342" s="185"/>
      <c r="AD342" s="185"/>
      <c r="AE342" s="185"/>
      <c r="AF342" s="185"/>
      <c r="AG342" s="185"/>
      <c r="AH342" s="183">
        <f t="shared" si="42"/>
        <v>0</v>
      </c>
    </row>
    <row r="343" spans="1:34" ht="13.5">
      <c r="A343" s="179" t="s">
        <v>86</v>
      </c>
      <c r="B343" s="159">
        <f t="shared" si="41"/>
        <v>0</v>
      </c>
      <c r="C343" s="184"/>
      <c r="D343" s="185"/>
      <c r="E343" s="185"/>
      <c r="F343" s="185"/>
      <c r="G343" s="185"/>
      <c r="H343" s="185"/>
      <c r="I343" s="185"/>
      <c r="J343" s="185"/>
      <c r="K343" s="185"/>
      <c r="L343" s="185"/>
      <c r="M343" s="185"/>
      <c r="N343" s="185"/>
      <c r="O343" s="185"/>
      <c r="P343" s="185"/>
      <c r="Q343" s="185"/>
      <c r="R343" s="185"/>
      <c r="S343" s="185"/>
      <c r="T343" s="185"/>
      <c r="U343" s="185"/>
      <c r="V343" s="185"/>
      <c r="W343" s="185"/>
      <c r="X343" s="185"/>
      <c r="Y343" s="185"/>
      <c r="Z343" s="185"/>
      <c r="AA343" s="185"/>
      <c r="AB343" s="185"/>
      <c r="AC343" s="185"/>
      <c r="AD343" s="185"/>
      <c r="AE343" s="185"/>
      <c r="AF343" s="185"/>
      <c r="AG343" s="185"/>
      <c r="AH343" s="183">
        <f t="shared" si="42"/>
        <v>0</v>
      </c>
    </row>
    <row r="344" spans="1:34" ht="13.5">
      <c r="A344" s="186" t="s">
        <v>52</v>
      </c>
      <c r="B344" s="186">
        <f>SUM(B332:B343)</f>
        <v>0</v>
      </c>
      <c r="C344" s="187"/>
      <c r="D344" s="187"/>
      <c r="E344" s="187"/>
      <c r="F344" s="187"/>
      <c r="G344" s="187"/>
      <c r="H344" s="187"/>
      <c r="I344" s="187"/>
      <c r="J344" s="187"/>
      <c r="K344" s="187"/>
      <c r="L344" s="187"/>
      <c r="M344" s="187"/>
      <c r="N344" s="187"/>
      <c r="O344" s="187"/>
      <c r="P344" s="187"/>
      <c r="Q344" s="187"/>
      <c r="R344" s="187"/>
      <c r="S344" s="187"/>
      <c r="T344" s="187"/>
      <c r="U344" s="187"/>
      <c r="V344" s="187"/>
      <c r="W344" s="187"/>
      <c r="X344" s="187"/>
      <c r="Y344" s="187"/>
      <c r="Z344" s="187"/>
      <c r="AA344" s="187"/>
      <c r="AB344" s="187"/>
      <c r="AC344" s="187"/>
      <c r="AD344" s="187"/>
      <c r="AE344" s="187"/>
      <c r="AF344" s="187"/>
      <c r="AG344" s="187"/>
      <c r="AH344" s="188"/>
    </row>
    <row r="345" spans="1:34" ht="13.5">
      <c r="A345" s="750"/>
      <c r="B345" s="750"/>
      <c r="C345" s="680"/>
      <c r="D345" s="680"/>
      <c r="E345" s="680"/>
      <c r="F345" s="680"/>
      <c r="G345" s="680"/>
      <c r="H345" s="680"/>
      <c r="I345" s="680"/>
      <c r="J345" s="680"/>
      <c r="K345" s="680"/>
      <c r="L345" s="680"/>
      <c r="M345" s="680"/>
      <c r="N345" s="680"/>
      <c r="O345" s="680"/>
      <c r="P345" s="680"/>
      <c r="Q345" s="680"/>
      <c r="R345" s="680"/>
      <c r="S345" s="680"/>
      <c r="T345" s="680"/>
      <c r="U345" s="680"/>
      <c r="V345" s="680"/>
      <c r="W345" s="680"/>
      <c r="X345" s="680"/>
      <c r="Y345" s="680"/>
      <c r="Z345" s="680"/>
      <c r="AA345" s="680"/>
      <c r="AB345" s="680"/>
      <c r="AC345" s="680"/>
      <c r="AD345" s="680"/>
      <c r="AE345" s="680"/>
      <c r="AF345" s="680"/>
      <c r="AG345" s="680"/>
      <c r="AH345" s="749"/>
    </row>
    <row r="346" spans="1:34" ht="14.25" thickBot="1">
      <c r="A346" s="750"/>
      <c r="B346" s="750"/>
      <c r="C346" s="680"/>
      <c r="D346" s="680"/>
      <c r="E346" s="680"/>
      <c r="F346" s="680"/>
      <c r="G346" s="680"/>
      <c r="H346" s="680"/>
      <c r="I346" s="680"/>
      <c r="J346" s="680"/>
      <c r="K346" s="680"/>
      <c r="L346" s="680"/>
      <c r="M346" s="680"/>
      <c r="N346" s="680"/>
      <c r="O346" s="680"/>
      <c r="P346" s="680"/>
      <c r="Q346" s="680"/>
      <c r="R346" s="680"/>
      <c r="S346" s="680"/>
      <c r="T346" s="680"/>
      <c r="U346" s="680"/>
      <c r="V346" s="680"/>
      <c r="W346" s="680"/>
      <c r="X346" s="680"/>
      <c r="Y346" s="680"/>
      <c r="Z346" s="680"/>
      <c r="AA346" s="680"/>
      <c r="AB346" s="680"/>
      <c r="AC346" s="680"/>
      <c r="AD346" s="680"/>
      <c r="AE346" s="680"/>
      <c r="AF346" s="680"/>
      <c r="AG346" s="680"/>
      <c r="AH346" s="749"/>
    </row>
    <row r="347" spans="1:34" ht="14.25" thickBot="1">
      <c r="A347" s="3716" t="s">
        <v>405</v>
      </c>
      <c r="B347" s="3717"/>
      <c r="C347" s="3717"/>
      <c r="D347" s="627" t="s">
        <v>40</v>
      </c>
      <c r="E347" s="623"/>
      <c r="F347" s="628"/>
      <c r="G347" s="680"/>
      <c r="H347" s="680"/>
      <c r="I347" s="680"/>
      <c r="J347" s="680"/>
      <c r="K347" s="680"/>
      <c r="L347" s="680"/>
      <c r="M347" s="680"/>
      <c r="N347" s="680"/>
      <c r="O347" s="680"/>
      <c r="P347" s="680"/>
      <c r="Q347" s="680"/>
      <c r="R347" s="680"/>
      <c r="S347" s="680"/>
      <c r="T347" s="680"/>
      <c r="U347" s="680"/>
      <c r="V347" s="680"/>
      <c r="W347" s="680"/>
      <c r="X347" s="680"/>
      <c r="Y347" s="680"/>
      <c r="Z347" s="680"/>
      <c r="AA347" s="680"/>
      <c r="AB347" s="680"/>
      <c r="AC347" s="680"/>
      <c r="AD347" s="680"/>
      <c r="AE347" s="680"/>
      <c r="AF347" s="680"/>
      <c r="AG347" s="680"/>
      <c r="AH347" s="749"/>
    </row>
    <row r="348" spans="1:34" ht="13.5">
      <c r="A348" s="178" t="s">
        <v>72</v>
      </c>
      <c r="B348" s="178" t="s">
        <v>73</v>
      </c>
      <c r="C348" s="1487">
        <v>1</v>
      </c>
      <c r="D348" s="248">
        <v>2</v>
      </c>
      <c r="E348" s="248">
        <v>3</v>
      </c>
      <c r="F348" s="248">
        <v>4</v>
      </c>
      <c r="G348" s="179">
        <v>5</v>
      </c>
      <c r="H348" s="179">
        <v>6</v>
      </c>
      <c r="I348" s="179">
        <v>7</v>
      </c>
      <c r="J348" s="179">
        <v>8</v>
      </c>
      <c r="K348" s="179">
        <v>9</v>
      </c>
      <c r="L348" s="179">
        <v>10</v>
      </c>
      <c r="M348" s="179">
        <v>11</v>
      </c>
      <c r="N348" s="179">
        <v>12</v>
      </c>
      <c r="O348" s="179">
        <v>13</v>
      </c>
      <c r="P348" s="179">
        <v>14</v>
      </c>
      <c r="Q348" s="179">
        <v>15</v>
      </c>
      <c r="R348" s="179">
        <v>16</v>
      </c>
      <c r="S348" s="179">
        <v>17</v>
      </c>
      <c r="T348" s="179">
        <v>18</v>
      </c>
      <c r="U348" s="179">
        <v>19</v>
      </c>
      <c r="V348" s="179">
        <v>20</v>
      </c>
      <c r="W348" s="166">
        <v>21</v>
      </c>
      <c r="X348" s="179">
        <v>22</v>
      </c>
      <c r="Y348" s="179">
        <v>23</v>
      </c>
      <c r="Z348" s="179">
        <v>24</v>
      </c>
      <c r="AA348" s="179">
        <v>25</v>
      </c>
      <c r="AB348" s="179">
        <v>26</v>
      </c>
      <c r="AC348" s="179">
        <v>27</v>
      </c>
      <c r="AD348" s="179">
        <v>28</v>
      </c>
      <c r="AE348" s="179">
        <v>29</v>
      </c>
      <c r="AF348" s="179">
        <v>30</v>
      </c>
      <c r="AG348" s="179">
        <v>31</v>
      </c>
      <c r="AH348" s="181" t="s">
        <v>52</v>
      </c>
    </row>
    <row r="349" spans="1:34" ht="13.5">
      <c r="A349" s="166" t="s">
        <v>80</v>
      </c>
      <c r="B349" s="159">
        <f>+AH349</f>
        <v>0</v>
      </c>
      <c r="C349" s="184"/>
      <c r="D349" s="185"/>
      <c r="E349" s="185"/>
      <c r="F349" s="185"/>
      <c r="G349" s="185"/>
      <c r="H349" s="185"/>
      <c r="I349" s="185"/>
      <c r="J349" s="185"/>
      <c r="K349" s="185"/>
      <c r="L349" s="185"/>
      <c r="M349" s="185"/>
      <c r="N349" s="185"/>
      <c r="O349" s="185"/>
      <c r="P349" s="185"/>
      <c r="Q349" s="185"/>
      <c r="R349" s="185"/>
      <c r="S349" s="185"/>
      <c r="T349" s="185"/>
      <c r="U349" s="185"/>
      <c r="V349" s="185"/>
      <c r="W349" s="185"/>
      <c r="X349" s="185"/>
      <c r="Y349" s="185"/>
      <c r="Z349" s="185"/>
      <c r="AA349" s="185"/>
      <c r="AB349" s="185"/>
      <c r="AC349" s="185"/>
      <c r="AD349" s="185"/>
      <c r="AE349" s="185"/>
      <c r="AF349" s="185"/>
      <c r="AG349" s="185"/>
      <c r="AH349" s="183">
        <f t="shared" ref="AH349:AH355" si="43">SUM(C349:AG349)</f>
        <v>0</v>
      </c>
    </row>
    <row r="350" spans="1:34" ht="13.5">
      <c r="A350" s="166" t="s">
        <v>81</v>
      </c>
      <c r="B350" s="159">
        <f t="shared" ref="B350:B355" si="44">+AH350</f>
        <v>0</v>
      </c>
      <c r="C350" s="184"/>
      <c r="D350" s="185"/>
      <c r="E350" s="185"/>
      <c r="F350" s="185"/>
      <c r="G350" s="185"/>
      <c r="H350" s="185"/>
      <c r="I350" s="185"/>
      <c r="J350" s="185"/>
      <c r="K350" s="185"/>
      <c r="L350" s="185"/>
      <c r="M350" s="185"/>
      <c r="N350" s="185"/>
      <c r="O350" s="185"/>
      <c r="P350" s="185"/>
      <c r="Q350" s="185"/>
      <c r="R350" s="185"/>
      <c r="S350" s="185"/>
      <c r="T350" s="185"/>
      <c r="U350" s="185"/>
      <c r="V350" s="185"/>
      <c r="W350" s="185"/>
      <c r="X350" s="185"/>
      <c r="Y350" s="185"/>
      <c r="Z350" s="185"/>
      <c r="AA350" s="185"/>
      <c r="AB350" s="185"/>
      <c r="AC350" s="185"/>
      <c r="AD350" s="185"/>
      <c r="AE350" s="185"/>
      <c r="AF350" s="185"/>
      <c r="AG350" s="185"/>
      <c r="AH350" s="183">
        <f t="shared" si="43"/>
        <v>0</v>
      </c>
    </row>
    <row r="351" spans="1:34" ht="13.5">
      <c r="A351" s="166" t="s">
        <v>82</v>
      </c>
      <c r="B351" s="159">
        <f t="shared" si="44"/>
        <v>0</v>
      </c>
      <c r="C351" s="184"/>
      <c r="D351" s="185"/>
      <c r="E351" s="185"/>
      <c r="F351" s="185"/>
      <c r="G351" s="185"/>
      <c r="H351" s="185"/>
      <c r="I351" s="185"/>
      <c r="J351" s="185"/>
      <c r="K351" s="185"/>
      <c r="L351" s="185"/>
      <c r="M351" s="185"/>
      <c r="N351" s="185"/>
      <c r="O351" s="185"/>
      <c r="P351" s="185"/>
      <c r="Q351" s="185"/>
      <c r="R351" s="185"/>
      <c r="S351" s="185"/>
      <c r="T351" s="185"/>
      <c r="U351" s="185"/>
      <c r="V351" s="185"/>
      <c r="W351" s="185"/>
      <c r="X351" s="185"/>
      <c r="Y351" s="185"/>
      <c r="Z351" s="185"/>
      <c r="AA351" s="185"/>
      <c r="AB351" s="185"/>
      <c r="AC351" s="185"/>
      <c r="AD351" s="185"/>
      <c r="AE351" s="185"/>
      <c r="AF351" s="185"/>
      <c r="AG351" s="185"/>
      <c r="AH351" s="183">
        <f t="shared" si="43"/>
        <v>0</v>
      </c>
    </row>
    <row r="352" spans="1:34" ht="13.5">
      <c r="A352" s="166" t="s">
        <v>83</v>
      </c>
      <c r="B352" s="159">
        <f t="shared" si="44"/>
        <v>0</v>
      </c>
      <c r="C352" s="184"/>
      <c r="D352" s="185"/>
      <c r="E352" s="185"/>
      <c r="F352" s="185"/>
      <c r="G352" s="185"/>
      <c r="H352" s="185"/>
      <c r="I352" s="185"/>
      <c r="J352" s="185"/>
      <c r="K352" s="185"/>
      <c r="L352" s="185"/>
      <c r="M352" s="185"/>
      <c r="N352" s="185"/>
      <c r="O352" s="185"/>
      <c r="P352" s="185"/>
      <c r="Q352" s="185"/>
      <c r="R352" s="185"/>
      <c r="S352" s="185"/>
      <c r="T352" s="185"/>
      <c r="U352" s="185"/>
      <c r="V352" s="185"/>
      <c r="W352" s="185"/>
      <c r="X352" s="185"/>
      <c r="Y352" s="185"/>
      <c r="Z352" s="185"/>
      <c r="AA352" s="185"/>
      <c r="AB352" s="185"/>
      <c r="AC352" s="185"/>
      <c r="AD352" s="185"/>
      <c r="AE352" s="185"/>
      <c r="AF352" s="185"/>
      <c r="AG352" s="185"/>
      <c r="AH352" s="183">
        <f t="shared" si="43"/>
        <v>0</v>
      </c>
    </row>
    <row r="353" spans="1:34" ht="13.5">
      <c r="A353" s="166" t="s">
        <v>84</v>
      </c>
      <c r="B353" s="159">
        <f t="shared" si="44"/>
        <v>0</v>
      </c>
      <c r="C353" s="184"/>
      <c r="D353" s="185"/>
      <c r="E353" s="185"/>
      <c r="F353" s="185"/>
      <c r="G353" s="185"/>
      <c r="H353" s="185"/>
      <c r="I353" s="185"/>
      <c r="J353" s="185"/>
      <c r="K353" s="185"/>
      <c r="L353" s="185"/>
      <c r="M353" s="185"/>
      <c r="N353" s="185"/>
      <c r="O353" s="185"/>
      <c r="P353" s="185"/>
      <c r="Q353" s="185"/>
      <c r="R353" s="185"/>
      <c r="S353" s="185"/>
      <c r="T353" s="185"/>
      <c r="U353" s="185"/>
      <c r="V353" s="185"/>
      <c r="W353" s="185"/>
      <c r="X353" s="185"/>
      <c r="Y353" s="185"/>
      <c r="Z353" s="185"/>
      <c r="AA353" s="185"/>
      <c r="AB353" s="185"/>
      <c r="AC353" s="185"/>
      <c r="AD353" s="185"/>
      <c r="AE353" s="185"/>
      <c r="AF353" s="185"/>
      <c r="AG353" s="185"/>
      <c r="AH353" s="183">
        <f t="shared" si="43"/>
        <v>0</v>
      </c>
    </row>
    <row r="354" spans="1:34" ht="13.5">
      <c r="A354" s="166" t="s">
        <v>85</v>
      </c>
      <c r="B354" s="159">
        <f t="shared" si="44"/>
        <v>0</v>
      </c>
      <c r="C354" s="184"/>
      <c r="D354" s="185"/>
      <c r="E354" s="185"/>
      <c r="F354" s="185"/>
      <c r="G354" s="185"/>
      <c r="H354" s="185"/>
      <c r="I354" s="185"/>
      <c r="J354" s="185"/>
      <c r="K354" s="185"/>
      <c r="L354" s="185"/>
      <c r="M354" s="185"/>
      <c r="N354" s="185"/>
      <c r="O354" s="185"/>
      <c r="P354" s="185"/>
      <c r="Q354" s="185"/>
      <c r="R354" s="185"/>
      <c r="S354" s="185"/>
      <c r="T354" s="185"/>
      <c r="U354" s="185"/>
      <c r="V354" s="185"/>
      <c r="W354" s="185"/>
      <c r="X354" s="185"/>
      <c r="Y354" s="185"/>
      <c r="Z354" s="185"/>
      <c r="AA354" s="185"/>
      <c r="AB354" s="185"/>
      <c r="AC354" s="185"/>
      <c r="AD354" s="185"/>
      <c r="AE354" s="185"/>
      <c r="AF354" s="185"/>
      <c r="AG354" s="185"/>
      <c r="AH354" s="183">
        <f t="shared" si="43"/>
        <v>0</v>
      </c>
    </row>
    <row r="355" spans="1:34" ht="13.5">
      <c r="A355" s="179" t="s">
        <v>86</v>
      </c>
      <c r="B355" s="159">
        <f t="shared" si="44"/>
        <v>0</v>
      </c>
      <c r="C355" s="184"/>
      <c r="D355" s="185"/>
      <c r="E355" s="185"/>
      <c r="F355" s="185"/>
      <c r="G355" s="185"/>
      <c r="H355" s="185"/>
      <c r="I355" s="185"/>
      <c r="J355" s="185"/>
      <c r="K355" s="185"/>
      <c r="L355" s="185"/>
      <c r="M355" s="185"/>
      <c r="N355" s="185"/>
      <c r="O355" s="185"/>
      <c r="P355" s="185"/>
      <c r="Q355" s="185"/>
      <c r="R355" s="185"/>
      <c r="S355" s="185"/>
      <c r="T355" s="185"/>
      <c r="U355" s="185"/>
      <c r="V355" s="185"/>
      <c r="W355" s="185"/>
      <c r="X355" s="185"/>
      <c r="Y355" s="185"/>
      <c r="Z355" s="185"/>
      <c r="AA355" s="185"/>
      <c r="AB355" s="185"/>
      <c r="AC355" s="185"/>
      <c r="AD355" s="185"/>
      <c r="AE355" s="185"/>
      <c r="AF355" s="185"/>
      <c r="AG355" s="185"/>
      <c r="AH355" s="183">
        <f t="shared" si="43"/>
        <v>0</v>
      </c>
    </row>
    <row r="356" spans="1:34" ht="13.5">
      <c r="A356" s="186" t="s">
        <v>52</v>
      </c>
      <c r="B356" s="186">
        <f>SUM(B349:B355)</f>
        <v>0</v>
      </c>
      <c r="C356" s="187"/>
      <c r="D356" s="187"/>
      <c r="E356" s="187"/>
      <c r="F356" s="187"/>
      <c r="G356" s="187"/>
      <c r="H356" s="187"/>
      <c r="I356" s="187"/>
      <c r="J356" s="187"/>
      <c r="K356" s="187"/>
      <c r="L356" s="187"/>
      <c r="M356" s="187"/>
      <c r="N356" s="187"/>
      <c r="O356" s="187"/>
      <c r="P356" s="187"/>
      <c r="Q356" s="187"/>
      <c r="R356" s="187"/>
      <c r="S356" s="187"/>
      <c r="T356" s="187"/>
      <c r="U356" s="187"/>
      <c r="V356" s="187"/>
      <c r="W356" s="187"/>
      <c r="X356" s="187"/>
      <c r="Y356" s="187"/>
      <c r="Z356" s="187"/>
      <c r="AA356" s="187"/>
      <c r="AB356" s="187"/>
      <c r="AC356" s="187"/>
      <c r="AD356" s="187"/>
      <c r="AE356" s="187"/>
      <c r="AF356" s="187"/>
      <c r="AG356" s="187"/>
      <c r="AH356" s="188"/>
    </row>
    <row r="357" spans="1:34" ht="13.5">
      <c r="A357" s="750"/>
      <c r="B357" s="750"/>
      <c r="C357" s="680"/>
      <c r="D357" s="680"/>
      <c r="E357" s="680"/>
      <c r="F357" s="680"/>
      <c r="G357" s="680"/>
      <c r="H357" s="680"/>
      <c r="I357" s="680"/>
      <c r="J357" s="680"/>
      <c r="K357" s="680"/>
      <c r="L357" s="680"/>
      <c r="M357" s="680"/>
      <c r="N357" s="680"/>
      <c r="O357" s="680"/>
      <c r="P357" s="680"/>
      <c r="Q357" s="680"/>
      <c r="R357" s="680"/>
      <c r="S357" s="680"/>
      <c r="T357" s="680"/>
      <c r="U357" s="680"/>
      <c r="V357" s="680"/>
      <c r="W357" s="680"/>
      <c r="X357" s="680"/>
      <c r="Y357" s="680"/>
      <c r="Z357" s="680"/>
      <c r="AA357" s="680"/>
      <c r="AB357" s="680"/>
      <c r="AC357" s="680"/>
      <c r="AD357" s="680"/>
      <c r="AE357" s="680"/>
      <c r="AF357" s="680"/>
      <c r="AG357" s="680"/>
      <c r="AH357" s="749"/>
    </row>
    <row r="358" spans="1:34" ht="13.5">
      <c r="A358" s="750"/>
      <c r="B358" s="750"/>
      <c r="C358" s="680"/>
      <c r="D358" s="680"/>
      <c r="E358" s="680"/>
      <c r="F358" s="680"/>
      <c r="G358" s="680"/>
      <c r="H358" s="680"/>
      <c r="I358" s="680"/>
      <c r="J358" s="680"/>
      <c r="K358" s="680"/>
      <c r="L358" s="680"/>
      <c r="M358" s="680"/>
      <c r="N358" s="680"/>
      <c r="O358" s="680"/>
      <c r="P358" s="680"/>
      <c r="Q358" s="680"/>
      <c r="R358" s="680"/>
      <c r="S358" s="680"/>
      <c r="T358" s="680"/>
      <c r="U358" s="680"/>
      <c r="V358" s="680"/>
      <c r="W358" s="680"/>
      <c r="X358" s="680"/>
      <c r="Y358" s="680"/>
      <c r="Z358" s="680"/>
      <c r="AA358" s="680"/>
      <c r="AB358" s="680"/>
      <c r="AC358" s="680"/>
      <c r="AD358" s="680"/>
      <c r="AE358" s="680"/>
      <c r="AF358" s="680"/>
      <c r="AG358" s="680"/>
      <c r="AH358" s="749"/>
    </row>
    <row r="359" spans="1:34" ht="13.5">
      <c r="A359" s="750"/>
      <c r="B359" s="750"/>
      <c r="C359" s="680"/>
      <c r="D359" s="680"/>
      <c r="E359" s="680"/>
      <c r="F359" s="680"/>
      <c r="G359" s="680"/>
      <c r="H359" s="680"/>
      <c r="I359" s="680"/>
      <c r="J359" s="680"/>
      <c r="K359" s="680"/>
      <c r="L359" s="680"/>
      <c r="M359" s="680"/>
      <c r="N359" s="680"/>
      <c r="O359" s="680"/>
      <c r="P359" s="680"/>
      <c r="Q359" s="680"/>
      <c r="R359" s="680"/>
      <c r="S359" s="680"/>
      <c r="T359" s="680"/>
      <c r="U359" s="680"/>
      <c r="V359" s="680"/>
      <c r="W359" s="680"/>
      <c r="X359" s="680"/>
      <c r="Y359" s="680"/>
      <c r="Z359" s="680"/>
      <c r="AA359" s="680"/>
      <c r="AB359" s="680"/>
      <c r="AC359" s="680"/>
      <c r="AD359" s="680"/>
      <c r="AE359" s="680"/>
      <c r="AF359" s="680"/>
      <c r="AG359" s="680"/>
      <c r="AH359" s="749"/>
    </row>
    <row r="360" spans="1:34" ht="13.5" thickBot="1"/>
    <row r="361" spans="1:34" ht="14.25" thickBot="1">
      <c r="A361" s="3716" t="s">
        <v>320</v>
      </c>
      <c r="B361" s="3717"/>
      <c r="C361" s="3729"/>
      <c r="D361" s="627" t="s">
        <v>8</v>
      </c>
      <c r="E361" s="623"/>
      <c r="F361" s="628"/>
    </row>
    <row r="362" spans="1:34" ht="13.5">
      <c r="A362" s="178" t="s">
        <v>72</v>
      </c>
      <c r="B362" s="178" t="s">
        <v>73</v>
      </c>
      <c r="C362" s="1487">
        <v>1</v>
      </c>
      <c r="D362" s="248">
        <v>2</v>
      </c>
      <c r="E362" s="248">
        <v>3</v>
      </c>
      <c r="F362" s="248">
        <v>4</v>
      </c>
      <c r="G362" s="179">
        <v>5</v>
      </c>
      <c r="H362" s="179">
        <v>6</v>
      </c>
      <c r="I362" s="179">
        <v>7</v>
      </c>
      <c r="J362" s="179">
        <v>8</v>
      </c>
      <c r="K362" s="179">
        <v>9</v>
      </c>
      <c r="L362" s="179">
        <v>10</v>
      </c>
      <c r="M362" s="179">
        <v>11</v>
      </c>
      <c r="N362" s="179">
        <v>12</v>
      </c>
      <c r="O362" s="179">
        <v>13</v>
      </c>
      <c r="P362" s="179">
        <v>14</v>
      </c>
      <c r="Q362" s="179">
        <v>15</v>
      </c>
      <c r="R362" s="179">
        <v>16</v>
      </c>
      <c r="S362" s="179">
        <v>17</v>
      </c>
      <c r="T362" s="179">
        <v>18</v>
      </c>
      <c r="U362" s="179">
        <v>19</v>
      </c>
      <c r="V362" s="179">
        <v>20</v>
      </c>
      <c r="W362" s="166">
        <v>21</v>
      </c>
      <c r="X362" s="179">
        <v>22</v>
      </c>
      <c r="Y362" s="179">
        <v>23</v>
      </c>
      <c r="Z362" s="179">
        <v>24</v>
      </c>
      <c r="AA362" s="179">
        <v>25</v>
      </c>
      <c r="AB362" s="179">
        <v>26</v>
      </c>
      <c r="AC362" s="179">
        <v>27</v>
      </c>
      <c r="AD362" s="179">
        <v>28</v>
      </c>
      <c r="AE362" s="179">
        <v>29</v>
      </c>
      <c r="AF362" s="179">
        <v>30</v>
      </c>
      <c r="AG362" s="179">
        <v>31</v>
      </c>
      <c r="AH362" s="181" t="s">
        <v>52</v>
      </c>
    </row>
    <row r="363" spans="1:34" ht="13.5">
      <c r="A363" s="166" t="s">
        <v>75</v>
      </c>
      <c r="B363" s="159">
        <f t="shared" ref="B363:B374" si="45">+AH363</f>
        <v>0</v>
      </c>
      <c r="C363" s="182"/>
      <c r="D363" s="182"/>
      <c r="E363" s="182"/>
      <c r="F363" s="182"/>
      <c r="G363" s="182"/>
      <c r="H363" s="182"/>
      <c r="I363" s="182"/>
      <c r="J363" s="182"/>
      <c r="K363" s="182"/>
      <c r="L363" s="182"/>
      <c r="M363" s="182"/>
      <c r="N363" s="182"/>
      <c r="O363" s="182"/>
      <c r="P363" s="182"/>
      <c r="Q363" s="182"/>
      <c r="R363" s="182"/>
      <c r="S363" s="182"/>
      <c r="T363" s="182"/>
      <c r="U363" s="182"/>
      <c r="V363" s="182"/>
      <c r="W363" s="182"/>
      <c r="X363" s="182"/>
      <c r="Y363" s="182"/>
      <c r="Z363" s="182"/>
      <c r="AA363" s="182"/>
      <c r="AB363" s="182"/>
      <c r="AC363" s="182"/>
      <c r="AD363" s="182"/>
      <c r="AE363" s="182"/>
      <c r="AF363" s="182"/>
      <c r="AG363" s="182"/>
      <c r="AH363" s="183">
        <f>SUM(C363:AG363)</f>
        <v>0</v>
      </c>
    </row>
    <row r="364" spans="1:34" ht="13.5">
      <c r="A364" s="166" t="s">
        <v>76</v>
      </c>
      <c r="B364" s="159">
        <f t="shared" si="45"/>
        <v>0</v>
      </c>
      <c r="C364" s="182"/>
      <c r="D364" s="182"/>
      <c r="E364" s="182"/>
      <c r="F364" s="182"/>
      <c r="G364" s="182"/>
      <c r="H364" s="182"/>
      <c r="I364" s="182"/>
      <c r="J364" s="182"/>
      <c r="K364" s="182"/>
      <c r="L364" s="182"/>
      <c r="M364" s="182"/>
      <c r="N364" s="182"/>
      <c r="O364" s="182"/>
      <c r="P364" s="182"/>
      <c r="Q364" s="182"/>
      <c r="R364" s="182"/>
      <c r="S364" s="182"/>
      <c r="T364" s="182"/>
      <c r="U364" s="182"/>
      <c r="V364" s="182"/>
      <c r="W364" s="182"/>
      <c r="X364" s="182"/>
      <c r="Y364" s="182"/>
      <c r="Z364" s="182"/>
      <c r="AA364" s="182"/>
      <c r="AB364" s="182"/>
      <c r="AC364" s="182"/>
      <c r="AD364" s="182"/>
      <c r="AE364" s="182"/>
      <c r="AF364" s="182"/>
      <c r="AG364" s="182"/>
      <c r="AH364" s="183">
        <f t="shared" ref="AH364:AH374" si="46">SUM(C364:AG364)</f>
        <v>0</v>
      </c>
    </row>
    <row r="365" spans="1:34" ht="13.5">
      <c r="A365" s="166" t="s">
        <v>77</v>
      </c>
      <c r="B365" s="159">
        <f t="shared" si="45"/>
        <v>0</v>
      </c>
      <c r="C365" s="182"/>
      <c r="D365" s="182"/>
      <c r="E365" s="182"/>
      <c r="F365" s="182"/>
      <c r="G365" s="182"/>
      <c r="H365" s="182"/>
      <c r="I365" s="182"/>
      <c r="J365" s="182"/>
      <c r="K365" s="182"/>
      <c r="L365" s="182"/>
      <c r="M365" s="182"/>
      <c r="N365" s="182"/>
      <c r="O365" s="182"/>
      <c r="P365" s="182"/>
      <c r="Q365" s="182"/>
      <c r="R365" s="182"/>
      <c r="S365" s="182"/>
      <c r="T365" s="182"/>
      <c r="U365" s="182"/>
      <c r="V365" s="182"/>
      <c r="W365" s="182"/>
      <c r="X365" s="182"/>
      <c r="Y365" s="182"/>
      <c r="Z365" s="182"/>
      <c r="AA365" s="182"/>
      <c r="AB365" s="182"/>
      <c r="AC365" s="182"/>
      <c r="AD365" s="182"/>
      <c r="AE365" s="182"/>
      <c r="AF365" s="182"/>
      <c r="AG365" s="182"/>
      <c r="AH365" s="183">
        <f t="shared" si="46"/>
        <v>0</v>
      </c>
    </row>
    <row r="366" spans="1:34" ht="13.5">
      <c r="A366" s="166" t="s">
        <v>78</v>
      </c>
      <c r="B366" s="159">
        <f t="shared" si="45"/>
        <v>0</v>
      </c>
      <c r="C366" s="184"/>
      <c r="D366" s="185"/>
      <c r="E366" s="185"/>
      <c r="F366" s="185"/>
      <c r="G366" s="185"/>
      <c r="H366" s="185"/>
      <c r="I366" s="185"/>
      <c r="J366" s="185"/>
      <c r="K366" s="185"/>
      <c r="L366" s="185"/>
      <c r="M366" s="185"/>
      <c r="N366" s="185"/>
      <c r="O366" s="185"/>
      <c r="P366" s="185"/>
      <c r="Q366" s="185"/>
      <c r="R366" s="185"/>
      <c r="S366" s="185"/>
      <c r="T366" s="185"/>
      <c r="U366" s="185"/>
      <c r="V366" s="185"/>
      <c r="W366" s="185"/>
      <c r="X366" s="185"/>
      <c r="Y366" s="185"/>
      <c r="Z366" s="185"/>
      <c r="AA366" s="185"/>
      <c r="AB366" s="185"/>
      <c r="AC366" s="185"/>
      <c r="AD366" s="185"/>
      <c r="AE366" s="185"/>
      <c r="AF366" s="185"/>
      <c r="AG366" s="185"/>
      <c r="AH366" s="183">
        <f t="shared" si="46"/>
        <v>0</v>
      </c>
    </row>
    <row r="367" spans="1:34" ht="13.5">
      <c r="A367" s="166" t="s">
        <v>79</v>
      </c>
      <c r="B367" s="159">
        <f t="shared" si="45"/>
        <v>0</v>
      </c>
      <c r="C367" s="184"/>
      <c r="D367" s="185"/>
      <c r="E367" s="185"/>
      <c r="F367" s="185"/>
      <c r="G367" s="185"/>
      <c r="H367" s="185"/>
      <c r="I367" s="185"/>
      <c r="J367" s="185"/>
      <c r="K367" s="185"/>
      <c r="L367" s="185"/>
      <c r="M367" s="185"/>
      <c r="N367" s="185"/>
      <c r="O367" s="185"/>
      <c r="P367" s="185"/>
      <c r="Q367" s="185"/>
      <c r="R367" s="185"/>
      <c r="S367" s="185"/>
      <c r="T367" s="185"/>
      <c r="U367" s="185"/>
      <c r="V367" s="185"/>
      <c r="W367" s="185"/>
      <c r="X367" s="185"/>
      <c r="Y367" s="185"/>
      <c r="Z367" s="185"/>
      <c r="AA367" s="185"/>
      <c r="AB367" s="185"/>
      <c r="AC367" s="185"/>
      <c r="AD367" s="185"/>
      <c r="AE367" s="185"/>
      <c r="AF367" s="185"/>
      <c r="AG367" s="185"/>
      <c r="AH367" s="183">
        <f t="shared" si="46"/>
        <v>0</v>
      </c>
    </row>
    <row r="368" spans="1:34" ht="13.5">
      <c r="A368" s="166" t="s">
        <v>80</v>
      </c>
      <c r="B368" s="159">
        <f t="shared" si="45"/>
        <v>0</v>
      </c>
      <c r="C368" s="184"/>
      <c r="D368" s="185"/>
      <c r="E368" s="185"/>
      <c r="F368" s="185"/>
      <c r="G368" s="185"/>
      <c r="H368" s="185"/>
      <c r="I368" s="185"/>
      <c r="J368" s="185"/>
      <c r="K368" s="185"/>
      <c r="L368" s="185"/>
      <c r="M368" s="185"/>
      <c r="N368" s="185"/>
      <c r="O368" s="185"/>
      <c r="P368" s="185"/>
      <c r="Q368" s="185"/>
      <c r="R368" s="185"/>
      <c r="S368" s="185"/>
      <c r="T368" s="185"/>
      <c r="U368" s="185"/>
      <c r="V368" s="185"/>
      <c r="W368" s="185"/>
      <c r="X368" s="185"/>
      <c r="Y368" s="185"/>
      <c r="Z368" s="185"/>
      <c r="AA368" s="185"/>
      <c r="AB368" s="185"/>
      <c r="AC368" s="185"/>
      <c r="AD368" s="185"/>
      <c r="AE368" s="185"/>
      <c r="AF368" s="185"/>
      <c r="AG368" s="185"/>
      <c r="AH368" s="183">
        <f t="shared" si="46"/>
        <v>0</v>
      </c>
    </row>
    <row r="369" spans="1:34" ht="13.5">
      <c r="A369" s="166" t="s">
        <v>81</v>
      </c>
      <c r="B369" s="159">
        <f t="shared" si="45"/>
        <v>0</v>
      </c>
      <c r="C369" s="184"/>
      <c r="D369" s="185"/>
      <c r="E369" s="185"/>
      <c r="F369" s="185"/>
      <c r="G369" s="185"/>
      <c r="H369" s="185"/>
      <c r="I369" s="185"/>
      <c r="J369" s="185"/>
      <c r="K369" s="185"/>
      <c r="L369" s="185"/>
      <c r="M369" s="185"/>
      <c r="N369" s="185"/>
      <c r="O369" s="185"/>
      <c r="P369" s="185"/>
      <c r="Q369" s="185"/>
      <c r="R369" s="185"/>
      <c r="S369" s="185"/>
      <c r="T369" s="185"/>
      <c r="U369" s="185"/>
      <c r="V369" s="185"/>
      <c r="W369" s="185"/>
      <c r="X369" s="185"/>
      <c r="Y369" s="185"/>
      <c r="Z369" s="185"/>
      <c r="AA369" s="185"/>
      <c r="AB369" s="185"/>
      <c r="AC369" s="185"/>
      <c r="AD369" s="185"/>
      <c r="AE369" s="185"/>
      <c r="AF369" s="185"/>
      <c r="AG369" s="185"/>
      <c r="AH369" s="183">
        <f t="shared" si="46"/>
        <v>0</v>
      </c>
    </row>
    <row r="370" spans="1:34" ht="13.5">
      <c r="A370" s="166" t="s">
        <v>82</v>
      </c>
      <c r="B370" s="159">
        <f t="shared" si="45"/>
        <v>0</v>
      </c>
      <c r="C370" s="184"/>
      <c r="D370" s="185"/>
      <c r="E370" s="185"/>
      <c r="F370" s="185"/>
      <c r="G370" s="185"/>
      <c r="H370" s="185"/>
      <c r="I370" s="185"/>
      <c r="J370" s="185"/>
      <c r="K370" s="185"/>
      <c r="L370" s="185"/>
      <c r="M370" s="185"/>
      <c r="N370" s="185"/>
      <c r="O370" s="185"/>
      <c r="P370" s="185"/>
      <c r="Q370" s="185"/>
      <c r="R370" s="185"/>
      <c r="S370" s="185"/>
      <c r="T370" s="185"/>
      <c r="U370" s="185"/>
      <c r="V370" s="185"/>
      <c r="W370" s="185"/>
      <c r="X370" s="185"/>
      <c r="Y370" s="185"/>
      <c r="Z370" s="185"/>
      <c r="AA370" s="185"/>
      <c r="AB370" s="185"/>
      <c r="AC370" s="185"/>
      <c r="AD370" s="185"/>
      <c r="AE370" s="185"/>
      <c r="AF370" s="185"/>
      <c r="AG370" s="185"/>
      <c r="AH370" s="183">
        <f t="shared" si="46"/>
        <v>0</v>
      </c>
    </row>
    <row r="371" spans="1:34" ht="13.5">
      <c r="A371" s="166" t="s">
        <v>83</v>
      </c>
      <c r="B371" s="159">
        <f t="shared" si="45"/>
        <v>0</v>
      </c>
      <c r="C371" s="184"/>
      <c r="D371" s="185"/>
      <c r="E371" s="185"/>
      <c r="F371" s="185"/>
      <c r="G371" s="185"/>
      <c r="H371" s="185"/>
      <c r="I371" s="185"/>
      <c r="J371" s="185"/>
      <c r="K371" s="185"/>
      <c r="L371" s="185"/>
      <c r="M371" s="185"/>
      <c r="N371" s="185"/>
      <c r="O371" s="185"/>
      <c r="P371" s="185"/>
      <c r="Q371" s="185"/>
      <c r="R371" s="185"/>
      <c r="S371" s="185"/>
      <c r="T371" s="185"/>
      <c r="U371" s="185"/>
      <c r="V371" s="185"/>
      <c r="W371" s="185"/>
      <c r="X371" s="185"/>
      <c r="Y371" s="185"/>
      <c r="Z371" s="185"/>
      <c r="AA371" s="185"/>
      <c r="AB371" s="185"/>
      <c r="AC371" s="185"/>
      <c r="AD371" s="185"/>
      <c r="AE371" s="185"/>
      <c r="AF371" s="185"/>
      <c r="AG371" s="185"/>
      <c r="AH371" s="183">
        <f t="shared" si="46"/>
        <v>0</v>
      </c>
    </row>
    <row r="372" spans="1:34" ht="13.5">
      <c r="A372" s="166" t="s">
        <v>84</v>
      </c>
      <c r="B372" s="159">
        <f t="shared" si="45"/>
        <v>0</v>
      </c>
      <c r="C372" s="184"/>
      <c r="D372" s="185"/>
      <c r="E372" s="185"/>
      <c r="F372" s="185"/>
      <c r="G372" s="185"/>
      <c r="H372" s="185"/>
      <c r="I372" s="185"/>
      <c r="J372" s="185"/>
      <c r="K372" s="185"/>
      <c r="L372" s="185"/>
      <c r="M372" s="185"/>
      <c r="N372" s="185"/>
      <c r="O372" s="185"/>
      <c r="P372" s="185"/>
      <c r="Q372" s="185"/>
      <c r="R372" s="185"/>
      <c r="S372" s="185"/>
      <c r="T372" s="185"/>
      <c r="U372" s="185"/>
      <c r="V372" s="185"/>
      <c r="W372" s="185"/>
      <c r="X372" s="185"/>
      <c r="Y372" s="185"/>
      <c r="Z372" s="185"/>
      <c r="AA372" s="185"/>
      <c r="AB372" s="185"/>
      <c r="AC372" s="185"/>
      <c r="AD372" s="185"/>
      <c r="AE372" s="185"/>
      <c r="AF372" s="185"/>
      <c r="AG372" s="185"/>
      <c r="AH372" s="183">
        <f t="shared" si="46"/>
        <v>0</v>
      </c>
    </row>
    <row r="373" spans="1:34" ht="13.5">
      <c r="A373" s="166" t="s">
        <v>85</v>
      </c>
      <c r="B373" s="159">
        <f t="shared" si="45"/>
        <v>0</v>
      </c>
      <c r="C373" s="184"/>
      <c r="D373" s="185"/>
      <c r="E373" s="185"/>
      <c r="F373" s="185"/>
      <c r="G373" s="185"/>
      <c r="H373" s="185"/>
      <c r="I373" s="185"/>
      <c r="J373" s="185"/>
      <c r="K373" s="185"/>
      <c r="L373" s="185"/>
      <c r="M373" s="185"/>
      <c r="N373" s="185"/>
      <c r="O373" s="185"/>
      <c r="P373" s="185"/>
      <c r="Q373" s="185"/>
      <c r="R373" s="185"/>
      <c r="S373" s="185"/>
      <c r="T373" s="185"/>
      <c r="U373" s="185"/>
      <c r="V373" s="185"/>
      <c r="W373" s="185"/>
      <c r="X373" s="185"/>
      <c r="Y373" s="185"/>
      <c r="Z373" s="185"/>
      <c r="AA373" s="185"/>
      <c r="AB373" s="185"/>
      <c r="AC373" s="185"/>
      <c r="AD373" s="185"/>
      <c r="AE373" s="185"/>
      <c r="AF373" s="185"/>
      <c r="AG373" s="185"/>
      <c r="AH373" s="183">
        <f t="shared" si="46"/>
        <v>0</v>
      </c>
    </row>
    <row r="374" spans="1:34" ht="13.5">
      <c r="A374" s="179" t="s">
        <v>86</v>
      </c>
      <c r="B374" s="159">
        <f t="shared" si="45"/>
        <v>0</v>
      </c>
      <c r="C374" s="184"/>
      <c r="D374" s="185"/>
      <c r="E374" s="185"/>
      <c r="F374" s="185"/>
      <c r="G374" s="185"/>
      <c r="H374" s="185"/>
      <c r="I374" s="185"/>
      <c r="J374" s="185"/>
      <c r="K374" s="185"/>
      <c r="L374" s="185"/>
      <c r="M374" s="185"/>
      <c r="N374" s="185"/>
      <c r="O374" s="185"/>
      <c r="P374" s="185"/>
      <c r="Q374" s="185"/>
      <c r="R374" s="185"/>
      <c r="S374" s="185"/>
      <c r="T374" s="185"/>
      <c r="U374" s="185"/>
      <c r="V374" s="185"/>
      <c r="W374" s="185"/>
      <c r="X374" s="185"/>
      <c r="Y374" s="185"/>
      <c r="Z374" s="185"/>
      <c r="AA374" s="185"/>
      <c r="AB374" s="185"/>
      <c r="AC374" s="185"/>
      <c r="AD374" s="185"/>
      <c r="AE374" s="185"/>
      <c r="AF374" s="185"/>
      <c r="AG374" s="185"/>
      <c r="AH374" s="183">
        <f t="shared" si="46"/>
        <v>0</v>
      </c>
    </row>
    <row r="375" spans="1:34" ht="13.5">
      <c r="A375" s="186" t="s">
        <v>52</v>
      </c>
      <c r="B375" s="186">
        <f>SUM(B363:B374)</f>
        <v>0</v>
      </c>
      <c r="C375" s="187"/>
      <c r="D375" s="187"/>
      <c r="E375" s="187"/>
      <c r="F375" s="187"/>
      <c r="G375" s="187"/>
      <c r="H375" s="187"/>
      <c r="I375" s="187"/>
      <c r="J375" s="187"/>
      <c r="K375" s="187"/>
      <c r="L375" s="187"/>
      <c r="M375" s="187"/>
      <c r="N375" s="187"/>
      <c r="O375" s="187"/>
      <c r="P375" s="187"/>
      <c r="Q375" s="187"/>
      <c r="R375" s="187"/>
      <c r="S375" s="187"/>
      <c r="T375" s="187"/>
      <c r="U375" s="187"/>
      <c r="V375" s="187"/>
      <c r="W375" s="187"/>
      <c r="X375" s="187"/>
      <c r="Y375" s="187"/>
      <c r="Z375" s="187"/>
      <c r="AA375" s="187"/>
      <c r="AB375" s="187"/>
      <c r="AC375" s="187"/>
      <c r="AD375" s="187"/>
      <c r="AE375" s="187"/>
      <c r="AF375" s="187"/>
      <c r="AG375" s="187"/>
      <c r="AH375" s="188"/>
    </row>
    <row r="377" spans="1:34" ht="13.5" thickBot="1"/>
    <row r="378" spans="1:34" ht="14.25" thickBot="1">
      <c r="A378" s="3716" t="s">
        <v>321</v>
      </c>
      <c r="B378" s="3717"/>
      <c r="C378" s="3717"/>
      <c r="D378" s="627" t="s">
        <v>8</v>
      </c>
      <c r="E378" s="623"/>
      <c r="F378" s="628"/>
    </row>
    <row r="379" spans="1:34" ht="13.5">
      <c r="A379" s="178" t="s">
        <v>72</v>
      </c>
      <c r="B379" s="178" t="s">
        <v>73</v>
      </c>
      <c r="C379" s="1487">
        <v>1</v>
      </c>
      <c r="D379" s="248">
        <v>2</v>
      </c>
      <c r="E379" s="248">
        <v>3</v>
      </c>
      <c r="F379" s="248">
        <v>4</v>
      </c>
      <c r="G379" s="179">
        <v>5</v>
      </c>
      <c r="H379" s="179">
        <v>6</v>
      </c>
      <c r="I379" s="179">
        <v>7</v>
      </c>
      <c r="J379" s="179">
        <v>8</v>
      </c>
      <c r="K379" s="179">
        <v>9</v>
      </c>
      <c r="L379" s="179">
        <v>10</v>
      </c>
      <c r="M379" s="179">
        <v>11</v>
      </c>
      <c r="N379" s="179">
        <v>12</v>
      </c>
      <c r="O379" s="179">
        <v>13</v>
      </c>
      <c r="P379" s="179">
        <v>14</v>
      </c>
      <c r="Q379" s="179">
        <v>15</v>
      </c>
      <c r="R379" s="179">
        <v>16</v>
      </c>
      <c r="S379" s="179">
        <v>17</v>
      </c>
      <c r="T379" s="179">
        <v>18</v>
      </c>
      <c r="U379" s="179">
        <v>19</v>
      </c>
      <c r="V379" s="179">
        <v>20</v>
      </c>
      <c r="W379" s="166">
        <v>21</v>
      </c>
      <c r="X379" s="179">
        <v>22</v>
      </c>
      <c r="Y379" s="179">
        <v>23</v>
      </c>
      <c r="Z379" s="179">
        <v>24</v>
      </c>
      <c r="AA379" s="179">
        <v>25</v>
      </c>
      <c r="AB379" s="179">
        <v>26</v>
      </c>
      <c r="AC379" s="179">
        <v>27</v>
      </c>
      <c r="AD379" s="179">
        <v>28</v>
      </c>
      <c r="AE379" s="179">
        <v>29</v>
      </c>
      <c r="AF379" s="179">
        <v>30</v>
      </c>
      <c r="AG379" s="179">
        <v>31</v>
      </c>
      <c r="AH379" s="181" t="s">
        <v>52</v>
      </c>
    </row>
    <row r="380" spans="1:34" ht="13.5">
      <c r="A380" s="166" t="s">
        <v>75</v>
      </c>
      <c r="B380" s="159">
        <f t="shared" ref="B380:B391" si="47">+AH380</f>
        <v>0</v>
      </c>
      <c r="C380" s="182"/>
      <c r="D380" s="182"/>
      <c r="E380" s="182"/>
      <c r="F380" s="182"/>
      <c r="G380" s="182"/>
      <c r="H380" s="182"/>
      <c r="I380" s="182"/>
      <c r="J380" s="182"/>
      <c r="K380" s="182"/>
      <c r="L380" s="182"/>
      <c r="M380" s="182"/>
      <c r="N380" s="182"/>
      <c r="O380" s="182"/>
      <c r="P380" s="182"/>
      <c r="Q380" s="182"/>
      <c r="R380" s="182"/>
      <c r="S380" s="182"/>
      <c r="T380" s="182"/>
      <c r="U380" s="182"/>
      <c r="V380" s="182"/>
      <c r="W380" s="182"/>
      <c r="X380" s="182"/>
      <c r="Y380" s="182"/>
      <c r="Z380" s="182"/>
      <c r="AA380" s="182"/>
      <c r="AB380" s="182"/>
      <c r="AC380" s="182"/>
      <c r="AD380" s="182"/>
      <c r="AE380" s="182"/>
      <c r="AF380" s="182"/>
      <c r="AG380" s="182"/>
      <c r="AH380" s="183">
        <f>SUM(C380:AG380)</f>
        <v>0</v>
      </c>
    </row>
    <row r="381" spans="1:34" ht="13.5">
      <c r="A381" s="166" t="s">
        <v>76</v>
      </c>
      <c r="B381" s="159">
        <f t="shared" si="47"/>
        <v>0</v>
      </c>
      <c r="C381" s="182"/>
      <c r="D381" s="182"/>
      <c r="E381" s="182"/>
      <c r="F381" s="182"/>
      <c r="G381" s="182"/>
      <c r="H381" s="182"/>
      <c r="I381" s="182"/>
      <c r="J381" s="182"/>
      <c r="K381" s="182"/>
      <c r="L381" s="182"/>
      <c r="M381" s="182"/>
      <c r="N381" s="182"/>
      <c r="O381" s="182"/>
      <c r="P381" s="182"/>
      <c r="Q381" s="182"/>
      <c r="R381" s="182"/>
      <c r="S381" s="182"/>
      <c r="T381" s="182"/>
      <c r="U381" s="182"/>
      <c r="V381" s="182"/>
      <c r="W381" s="182"/>
      <c r="X381" s="182"/>
      <c r="Y381" s="182"/>
      <c r="Z381" s="182"/>
      <c r="AA381" s="182"/>
      <c r="AB381" s="182"/>
      <c r="AC381" s="182"/>
      <c r="AD381" s="182"/>
      <c r="AE381" s="182"/>
      <c r="AF381" s="182"/>
      <c r="AG381" s="182"/>
      <c r="AH381" s="183">
        <f t="shared" ref="AH381:AH391" si="48">SUM(C381:AG381)</f>
        <v>0</v>
      </c>
    </row>
    <row r="382" spans="1:34" ht="13.5">
      <c r="A382" s="166" t="s">
        <v>77</v>
      </c>
      <c r="B382" s="159">
        <f t="shared" si="47"/>
        <v>0</v>
      </c>
      <c r="C382" s="182"/>
      <c r="D382" s="182"/>
      <c r="E382" s="182"/>
      <c r="F382" s="182"/>
      <c r="G382" s="182"/>
      <c r="H382" s="182"/>
      <c r="I382" s="182"/>
      <c r="J382" s="182"/>
      <c r="K382" s="182"/>
      <c r="L382" s="182"/>
      <c r="M382" s="182"/>
      <c r="N382" s="182"/>
      <c r="O382" s="182"/>
      <c r="P382" s="182"/>
      <c r="Q382" s="182"/>
      <c r="R382" s="182"/>
      <c r="S382" s="182"/>
      <c r="T382" s="182"/>
      <c r="U382" s="182"/>
      <c r="V382" s="182"/>
      <c r="W382" s="182"/>
      <c r="X382" s="182"/>
      <c r="Y382" s="182"/>
      <c r="Z382" s="182"/>
      <c r="AA382" s="182"/>
      <c r="AB382" s="182"/>
      <c r="AC382" s="182"/>
      <c r="AD382" s="182"/>
      <c r="AE382" s="182"/>
      <c r="AF382" s="182"/>
      <c r="AG382" s="182"/>
      <c r="AH382" s="183">
        <f t="shared" si="48"/>
        <v>0</v>
      </c>
    </row>
    <row r="383" spans="1:34" ht="13.5">
      <c r="A383" s="166" t="s">
        <v>78</v>
      </c>
      <c r="B383" s="159">
        <f t="shared" si="47"/>
        <v>0</v>
      </c>
      <c r="C383" s="184"/>
      <c r="D383" s="185"/>
      <c r="E383" s="629"/>
      <c r="F383" s="629"/>
      <c r="G383" s="185"/>
      <c r="H383" s="185"/>
      <c r="I383" s="185"/>
      <c r="J383" s="185"/>
      <c r="K383" s="185"/>
      <c r="L383" s="185"/>
      <c r="M383" s="185"/>
      <c r="N383" s="185"/>
      <c r="O383" s="185"/>
      <c r="P383" s="185"/>
      <c r="Q383" s="185"/>
      <c r="R383" s="185"/>
      <c r="S383" s="185"/>
      <c r="T383" s="185"/>
      <c r="U383" s="185"/>
      <c r="V383" s="185"/>
      <c r="W383" s="185"/>
      <c r="X383" s="185"/>
      <c r="Y383" s="185"/>
      <c r="Z383" s="185"/>
      <c r="AA383" s="185"/>
      <c r="AB383" s="185"/>
      <c r="AC383" s="185"/>
      <c r="AD383" s="185"/>
      <c r="AE383" s="185"/>
      <c r="AF383" s="185"/>
      <c r="AG383" s="185"/>
      <c r="AH383" s="183">
        <f t="shared" si="48"/>
        <v>0</v>
      </c>
    </row>
    <row r="384" spans="1:34" ht="13.5">
      <c r="A384" s="166" t="s">
        <v>79</v>
      </c>
      <c r="B384" s="159">
        <f t="shared" si="47"/>
        <v>0</v>
      </c>
      <c r="C384" s="184"/>
      <c r="D384" s="185"/>
      <c r="E384" s="629"/>
      <c r="F384" s="629"/>
      <c r="G384" s="185"/>
      <c r="H384" s="185"/>
      <c r="I384" s="185"/>
      <c r="J384" s="185"/>
      <c r="K384" s="185"/>
      <c r="L384" s="185"/>
      <c r="M384" s="185"/>
      <c r="N384" s="185"/>
      <c r="O384" s="185"/>
      <c r="P384" s="185"/>
      <c r="Q384" s="185"/>
      <c r="R384" s="185"/>
      <c r="S384" s="185"/>
      <c r="T384" s="185"/>
      <c r="U384" s="185"/>
      <c r="V384" s="185"/>
      <c r="W384" s="185"/>
      <c r="X384" s="185"/>
      <c r="Y384" s="185"/>
      <c r="Z384" s="185"/>
      <c r="AA384" s="185"/>
      <c r="AB384" s="185"/>
      <c r="AC384" s="185"/>
      <c r="AD384" s="185"/>
      <c r="AE384" s="185"/>
      <c r="AF384" s="185"/>
      <c r="AG384" s="185"/>
      <c r="AH384" s="183">
        <f t="shared" si="48"/>
        <v>0</v>
      </c>
    </row>
    <row r="385" spans="1:34" ht="13.5">
      <c r="A385" s="166" t="s">
        <v>80</v>
      </c>
      <c r="B385" s="159">
        <f t="shared" si="47"/>
        <v>0</v>
      </c>
      <c r="C385" s="184"/>
      <c r="D385" s="185"/>
      <c r="E385" s="629"/>
      <c r="F385" s="629"/>
      <c r="G385" s="185"/>
      <c r="H385" s="185"/>
      <c r="I385" s="185"/>
      <c r="J385" s="185"/>
      <c r="K385" s="185"/>
      <c r="L385" s="185"/>
      <c r="M385" s="185"/>
      <c r="N385" s="185"/>
      <c r="O385" s="185"/>
      <c r="P385" s="185"/>
      <c r="Q385" s="185"/>
      <c r="R385" s="185"/>
      <c r="S385" s="185"/>
      <c r="T385" s="185"/>
      <c r="U385" s="185"/>
      <c r="V385" s="185"/>
      <c r="W385" s="185"/>
      <c r="X385" s="185"/>
      <c r="Y385" s="185"/>
      <c r="Z385" s="185"/>
      <c r="AA385" s="185"/>
      <c r="AB385" s="185"/>
      <c r="AC385" s="185"/>
      <c r="AD385" s="185"/>
      <c r="AE385" s="185"/>
      <c r="AF385" s="185"/>
      <c r="AG385" s="185"/>
      <c r="AH385" s="183">
        <f t="shared" si="48"/>
        <v>0</v>
      </c>
    </row>
    <row r="386" spans="1:34" ht="13.5">
      <c r="A386" s="166" t="s">
        <v>81</v>
      </c>
      <c r="B386" s="159">
        <f t="shared" si="47"/>
        <v>0</v>
      </c>
      <c r="C386" s="184"/>
      <c r="D386" s="185"/>
      <c r="E386" s="185"/>
      <c r="F386" s="185"/>
      <c r="G386" s="185"/>
      <c r="H386" s="185"/>
      <c r="I386" s="185"/>
      <c r="J386" s="185"/>
      <c r="K386" s="185"/>
      <c r="L386" s="185"/>
      <c r="M386" s="185"/>
      <c r="N386" s="185"/>
      <c r="O386" s="185"/>
      <c r="P386" s="185"/>
      <c r="Q386" s="185"/>
      <c r="R386" s="185"/>
      <c r="S386" s="185"/>
      <c r="T386" s="185"/>
      <c r="U386" s="185"/>
      <c r="V386" s="185"/>
      <c r="W386" s="185"/>
      <c r="X386" s="185"/>
      <c r="Y386" s="185"/>
      <c r="Z386" s="185"/>
      <c r="AA386" s="185"/>
      <c r="AB386" s="185"/>
      <c r="AC386" s="185"/>
      <c r="AD386" s="185"/>
      <c r="AE386" s="185"/>
      <c r="AF386" s="185"/>
      <c r="AG386" s="185"/>
      <c r="AH386" s="183">
        <f t="shared" si="48"/>
        <v>0</v>
      </c>
    </row>
    <row r="387" spans="1:34" ht="13.5">
      <c r="A387" s="166" t="s">
        <v>82</v>
      </c>
      <c r="B387" s="159">
        <f t="shared" si="47"/>
        <v>0</v>
      </c>
      <c r="C387" s="184"/>
      <c r="D387" s="185"/>
      <c r="E387" s="185"/>
      <c r="F387" s="185"/>
      <c r="G387" s="185"/>
      <c r="H387" s="185"/>
      <c r="I387" s="185"/>
      <c r="J387" s="185"/>
      <c r="K387" s="185"/>
      <c r="L387" s="185"/>
      <c r="M387" s="185"/>
      <c r="N387" s="185"/>
      <c r="O387" s="185"/>
      <c r="P387" s="185"/>
      <c r="Q387" s="185"/>
      <c r="R387" s="185"/>
      <c r="S387" s="185"/>
      <c r="T387" s="185"/>
      <c r="U387" s="185"/>
      <c r="V387" s="185"/>
      <c r="W387" s="185"/>
      <c r="X387" s="185"/>
      <c r="Y387" s="185"/>
      <c r="Z387" s="185"/>
      <c r="AA387" s="185"/>
      <c r="AB387" s="185"/>
      <c r="AC387" s="185"/>
      <c r="AD387" s="185"/>
      <c r="AE387" s="185"/>
      <c r="AF387" s="185"/>
      <c r="AG387" s="185"/>
      <c r="AH387" s="183">
        <f t="shared" si="48"/>
        <v>0</v>
      </c>
    </row>
    <row r="388" spans="1:34" ht="13.5">
      <c r="A388" s="166" t="s">
        <v>83</v>
      </c>
      <c r="B388" s="159">
        <f t="shared" si="47"/>
        <v>0</v>
      </c>
      <c r="C388" s="184"/>
      <c r="D388" s="185"/>
      <c r="E388" s="185"/>
      <c r="F388" s="185"/>
      <c r="G388" s="185"/>
      <c r="H388" s="185"/>
      <c r="I388" s="185"/>
      <c r="J388" s="185"/>
      <c r="K388" s="185"/>
      <c r="L388" s="185"/>
      <c r="M388" s="185"/>
      <c r="N388" s="185"/>
      <c r="O388" s="185"/>
      <c r="P388" s="185"/>
      <c r="Q388" s="185"/>
      <c r="R388" s="185"/>
      <c r="S388" s="185"/>
      <c r="T388" s="185"/>
      <c r="U388" s="185"/>
      <c r="V388" s="185"/>
      <c r="W388" s="185"/>
      <c r="X388" s="185"/>
      <c r="Y388" s="185"/>
      <c r="Z388" s="185"/>
      <c r="AA388" s="185"/>
      <c r="AB388" s="185"/>
      <c r="AC388" s="185"/>
      <c r="AD388" s="185"/>
      <c r="AE388" s="185"/>
      <c r="AF388" s="185"/>
      <c r="AG388" s="185"/>
      <c r="AH388" s="183">
        <f t="shared" si="48"/>
        <v>0</v>
      </c>
    </row>
    <row r="389" spans="1:34" ht="13.5">
      <c r="A389" s="166" t="s">
        <v>84</v>
      </c>
      <c r="B389" s="159">
        <f t="shared" si="47"/>
        <v>0</v>
      </c>
      <c r="C389" s="184"/>
      <c r="D389" s="185"/>
      <c r="E389" s="185"/>
      <c r="F389" s="185"/>
      <c r="G389" s="185"/>
      <c r="H389" s="185"/>
      <c r="I389" s="185"/>
      <c r="J389" s="185"/>
      <c r="K389" s="185"/>
      <c r="L389" s="185"/>
      <c r="M389" s="185"/>
      <c r="N389" s="185"/>
      <c r="O389" s="185"/>
      <c r="P389" s="185"/>
      <c r="Q389" s="185"/>
      <c r="R389" s="185"/>
      <c r="S389" s="185"/>
      <c r="T389" s="185"/>
      <c r="U389" s="185"/>
      <c r="V389" s="185"/>
      <c r="W389" s="185"/>
      <c r="X389" s="185"/>
      <c r="Y389" s="185"/>
      <c r="Z389" s="185"/>
      <c r="AA389" s="185"/>
      <c r="AB389" s="185"/>
      <c r="AC389" s="185"/>
      <c r="AD389" s="185"/>
      <c r="AE389" s="185"/>
      <c r="AF389" s="185"/>
      <c r="AG389" s="185"/>
      <c r="AH389" s="183">
        <f t="shared" si="48"/>
        <v>0</v>
      </c>
    </row>
    <row r="390" spans="1:34" ht="13.5">
      <c r="A390" s="166" t="s">
        <v>85</v>
      </c>
      <c r="B390" s="159">
        <f t="shared" si="47"/>
        <v>0</v>
      </c>
      <c r="C390" s="184"/>
      <c r="D390" s="185"/>
      <c r="E390" s="185"/>
      <c r="F390" s="185"/>
      <c r="G390" s="185"/>
      <c r="H390" s="185"/>
      <c r="I390" s="185"/>
      <c r="J390" s="185"/>
      <c r="K390" s="185"/>
      <c r="L390" s="185"/>
      <c r="M390" s="185"/>
      <c r="N390" s="185"/>
      <c r="O390" s="185"/>
      <c r="P390" s="185"/>
      <c r="Q390" s="185"/>
      <c r="R390" s="185"/>
      <c r="S390" s="185"/>
      <c r="T390" s="185"/>
      <c r="U390" s="185"/>
      <c r="V390" s="185"/>
      <c r="W390" s="185"/>
      <c r="X390" s="185"/>
      <c r="Y390" s="185"/>
      <c r="Z390" s="185"/>
      <c r="AA390" s="185"/>
      <c r="AB390" s="185"/>
      <c r="AC390" s="185"/>
      <c r="AD390" s="185"/>
      <c r="AE390" s="185"/>
      <c r="AF390" s="185"/>
      <c r="AG390" s="185"/>
      <c r="AH390" s="183">
        <f t="shared" si="48"/>
        <v>0</v>
      </c>
    </row>
    <row r="391" spans="1:34" ht="13.5">
      <c r="A391" s="179" t="s">
        <v>86</v>
      </c>
      <c r="B391" s="159">
        <f t="shared" si="47"/>
        <v>0</v>
      </c>
      <c r="C391" s="184"/>
      <c r="D391" s="185"/>
      <c r="E391" s="185"/>
      <c r="F391" s="185"/>
      <c r="G391" s="185"/>
      <c r="H391" s="185"/>
      <c r="I391" s="185"/>
      <c r="J391" s="185"/>
      <c r="K391" s="185"/>
      <c r="L391" s="185"/>
      <c r="M391" s="185"/>
      <c r="N391" s="185"/>
      <c r="O391" s="185"/>
      <c r="P391" s="185"/>
      <c r="Q391" s="185"/>
      <c r="R391" s="185"/>
      <c r="S391" s="185"/>
      <c r="T391" s="185"/>
      <c r="U391" s="185"/>
      <c r="V391" s="185"/>
      <c r="W391" s="185"/>
      <c r="X391" s="185"/>
      <c r="Y391" s="185"/>
      <c r="Z391" s="185"/>
      <c r="AA391" s="185"/>
      <c r="AB391" s="185"/>
      <c r="AC391" s="185"/>
      <c r="AD391" s="185"/>
      <c r="AE391" s="185"/>
      <c r="AF391" s="185"/>
      <c r="AG391" s="185"/>
      <c r="AH391" s="183">
        <f t="shared" si="48"/>
        <v>0</v>
      </c>
    </row>
    <row r="392" spans="1:34" ht="13.5">
      <c r="A392" s="186" t="s">
        <v>52</v>
      </c>
      <c r="B392" s="186">
        <f>SUM(B380:B391)</f>
        <v>0</v>
      </c>
      <c r="C392" s="187"/>
      <c r="D392" s="187"/>
      <c r="E392" s="187"/>
      <c r="F392" s="187"/>
      <c r="G392" s="187"/>
      <c r="H392" s="187"/>
      <c r="I392" s="187"/>
      <c r="J392" s="187"/>
      <c r="K392" s="187"/>
      <c r="L392" s="187"/>
      <c r="M392" s="187"/>
      <c r="N392" s="187"/>
      <c r="O392" s="187"/>
      <c r="P392" s="187"/>
      <c r="Q392" s="187"/>
      <c r="R392" s="187"/>
      <c r="S392" s="187"/>
      <c r="T392" s="187"/>
      <c r="U392" s="187"/>
      <c r="V392" s="187"/>
      <c r="W392" s="187"/>
      <c r="X392" s="187"/>
      <c r="Y392" s="187"/>
      <c r="Z392" s="187"/>
      <c r="AA392" s="187"/>
      <c r="AB392" s="187"/>
      <c r="AC392" s="187"/>
      <c r="AD392" s="187"/>
      <c r="AE392" s="187"/>
      <c r="AF392" s="187"/>
      <c r="AG392" s="187"/>
      <c r="AH392" s="188"/>
    </row>
    <row r="394" spans="1:34" ht="13.5" thickBot="1"/>
    <row r="395" spans="1:34" ht="14.25" thickBot="1">
      <c r="A395" s="3716" t="s">
        <v>321</v>
      </c>
      <c r="B395" s="3717"/>
      <c r="C395" s="3717"/>
      <c r="D395" s="627" t="s">
        <v>8</v>
      </c>
      <c r="E395" s="623"/>
      <c r="F395" s="628"/>
    </row>
    <row r="396" spans="1:34" ht="13.5">
      <c r="A396" s="178" t="s">
        <v>72</v>
      </c>
      <c r="B396" s="178" t="s">
        <v>73</v>
      </c>
      <c r="C396" s="1487">
        <v>1</v>
      </c>
      <c r="D396" s="248">
        <v>2</v>
      </c>
      <c r="E396" s="248">
        <v>3</v>
      </c>
      <c r="F396" s="248">
        <v>4</v>
      </c>
      <c r="G396" s="179">
        <v>5</v>
      </c>
      <c r="H396" s="179">
        <v>6</v>
      </c>
      <c r="I396" s="179">
        <v>7</v>
      </c>
      <c r="J396" s="179">
        <v>8</v>
      </c>
      <c r="K396" s="179">
        <v>9</v>
      </c>
      <c r="L396" s="179">
        <v>10</v>
      </c>
      <c r="M396" s="179">
        <v>11</v>
      </c>
      <c r="N396" s="179">
        <v>12</v>
      </c>
      <c r="O396" s="179">
        <v>13</v>
      </c>
      <c r="P396" s="179">
        <v>14</v>
      </c>
      <c r="Q396" s="179">
        <v>15</v>
      </c>
      <c r="R396" s="179">
        <v>16</v>
      </c>
      <c r="S396" s="179">
        <v>17</v>
      </c>
      <c r="T396" s="179">
        <v>18</v>
      </c>
      <c r="U396" s="179">
        <v>19</v>
      </c>
      <c r="V396" s="179">
        <v>20</v>
      </c>
      <c r="W396" s="166">
        <v>21</v>
      </c>
      <c r="X396" s="179">
        <v>22</v>
      </c>
      <c r="Y396" s="179">
        <v>23</v>
      </c>
      <c r="Z396" s="179">
        <v>24</v>
      </c>
      <c r="AA396" s="179">
        <v>25</v>
      </c>
      <c r="AB396" s="179">
        <v>26</v>
      </c>
      <c r="AC396" s="179">
        <v>27</v>
      </c>
      <c r="AD396" s="179">
        <v>28</v>
      </c>
      <c r="AE396" s="179">
        <v>29</v>
      </c>
      <c r="AF396" s="179">
        <v>30</v>
      </c>
      <c r="AG396" s="179">
        <v>31</v>
      </c>
      <c r="AH396" s="181" t="s">
        <v>52</v>
      </c>
    </row>
    <row r="397" spans="1:34" ht="13.5">
      <c r="A397" s="166" t="s">
        <v>75</v>
      </c>
      <c r="B397" s="159">
        <f t="shared" ref="B397:B408" si="49">+AH397</f>
        <v>0</v>
      </c>
      <c r="C397" s="182"/>
      <c r="D397" s="182"/>
      <c r="E397" s="182"/>
      <c r="F397" s="182"/>
      <c r="G397" s="182"/>
      <c r="H397" s="182"/>
      <c r="I397" s="182"/>
      <c r="J397" s="182"/>
      <c r="K397" s="182"/>
      <c r="L397" s="182"/>
      <c r="M397" s="182"/>
      <c r="N397" s="182"/>
      <c r="O397" s="182"/>
      <c r="P397" s="182"/>
      <c r="Q397" s="182"/>
      <c r="R397" s="182"/>
      <c r="S397" s="182"/>
      <c r="T397" s="182"/>
      <c r="U397" s="182"/>
      <c r="V397" s="182"/>
      <c r="W397" s="182"/>
      <c r="X397" s="182"/>
      <c r="Y397" s="182"/>
      <c r="Z397" s="182"/>
      <c r="AA397" s="182"/>
      <c r="AB397" s="182"/>
      <c r="AC397" s="182"/>
      <c r="AD397" s="182"/>
      <c r="AE397" s="182"/>
      <c r="AF397" s="182"/>
      <c r="AG397" s="182"/>
      <c r="AH397" s="183">
        <f>SUM(C397:AG397)</f>
        <v>0</v>
      </c>
    </row>
    <row r="398" spans="1:34" ht="13.5">
      <c r="A398" s="166" t="s">
        <v>76</v>
      </c>
      <c r="B398" s="159">
        <f t="shared" si="49"/>
        <v>0</v>
      </c>
      <c r="C398" s="182"/>
      <c r="D398" s="182"/>
      <c r="E398" s="182"/>
      <c r="F398" s="182"/>
      <c r="G398" s="182"/>
      <c r="H398" s="182"/>
      <c r="I398" s="182"/>
      <c r="J398" s="182"/>
      <c r="K398" s="182"/>
      <c r="L398" s="182"/>
      <c r="M398" s="182"/>
      <c r="N398" s="182"/>
      <c r="O398" s="182"/>
      <c r="P398" s="182"/>
      <c r="Q398" s="182"/>
      <c r="R398" s="182"/>
      <c r="S398" s="182"/>
      <c r="T398" s="182"/>
      <c r="U398" s="182"/>
      <c r="V398" s="182"/>
      <c r="W398" s="182"/>
      <c r="X398" s="182"/>
      <c r="Y398" s="182"/>
      <c r="Z398" s="182"/>
      <c r="AA398" s="182"/>
      <c r="AB398" s="182"/>
      <c r="AC398" s="182"/>
      <c r="AD398" s="182"/>
      <c r="AE398" s="182"/>
      <c r="AF398" s="182"/>
      <c r="AG398" s="182"/>
      <c r="AH398" s="183">
        <f t="shared" ref="AH398:AH408" si="50">SUM(C398:AG398)</f>
        <v>0</v>
      </c>
    </row>
    <row r="399" spans="1:34" ht="13.5">
      <c r="A399" s="166" t="s">
        <v>77</v>
      </c>
      <c r="B399" s="159">
        <f t="shared" si="49"/>
        <v>0</v>
      </c>
      <c r="C399" s="182"/>
      <c r="D399" s="182"/>
      <c r="E399" s="182"/>
      <c r="F399" s="182"/>
      <c r="G399" s="182"/>
      <c r="H399" s="182"/>
      <c r="I399" s="182"/>
      <c r="J399" s="182"/>
      <c r="K399" s="182"/>
      <c r="L399" s="182"/>
      <c r="M399" s="182"/>
      <c r="N399" s="182"/>
      <c r="O399" s="182"/>
      <c r="P399" s="182"/>
      <c r="Q399" s="182"/>
      <c r="R399" s="182"/>
      <c r="S399" s="182"/>
      <c r="T399" s="182"/>
      <c r="U399" s="182"/>
      <c r="V399" s="182"/>
      <c r="W399" s="182"/>
      <c r="X399" s="182"/>
      <c r="Y399" s="182"/>
      <c r="Z399" s="182"/>
      <c r="AA399" s="182"/>
      <c r="AB399" s="182"/>
      <c r="AC399" s="182"/>
      <c r="AD399" s="182"/>
      <c r="AE399" s="182"/>
      <c r="AF399" s="182"/>
      <c r="AG399" s="182"/>
      <c r="AH399" s="183">
        <f t="shared" si="50"/>
        <v>0</v>
      </c>
    </row>
    <row r="400" spans="1:34" ht="13.5">
      <c r="A400" s="166" t="s">
        <v>78</v>
      </c>
      <c r="B400" s="159">
        <f t="shared" si="49"/>
        <v>0</v>
      </c>
      <c r="C400" s="184"/>
      <c r="D400" s="185"/>
      <c r="E400" s="629"/>
      <c r="F400" s="629"/>
      <c r="G400" s="185"/>
      <c r="H400" s="185"/>
      <c r="I400" s="185"/>
      <c r="J400" s="185"/>
      <c r="K400" s="185"/>
      <c r="L400" s="185"/>
      <c r="M400" s="185"/>
      <c r="N400" s="185"/>
      <c r="O400" s="185"/>
      <c r="P400" s="185"/>
      <c r="Q400" s="185"/>
      <c r="R400" s="185"/>
      <c r="S400" s="185"/>
      <c r="T400" s="185"/>
      <c r="U400" s="185"/>
      <c r="V400" s="185"/>
      <c r="W400" s="185"/>
      <c r="X400" s="185"/>
      <c r="Y400" s="185"/>
      <c r="Z400" s="185"/>
      <c r="AA400" s="185"/>
      <c r="AB400" s="185"/>
      <c r="AC400" s="185"/>
      <c r="AD400" s="185"/>
      <c r="AE400" s="185"/>
      <c r="AF400" s="185"/>
      <c r="AG400" s="185"/>
      <c r="AH400" s="183">
        <f t="shared" si="50"/>
        <v>0</v>
      </c>
    </row>
    <row r="401" spans="1:34" ht="13.5">
      <c r="A401" s="166" t="s">
        <v>79</v>
      </c>
      <c r="B401" s="159">
        <f t="shared" si="49"/>
        <v>0</v>
      </c>
      <c r="C401" s="184"/>
      <c r="D401" s="185"/>
      <c r="E401" s="629"/>
      <c r="F401" s="629"/>
      <c r="G401" s="185"/>
      <c r="H401" s="185"/>
      <c r="I401" s="185"/>
      <c r="J401" s="185"/>
      <c r="K401" s="185"/>
      <c r="L401" s="185"/>
      <c r="M401" s="185"/>
      <c r="N401" s="185"/>
      <c r="O401" s="185"/>
      <c r="P401" s="185"/>
      <c r="Q401" s="185"/>
      <c r="R401" s="185"/>
      <c r="S401" s="185"/>
      <c r="T401" s="185"/>
      <c r="U401" s="185"/>
      <c r="V401" s="185"/>
      <c r="W401" s="185"/>
      <c r="X401" s="185"/>
      <c r="Y401" s="185"/>
      <c r="Z401" s="185"/>
      <c r="AA401" s="185"/>
      <c r="AB401" s="185"/>
      <c r="AC401" s="185"/>
      <c r="AD401" s="185"/>
      <c r="AE401" s="185"/>
      <c r="AF401" s="185"/>
      <c r="AG401" s="185"/>
      <c r="AH401" s="183">
        <f t="shared" si="50"/>
        <v>0</v>
      </c>
    </row>
    <row r="402" spans="1:34" ht="13.5">
      <c r="A402" s="166" t="s">
        <v>80</v>
      </c>
      <c r="B402" s="159">
        <f t="shared" si="49"/>
        <v>0</v>
      </c>
      <c r="C402" s="184"/>
      <c r="D402" s="185"/>
      <c r="E402" s="629"/>
      <c r="F402" s="629"/>
      <c r="G402" s="185"/>
      <c r="H402" s="185"/>
      <c r="I402" s="185"/>
      <c r="J402" s="185"/>
      <c r="K402" s="185"/>
      <c r="L402" s="185"/>
      <c r="M402" s="185"/>
      <c r="N402" s="185"/>
      <c r="O402" s="185"/>
      <c r="P402" s="185"/>
      <c r="Q402" s="185"/>
      <c r="R402" s="185"/>
      <c r="S402" s="185"/>
      <c r="T402" s="185"/>
      <c r="U402" s="185"/>
      <c r="V402" s="185"/>
      <c r="W402" s="185"/>
      <c r="X402" s="185"/>
      <c r="Y402" s="185"/>
      <c r="Z402" s="185"/>
      <c r="AA402" s="185"/>
      <c r="AB402" s="185"/>
      <c r="AC402" s="185"/>
      <c r="AD402" s="185"/>
      <c r="AE402" s="185"/>
      <c r="AF402" s="185"/>
      <c r="AG402" s="185"/>
      <c r="AH402" s="183">
        <f t="shared" si="50"/>
        <v>0</v>
      </c>
    </row>
    <row r="403" spans="1:34" ht="13.5">
      <c r="A403" s="166" t="s">
        <v>81</v>
      </c>
      <c r="B403" s="159">
        <f t="shared" si="49"/>
        <v>0</v>
      </c>
      <c r="C403" s="184"/>
      <c r="D403" s="185"/>
      <c r="E403" s="185"/>
      <c r="F403" s="185"/>
      <c r="G403" s="185"/>
      <c r="H403" s="185"/>
      <c r="I403" s="185"/>
      <c r="J403" s="185"/>
      <c r="K403" s="185"/>
      <c r="L403" s="185"/>
      <c r="M403" s="185"/>
      <c r="N403" s="185"/>
      <c r="O403" s="185"/>
      <c r="P403" s="185"/>
      <c r="Q403" s="185"/>
      <c r="R403" s="185"/>
      <c r="S403" s="185"/>
      <c r="T403" s="185"/>
      <c r="U403" s="185"/>
      <c r="V403" s="185"/>
      <c r="W403" s="185"/>
      <c r="X403" s="185"/>
      <c r="Y403" s="185"/>
      <c r="Z403" s="185"/>
      <c r="AA403" s="185"/>
      <c r="AB403" s="185"/>
      <c r="AC403" s="185"/>
      <c r="AD403" s="185"/>
      <c r="AE403" s="185"/>
      <c r="AF403" s="185"/>
      <c r="AG403" s="185"/>
      <c r="AH403" s="183">
        <f t="shared" si="50"/>
        <v>0</v>
      </c>
    </row>
    <row r="404" spans="1:34" ht="13.5">
      <c r="A404" s="166" t="s">
        <v>82</v>
      </c>
      <c r="B404" s="159">
        <f t="shared" si="49"/>
        <v>0</v>
      </c>
      <c r="C404" s="184"/>
      <c r="D404" s="185"/>
      <c r="E404" s="185"/>
      <c r="F404" s="185"/>
      <c r="G404" s="185"/>
      <c r="H404" s="185"/>
      <c r="I404" s="185"/>
      <c r="J404" s="185"/>
      <c r="K404" s="185"/>
      <c r="L404" s="185"/>
      <c r="M404" s="185"/>
      <c r="N404" s="185"/>
      <c r="O404" s="185"/>
      <c r="P404" s="185"/>
      <c r="Q404" s="185"/>
      <c r="R404" s="185"/>
      <c r="S404" s="185"/>
      <c r="T404" s="185"/>
      <c r="U404" s="185"/>
      <c r="V404" s="185"/>
      <c r="W404" s="185"/>
      <c r="X404" s="185"/>
      <c r="Y404" s="185"/>
      <c r="Z404" s="185"/>
      <c r="AA404" s="185"/>
      <c r="AB404" s="185"/>
      <c r="AC404" s="185"/>
      <c r="AD404" s="185"/>
      <c r="AE404" s="185"/>
      <c r="AF404" s="185"/>
      <c r="AG404" s="185"/>
      <c r="AH404" s="183">
        <f t="shared" si="50"/>
        <v>0</v>
      </c>
    </row>
    <row r="405" spans="1:34" ht="13.5">
      <c r="A405" s="166" t="s">
        <v>83</v>
      </c>
      <c r="B405" s="159">
        <f t="shared" si="49"/>
        <v>0</v>
      </c>
      <c r="C405" s="184"/>
      <c r="D405" s="185"/>
      <c r="E405" s="185"/>
      <c r="F405" s="185"/>
      <c r="G405" s="185"/>
      <c r="H405" s="185"/>
      <c r="I405" s="185"/>
      <c r="J405" s="185"/>
      <c r="K405" s="185"/>
      <c r="L405" s="185"/>
      <c r="M405" s="185"/>
      <c r="N405" s="185"/>
      <c r="O405" s="185"/>
      <c r="P405" s="185"/>
      <c r="Q405" s="185"/>
      <c r="R405" s="185"/>
      <c r="S405" s="185"/>
      <c r="T405" s="185"/>
      <c r="U405" s="185"/>
      <c r="V405" s="185"/>
      <c r="W405" s="185"/>
      <c r="X405" s="185"/>
      <c r="Y405" s="185"/>
      <c r="Z405" s="185"/>
      <c r="AA405" s="185"/>
      <c r="AB405" s="185"/>
      <c r="AC405" s="185"/>
      <c r="AD405" s="185"/>
      <c r="AE405" s="185"/>
      <c r="AF405" s="185"/>
      <c r="AG405" s="185"/>
      <c r="AH405" s="183">
        <f t="shared" si="50"/>
        <v>0</v>
      </c>
    </row>
    <row r="406" spans="1:34" ht="13.5">
      <c r="A406" s="166" t="s">
        <v>84</v>
      </c>
      <c r="B406" s="159">
        <f t="shared" si="49"/>
        <v>0</v>
      </c>
      <c r="C406" s="184"/>
      <c r="D406" s="185"/>
      <c r="E406" s="185"/>
      <c r="F406" s="185"/>
      <c r="G406" s="185"/>
      <c r="H406" s="185"/>
      <c r="I406" s="185"/>
      <c r="J406" s="185"/>
      <c r="K406" s="185"/>
      <c r="L406" s="185"/>
      <c r="M406" s="185"/>
      <c r="N406" s="185"/>
      <c r="O406" s="185"/>
      <c r="P406" s="185"/>
      <c r="Q406" s="185"/>
      <c r="R406" s="185"/>
      <c r="S406" s="185"/>
      <c r="T406" s="185"/>
      <c r="U406" s="185"/>
      <c r="V406" s="185"/>
      <c r="W406" s="185"/>
      <c r="X406" s="185"/>
      <c r="Y406" s="185"/>
      <c r="Z406" s="185"/>
      <c r="AA406" s="185"/>
      <c r="AB406" s="185"/>
      <c r="AC406" s="185"/>
      <c r="AD406" s="185"/>
      <c r="AE406" s="185"/>
      <c r="AF406" s="185"/>
      <c r="AG406" s="185"/>
      <c r="AH406" s="183">
        <f t="shared" si="50"/>
        <v>0</v>
      </c>
    </row>
    <row r="407" spans="1:34" ht="13.5">
      <c r="A407" s="166" t="s">
        <v>85</v>
      </c>
      <c r="B407" s="159">
        <f t="shared" si="49"/>
        <v>0</v>
      </c>
      <c r="C407" s="184"/>
      <c r="D407" s="185"/>
      <c r="E407" s="185"/>
      <c r="F407" s="185"/>
      <c r="G407" s="185"/>
      <c r="H407" s="185"/>
      <c r="I407" s="185"/>
      <c r="J407" s="185"/>
      <c r="K407" s="185"/>
      <c r="L407" s="185"/>
      <c r="M407" s="185"/>
      <c r="N407" s="185"/>
      <c r="O407" s="185"/>
      <c r="P407" s="185"/>
      <c r="Q407" s="185"/>
      <c r="R407" s="185"/>
      <c r="S407" s="185"/>
      <c r="T407" s="185"/>
      <c r="U407" s="185"/>
      <c r="V407" s="185"/>
      <c r="W407" s="185"/>
      <c r="X407" s="185"/>
      <c r="Y407" s="185"/>
      <c r="Z407" s="185"/>
      <c r="AA407" s="185"/>
      <c r="AB407" s="185"/>
      <c r="AC407" s="185"/>
      <c r="AD407" s="185"/>
      <c r="AE407" s="185"/>
      <c r="AF407" s="185"/>
      <c r="AG407" s="185"/>
      <c r="AH407" s="183">
        <f t="shared" si="50"/>
        <v>0</v>
      </c>
    </row>
    <row r="408" spans="1:34" ht="13.5">
      <c r="A408" s="179" t="s">
        <v>86</v>
      </c>
      <c r="B408" s="159">
        <f t="shared" si="49"/>
        <v>0</v>
      </c>
      <c r="C408" s="184"/>
      <c r="D408" s="185"/>
      <c r="E408" s="185"/>
      <c r="F408" s="185"/>
      <c r="G408" s="185"/>
      <c r="H408" s="185"/>
      <c r="I408" s="185"/>
      <c r="J408" s="185"/>
      <c r="K408" s="185"/>
      <c r="L408" s="185"/>
      <c r="M408" s="185"/>
      <c r="N408" s="185"/>
      <c r="O408" s="185"/>
      <c r="P408" s="185"/>
      <c r="Q408" s="185"/>
      <c r="R408" s="185"/>
      <c r="S408" s="185"/>
      <c r="T408" s="185"/>
      <c r="U408" s="185"/>
      <c r="V408" s="185"/>
      <c r="W408" s="185"/>
      <c r="X408" s="185"/>
      <c r="Y408" s="185"/>
      <c r="Z408" s="185"/>
      <c r="AA408" s="185"/>
      <c r="AB408" s="185"/>
      <c r="AC408" s="185"/>
      <c r="AD408" s="185"/>
      <c r="AE408" s="185"/>
      <c r="AF408" s="185"/>
      <c r="AG408" s="185"/>
      <c r="AH408" s="183">
        <f t="shared" si="50"/>
        <v>0</v>
      </c>
    </row>
    <row r="409" spans="1:34" ht="13.5">
      <c r="A409" s="186" t="s">
        <v>52</v>
      </c>
      <c r="B409" s="186">
        <f>SUM(B397:B408)</f>
        <v>0</v>
      </c>
      <c r="C409" s="187"/>
      <c r="D409" s="187"/>
      <c r="E409" s="187"/>
      <c r="F409" s="187"/>
      <c r="G409" s="187"/>
      <c r="H409" s="187"/>
      <c r="I409" s="187"/>
      <c r="J409" s="187"/>
      <c r="K409" s="187"/>
      <c r="L409" s="187"/>
      <c r="M409" s="187"/>
      <c r="N409" s="187"/>
      <c r="O409" s="187"/>
      <c r="P409" s="187"/>
      <c r="Q409" s="187"/>
      <c r="R409" s="187"/>
      <c r="S409" s="187"/>
      <c r="T409" s="187"/>
      <c r="U409" s="187"/>
      <c r="V409" s="187"/>
      <c r="W409" s="187"/>
      <c r="X409" s="187"/>
      <c r="Y409" s="187"/>
      <c r="Z409" s="187"/>
      <c r="AA409" s="187"/>
      <c r="AB409" s="187"/>
      <c r="AC409" s="187"/>
      <c r="AD409" s="187"/>
      <c r="AE409" s="187"/>
      <c r="AF409" s="187"/>
      <c r="AG409" s="187"/>
      <c r="AH409" s="188"/>
    </row>
    <row r="412" spans="1:34" ht="15">
      <c r="A412" s="823" t="s">
        <v>392</v>
      </c>
      <c r="B412" s="824"/>
      <c r="C412" s="824"/>
      <c r="D412" s="825"/>
    </row>
    <row r="413" spans="1:34" ht="13.5" thickBot="1"/>
    <row r="414" spans="1:34" ht="15" customHeight="1" thickBot="1">
      <c r="A414" s="3718" t="s">
        <v>386</v>
      </c>
      <c r="B414" s="3719"/>
      <c r="C414" s="3719"/>
      <c r="D414" s="3719"/>
      <c r="E414" s="3719"/>
      <c r="F414" s="3719"/>
      <c r="G414" s="3719"/>
      <c r="H414" s="3720"/>
      <c r="I414" s="731"/>
      <c r="J414" s="731"/>
      <c r="K414" s="731"/>
      <c r="L414" s="731"/>
      <c r="M414" s="732"/>
      <c r="N414" s="731"/>
      <c r="O414" s="731"/>
      <c r="P414" s="731"/>
      <c r="Q414" s="731"/>
      <c r="R414" s="731"/>
      <c r="S414" s="731"/>
      <c r="T414" s="731"/>
      <c r="U414" s="731"/>
      <c r="V414" s="731"/>
      <c r="W414" s="731"/>
      <c r="X414" s="731"/>
      <c r="Y414" s="731"/>
      <c r="Z414" s="731"/>
      <c r="AA414" s="731"/>
      <c r="AB414" s="731"/>
      <c r="AC414" s="731"/>
      <c r="AD414" s="731"/>
      <c r="AE414" s="731"/>
      <c r="AF414" s="731"/>
      <c r="AG414" s="731"/>
      <c r="AH414" s="733"/>
    </row>
    <row r="415" spans="1:34" ht="15">
      <c r="A415" s="746" t="s">
        <v>72</v>
      </c>
      <c r="B415" s="746" t="s">
        <v>73</v>
      </c>
      <c r="C415" s="1554">
        <v>1</v>
      </c>
      <c r="D415" s="747">
        <v>2</v>
      </c>
      <c r="E415" s="747">
        <v>3</v>
      </c>
      <c r="F415" s="747">
        <v>4</v>
      </c>
      <c r="G415" s="747">
        <v>5</v>
      </c>
      <c r="H415" s="747">
        <v>6</v>
      </c>
      <c r="I415" s="708">
        <v>7</v>
      </c>
      <c r="J415" s="708">
        <v>8</v>
      </c>
      <c r="K415" s="708">
        <v>9</v>
      </c>
      <c r="L415" s="708">
        <v>10</v>
      </c>
      <c r="M415" s="708">
        <v>11</v>
      </c>
      <c r="N415" s="708">
        <v>12</v>
      </c>
      <c r="O415" s="708">
        <v>13</v>
      </c>
      <c r="P415" s="708">
        <v>14</v>
      </c>
      <c r="Q415" s="708">
        <v>15</v>
      </c>
      <c r="R415" s="708">
        <v>16</v>
      </c>
      <c r="S415" s="708">
        <v>17</v>
      </c>
      <c r="T415" s="708">
        <v>18</v>
      </c>
      <c r="U415" s="708">
        <v>19</v>
      </c>
      <c r="V415" s="708">
        <v>20</v>
      </c>
      <c r="W415" s="708">
        <v>21</v>
      </c>
      <c r="X415" s="708">
        <v>22</v>
      </c>
      <c r="Y415" s="708">
        <v>23</v>
      </c>
      <c r="Z415" s="708">
        <v>24</v>
      </c>
      <c r="AA415" s="708">
        <v>25</v>
      </c>
      <c r="AB415" s="708">
        <v>26</v>
      </c>
      <c r="AC415" s="708">
        <v>27</v>
      </c>
      <c r="AD415" s="708">
        <v>28</v>
      </c>
      <c r="AE415" s="708">
        <v>29</v>
      </c>
      <c r="AF415" s="708">
        <v>30</v>
      </c>
      <c r="AG415" s="708">
        <v>31</v>
      </c>
      <c r="AH415" s="734" t="s">
        <v>74</v>
      </c>
    </row>
    <row r="416" spans="1:34" ht="15">
      <c r="A416" s="735" t="s">
        <v>75</v>
      </c>
      <c r="B416" s="287">
        <f>SUM(C416:AG416)</f>
        <v>0</v>
      </c>
      <c r="C416" s="153"/>
      <c r="D416" s="153"/>
      <c r="E416" s="153"/>
      <c r="F416" s="153"/>
      <c r="G416" s="153"/>
      <c r="H416" s="153"/>
      <c r="I416" s="153"/>
      <c r="J416" s="153"/>
      <c r="K416" s="153"/>
      <c r="L416" s="153"/>
      <c r="M416" s="153"/>
      <c r="N416" s="153"/>
      <c r="O416" s="153"/>
      <c r="P416" s="153"/>
      <c r="Q416" s="153"/>
      <c r="R416" s="153"/>
      <c r="S416" s="153"/>
      <c r="T416" s="153"/>
      <c r="U416" s="153"/>
      <c r="V416" s="153"/>
      <c r="W416" s="153"/>
      <c r="X416" s="153"/>
      <c r="Y416" s="153"/>
      <c r="Z416" s="153"/>
      <c r="AA416" s="153"/>
      <c r="AB416" s="153"/>
      <c r="AC416" s="153"/>
      <c r="AD416" s="153"/>
      <c r="AE416" s="153"/>
      <c r="AF416" s="153"/>
      <c r="AG416" s="153"/>
      <c r="AH416" s="736">
        <f>SUM(C416:AG416)</f>
        <v>0</v>
      </c>
    </row>
    <row r="417" spans="1:34" ht="15">
      <c r="A417" s="735" t="s">
        <v>76</v>
      </c>
      <c r="B417" s="287">
        <f>SUM(C417:AG417)</f>
        <v>0</v>
      </c>
      <c r="C417" s="153"/>
      <c r="D417" s="153"/>
      <c r="E417" s="153"/>
      <c r="F417" s="153"/>
      <c r="G417" s="153"/>
      <c r="H417" s="153"/>
      <c r="I417" s="153"/>
      <c r="J417" s="153"/>
      <c r="K417" s="153"/>
      <c r="L417" s="153"/>
      <c r="M417" s="153"/>
      <c r="N417" s="153"/>
      <c r="O417" s="153"/>
      <c r="P417" s="153"/>
      <c r="Q417" s="153"/>
      <c r="R417" s="153"/>
      <c r="S417" s="153"/>
      <c r="T417" s="153"/>
      <c r="U417" s="153"/>
      <c r="V417" s="153"/>
      <c r="W417" s="153"/>
      <c r="X417" s="153"/>
      <c r="Y417" s="153"/>
      <c r="Z417" s="153"/>
      <c r="AA417" s="153"/>
      <c r="AB417" s="153"/>
      <c r="AC417" s="153"/>
      <c r="AD417" s="153"/>
      <c r="AE417" s="153"/>
      <c r="AF417" s="153"/>
      <c r="AG417" s="153"/>
      <c r="AH417" s="736">
        <f t="shared" ref="AH417:AH427" si="51">SUM(C417:AG417)</f>
        <v>0</v>
      </c>
    </row>
    <row r="418" spans="1:34" ht="15">
      <c r="A418" s="735" t="s">
        <v>77</v>
      </c>
      <c r="B418" s="287">
        <f t="shared" ref="B418:B427" si="52">SUM(C418:AG418)</f>
        <v>0</v>
      </c>
      <c r="C418" s="153"/>
      <c r="D418" s="153"/>
      <c r="E418" s="153"/>
      <c r="F418" s="153"/>
      <c r="G418" s="153"/>
      <c r="H418" s="153"/>
      <c r="I418" s="153"/>
      <c r="J418" s="153"/>
      <c r="K418" s="153"/>
      <c r="L418" s="153"/>
      <c r="M418" s="153"/>
      <c r="N418" s="153"/>
      <c r="O418" s="153"/>
      <c r="P418" s="153"/>
      <c r="Q418" s="153"/>
      <c r="R418" s="153"/>
      <c r="S418" s="153"/>
      <c r="T418" s="153"/>
      <c r="U418" s="153"/>
      <c r="V418" s="153"/>
      <c r="W418" s="153"/>
      <c r="X418" s="153"/>
      <c r="Y418" s="153"/>
      <c r="Z418" s="153"/>
      <c r="AA418" s="153"/>
      <c r="AB418" s="153"/>
      <c r="AC418" s="153"/>
      <c r="AD418" s="153"/>
      <c r="AE418" s="153"/>
      <c r="AF418" s="153"/>
      <c r="AG418" s="153"/>
      <c r="AH418" s="736">
        <f t="shared" si="51"/>
        <v>0</v>
      </c>
    </row>
    <row r="419" spans="1:34" ht="15">
      <c r="A419" s="735" t="s">
        <v>78</v>
      </c>
      <c r="B419" s="287">
        <f t="shared" si="52"/>
        <v>0</v>
      </c>
      <c r="C419" s="153"/>
      <c r="D419" s="153"/>
      <c r="E419" s="153"/>
      <c r="F419" s="153"/>
      <c r="G419" s="153"/>
      <c r="H419" s="153"/>
      <c r="I419" s="153"/>
      <c r="J419" s="153"/>
      <c r="K419" s="153"/>
      <c r="L419" s="153"/>
      <c r="M419" s="153"/>
      <c r="N419" s="153"/>
      <c r="O419" s="153"/>
      <c r="P419" s="153"/>
      <c r="Q419" s="153"/>
      <c r="R419" s="153"/>
      <c r="S419" s="153"/>
      <c r="T419" s="153"/>
      <c r="U419" s="153"/>
      <c r="V419" s="153"/>
      <c r="W419" s="153"/>
      <c r="X419" s="153"/>
      <c r="Y419" s="153"/>
      <c r="Z419" s="153"/>
      <c r="AA419" s="153"/>
      <c r="AB419" s="153"/>
      <c r="AC419" s="153"/>
      <c r="AD419" s="153"/>
      <c r="AE419" s="153"/>
      <c r="AF419" s="153"/>
      <c r="AG419" s="153"/>
      <c r="AH419" s="736">
        <f t="shared" si="51"/>
        <v>0</v>
      </c>
    </row>
    <row r="420" spans="1:34" ht="15">
      <c r="A420" s="735" t="s">
        <v>79</v>
      </c>
      <c r="B420" s="287">
        <f t="shared" si="52"/>
        <v>0</v>
      </c>
      <c r="C420" s="153"/>
      <c r="D420" s="153"/>
      <c r="E420" s="153"/>
      <c r="F420" s="153"/>
      <c r="G420" s="153"/>
      <c r="H420" s="153"/>
      <c r="I420" s="153"/>
      <c r="J420" s="153"/>
      <c r="K420" s="153"/>
      <c r="L420" s="153"/>
      <c r="M420" s="153"/>
      <c r="N420" s="153"/>
      <c r="O420" s="153"/>
      <c r="P420" s="153"/>
      <c r="Q420" s="153"/>
      <c r="R420" s="153"/>
      <c r="S420" s="153"/>
      <c r="T420" s="153"/>
      <c r="U420" s="153"/>
      <c r="V420" s="153"/>
      <c r="W420" s="153"/>
      <c r="X420" s="153"/>
      <c r="Y420" s="153"/>
      <c r="Z420" s="153"/>
      <c r="AA420" s="153"/>
      <c r="AB420" s="153"/>
      <c r="AC420" s="153"/>
      <c r="AD420" s="153"/>
      <c r="AE420" s="153"/>
      <c r="AF420" s="153"/>
      <c r="AG420" s="153"/>
      <c r="AH420" s="736">
        <f t="shared" si="51"/>
        <v>0</v>
      </c>
    </row>
    <row r="421" spans="1:34" ht="15">
      <c r="A421" s="735" t="s">
        <v>80</v>
      </c>
      <c r="B421" s="287">
        <f t="shared" si="52"/>
        <v>0</v>
      </c>
      <c r="C421" s="153"/>
      <c r="D421" s="153"/>
      <c r="E421" s="153"/>
      <c r="F421" s="153">
        <v>0</v>
      </c>
      <c r="G421" s="153"/>
      <c r="H421" s="153"/>
      <c r="I421" s="153"/>
      <c r="J421" s="153"/>
      <c r="K421" s="153"/>
      <c r="L421" s="153"/>
      <c r="M421" s="153"/>
      <c r="N421" s="153"/>
      <c r="O421" s="153"/>
      <c r="P421" s="153"/>
      <c r="Q421" s="153"/>
      <c r="R421" s="153"/>
      <c r="S421" s="153"/>
      <c r="T421" s="153"/>
      <c r="U421" s="153"/>
      <c r="V421" s="153"/>
      <c r="W421" s="153"/>
      <c r="X421" s="153"/>
      <c r="Y421" s="153"/>
      <c r="Z421" s="153"/>
      <c r="AA421" s="153"/>
      <c r="AB421" s="153"/>
      <c r="AC421" s="153"/>
      <c r="AD421" s="153"/>
      <c r="AE421" s="153"/>
      <c r="AF421" s="153"/>
      <c r="AG421" s="153"/>
      <c r="AH421" s="736">
        <f t="shared" si="51"/>
        <v>0</v>
      </c>
    </row>
    <row r="422" spans="1:34" ht="15">
      <c r="A422" s="707" t="s">
        <v>81</v>
      </c>
      <c r="B422" s="287">
        <f t="shared" si="52"/>
        <v>0</v>
      </c>
      <c r="C422" s="737"/>
      <c r="D422" s="153"/>
      <c r="E422" s="153"/>
      <c r="F422" s="153"/>
      <c r="G422" s="153"/>
      <c r="H422" s="153"/>
      <c r="I422" s="153"/>
      <c r="J422" s="153"/>
      <c r="K422" s="153"/>
      <c r="L422" s="153"/>
      <c r="M422" s="153"/>
      <c r="N422" s="153"/>
      <c r="O422" s="153"/>
      <c r="P422" s="153"/>
      <c r="Q422" s="153"/>
      <c r="R422" s="153"/>
      <c r="S422" s="153"/>
      <c r="T422" s="153"/>
      <c r="U422" s="153"/>
      <c r="V422" s="153"/>
      <c r="W422" s="153"/>
      <c r="X422" s="153"/>
      <c r="Y422" s="153"/>
      <c r="Z422" s="153"/>
      <c r="AA422" s="153"/>
      <c r="AB422" s="153"/>
      <c r="AC422" s="153"/>
      <c r="AD422" s="153"/>
      <c r="AE422" s="153"/>
      <c r="AF422" s="153"/>
      <c r="AG422" s="153"/>
      <c r="AH422" s="736">
        <f t="shared" si="51"/>
        <v>0</v>
      </c>
    </row>
    <row r="423" spans="1:34" ht="15">
      <c r="A423" s="707" t="s">
        <v>82</v>
      </c>
      <c r="B423" s="287">
        <f t="shared" si="52"/>
        <v>0</v>
      </c>
      <c r="C423" s="737"/>
      <c r="D423" s="153"/>
      <c r="E423" s="153"/>
      <c r="F423" s="153"/>
      <c r="G423" s="153"/>
      <c r="H423" s="153"/>
      <c r="I423" s="153"/>
      <c r="J423" s="153"/>
      <c r="K423" s="153"/>
      <c r="L423" s="153"/>
      <c r="M423" s="153"/>
      <c r="N423" s="153"/>
      <c r="O423" s="153"/>
      <c r="P423" s="153"/>
      <c r="Q423" s="287"/>
      <c r="R423" s="287"/>
      <c r="S423" s="287"/>
      <c r="T423" s="287"/>
      <c r="U423" s="287"/>
      <c r="V423" s="287"/>
      <c r="W423" s="287"/>
      <c r="X423" s="287"/>
      <c r="Y423" s="287"/>
      <c r="Z423" s="287"/>
      <c r="AA423" s="287"/>
      <c r="AB423" s="287"/>
      <c r="AC423" s="287"/>
      <c r="AD423" s="287"/>
      <c r="AE423" s="287"/>
      <c r="AF423" s="287"/>
      <c r="AG423" s="287"/>
      <c r="AH423" s="736">
        <f t="shared" si="51"/>
        <v>0</v>
      </c>
    </row>
    <row r="424" spans="1:34" ht="15">
      <c r="A424" s="707" t="s">
        <v>83</v>
      </c>
      <c r="B424" s="287">
        <f t="shared" si="52"/>
        <v>0</v>
      </c>
      <c r="C424" s="287"/>
      <c r="D424" s="287"/>
      <c r="E424" s="287"/>
      <c r="F424" s="287"/>
      <c r="G424" s="287"/>
      <c r="H424" s="287"/>
      <c r="I424" s="287"/>
      <c r="J424" s="287"/>
      <c r="K424" s="287"/>
      <c r="L424" s="287"/>
      <c r="M424" s="287"/>
      <c r="N424" s="287"/>
      <c r="O424" s="287"/>
      <c r="P424" s="287"/>
      <c r="Q424" s="287"/>
      <c r="R424" s="287"/>
      <c r="S424" s="287"/>
      <c r="T424" s="287"/>
      <c r="U424" s="287"/>
      <c r="V424" s="287"/>
      <c r="W424" s="287"/>
      <c r="X424" s="287"/>
      <c r="Y424" s="287"/>
      <c r="Z424" s="287"/>
      <c r="AA424" s="287"/>
      <c r="AB424" s="287"/>
      <c r="AC424" s="287"/>
      <c r="AD424" s="287"/>
      <c r="AE424" s="287"/>
      <c r="AF424" s="287"/>
      <c r="AG424" s="287"/>
      <c r="AH424" s="736">
        <f t="shared" si="51"/>
        <v>0</v>
      </c>
    </row>
    <row r="425" spans="1:34" ht="15">
      <c r="A425" s="707" t="s">
        <v>84</v>
      </c>
      <c r="B425" s="287">
        <f t="shared" si="52"/>
        <v>0</v>
      </c>
      <c r="C425" s="737"/>
      <c r="D425" s="738"/>
      <c r="E425" s="153"/>
      <c r="F425" s="153"/>
      <c r="G425" s="153"/>
      <c r="H425" s="153"/>
      <c r="I425" s="153"/>
      <c r="J425" s="153"/>
      <c r="K425" s="153"/>
      <c r="L425" s="153"/>
      <c r="M425" s="153"/>
      <c r="N425" s="153"/>
      <c r="O425" s="153"/>
      <c r="P425" s="153"/>
      <c r="Q425" s="153"/>
      <c r="R425" s="153"/>
      <c r="S425" s="153"/>
      <c r="T425" s="153"/>
      <c r="U425" s="153"/>
      <c r="V425" s="153"/>
      <c r="W425" s="153"/>
      <c r="X425" s="153"/>
      <c r="Y425" s="153"/>
      <c r="Z425" s="153"/>
      <c r="AA425" s="153"/>
      <c r="AB425" s="153"/>
      <c r="AC425" s="153"/>
      <c r="AD425" s="153"/>
      <c r="AE425" s="153"/>
      <c r="AF425" s="153"/>
      <c r="AG425" s="153"/>
      <c r="AH425" s="736">
        <f t="shared" si="51"/>
        <v>0</v>
      </c>
    </row>
    <row r="426" spans="1:34" ht="16.5">
      <c r="A426" s="707" t="s">
        <v>85</v>
      </c>
      <c r="B426" s="287">
        <f t="shared" si="52"/>
        <v>0</v>
      </c>
      <c r="C426" s="740"/>
      <c r="D426" s="741"/>
      <c r="E426" s="742"/>
      <c r="F426" s="153"/>
      <c r="G426" s="153"/>
      <c r="H426" s="153"/>
      <c r="I426" s="153"/>
      <c r="J426" s="153"/>
      <c r="K426" s="153"/>
      <c r="L426" s="153"/>
      <c r="M426" s="153"/>
      <c r="N426" s="153"/>
      <c r="O426" s="153"/>
      <c r="P426" s="153"/>
      <c r="Q426" s="153"/>
      <c r="R426" s="153"/>
      <c r="S426" s="153"/>
      <c r="T426" s="153"/>
      <c r="U426" s="153"/>
      <c r="V426" s="153"/>
      <c r="W426" s="153"/>
      <c r="X426" s="153"/>
      <c r="Y426" s="153"/>
      <c r="Z426" s="153"/>
      <c r="AA426" s="153"/>
      <c r="AB426" s="153"/>
      <c r="AC426" s="153"/>
      <c r="AD426" s="153"/>
      <c r="AE426" s="153"/>
      <c r="AF426" s="153"/>
      <c r="AG426" s="153"/>
      <c r="AH426" s="736">
        <f t="shared" si="51"/>
        <v>0</v>
      </c>
    </row>
    <row r="427" spans="1:34" ht="15">
      <c r="A427" s="707" t="s">
        <v>86</v>
      </c>
      <c r="B427" s="287">
        <f t="shared" si="52"/>
        <v>0</v>
      </c>
      <c r="C427" s="153"/>
      <c r="D427" s="743"/>
      <c r="E427" s="153"/>
      <c r="F427" s="153"/>
      <c r="G427" s="153"/>
      <c r="H427" s="153"/>
      <c r="I427" s="153"/>
      <c r="J427" s="153"/>
      <c r="K427" s="153"/>
      <c r="L427" s="153"/>
      <c r="M427" s="153"/>
      <c r="N427" s="153"/>
      <c r="O427" s="153"/>
      <c r="P427" s="153"/>
      <c r="Q427" s="153"/>
      <c r="R427" s="153"/>
      <c r="S427" s="153"/>
      <c r="T427" s="153"/>
      <c r="U427" s="153"/>
      <c r="V427" s="153"/>
      <c r="W427" s="153"/>
      <c r="X427" s="153"/>
      <c r="Y427" s="153"/>
      <c r="Z427" s="153"/>
      <c r="AA427" s="153"/>
      <c r="AB427" s="153"/>
      <c r="AC427" s="153"/>
      <c r="AD427" s="153"/>
      <c r="AE427" s="153"/>
      <c r="AF427" s="153"/>
      <c r="AG427" s="153"/>
      <c r="AH427" s="736">
        <f t="shared" si="51"/>
        <v>0</v>
      </c>
    </row>
    <row r="428" spans="1:34" ht="15">
      <c r="A428" s="744" t="s">
        <v>52</v>
      </c>
      <c r="B428" s="745">
        <f>SUM(B416:B427)</f>
        <v>0</v>
      </c>
      <c r="C428" s="736">
        <v>0</v>
      </c>
      <c r="D428" s="736">
        <v>0</v>
      </c>
      <c r="E428" s="736">
        <v>0</v>
      </c>
      <c r="F428" s="736">
        <v>0</v>
      </c>
      <c r="G428" s="736">
        <v>0</v>
      </c>
      <c r="H428" s="736">
        <v>0</v>
      </c>
      <c r="I428" s="736">
        <v>0</v>
      </c>
      <c r="J428" s="736">
        <v>0</v>
      </c>
      <c r="K428" s="736">
        <v>0</v>
      </c>
      <c r="L428" s="736">
        <v>0</v>
      </c>
      <c r="M428" s="736">
        <v>0</v>
      </c>
      <c r="N428" s="736">
        <v>0</v>
      </c>
      <c r="O428" s="739">
        <v>0</v>
      </c>
      <c r="P428" s="739">
        <v>0</v>
      </c>
      <c r="Q428" s="739">
        <v>0</v>
      </c>
      <c r="R428" s="739">
        <v>0</v>
      </c>
      <c r="S428" s="739">
        <v>0</v>
      </c>
      <c r="T428" s="739">
        <v>0</v>
      </c>
      <c r="U428" s="739">
        <v>0</v>
      </c>
      <c r="V428" s="739">
        <v>0</v>
      </c>
      <c r="W428" s="739">
        <v>0</v>
      </c>
      <c r="X428" s="739">
        <v>0</v>
      </c>
      <c r="Y428" s="739">
        <v>0</v>
      </c>
      <c r="Z428" s="739">
        <v>0</v>
      </c>
      <c r="AA428" s="739">
        <v>0</v>
      </c>
      <c r="AB428" s="739">
        <v>0</v>
      </c>
      <c r="AC428" s="739">
        <v>0</v>
      </c>
      <c r="AD428" s="739">
        <v>0</v>
      </c>
      <c r="AE428" s="739">
        <v>0</v>
      </c>
      <c r="AF428" s="739">
        <v>0</v>
      </c>
      <c r="AG428" s="739">
        <v>0</v>
      </c>
      <c r="AH428" s="739">
        <v>0</v>
      </c>
    </row>
    <row r="430" spans="1:34" ht="15">
      <c r="A430" s="3726" t="s">
        <v>387</v>
      </c>
      <c r="B430" s="3727"/>
      <c r="C430" s="3728"/>
      <c r="D430" s="731"/>
      <c r="E430" s="731"/>
      <c r="F430" s="731"/>
      <c r="G430" s="731"/>
      <c r="H430" s="731"/>
      <c r="I430" s="731"/>
      <c r="J430" s="731"/>
      <c r="K430" s="731"/>
      <c r="L430" s="731"/>
      <c r="M430" s="732"/>
      <c r="N430" s="731"/>
      <c r="O430" s="731"/>
      <c r="P430" s="731"/>
      <c r="Q430" s="731"/>
      <c r="R430" s="731"/>
      <c r="S430" s="731"/>
      <c r="T430" s="731"/>
      <c r="U430" s="731"/>
      <c r="V430" s="731"/>
      <c r="W430" s="731"/>
      <c r="X430" s="731"/>
      <c r="Y430" s="731"/>
      <c r="Z430" s="731"/>
      <c r="AA430" s="731"/>
      <c r="AB430" s="731"/>
      <c r="AC430" s="731"/>
      <c r="AD430" s="731"/>
      <c r="AE430" s="731"/>
      <c r="AF430" s="731"/>
      <c r="AG430" s="731"/>
      <c r="AH430" s="733"/>
    </row>
    <row r="431" spans="1:34" ht="15">
      <c r="A431" s="706" t="s">
        <v>72</v>
      </c>
      <c r="B431" s="706" t="s">
        <v>73</v>
      </c>
      <c r="C431" s="708">
        <v>1</v>
      </c>
      <c r="D431" s="708">
        <v>2</v>
      </c>
      <c r="E431" s="708">
        <v>3</v>
      </c>
      <c r="F431" s="708">
        <v>4</v>
      </c>
      <c r="G431" s="708">
        <v>5</v>
      </c>
      <c r="H431" s="708">
        <v>6</v>
      </c>
      <c r="I431" s="708">
        <v>7</v>
      </c>
      <c r="J431" s="708">
        <v>8</v>
      </c>
      <c r="K431" s="708">
        <v>9</v>
      </c>
      <c r="L431" s="708">
        <v>10</v>
      </c>
      <c r="M431" s="708">
        <v>11</v>
      </c>
      <c r="N431" s="708">
        <v>12</v>
      </c>
      <c r="O431" s="708">
        <v>13</v>
      </c>
      <c r="P431" s="708">
        <v>14</v>
      </c>
      <c r="Q431" s="708">
        <v>15</v>
      </c>
      <c r="R431" s="708">
        <v>16</v>
      </c>
      <c r="S431" s="708">
        <v>17</v>
      </c>
      <c r="T431" s="708">
        <v>18</v>
      </c>
      <c r="U431" s="708">
        <v>19</v>
      </c>
      <c r="V431" s="708">
        <v>20</v>
      </c>
      <c r="W431" s="708">
        <v>21</v>
      </c>
      <c r="X431" s="708">
        <v>22</v>
      </c>
      <c r="Y431" s="708">
        <v>23</v>
      </c>
      <c r="Z431" s="708">
        <v>24</v>
      </c>
      <c r="AA431" s="708">
        <v>25</v>
      </c>
      <c r="AB431" s="708">
        <v>26</v>
      </c>
      <c r="AC431" s="708">
        <v>27</v>
      </c>
      <c r="AD431" s="708">
        <v>28</v>
      </c>
      <c r="AE431" s="708">
        <v>29</v>
      </c>
      <c r="AF431" s="708">
        <v>30</v>
      </c>
      <c r="AG431" s="708">
        <v>31</v>
      </c>
      <c r="AH431" s="734" t="s">
        <v>74</v>
      </c>
    </row>
    <row r="432" spans="1:34" ht="15">
      <c r="A432" s="735" t="s">
        <v>75</v>
      </c>
      <c r="B432" s="287">
        <f>SUM(C432:AG432)</f>
        <v>0</v>
      </c>
      <c r="C432" s="153"/>
      <c r="D432" s="153"/>
      <c r="E432" s="153"/>
      <c r="F432" s="153"/>
      <c r="G432" s="153"/>
      <c r="H432" s="153"/>
      <c r="I432" s="153"/>
      <c r="J432" s="153"/>
      <c r="K432" s="153"/>
      <c r="L432" s="153"/>
      <c r="M432" s="153"/>
      <c r="N432" s="153"/>
      <c r="O432" s="153"/>
      <c r="P432" s="153"/>
      <c r="Q432" s="153"/>
      <c r="R432" s="153"/>
      <c r="S432" s="153"/>
      <c r="T432" s="153"/>
      <c r="U432" s="153"/>
      <c r="V432" s="153"/>
      <c r="W432" s="153"/>
      <c r="X432" s="153"/>
      <c r="Y432" s="153"/>
      <c r="Z432" s="153"/>
      <c r="AA432" s="153"/>
      <c r="AB432" s="153"/>
      <c r="AC432" s="153"/>
      <c r="AD432" s="153"/>
      <c r="AE432" s="153"/>
      <c r="AF432" s="153"/>
      <c r="AG432" s="153"/>
      <c r="AH432" s="736">
        <f>SUM(C432:AG432)</f>
        <v>0</v>
      </c>
    </row>
    <row r="433" spans="1:34" ht="15">
      <c r="A433" s="735" t="s">
        <v>76</v>
      </c>
      <c r="B433" s="287">
        <f t="shared" ref="B433:B443" si="53">SUM(C433:AG433)</f>
        <v>0</v>
      </c>
      <c r="C433" s="153"/>
      <c r="D433" s="153"/>
      <c r="E433" s="153"/>
      <c r="F433" s="153"/>
      <c r="G433" s="153"/>
      <c r="H433" s="153"/>
      <c r="I433" s="153"/>
      <c r="J433" s="153"/>
      <c r="K433" s="153"/>
      <c r="L433" s="153"/>
      <c r="M433" s="153"/>
      <c r="N433" s="153"/>
      <c r="O433" s="153"/>
      <c r="P433" s="153"/>
      <c r="Q433" s="153"/>
      <c r="R433" s="153"/>
      <c r="S433" s="153"/>
      <c r="T433" s="153"/>
      <c r="U433" s="153"/>
      <c r="V433" s="153"/>
      <c r="W433" s="153"/>
      <c r="X433" s="153"/>
      <c r="Y433" s="153"/>
      <c r="Z433" s="153"/>
      <c r="AA433" s="153"/>
      <c r="AB433" s="153"/>
      <c r="AC433" s="153"/>
      <c r="AD433" s="153"/>
      <c r="AE433" s="153"/>
      <c r="AF433" s="153"/>
      <c r="AG433" s="153"/>
      <c r="AH433" s="736">
        <f t="shared" ref="AH433:AH443" si="54">SUM(C433:AG433)</f>
        <v>0</v>
      </c>
    </row>
    <row r="434" spans="1:34" ht="15">
      <c r="A434" s="735" t="s">
        <v>77</v>
      </c>
      <c r="B434" s="287">
        <f t="shared" si="53"/>
        <v>0</v>
      </c>
      <c r="C434" s="153"/>
      <c r="D434" s="153"/>
      <c r="E434" s="153"/>
      <c r="F434" s="153"/>
      <c r="G434" s="153"/>
      <c r="H434" s="153"/>
      <c r="I434" s="153"/>
      <c r="J434" s="153"/>
      <c r="K434" s="153"/>
      <c r="L434" s="153"/>
      <c r="M434" s="153"/>
      <c r="N434" s="153"/>
      <c r="O434" s="153"/>
      <c r="P434" s="153"/>
      <c r="Q434" s="153"/>
      <c r="R434" s="153"/>
      <c r="S434" s="153"/>
      <c r="T434" s="153"/>
      <c r="U434" s="153"/>
      <c r="V434" s="153"/>
      <c r="W434" s="153"/>
      <c r="X434" s="153"/>
      <c r="Y434" s="153"/>
      <c r="Z434" s="153"/>
      <c r="AA434" s="153"/>
      <c r="AB434" s="153"/>
      <c r="AC434" s="153"/>
      <c r="AD434" s="153"/>
      <c r="AE434" s="153"/>
      <c r="AF434" s="153"/>
      <c r="AG434" s="153"/>
      <c r="AH434" s="736">
        <f t="shared" si="54"/>
        <v>0</v>
      </c>
    </row>
    <row r="435" spans="1:34" ht="15">
      <c r="A435" s="735" t="s">
        <v>78</v>
      </c>
      <c r="B435" s="287">
        <f>SUM(C435:AG435)</f>
        <v>0</v>
      </c>
      <c r="C435" s="153"/>
      <c r="D435" s="153"/>
      <c r="E435" s="153"/>
      <c r="F435" s="153"/>
      <c r="G435" s="153"/>
      <c r="H435" s="153"/>
      <c r="I435" s="153"/>
      <c r="J435" s="153"/>
      <c r="K435" s="153"/>
      <c r="L435" s="153"/>
      <c r="M435" s="153"/>
      <c r="N435" s="153"/>
      <c r="O435" s="153"/>
      <c r="P435" s="153"/>
      <c r="Q435" s="153"/>
      <c r="R435" s="153"/>
      <c r="S435" s="153"/>
      <c r="T435" s="153"/>
      <c r="U435" s="153"/>
      <c r="V435" s="153"/>
      <c r="W435" s="153"/>
      <c r="X435" s="153"/>
      <c r="Y435" s="153"/>
      <c r="Z435" s="153"/>
      <c r="AA435" s="153"/>
      <c r="AB435" s="153"/>
      <c r="AC435" s="153"/>
      <c r="AD435" s="153"/>
      <c r="AE435" s="153"/>
      <c r="AF435" s="153"/>
      <c r="AG435" s="153"/>
      <c r="AH435" s="736">
        <f t="shared" si="54"/>
        <v>0</v>
      </c>
    </row>
    <row r="436" spans="1:34" ht="15">
      <c r="A436" s="735" t="s">
        <v>79</v>
      </c>
      <c r="B436" s="287">
        <f t="shared" si="53"/>
        <v>0</v>
      </c>
      <c r="C436" s="153"/>
      <c r="D436" s="153"/>
      <c r="E436" s="153"/>
      <c r="F436" s="153"/>
      <c r="G436" s="153"/>
      <c r="H436" s="153"/>
      <c r="I436" s="153"/>
      <c r="J436" s="153"/>
      <c r="K436" s="153"/>
      <c r="L436" s="153"/>
      <c r="M436" s="153"/>
      <c r="N436" s="153"/>
      <c r="O436" s="153"/>
      <c r="P436" s="153"/>
      <c r="Q436" s="153"/>
      <c r="R436" s="153"/>
      <c r="S436" s="153"/>
      <c r="T436" s="153"/>
      <c r="U436" s="153"/>
      <c r="V436" s="153"/>
      <c r="W436" s="153"/>
      <c r="X436" s="153"/>
      <c r="Y436" s="153"/>
      <c r="Z436" s="153"/>
      <c r="AA436" s="153"/>
      <c r="AB436" s="153"/>
      <c r="AC436" s="153"/>
      <c r="AD436" s="153"/>
      <c r="AE436" s="153"/>
      <c r="AF436" s="153"/>
      <c r="AG436" s="153"/>
      <c r="AH436" s="736">
        <f t="shared" si="54"/>
        <v>0</v>
      </c>
    </row>
    <row r="437" spans="1:34" ht="15">
      <c r="A437" s="735" t="s">
        <v>80</v>
      </c>
      <c r="B437" s="287">
        <f>SUM(C437:AG437)</f>
        <v>0</v>
      </c>
      <c r="C437" s="153"/>
      <c r="D437" s="153"/>
      <c r="E437" s="153"/>
      <c r="F437" s="153"/>
      <c r="G437" s="153"/>
      <c r="H437" s="153"/>
      <c r="I437" s="153"/>
      <c r="J437" s="153"/>
      <c r="K437" s="153"/>
      <c r="L437" s="153"/>
      <c r="M437" s="153"/>
      <c r="N437" s="153"/>
      <c r="O437" s="153"/>
      <c r="P437" s="153"/>
      <c r="Q437" s="153"/>
      <c r="R437" s="153"/>
      <c r="S437" s="153"/>
      <c r="T437" s="153"/>
      <c r="U437" s="153"/>
      <c r="V437" s="153"/>
      <c r="W437" s="153"/>
      <c r="X437" s="153"/>
      <c r="Y437" s="153"/>
      <c r="Z437" s="153"/>
      <c r="AA437" s="153"/>
      <c r="AB437" s="153"/>
      <c r="AC437" s="153"/>
      <c r="AD437" s="153"/>
      <c r="AE437" s="153"/>
      <c r="AF437" s="153"/>
      <c r="AG437" s="153"/>
      <c r="AH437" s="736">
        <f t="shared" si="54"/>
        <v>0</v>
      </c>
    </row>
    <row r="438" spans="1:34" ht="15">
      <c r="A438" s="707" t="s">
        <v>81</v>
      </c>
      <c r="B438" s="287">
        <f t="shared" si="53"/>
        <v>0</v>
      </c>
      <c r="C438" s="737"/>
      <c r="D438" s="153"/>
      <c r="E438" s="153"/>
      <c r="F438" s="153"/>
      <c r="G438" s="153"/>
      <c r="H438" s="153"/>
      <c r="I438" s="153"/>
      <c r="J438" s="153"/>
      <c r="K438" s="153"/>
      <c r="L438" s="153"/>
      <c r="M438" s="153"/>
      <c r="N438" s="153"/>
      <c r="O438" s="153"/>
      <c r="P438" s="153"/>
      <c r="Q438" s="153"/>
      <c r="R438" s="153"/>
      <c r="S438" s="153"/>
      <c r="T438" s="153"/>
      <c r="U438" s="153"/>
      <c r="V438" s="153"/>
      <c r="W438" s="153"/>
      <c r="X438" s="153"/>
      <c r="Y438" s="153"/>
      <c r="Z438" s="153"/>
      <c r="AA438" s="153"/>
      <c r="AB438" s="153"/>
      <c r="AC438" s="153"/>
      <c r="AD438" s="153"/>
      <c r="AE438" s="153"/>
      <c r="AF438" s="153"/>
      <c r="AG438" s="153"/>
      <c r="AH438" s="736">
        <f t="shared" si="54"/>
        <v>0</v>
      </c>
    </row>
    <row r="439" spans="1:34" ht="15">
      <c r="A439" s="707" t="s">
        <v>82</v>
      </c>
      <c r="B439" s="287">
        <f t="shared" si="53"/>
        <v>0</v>
      </c>
      <c r="C439" s="737"/>
      <c r="D439" s="153"/>
      <c r="E439" s="153"/>
      <c r="F439" s="153"/>
      <c r="G439" s="153"/>
      <c r="H439" s="153"/>
      <c r="I439" s="153"/>
      <c r="J439" s="153"/>
      <c r="K439" s="153"/>
      <c r="L439" s="153"/>
      <c r="M439" s="153"/>
      <c r="N439" s="153"/>
      <c r="O439" s="153"/>
      <c r="P439" s="153"/>
      <c r="Q439" s="287"/>
      <c r="R439" s="287"/>
      <c r="S439" s="287"/>
      <c r="T439" s="287"/>
      <c r="U439" s="287"/>
      <c r="V439" s="287"/>
      <c r="W439" s="287"/>
      <c r="X439" s="287"/>
      <c r="Y439" s="287"/>
      <c r="Z439" s="287"/>
      <c r="AA439" s="287"/>
      <c r="AB439" s="287"/>
      <c r="AC439" s="287"/>
      <c r="AD439" s="287"/>
      <c r="AE439" s="287"/>
      <c r="AF439" s="287"/>
      <c r="AG439" s="287"/>
      <c r="AH439" s="736">
        <f t="shared" si="54"/>
        <v>0</v>
      </c>
    </row>
    <row r="440" spans="1:34" ht="15">
      <c r="A440" s="707" t="s">
        <v>83</v>
      </c>
      <c r="B440" s="287">
        <f t="shared" si="53"/>
        <v>0</v>
      </c>
      <c r="C440" s="287"/>
      <c r="D440" s="287"/>
      <c r="E440" s="287"/>
      <c r="F440" s="287"/>
      <c r="G440" s="287"/>
      <c r="H440" s="287"/>
      <c r="I440" s="287"/>
      <c r="J440" s="287"/>
      <c r="K440" s="287"/>
      <c r="L440" s="287"/>
      <c r="M440" s="287"/>
      <c r="N440" s="287"/>
      <c r="O440" s="287"/>
      <c r="P440" s="287"/>
      <c r="Q440" s="287"/>
      <c r="R440" s="287"/>
      <c r="S440" s="287"/>
      <c r="T440" s="287"/>
      <c r="U440" s="287"/>
      <c r="V440" s="287"/>
      <c r="W440" s="287"/>
      <c r="X440" s="287"/>
      <c r="Y440" s="287"/>
      <c r="Z440" s="287"/>
      <c r="AA440" s="287"/>
      <c r="AB440" s="287"/>
      <c r="AC440" s="287"/>
      <c r="AD440" s="287"/>
      <c r="AE440" s="287"/>
      <c r="AF440" s="287"/>
      <c r="AG440" s="287"/>
      <c r="AH440" s="736">
        <f t="shared" si="54"/>
        <v>0</v>
      </c>
    </row>
    <row r="441" spans="1:34" ht="15">
      <c r="A441" s="707" t="s">
        <v>84</v>
      </c>
      <c r="B441" s="287">
        <f t="shared" si="53"/>
        <v>0</v>
      </c>
      <c r="C441" s="737"/>
      <c r="D441" s="738"/>
      <c r="E441" s="153"/>
      <c r="F441" s="153"/>
      <c r="G441" s="153"/>
      <c r="H441" s="153"/>
      <c r="I441" s="153"/>
      <c r="J441" s="153"/>
      <c r="K441" s="153"/>
      <c r="L441" s="153"/>
      <c r="M441" s="153"/>
      <c r="N441" s="153"/>
      <c r="O441" s="153"/>
      <c r="P441" s="153"/>
      <c r="Q441" s="153"/>
      <c r="R441" s="153"/>
      <c r="S441" s="153"/>
      <c r="T441" s="153"/>
      <c r="U441" s="153"/>
      <c r="V441" s="153"/>
      <c r="W441" s="153"/>
      <c r="X441" s="153"/>
      <c r="Y441" s="153"/>
      <c r="Z441" s="153"/>
      <c r="AA441" s="153"/>
      <c r="AB441" s="153"/>
      <c r="AC441" s="153"/>
      <c r="AD441" s="153"/>
      <c r="AE441" s="153"/>
      <c r="AF441" s="153"/>
      <c r="AG441" s="153"/>
      <c r="AH441" s="736">
        <f t="shared" si="54"/>
        <v>0</v>
      </c>
    </row>
    <row r="442" spans="1:34" ht="16.5">
      <c r="A442" s="707" t="s">
        <v>85</v>
      </c>
      <c r="B442" s="287">
        <f t="shared" si="53"/>
        <v>0</v>
      </c>
      <c r="C442" s="740"/>
      <c r="D442" s="741"/>
      <c r="E442" s="742"/>
      <c r="F442" s="153"/>
      <c r="G442" s="153"/>
      <c r="H442" s="153"/>
      <c r="I442" s="153"/>
      <c r="J442" s="153"/>
      <c r="K442" s="153"/>
      <c r="L442" s="153"/>
      <c r="M442" s="153"/>
      <c r="N442" s="153"/>
      <c r="O442" s="153"/>
      <c r="P442" s="153"/>
      <c r="Q442" s="153"/>
      <c r="R442" s="153"/>
      <c r="S442" s="153"/>
      <c r="T442" s="153"/>
      <c r="U442" s="153"/>
      <c r="V442" s="153"/>
      <c r="W442" s="153"/>
      <c r="X442" s="153"/>
      <c r="Y442" s="153"/>
      <c r="Z442" s="153"/>
      <c r="AA442" s="153"/>
      <c r="AB442" s="153"/>
      <c r="AC442" s="153"/>
      <c r="AD442" s="153"/>
      <c r="AE442" s="153"/>
      <c r="AF442" s="153"/>
      <c r="AG442" s="153"/>
      <c r="AH442" s="736">
        <f t="shared" si="54"/>
        <v>0</v>
      </c>
    </row>
    <row r="443" spans="1:34" ht="15">
      <c r="A443" s="707" t="s">
        <v>86</v>
      </c>
      <c r="B443" s="287">
        <f t="shared" si="53"/>
        <v>0</v>
      </c>
      <c r="C443" s="153"/>
      <c r="D443" s="743"/>
      <c r="E443" s="153"/>
      <c r="F443" s="153"/>
      <c r="G443" s="153"/>
      <c r="H443" s="153"/>
      <c r="I443" s="153"/>
      <c r="J443" s="153"/>
      <c r="K443" s="153"/>
      <c r="L443" s="153"/>
      <c r="M443" s="153"/>
      <c r="N443" s="153"/>
      <c r="O443" s="153"/>
      <c r="P443" s="153"/>
      <c r="Q443" s="153"/>
      <c r="R443" s="153"/>
      <c r="S443" s="153"/>
      <c r="T443" s="153"/>
      <c r="U443" s="153"/>
      <c r="V443" s="153"/>
      <c r="W443" s="153"/>
      <c r="X443" s="153"/>
      <c r="Y443" s="153"/>
      <c r="Z443" s="153"/>
      <c r="AA443" s="153"/>
      <c r="AB443" s="153"/>
      <c r="AC443" s="153"/>
      <c r="AD443" s="153"/>
      <c r="AE443" s="153"/>
      <c r="AF443" s="153"/>
      <c r="AG443" s="153"/>
      <c r="AH443" s="736">
        <f t="shared" si="54"/>
        <v>0</v>
      </c>
    </row>
    <row r="444" spans="1:34" ht="15">
      <c r="A444" s="744" t="s">
        <v>52</v>
      </c>
      <c r="B444" s="745">
        <f>SUM(B432:B443)</f>
        <v>0</v>
      </c>
      <c r="C444" s="736">
        <v>0</v>
      </c>
      <c r="D444" s="736">
        <v>0</v>
      </c>
      <c r="E444" s="736">
        <v>0</v>
      </c>
      <c r="F444" s="736">
        <v>0</v>
      </c>
      <c r="G444" s="736">
        <v>0</v>
      </c>
      <c r="H444" s="736">
        <v>0</v>
      </c>
      <c r="I444" s="736">
        <v>0</v>
      </c>
      <c r="J444" s="736">
        <v>0</v>
      </c>
      <c r="K444" s="736">
        <v>0</v>
      </c>
      <c r="L444" s="736">
        <v>0</v>
      </c>
      <c r="M444" s="736">
        <v>0</v>
      </c>
      <c r="N444" s="736">
        <v>0</v>
      </c>
      <c r="O444" s="739">
        <v>0</v>
      </c>
      <c r="P444" s="739">
        <v>0</v>
      </c>
      <c r="Q444" s="739">
        <v>0</v>
      </c>
      <c r="R444" s="739">
        <v>0</v>
      </c>
      <c r="S444" s="739">
        <v>0</v>
      </c>
      <c r="T444" s="739">
        <v>0</v>
      </c>
      <c r="U444" s="739">
        <v>0</v>
      </c>
      <c r="V444" s="739">
        <v>0</v>
      </c>
      <c r="W444" s="739">
        <v>0</v>
      </c>
      <c r="X444" s="739">
        <v>0</v>
      </c>
      <c r="Y444" s="739">
        <v>0</v>
      </c>
      <c r="Z444" s="739">
        <v>0</v>
      </c>
      <c r="AA444" s="739">
        <v>0</v>
      </c>
      <c r="AB444" s="739">
        <v>0</v>
      </c>
      <c r="AC444" s="739">
        <v>0</v>
      </c>
      <c r="AD444" s="739">
        <v>0</v>
      </c>
      <c r="AE444" s="739">
        <v>0</v>
      </c>
      <c r="AF444" s="739">
        <v>0</v>
      </c>
      <c r="AG444" s="739">
        <v>0</v>
      </c>
      <c r="AH444" s="739">
        <v>0</v>
      </c>
    </row>
    <row r="445" spans="1:34" ht="13.5" thickBot="1"/>
    <row r="446" spans="1:34" ht="15" customHeight="1" thickBot="1">
      <c r="A446" s="3718" t="s">
        <v>511</v>
      </c>
      <c r="B446" s="3719"/>
      <c r="C446" s="3720"/>
      <c r="D446" s="822"/>
      <c r="E446" s="822"/>
      <c r="F446" s="822"/>
      <c r="G446" s="822"/>
      <c r="H446" s="731"/>
      <c r="I446" s="731"/>
      <c r="J446" s="731"/>
      <c r="K446" s="731"/>
      <c r="L446" s="731"/>
      <c r="M446" s="732"/>
      <c r="N446" s="731"/>
      <c r="O446" s="731"/>
      <c r="P446" s="731"/>
      <c r="Q446" s="731"/>
      <c r="R446" s="731"/>
      <c r="S446" s="731"/>
      <c r="T446" s="731"/>
      <c r="U446" s="731"/>
      <c r="V446" s="731"/>
      <c r="W446" s="731"/>
      <c r="X446" s="731"/>
      <c r="Y446" s="731"/>
      <c r="Z446" s="731"/>
      <c r="AA446" s="731"/>
      <c r="AB446" s="731"/>
      <c r="AC446" s="731"/>
      <c r="AD446" s="731"/>
      <c r="AE446" s="731"/>
      <c r="AF446" s="731"/>
      <c r="AG446" s="731"/>
      <c r="AH446" s="733"/>
    </row>
    <row r="447" spans="1:34" ht="15">
      <c r="A447" s="746" t="s">
        <v>72</v>
      </c>
      <c r="B447" s="746" t="s">
        <v>73</v>
      </c>
      <c r="C447" s="1554">
        <v>1</v>
      </c>
      <c r="D447" s="708">
        <v>2</v>
      </c>
      <c r="E447" s="708">
        <v>3</v>
      </c>
      <c r="F447" s="708">
        <v>4</v>
      </c>
      <c r="G447" s="708">
        <v>5</v>
      </c>
      <c r="H447" s="708">
        <v>6</v>
      </c>
      <c r="I447" s="708">
        <v>7</v>
      </c>
      <c r="J447" s="708">
        <v>8</v>
      </c>
      <c r="K447" s="708">
        <v>9</v>
      </c>
      <c r="L447" s="708">
        <v>10</v>
      </c>
      <c r="M447" s="708">
        <v>11</v>
      </c>
      <c r="N447" s="708">
        <v>12</v>
      </c>
      <c r="O447" s="708">
        <v>13</v>
      </c>
      <c r="P447" s="708">
        <v>14</v>
      </c>
      <c r="Q447" s="708">
        <v>15</v>
      </c>
      <c r="R447" s="708">
        <v>16</v>
      </c>
      <c r="S447" s="708">
        <v>17</v>
      </c>
      <c r="T447" s="708">
        <v>18</v>
      </c>
      <c r="U447" s="708">
        <v>19</v>
      </c>
      <c r="V447" s="708">
        <v>20</v>
      </c>
      <c r="W447" s="708">
        <v>21</v>
      </c>
      <c r="X447" s="708">
        <v>22</v>
      </c>
      <c r="Y447" s="708">
        <v>23</v>
      </c>
      <c r="Z447" s="708">
        <v>24</v>
      </c>
      <c r="AA447" s="708">
        <v>25</v>
      </c>
      <c r="AB447" s="708">
        <v>26</v>
      </c>
      <c r="AC447" s="708">
        <v>27</v>
      </c>
      <c r="AD447" s="708">
        <v>28</v>
      </c>
      <c r="AE447" s="708">
        <v>29</v>
      </c>
      <c r="AF447" s="708">
        <v>30</v>
      </c>
      <c r="AG447" s="708">
        <v>31</v>
      </c>
      <c r="AH447" s="734" t="s">
        <v>74</v>
      </c>
    </row>
    <row r="448" spans="1:34" ht="15">
      <c r="A448" s="735" t="s">
        <v>75</v>
      </c>
      <c r="B448" s="287">
        <f>SUM(C448:AG448)</f>
        <v>0</v>
      </c>
      <c r="C448" s="153"/>
      <c r="D448" s="153"/>
      <c r="E448" s="153"/>
      <c r="F448" s="153"/>
      <c r="G448" s="153"/>
      <c r="H448" s="153"/>
      <c r="I448" s="153"/>
      <c r="J448" s="153"/>
      <c r="K448" s="153"/>
      <c r="L448" s="153"/>
      <c r="M448" s="153"/>
      <c r="N448" s="153"/>
      <c r="O448" s="153"/>
      <c r="P448" s="153"/>
      <c r="Q448" s="153"/>
      <c r="R448" s="153"/>
      <c r="S448" s="153"/>
      <c r="T448" s="153"/>
      <c r="U448" s="153"/>
      <c r="V448" s="153"/>
      <c r="W448" s="153"/>
      <c r="X448" s="153"/>
      <c r="Y448" s="153"/>
      <c r="Z448" s="153"/>
      <c r="AA448" s="153"/>
      <c r="AB448" s="153"/>
      <c r="AC448" s="153"/>
      <c r="AD448" s="153"/>
      <c r="AE448" s="153"/>
      <c r="AF448" s="153"/>
      <c r="AG448" s="153"/>
      <c r="AH448" s="736">
        <f>SUM(C448:AG448)</f>
        <v>0</v>
      </c>
    </row>
    <row r="449" spans="1:34" ht="15">
      <c r="A449" s="735" t="s">
        <v>76</v>
      </c>
      <c r="B449" s="287">
        <f>SUM(C449:AG449)</f>
        <v>0</v>
      </c>
      <c r="C449" s="153"/>
      <c r="D449" s="153"/>
      <c r="E449" s="153"/>
      <c r="F449" s="153"/>
      <c r="G449" s="153"/>
      <c r="H449" s="153"/>
      <c r="I449" s="153"/>
      <c r="J449" s="153"/>
      <c r="K449" s="153"/>
      <c r="L449" s="153"/>
      <c r="M449" s="153"/>
      <c r="N449" s="153"/>
      <c r="O449" s="153"/>
      <c r="P449" s="153"/>
      <c r="Q449" s="153"/>
      <c r="R449" s="153"/>
      <c r="S449" s="153"/>
      <c r="T449" s="153"/>
      <c r="U449" s="153"/>
      <c r="V449" s="153"/>
      <c r="W449" s="153"/>
      <c r="X449" s="153"/>
      <c r="Y449" s="153"/>
      <c r="Z449" s="153"/>
      <c r="AA449" s="153"/>
      <c r="AB449" s="153"/>
      <c r="AC449" s="153"/>
      <c r="AD449" s="153"/>
      <c r="AE449" s="153"/>
      <c r="AF449" s="153"/>
      <c r="AG449" s="153"/>
      <c r="AH449" s="736">
        <f t="shared" ref="AH449:AH459" si="55">SUM(C449:AG449)</f>
        <v>0</v>
      </c>
    </row>
    <row r="450" spans="1:34" ht="15">
      <c r="A450" s="735" t="s">
        <v>77</v>
      </c>
      <c r="B450" s="287">
        <f t="shared" ref="B450:B459" si="56">SUM(C450:AG450)</f>
        <v>0</v>
      </c>
      <c r="C450" s="153"/>
      <c r="D450" s="153"/>
      <c r="E450" s="153"/>
      <c r="F450" s="153"/>
      <c r="G450" s="153"/>
      <c r="H450" s="153"/>
      <c r="I450" s="153"/>
      <c r="J450" s="153"/>
      <c r="K450" s="153"/>
      <c r="L450" s="153"/>
      <c r="M450" s="153"/>
      <c r="N450" s="153"/>
      <c r="O450" s="153"/>
      <c r="P450" s="153"/>
      <c r="Q450" s="153"/>
      <c r="R450" s="153"/>
      <c r="S450" s="153"/>
      <c r="T450" s="153"/>
      <c r="U450" s="153"/>
      <c r="V450" s="153"/>
      <c r="W450" s="153"/>
      <c r="X450" s="153"/>
      <c r="Y450" s="153"/>
      <c r="Z450" s="153"/>
      <c r="AA450" s="153"/>
      <c r="AB450" s="153"/>
      <c r="AC450" s="153"/>
      <c r="AD450" s="153"/>
      <c r="AE450" s="153"/>
      <c r="AF450" s="153"/>
      <c r="AG450" s="153"/>
      <c r="AH450" s="736">
        <f t="shared" si="55"/>
        <v>0</v>
      </c>
    </row>
    <row r="451" spans="1:34" ht="15">
      <c r="A451" s="735" t="s">
        <v>78</v>
      </c>
      <c r="B451" s="287">
        <f t="shared" si="56"/>
        <v>0</v>
      </c>
      <c r="C451" s="153"/>
      <c r="D451" s="153"/>
      <c r="E451" s="153"/>
      <c r="F451" s="153"/>
      <c r="G451" s="153"/>
      <c r="H451" s="153"/>
      <c r="I451" s="153"/>
      <c r="J451" s="153"/>
      <c r="K451" s="153"/>
      <c r="L451" s="153"/>
      <c r="M451" s="153"/>
      <c r="N451" s="153"/>
      <c r="O451" s="153"/>
      <c r="P451" s="153"/>
      <c r="Q451" s="153"/>
      <c r="R451" s="153"/>
      <c r="S451" s="153"/>
      <c r="T451" s="153"/>
      <c r="U451" s="153"/>
      <c r="V451" s="153"/>
      <c r="W451" s="153"/>
      <c r="X451" s="153"/>
      <c r="Y451" s="153"/>
      <c r="Z451" s="153"/>
      <c r="AA451" s="153"/>
      <c r="AB451" s="153"/>
      <c r="AC451" s="153"/>
      <c r="AD451" s="153"/>
      <c r="AE451" s="153"/>
      <c r="AF451" s="153"/>
      <c r="AG451" s="153"/>
      <c r="AH451" s="736">
        <f t="shared" si="55"/>
        <v>0</v>
      </c>
    </row>
    <row r="452" spans="1:34" ht="15">
      <c r="A452" s="735" t="s">
        <v>79</v>
      </c>
      <c r="B452" s="287">
        <f t="shared" si="56"/>
        <v>0</v>
      </c>
      <c r="C452" s="153"/>
      <c r="D452" s="153"/>
      <c r="E452" s="153"/>
      <c r="F452" s="153"/>
      <c r="G452" s="153"/>
      <c r="H452" s="153"/>
      <c r="I452" s="153"/>
      <c r="J452" s="153"/>
      <c r="K452" s="153"/>
      <c r="L452" s="153"/>
      <c r="M452" s="153"/>
      <c r="N452" s="153"/>
      <c r="O452" s="153"/>
      <c r="P452" s="153"/>
      <c r="Q452" s="153"/>
      <c r="R452" s="153"/>
      <c r="S452" s="153"/>
      <c r="T452" s="153"/>
      <c r="U452" s="153"/>
      <c r="V452" s="153"/>
      <c r="W452" s="153"/>
      <c r="X452" s="153"/>
      <c r="Y452" s="153"/>
      <c r="Z452" s="153"/>
      <c r="AA452" s="153"/>
      <c r="AB452" s="153"/>
      <c r="AC452" s="153"/>
      <c r="AD452" s="153"/>
      <c r="AE452" s="153"/>
      <c r="AF452" s="153"/>
      <c r="AG452" s="153"/>
      <c r="AH452" s="736">
        <f t="shared" si="55"/>
        <v>0</v>
      </c>
    </row>
    <row r="453" spans="1:34" ht="15">
      <c r="A453" s="735" t="s">
        <v>80</v>
      </c>
      <c r="B453" s="287">
        <f t="shared" si="56"/>
        <v>0</v>
      </c>
      <c r="C453" s="153"/>
      <c r="D453" s="153"/>
      <c r="E453" s="153"/>
      <c r="F453" s="153"/>
      <c r="G453" s="153"/>
      <c r="H453" s="153"/>
      <c r="I453" s="153"/>
      <c r="J453" s="153"/>
      <c r="K453" s="153"/>
      <c r="L453" s="153"/>
      <c r="M453" s="153"/>
      <c r="N453" s="153"/>
      <c r="O453" s="153"/>
      <c r="P453" s="153"/>
      <c r="Q453" s="153"/>
      <c r="R453" s="153"/>
      <c r="S453" s="153"/>
      <c r="T453" s="153"/>
      <c r="U453" s="153"/>
      <c r="V453" s="153"/>
      <c r="W453" s="153"/>
      <c r="X453" s="153"/>
      <c r="Y453" s="153"/>
      <c r="Z453" s="153"/>
      <c r="AA453" s="153"/>
      <c r="AB453" s="153"/>
      <c r="AC453" s="153"/>
      <c r="AD453" s="153"/>
      <c r="AE453" s="153"/>
      <c r="AF453" s="153"/>
      <c r="AG453" s="153"/>
      <c r="AH453" s="736">
        <f t="shared" si="55"/>
        <v>0</v>
      </c>
    </row>
    <row r="454" spans="1:34" ht="15">
      <c r="A454" s="707" t="s">
        <v>81</v>
      </c>
      <c r="B454" s="287">
        <f t="shared" si="56"/>
        <v>0</v>
      </c>
      <c r="C454" s="737"/>
      <c r="D454" s="153"/>
      <c r="E454" s="153"/>
      <c r="F454" s="153"/>
      <c r="G454" s="153"/>
      <c r="H454" s="153"/>
      <c r="I454" s="153"/>
      <c r="J454" s="153"/>
      <c r="K454" s="153"/>
      <c r="L454" s="153"/>
      <c r="M454" s="153"/>
      <c r="N454" s="153"/>
      <c r="O454" s="153"/>
      <c r="P454" s="153"/>
      <c r="Q454" s="153"/>
      <c r="R454" s="153"/>
      <c r="S454" s="153"/>
      <c r="T454" s="153"/>
      <c r="U454" s="153"/>
      <c r="V454" s="153"/>
      <c r="W454" s="153"/>
      <c r="X454" s="153"/>
      <c r="Y454" s="153"/>
      <c r="Z454" s="153"/>
      <c r="AA454" s="153"/>
      <c r="AB454" s="153"/>
      <c r="AC454" s="153"/>
      <c r="AD454" s="153"/>
      <c r="AE454" s="153"/>
      <c r="AF454" s="153"/>
      <c r="AG454" s="153"/>
      <c r="AH454" s="736">
        <f t="shared" si="55"/>
        <v>0</v>
      </c>
    </row>
    <row r="455" spans="1:34" ht="15">
      <c r="A455" s="707" t="s">
        <v>82</v>
      </c>
      <c r="B455" s="287">
        <f t="shared" si="56"/>
        <v>0</v>
      </c>
      <c r="C455" s="737"/>
      <c r="D455" s="153"/>
      <c r="E455" s="153"/>
      <c r="F455" s="153"/>
      <c r="G455" s="153"/>
      <c r="H455" s="153"/>
      <c r="I455" s="153"/>
      <c r="J455" s="153"/>
      <c r="K455" s="153"/>
      <c r="L455" s="153"/>
      <c r="M455" s="153"/>
      <c r="N455" s="153"/>
      <c r="O455" s="153"/>
      <c r="P455" s="153"/>
      <c r="Q455" s="287"/>
      <c r="R455" s="287"/>
      <c r="S455" s="287"/>
      <c r="T455" s="287"/>
      <c r="U455" s="287"/>
      <c r="V455" s="287"/>
      <c r="W455" s="287"/>
      <c r="X455" s="287"/>
      <c r="Y455" s="287"/>
      <c r="Z455" s="287"/>
      <c r="AA455" s="287"/>
      <c r="AB455" s="287"/>
      <c r="AC455" s="287"/>
      <c r="AD455" s="287"/>
      <c r="AE455" s="287"/>
      <c r="AF455" s="287"/>
      <c r="AG455" s="287"/>
      <c r="AH455" s="736">
        <f t="shared" si="55"/>
        <v>0</v>
      </c>
    </row>
    <row r="456" spans="1:34" ht="15">
      <c r="A456" s="707" t="s">
        <v>83</v>
      </c>
      <c r="B456" s="287">
        <f t="shared" si="56"/>
        <v>0</v>
      </c>
      <c r="C456" s="287"/>
      <c r="D456" s="287"/>
      <c r="E456" s="287"/>
      <c r="F456" s="287"/>
      <c r="G456" s="287"/>
      <c r="H456" s="287"/>
      <c r="I456" s="287"/>
      <c r="J456" s="287"/>
      <c r="K456" s="287"/>
      <c r="L456" s="287"/>
      <c r="M456" s="287"/>
      <c r="N456" s="287"/>
      <c r="O456" s="287"/>
      <c r="P456" s="287"/>
      <c r="Q456" s="287"/>
      <c r="R456" s="287"/>
      <c r="S456" s="287"/>
      <c r="T456" s="287"/>
      <c r="U456" s="287"/>
      <c r="V456" s="287"/>
      <c r="W456" s="287"/>
      <c r="X456" s="287"/>
      <c r="Y456" s="287"/>
      <c r="Z456" s="287"/>
      <c r="AA456" s="287"/>
      <c r="AB456" s="287"/>
      <c r="AC456" s="287"/>
      <c r="AD456" s="287"/>
      <c r="AE456" s="287"/>
      <c r="AF456" s="287"/>
      <c r="AG456" s="287"/>
      <c r="AH456" s="736">
        <f t="shared" si="55"/>
        <v>0</v>
      </c>
    </row>
    <row r="457" spans="1:34" ht="15">
      <c r="A457" s="707" t="s">
        <v>84</v>
      </c>
      <c r="B457" s="287">
        <f t="shared" si="56"/>
        <v>0</v>
      </c>
      <c r="C457" s="737"/>
      <c r="D457" s="738"/>
      <c r="E457" s="153"/>
      <c r="F457" s="153"/>
      <c r="G457" s="153"/>
      <c r="H457" s="153"/>
      <c r="I457" s="153"/>
      <c r="J457" s="153"/>
      <c r="K457" s="153"/>
      <c r="L457" s="153"/>
      <c r="M457" s="153"/>
      <c r="N457" s="153"/>
      <c r="O457" s="153"/>
      <c r="P457" s="153"/>
      <c r="Q457" s="153"/>
      <c r="R457" s="153"/>
      <c r="S457" s="153"/>
      <c r="T457" s="153"/>
      <c r="U457" s="153"/>
      <c r="V457" s="153"/>
      <c r="W457" s="153"/>
      <c r="X457" s="153"/>
      <c r="Y457" s="153"/>
      <c r="Z457" s="153"/>
      <c r="AA457" s="153"/>
      <c r="AB457" s="153"/>
      <c r="AC457" s="153"/>
      <c r="AD457" s="153"/>
      <c r="AE457" s="153"/>
      <c r="AF457" s="153"/>
      <c r="AG457" s="153"/>
      <c r="AH457" s="736">
        <f t="shared" si="55"/>
        <v>0</v>
      </c>
    </row>
    <row r="458" spans="1:34" ht="16.5">
      <c r="A458" s="707" t="s">
        <v>85</v>
      </c>
      <c r="B458" s="287">
        <f t="shared" si="56"/>
        <v>0</v>
      </c>
      <c r="C458" s="740"/>
      <c r="D458" s="741"/>
      <c r="E458" s="742"/>
      <c r="F458" s="153"/>
      <c r="G458" s="153"/>
      <c r="H458" s="153"/>
      <c r="I458" s="153"/>
      <c r="J458" s="153"/>
      <c r="K458" s="153"/>
      <c r="L458" s="153"/>
      <c r="M458" s="153"/>
      <c r="N458" s="153"/>
      <c r="O458" s="153"/>
      <c r="P458" s="153"/>
      <c r="Q458" s="153"/>
      <c r="R458" s="153"/>
      <c r="S458" s="153"/>
      <c r="T458" s="153"/>
      <c r="U458" s="153"/>
      <c r="V458" s="153"/>
      <c r="W458" s="153"/>
      <c r="X458" s="153"/>
      <c r="Y458" s="153"/>
      <c r="Z458" s="153"/>
      <c r="AA458" s="153"/>
      <c r="AB458" s="153"/>
      <c r="AC458" s="153"/>
      <c r="AD458" s="153"/>
      <c r="AE458" s="153"/>
      <c r="AF458" s="153"/>
      <c r="AG458" s="153"/>
      <c r="AH458" s="736">
        <f t="shared" si="55"/>
        <v>0</v>
      </c>
    </row>
    <row r="459" spans="1:34" ht="15">
      <c r="A459" s="707" t="s">
        <v>86</v>
      </c>
      <c r="B459" s="287">
        <f t="shared" si="56"/>
        <v>0</v>
      </c>
      <c r="C459" s="153"/>
      <c r="D459" s="743"/>
      <c r="E459" s="153"/>
      <c r="F459" s="153"/>
      <c r="G459" s="153"/>
      <c r="H459" s="153"/>
      <c r="I459" s="153"/>
      <c r="J459" s="153"/>
      <c r="K459" s="153"/>
      <c r="L459" s="153"/>
      <c r="M459" s="153"/>
      <c r="N459" s="153"/>
      <c r="O459" s="153"/>
      <c r="P459" s="153"/>
      <c r="Q459" s="153"/>
      <c r="R459" s="153"/>
      <c r="S459" s="153"/>
      <c r="T459" s="153"/>
      <c r="U459" s="153"/>
      <c r="V459" s="153"/>
      <c r="W459" s="153"/>
      <c r="X459" s="153"/>
      <c r="Y459" s="153"/>
      <c r="Z459" s="153"/>
      <c r="AA459" s="153"/>
      <c r="AB459" s="153"/>
      <c r="AC459" s="153"/>
      <c r="AD459" s="153"/>
      <c r="AE459" s="153"/>
      <c r="AF459" s="153"/>
      <c r="AG459" s="153"/>
      <c r="AH459" s="736">
        <f t="shared" si="55"/>
        <v>0</v>
      </c>
    </row>
    <row r="460" spans="1:34" ht="15">
      <c r="A460" s="744" t="s">
        <v>52</v>
      </c>
      <c r="B460" s="745">
        <f>SUM(B448:B459)</f>
        <v>0</v>
      </c>
      <c r="C460" s="736">
        <v>0</v>
      </c>
      <c r="D460" s="736">
        <v>0</v>
      </c>
      <c r="E460" s="736">
        <v>0</v>
      </c>
      <c r="F460" s="736">
        <v>0</v>
      </c>
      <c r="G460" s="736">
        <v>0</v>
      </c>
      <c r="H460" s="736">
        <v>0</v>
      </c>
      <c r="I460" s="736">
        <v>0</v>
      </c>
      <c r="J460" s="736">
        <v>0</v>
      </c>
      <c r="K460" s="736">
        <v>0</v>
      </c>
      <c r="L460" s="736">
        <v>0</v>
      </c>
      <c r="M460" s="736">
        <v>0</v>
      </c>
      <c r="N460" s="736">
        <v>0</v>
      </c>
      <c r="O460" s="739">
        <v>0</v>
      </c>
      <c r="P460" s="739">
        <v>0</v>
      </c>
      <c r="Q460" s="739">
        <v>0</v>
      </c>
      <c r="R460" s="739">
        <v>0</v>
      </c>
      <c r="S460" s="739">
        <v>0</v>
      </c>
      <c r="T460" s="739">
        <v>0</v>
      </c>
      <c r="U460" s="739">
        <v>0</v>
      </c>
      <c r="V460" s="739">
        <v>0</v>
      </c>
      <c r="W460" s="739">
        <v>0</v>
      </c>
      <c r="X460" s="739">
        <v>0</v>
      </c>
      <c r="Y460" s="739">
        <v>0</v>
      </c>
      <c r="Z460" s="739">
        <v>0</v>
      </c>
      <c r="AA460" s="739">
        <v>0</v>
      </c>
      <c r="AB460" s="739">
        <v>0</v>
      </c>
      <c r="AC460" s="739">
        <v>0</v>
      </c>
      <c r="AD460" s="739">
        <v>0</v>
      </c>
      <c r="AE460" s="739">
        <v>0</v>
      </c>
      <c r="AF460" s="739">
        <v>0</v>
      </c>
      <c r="AG460" s="739">
        <v>0</v>
      </c>
      <c r="AH460" s="739">
        <v>0</v>
      </c>
    </row>
    <row r="461" spans="1:34" ht="13.5" thickBot="1"/>
    <row r="462" spans="1:34" ht="15.75" thickBot="1">
      <c r="A462" s="3723" t="s">
        <v>512</v>
      </c>
      <c r="B462" s="3724"/>
      <c r="C462" s="3725"/>
      <c r="D462" s="731"/>
      <c r="E462" s="731"/>
      <c r="F462" s="731"/>
      <c r="G462" s="731"/>
      <c r="H462" s="731"/>
      <c r="I462" s="731"/>
      <c r="J462" s="731"/>
      <c r="K462" s="731"/>
      <c r="L462" s="731"/>
      <c r="M462" s="732"/>
      <c r="N462" s="731"/>
      <c r="O462" s="731"/>
      <c r="P462" s="731"/>
      <c r="Q462" s="731"/>
      <c r="R462" s="731"/>
      <c r="S462" s="731"/>
      <c r="T462" s="731"/>
      <c r="U462" s="731"/>
      <c r="V462" s="731"/>
      <c r="W462" s="731"/>
      <c r="X462" s="731"/>
      <c r="Y462" s="731"/>
      <c r="Z462" s="731"/>
      <c r="AA462" s="731"/>
      <c r="AB462" s="731"/>
      <c r="AC462" s="731"/>
      <c r="AD462" s="731"/>
      <c r="AE462" s="731"/>
      <c r="AF462" s="731"/>
      <c r="AG462" s="731"/>
      <c r="AH462" s="733"/>
    </row>
    <row r="463" spans="1:34" ht="15">
      <c r="A463" s="746" t="s">
        <v>72</v>
      </c>
      <c r="B463" s="746" t="s">
        <v>73</v>
      </c>
      <c r="C463" s="1554">
        <v>1</v>
      </c>
      <c r="D463" s="708">
        <v>2</v>
      </c>
      <c r="E463" s="708">
        <v>3</v>
      </c>
      <c r="F463" s="708">
        <v>4</v>
      </c>
      <c r="G463" s="708">
        <v>5</v>
      </c>
      <c r="H463" s="708">
        <v>6</v>
      </c>
      <c r="I463" s="708">
        <v>7</v>
      </c>
      <c r="J463" s="708">
        <v>8</v>
      </c>
      <c r="K463" s="708">
        <v>9</v>
      </c>
      <c r="L463" s="708">
        <v>10</v>
      </c>
      <c r="M463" s="708">
        <v>11</v>
      </c>
      <c r="N463" s="708">
        <v>12</v>
      </c>
      <c r="O463" s="708">
        <v>13</v>
      </c>
      <c r="P463" s="708">
        <v>14</v>
      </c>
      <c r="Q463" s="708">
        <v>15</v>
      </c>
      <c r="R463" s="708">
        <v>16</v>
      </c>
      <c r="S463" s="708">
        <v>17</v>
      </c>
      <c r="T463" s="708">
        <v>18</v>
      </c>
      <c r="U463" s="708">
        <v>19</v>
      </c>
      <c r="V463" s="708">
        <v>20</v>
      </c>
      <c r="W463" s="708">
        <v>21</v>
      </c>
      <c r="X463" s="708">
        <v>22</v>
      </c>
      <c r="Y463" s="708">
        <v>23</v>
      </c>
      <c r="Z463" s="708">
        <v>24</v>
      </c>
      <c r="AA463" s="708">
        <v>25</v>
      </c>
      <c r="AB463" s="708">
        <v>26</v>
      </c>
      <c r="AC463" s="708">
        <v>27</v>
      </c>
      <c r="AD463" s="708">
        <v>28</v>
      </c>
      <c r="AE463" s="708">
        <v>29</v>
      </c>
      <c r="AF463" s="708">
        <v>30</v>
      </c>
      <c r="AG463" s="708">
        <v>31</v>
      </c>
      <c r="AH463" s="734" t="s">
        <v>74</v>
      </c>
    </row>
    <row r="464" spans="1:34" ht="15">
      <c r="A464" s="735" t="s">
        <v>75</v>
      </c>
      <c r="B464" s="287">
        <f>SUM(C464:AG464)</f>
        <v>0</v>
      </c>
      <c r="C464" s="153"/>
      <c r="D464" s="153"/>
      <c r="E464" s="153"/>
      <c r="F464" s="153"/>
      <c r="G464" s="153"/>
      <c r="H464" s="153"/>
      <c r="I464" s="153"/>
      <c r="J464" s="153"/>
      <c r="K464" s="153"/>
      <c r="L464" s="153"/>
      <c r="M464" s="153"/>
      <c r="N464" s="153"/>
      <c r="O464" s="153"/>
      <c r="P464" s="153"/>
      <c r="Q464" s="153"/>
      <c r="R464" s="153"/>
      <c r="S464" s="153"/>
      <c r="T464" s="153"/>
      <c r="U464" s="153"/>
      <c r="V464" s="153"/>
      <c r="W464" s="153"/>
      <c r="X464" s="153"/>
      <c r="Y464" s="153"/>
      <c r="Z464" s="153"/>
      <c r="AA464" s="153"/>
      <c r="AB464" s="153"/>
      <c r="AC464" s="153"/>
      <c r="AD464" s="153"/>
      <c r="AE464" s="153"/>
      <c r="AF464" s="153"/>
      <c r="AG464" s="153"/>
      <c r="AH464" s="736">
        <f>SUM(C464:AG464)</f>
        <v>0</v>
      </c>
    </row>
    <row r="465" spans="1:34" ht="15">
      <c r="A465" s="735" t="s">
        <v>76</v>
      </c>
      <c r="B465" s="287">
        <f t="shared" ref="B465:B475" si="57">SUM(C465:AG465)</f>
        <v>0</v>
      </c>
      <c r="C465" s="153"/>
      <c r="D465" s="153"/>
      <c r="E465" s="153"/>
      <c r="F465" s="153"/>
      <c r="G465" s="153"/>
      <c r="H465" s="153"/>
      <c r="I465" s="153"/>
      <c r="J465" s="153"/>
      <c r="K465" s="153"/>
      <c r="L465" s="153"/>
      <c r="M465" s="153"/>
      <c r="N465" s="153"/>
      <c r="O465" s="153"/>
      <c r="P465" s="153"/>
      <c r="Q465" s="153"/>
      <c r="R465" s="153"/>
      <c r="S465" s="153"/>
      <c r="T465" s="153"/>
      <c r="U465" s="153"/>
      <c r="V465" s="153"/>
      <c r="W465" s="153"/>
      <c r="X465" s="153"/>
      <c r="Y465" s="153"/>
      <c r="Z465" s="153"/>
      <c r="AA465" s="153"/>
      <c r="AB465" s="153"/>
      <c r="AC465" s="153"/>
      <c r="AD465" s="153"/>
      <c r="AE465" s="153"/>
      <c r="AF465" s="153"/>
      <c r="AG465" s="153"/>
      <c r="AH465" s="736">
        <f t="shared" ref="AH465:AH475" si="58">SUM(C465:AG465)</f>
        <v>0</v>
      </c>
    </row>
    <row r="466" spans="1:34" ht="15">
      <c r="A466" s="735" t="s">
        <v>77</v>
      </c>
      <c r="B466" s="287">
        <f t="shared" si="57"/>
        <v>0</v>
      </c>
      <c r="C466" s="153"/>
      <c r="D466" s="153"/>
      <c r="E466" s="153"/>
      <c r="F466" s="153"/>
      <c r="G466" s="153"/>
      <c r="H466" s="153"/>
      <c r="I466" s="153"/>
      <c r="J466" s="153"/>
      <c r="K466" s="153"/>
      <c r="L466" s="153"/>
      <c r="M466" s="153"/>
      <c r="N466" s="153"/>
      <c r="O466" s="153"/>
      <c r="P466" s="153"/>
      <c r="Q466" s="153"/>
      <c r="R466" s="153"/>
      <c r="S466" s="153"/>
      <c r="T466" s="153"/>
      <c r="U466" s="153"/>
      <c r="V466" s="153"/>
      <c r="W466" s="153"/>
      <c r="X466" s="153"/>
      <c r="Y466" s="153"/>
      <c r="Z466" s="153"/>
      <c r="AA466" s="153"/>
      <c r="AB466" s="153"/>
      <c r="AC466" s="153"/>
      <c r="AD466" s="153"/>
      <c r="AE466" s="153"/>
      <c r="AF466" s="153"/>
      <c r="AG466" s="153"/>
      <c r="AH466" s="736">
        <f t="shared" si="58"/>
        <v>0</v>
      </c>
    </row>
    <row r="467" spans="1:34" ht="15">
      <c r="A467" s="735" t="s">
        <v>78</v>
      </c>
      <c r="B467" s="287">
        <f>SUM(C467:AG467)</f>
        <v>0</v>
      </c>
      <c r="C467" s="153"/>
      <c r="D467" s="153"/>
      <c r="E467" s="153"/>
      <c r="F467" s="153"/>
      <c r="G467" s="153"/>
      <c r="H467" s="153"/>
      <c r="I467" s="153"/>
      <c r="J467" s="153"/>
      <c r="K467" s="153"/>
      <c r="L467" s="153"/>
      <c r="M467" s="153"/>
      <c r="N467" s="153"/>
      <c r="O467" s="153"/>
      <c r="P467" s="153"/>
      <c r="Q467" s="153"/>
      <c r="R467" s="153"/>
      <c r="S467" s="153"/>
      <c r="T467" s="153"/>
      <c r="U467" s="153"/>
      <c r="V467" s="153"/>
      <c r="W467" s="153"/>
      <c r="X467" s="153"/>
      <c r="Y467" s="153"/>
      <c r="Z467" s="153"/>
      <c r="AA467" s="153"/>
      <c r="AB467" s="153"/>
      <c r="AC467" s="153"/>
      <c r="AD467" s="153"/>
      <c r="AE467" s="153"/>
      <c r="AF467" s="153"/>
      <c r="AG467" s="153"/>
      <c r="AH467" s="736">
        <f t="shared" si="58"/>
        <v>0</v>
      </c>
    </row>
    <row r="468" spans="1:34" ht="15">
      <c r="A468" s="735" t="s">
        <v>79</v>
      </c>
      <c r="B468" s="287">
        <f t="shared" si="57"/>
        <v>0</v>
      </c>
      <c r="C468" s="153"/>
      <c r="D468" s="153"/>
      <c r="E468" s="153"/>
      <c r="F468" s="153"/>
      <c r="G468" s="153"/>
      <c r="H468" s="153"/>
      <c r="I468" s="153"/>
      <c r="J468" s="153"/>
      <c r="K468" s="153"/>
      <c r="L468" s="153"/>
      <c r="M468" s="153"/>
      <c r="N468" s="153"/>
      <c r="O468" s="153"/>
      <c r="P468" s="153"/>
      <c r="Q468" s="153"/>
      <c r="R468" s="153"/>
      <c r="S468" s="153"/>
      <c r="T468" s="153"/>
      <c r="U468" s="153"/>
      <c r="V468" s="153"/>
      <c r="W468" s="153"/>
      <c r="X468" s="153"/>
      <c r="Y468" s="153"/>
      <c r="Z468" s="153"/>
      <c r="AA468" s="153"/>
      <c r="AB468" s="153"/>
      <c r="AC468" s="153"/>
      <c r="AD468" s="153"/>
      <c r="AE468" s="153"/>
      <c r="AF468" s="153"/>
      <c r="AG468" s="153"/>
      <c r="AH468" s="736">
        <f t="shared" si="58"/>
        <v>0</v>
      </c>
    </row>
    <row r="469" spans="1:34" ht="15">
      <c r="A469" s="735" t="s">
        <v>80</v>
      </c>
      <c r="B469" s="287">
        <f>SUM(C469:AG469)</f>
        <v>0</v>
      </c>
      <c r="C469" s="153"/>
      <c r="D469" s="153"/>
      <c r="E469" s="153"/>
      <c r="F469" s="153"/>
      <c r="G469" s="153"/>
      <c r="H469" s="153"/>
      <c r="I469" s="153"/>
      <c r="J469" s="153"/>
      <c r="K469" s="153"/>
      <c r="L469" s="153"/>
      <c r="M469" s="153"/>
      <c r="N469" s="153"/>
      <c r="O469" s="153"/>
      <c r="P469" s="153"/>
      <c r="Q469" s="153"/>
      <c r="R469" s="153"/>
      <c r="S469" s="153"/>
      <c r="T469" s="153"/>
      <c r="U469" s="153"/>
      <c r="V469" s="153"/>
      <c r="W469" s="153"/>
      <c r="X469" s="153"/>
      <c r="Y469" s="153"/>
      <c r="Z469" s="153"/>
      <c r="AA469" s="153"/>
      <c r="AB469" s="153"/>
      <c r="AC469" s="153"/>
      <c r="AD469" s="153"/>
      <c r="AE469" s="153"/>
      <c r="AF469" s="153"/>
      <c r="AG469" s="153"/>
      <c r="AH469" s="736">
        <f t="shared" si="58"/>
        <v>0</v>
      </c>
    </row>
    <row r="470" spans="1:34" ht="15">
      <c r="A470" s="707" t="s">
        <v>81</v>
      </c>
      <c r="B470" s="287">
        <f t="shared" si="57"/>
        <v>0</v>
      </c>
      <c r="C470" s="737"/>
      <c r="D470" s="153"/>
      <c r="E470" s="153"/>
      <c r="F470" s="153"/>
      <c r="G470" s="153"/>
      <c r="H470" s="153"/>
      <c r="I470" s="153"/>
      <c r="J470" s="153"/>
      <c r="K470" s="153"/>
      <c r="L470" s="153"/>
      <c r="M470" s="153"/>
      <c r="N470" s="153"/>
      <c r="O470" s="153"/>
      <c r="P470" s="153"/>
      <c r="Q470" s="153"/>
      <c r="R470" s="153"/>
      <c r="S470" s="153"/>
      <c r="T470" s="153"/>
      <c r="U470" s="153"/>
      <c r="V470" s="153"/>
      <c r="W470" s="153"/>
      <c r="X470" s="153"/>
      <c r="Y470" s="153"/>
      <c r="Z470" s="153"/>
      <c r="AA470" s="153"/>
      <c r="AB470" s="153"/>
      <c r="AC470" s="153"/>
      <c r="AD470" s="153"/>
      <c r="AE470" s="153"/>
      <c r="AF470" s="153"/>
      <c r="AG470" s="153"/>
      <c r="AH470" s="736">
        <f t="shared" si="58"/>
        <v>0</v>
      </c>
    </row>
    <row r="471" spans="1:34" ht="15">
      <c r="A471" s="707" t="s">
        <v>82</v>
      </c>
      <c r="B471" s="287">
        <f t="shared" si="57"/>
        <v>0</v>
      </c>
      <c r="C471" s="737"/>
      <c r="D471" s="153"/>
      <c r="E471" s="153"/>
      <c r="F471" s="153"/>
      <c r="G471" s="153"/>
      <c r="H471" s="153"/>
      <c r="I471" s="153"/>
      <c r="J471" s="153"/>
      <c r="K471" s="153"/>
      <c r="L471" s="153"/>
      <c r="M471" s="153"/>
      <c r="N471" s="153"/>
      <c r="O471" s="153"/>
      <c r="P471" s="153"/>
      <c r="Q471" s="287"/>
      <c r="R471" s="287"/>
      <c r="S471" s="287"/>
      <c r="T471" s="287"/>
      <c r="U471" s="287"/>
      <c r="V471" s="287"/>
      <c r="W471" s="287"/>
      <c r="X471" s="287"/>
      <c r="Y471" s="287"/>
      <c r="Z471" s="287"/>
      <c r="AA471" s="287"/>
      <c r="AB471" s="287"/>
      <c r="AC471" s="287"/>
      <c r="AD471" s="287"/>
      <c r="AE471" s="287"/>
      <c r="AF471" s="287"/>
      <c r="AG471" s="287"/>
      <c r="AH471" s="736">
        <f t="shared" si="58"/>
        <v>0</v>
      </c>
    </row>
    <row r="472" spans="1:34" ht="15">
      <c r="A472" s="707" t="s">
        <v>83</v>
      </c>
      <c r="B472" s="287">
        <f t="shared" si="57"/>
        <v>0</v>
      </c>
      <c r="C472" s="287"/>
      <c r="D472" s="287"/>
      <c r="E472" s="287"/>
      <c r="F472" s="287"/>
      <c r="G472" s="287"/>
      <c r="H472" s="287"/>
      <c r="I472" s="287"/>
      <c r="J472" s="287"/>
      <c r="K472" s="287"/>
      <c r="L472" s="287"/>
      <c r="M472" s="287"/>
      <c r="N472" s="287"/>
      <c r="O472" s="287"/>
      <c r="P472" s="287"/>
      <c r="Q472" s="287"/>
      <c r="R472" s="287"/>
      <c r="S472" s="287"/>
      <c r="T472" s="287"/>
      <c r="U472" s="287"/>
      <c r="V472" s="287"/>
      <c r="W472" s="287"/>
      <c r="X472" s="287"/>
      <c r="Y472" s="287"/>
      <c r="Z472" s="287"/>
      <c r="AA472" s="287"/>
      <c r="AB472" s="287"/>
      <c r="AC472" s="287"/>
      <c r="AD472" s="287"/>
      <c r="AE472" s="287"/>
      <c r="AF472" s="287"/>
      <c r="AG472" s="287"/>
      <c r="AH472" s="736">
        <f t="shared" si="58"/>
        <v>0</v>
      </c>
    </row>
    <row r="473" spans="1:34" ht="15">
      <c r="A473" s="707" t="s">
        <v>84</v>
      </c>
      <c r="B473" s="287">
        <f t="shared" si="57"/>
        <v>0</v>
      </c>
      <c r="C473" s="737"/>
      <c r="D473" s="738"/>
      <c r="E473" s="153"/>
      <c r="F473" s="153"/>
      <c r="G473" s="153"/>
      <c r="H473" s="153"/>
      <c r="I473" s="153"/>
      <c r="J473" s="153"/>
      <c r="K473" s="153"/>
      <c r="L473" s="153"/>
      <c r="M473" s="153"/>
      <c r="N473" s="153"/>
      <c r="O473" s="153"/>
      <c r="P473" s="153"/>
      <c r="Q473" s="153"/>
      <c r="R473" s="153"/>
      <c r="S473" s="153"/>
      <c r="T473" s="153"/>
      <c r="U473" s="153"/>
      <c r="V473" s="153"/>
      <c r="W473" s="153"/>
      <c r="X473" s="153"/>
      <c r="Y473" s="153"/>
      <c r="Z473" s="153"/>
      <c r="AA473" s="153"/>
      <c r="AB473" s="153"/>
      <c r="AC473" s="153"/>
      <c r="AD473" s="153"/>
      <c r="AE473" s="153"/>
      <c r="AF473" s="153"/>
      <c r="AG473" s="153"/>
      <c r="AH473" s="736">
        <f t="shared" si="58"/>
        <v>0</v>
      </c>
    </row>
    <row r="474" spans="1:34" ht="16.5">
      <c r="A474" s="707" t="s">
        <v>85</v>
      </c>
      <c r="B474" s="287">
        <f t="shared" si="57"/>
        <v>0</v>
      </c>
      <c r="C474" s="740"/>
      <c r="D474" s="741"/>
      <c r="E474" s="742"/>
      <c r="F474" s="153"/>
      <c r="G474" s="153"/>
      <c r="H474" s="153"/>
      <c r="I474" s="153"/>
      <c r="J474" s="153"/>
      <c r="K474" s="153"/>
      <c r="L474" s="153"/>
      <c r="M474" s="153"/>
      <c r="N474" s="153"/>
      <c r="O474" s="153"/>
      <c r="P474" s="153"/>
      <c r="Q474" s="153"/>
      <c r="R474" s="153"/>
      <c r="S474" s="153"/>
      <c r="T474" s="153"/>
      <c r="U474" s="153"/>
      <c r="V474" s="153"/>
      <c r="W474" s="153"/>
      <c r="X474" s="153"/>
      <c r="Y474" s="153"/>
      <c r="Z474" s="153"/>
      <c r="AA474" s="153"/>
      <c r="AB474" s="153"/>
      <c r="AC474" s="153"/>
      <c r="AD474" s="153"/>
      <c r="AE474" s="153"/>
      <c r="AF474" s="153"/>
      <c r="AG474" s="153"/>
      <c r="AH474" s="736">
        <f t="shared" si="58"/>
        <v>0</v>
      </c>
    </row>
    <row r="475" spans="1:34" ht="15">
      <c r="A475" s="707" t="s">
        <v>86</v>
      </c>
      <c r="B475" s="287">
        <f t="shared" si="57"/>
        <v>0</v>
      </c>
      <c r="C475" s="153"/>
      <c r="D475" s="743"/>
      <c r="E475" s="153"/>
      <c r="F475" s="153"/>
      <c r="G475" s="153"/>
      <c r="H475" s="153"/>
      <c r="I475" s="153"/>
      <c r="J475" s="153"/>
      <c r="K475" s="153"/>
      <c r="L475" s="153"/>
      <c r="M475" s="153"/>
      <c r="N475" s="153"/>
      <c r="O475" s="153"/>
      <c r="P475" s="153"/>
      <c r="Q475" s="153"/>
      <c r="R475" s="153"/>
      <c r="S475" s="153"/>
      <c r="T475" s="153"/>
      <c r="U475" s="153"/>
      <c r="V475" s="153"/>
      <c r="W475" s="153"/>
      <c r="X475" s="153"/>
      <c r="Y475" s="153"/>
      <c r="Z475" s="153"/>
      <c r="AA475" s="153"/>
      <c r="AB475" s="153"/>
      <c r="AC475" s="153"/>
      <c r="AD475" s="153"/>
      <c r="AE475" s="153"/>
      <c r="AF475" s="153"/>
      <c r="AG475" s="153"/>
      <c r="AH475" s="736">
        <f t="shared" si="58"/>
        <v>0</v>
      </c>
    </row>
    <row r="476" spans="1:34" ht="15">
      <c r="A476" s="744" t="s">
        <v>52</v>
      </c>
      <c r="B476" s="745">
        <f>SUM(B464:B475)</f>
        <v>0</v>
      </c>
      <c r="C476" s="736">
        <v>0</v>
      </c>
      <c r="D476" s="736">
        <v>0</v>
      </c>
      <c r="E476" s="736">
        <v>0</v>
      </c>
      <c r="F476" s="736">
        <v>0</v>
      </c>
      <c r="G476" s="736">
        <v>0</v>
      </c>
      <c r="H476" s="736">
        <v>0</v>
      </c>
      <c r="I476" s="736">
        <v>0</v>
      </c>
      <c r="J476" s="736">
        <v>0</v>
      </c>
      <c r="K476" s="736">
        <v>0</v>
      </c>
      <c r="L476" s="736">
        <v>0</v>
      </c>
      <c r="M476" s="736">
        <v>0</v>
      </c>
      <c r="N476" s="736">
        <v>0</v>
      </c>
      <c r="O476" s="739">
        <v>0</v>
      </c>
      <c r="P476" s="739">
        <v>0</v>
      </c>
      <c r="Q476" s="739">
        <v>0</v>
      </c>
      <c r="R476" s="739">
        <v>0</v>
      </c>
      <c r="S476" s="739">
        <v>0</v>
      </c>
      <c r="T476" s="739">
        <v>0</v>
      </c>
      <c r="U476" s="739">
        <v>0</v>
      </c>
      <c r="V476" s="739">
        <v>0</v>
      </c>
      <c r="W476" s="739">
        <v>0</v>
      </c>
      <c r="X476" s="739">
        <v>0</v>
      </c>
      <c r="Y476" s="739">
        <v>0</v>
      </c>
      <c r="Z476" s="739">
        <v>0</v>
      </c>
      <c r="AA476" s="739">
        <v>0</v>
      </c>
      <c r="AB476" s="739">
        <v>0</v>
      </c>
      <c r="AC476" s="739">
        <v>0</v>
      </c>
      <c r="AD476" s="739">
        <v>0</v>
      </c>
      <c r="AE476" s="739">
        <v>0</v>
      </c>
      <c r="AF476" s="739">
        <v>0</v>
      </c>
      <c r="AG476" s="739">
        <v>0</v>
      </c>
      <c r="AH476" s="739">
        <v>0</v>
      </c>
    </row>
    <row r="478" spans="1:34" ht="15" customHeight="1">
      <c r="A478" s="3701" t="s">
        <v>479</v>
      </c>
      <c r="B478" s="3701"/>
      <c r="C478" s="3701"/>
      <c r="D478" s="1159" t="s">
        <v>480</v>
      </c>
      <c r="E478" s="1159"/>
      <c r="F478" s="1159"/>
      <c r="G478" s="1159"/>
      <c r="H478" s="731"/>
      <c r="I478" s="731"/>
      <c r="J478" s="731"/>
      <c r="K478" s="731"/>
      <c r="L478" s="731"/>
      <c r="M478" s="732"/>
      <c r="N478" s="731"/>
      <c r="O478" s="731"/>
      <c r="P478" s="731"/>
      <c r="Q478" s="731"/>
      <c r="R478" s="731"/>
      <c r="S478" s="731"/>
      <c r="T478" s="731"/>
      <c r="U478" s="731"/>
      <c r="V478" s="731"/>
      <c r="W478" s="731"/>
      <c r="X478" s="731"/>
      <c r="Y478" s="731"/>
      <c r="Z478" s="731"/>
      <c r="AA478" s="731"/>
      <c r="AB478" s="731"/>
      <c r="AC478" s="731"/>
      <c r="AD478" s="731"/>
      <c r="AE478" s="731"/>
      <c r="AF478" s="731"/>
      <c r="AG478" s="731"/>
      <c r="AH478" s="733"/>
    </row>
    <row r="479" spans="1:34" ht="15">
      <c r="A479" s="706" t="s">
        <v>72</v>
      </c>
      <c r="B479" s="706" t="s">
        <v>73</v>
      </c>
      <c r="C479" s="708">
        <v>1</v>
      </c>
      <c r="D479" s="708">
        <v>2</v>
      </c>
      <c r="E479" s="708">
        <v>3</v>
      </c>
      <c r="F479" s="708">
        <v>4</v>
      </c>
      <c r="G479" s="708">
        <v>5</v>
      </c>
      <c r="H479" s="708">
        <v>6</v>
      </c>
      <c r="I479" s="708">
        <v>7</v>
      </c>
      <c r="J479" s="708">
        <v>8</v>
      </c>
      <c r="K479" s="708">
        <v>9</v>
      </c>
      <c r="L479" s="708">
        <v>10</v>
      </c>
      <c r="M479" s="708">
        <v>11</v>
      </c>
      <c r="N479" s="708">
        <v>12</v>
      </c>
      <c r="O479" s="708">
        <v>13</v>
      </c>
      <c r="P479" s="708">
        <v>14</v>
      </c>
      <c r="Q479" s="708">
        <v>15</v>
      </c>
      <c r="R479" s="708">
        <v>16</v>
      </c>
      <c r="S479" s="708">
        <v>17</v>
      </c>
      <c r="T479" s="708">
        <v>18</v>
      </c>
      <c r="U479" s="708">
        <v>19</v>
      </c>
      <c r="V479" s="708">
        <v>20</v>
      </c>
      <c r="W479" s="708">
        <v>21</v>
      </c>
      <c r="X479" s="708">
        <v>22</v>
      </c>
      <c r="Y479" s="708">
        <v>23</v>
      </c>
      <c r="Z479" s="708">
        <v>24</v>
      </c>
      <c r="AA479" s="708">
        <v>25</v>
      </c>
      <c r="AB479" s="708">
        <v>26</v>
      </c>
      <c r="AC479" s="708">
        <v>27</v>
      </c>
      <c r="AD479" s="708">
        <v>28</v>
      </c>
      <c r="AE479" s="708">
        <v>29</v>
      </c>
      <c r="AF479" s="708">
        <v>30</v>
      </c>
      <c r="AG479" s="708">
        <v>31</v>
      </c>
      <c r="AH479" s="734" t="s">
        <v>74</v>
      </c>
    </row>
    <row r="480" spans="1:34" ht="15">
      <c r="A480" s="735" t="s">
        <v>75</v>
      </c>
      <c r="B480" s="287">
        <f>SUM(C480:AG480)</f>
        <v>0</v>
      </c>
      <c r="C480" s="153"/>
      <c r="D480" s="153"/>
      <c r="E480" s="153"/>
      <c r="F480" s="153"/>
      <c r="G480" s="153"/>
      <c r="H480" s="153"/>
      <c r="I480" s="153"/>
      <c r="J480" s="153"/>
      <c r="K480" s="153"/>
      <c r="L480" s="153"/>
      <c r="M480" s="153"/>
      <c r="N480" s="153"/>
      <c r="O480" s="153"/>
      <c r="P480" s="153"/>
      <c r="Q480" s="153"/>
      <c r="R480" s="153"/>
      <c r="S480" s="153"/>
      <c r="T480" s="153"/>
      <c r="U480" s="153"/>
      <c r="V480" s="153"/>
      <c r="W480" s="153"/>
      <c r="X480" s="153"/>
      <c r="Y480" s="153"/>
      <c r="Z480" s="153"/>
      <c r="AA480" s="153"/>
      <c r="AB480" s="153"/>
      <c r="AC480" s="153"/>
      <c r="AD480" s="153"/>
      <c r="AE480" s="153"/>
      <c r="AF480" s="153"/>
      <c r="AG480" s="153"/>
      <c r="AH480" s="736">
        <f>SUM(C480:AG480)</f>
        <v>0</v>
      </c>
    </row>
    <row r="481" spans="1:34" ht="15">
      <c r="A481" s="735" t="s">
        <v>76</v>
      </c>
      <c r="B481" s="287">
        <f>SUM(C481:AG481)</f>
        <v>0</v>
      </c>
      <c r="C481" s="153"/>
      <c r="D481" s="153"/>
      <c r="E481" s="153"/>
      <c r="F481" s="153"/>
      <c r="G481" s="153"/>
      <c r="H481" s="153"/>
      <c r="I481" s="153"/>
      <c r="J481" s="153"/>
      <c r="K481" s="153"/>
      <c r="L481" s="153"/>
      <c r="M481" s="153"/>
      <c r="N481" s="153"/>
      <c r="O481" s="153"/>
      <c r="P481" s="153"/>
      <c r="Q481" s="153"/>
      <c r="R481" s="153"/>
      <c r="S481" s="153"/>
      <c r="T481" s="153"/>
      <c r="U481" s="153"/>
      <c r="V481" s="153"/>
      <c r="W481" s="153"/>
      <c r="X481" s="153"/>
      <c r="Y481" s="153"/>
      <c r="Z481" s="153"/>
      <c r="AA481" s="153"/>
      <c r="AB481" s="153"/>
      <c r="AC481" s="153"/>
      <c r="AD481" s="153"/>
      <c r="AE481" s="153"/>
      <c r="AF481" s="153"/>
      <c r="AG481" s="153"/>
      <c r="AH481" s="736">
        <f t="shared" ref="AH481:AH491" si="59">SUM(C481:AG481)</f>
        <v>0</v>
      </c>
    </row>
    <row r="482" spans="1:34" ht="15">
      <c r="A482" s="735" t="s">
        <v>77</v>
      </c>
      <c r="B482" s="287">
        <f t="shared" ref="B482:B491" si="60">SUM(C482:AG482)</f>
        <v>0</v>
      </c>
      <c r="C482" s="153"/>
      <c r="D482" s="153"/>
      <c r="E482" s="153"/>
      <c r="F482" s="153"/>
      <c r="G482" s="153"/>
      <c r="H482" s="153"/>
      <c r="I482" s="153"/>
      <c r="J482" s="153"/>
      <c r="K482" s="153"/>
      <c r="L482" s="153"/>
      <c r="M482" s="153"/>
      <c r="N482" s="153"/>
      <c r="O482" s="153"/>
      <c r="P482" s="153"/>
      <c r="Q482" s="153"/>
      <c r="R482" s="153"/>
      <c r="S482" s="153"/>
      <c r="T482" s="153"/>
      <c r="U482" s="153"/>
      <c r="V482" s="153"/>
      <c r="W482" s="153"/>
      <c r="X482" s="153"/>
      <c r="Y482" s="153"/>
      <c r="Z482" s="153"/>
      <c r="AA482" s="153"/>
      <c r="AB482" s="153"/>
      <c r="AC482" s="153"/>
      <c r="AD482" s="153"/>
      <c r="AE482" s="153"/>
      <c r="AF482" s="153"/>
      <c r="AG482" s="153"/>
      <c r="AH482" s="736">
        <f t="shared" si="59"/>
        <v>0</v>
      </c>
    </row>
    <row r="483" spans="1:34" ht="15">
      <c r="A483" s="735" t="s">
        <v>78</v>
      </c>
      <c r="B483" s="287">
        <f t="shared" si="60"/>
        <v>0</v>
      </c>
      <c r="C483" s="153"/>
      <c r="D483" s="153"/>
      <c r="E483" s="153"/>
      <c r="F483" s="153"/>
      <c r="G483" s="153"/>
      <c r="H483" s="153"/>
      <c r="I483" s="153"/>
      <c r="J483" s="153"/>
      <c r="K483" s="153"/>
      <c r="L483" s="153"/>
      <c r="M483" s="153"/>
      <c r="N483" s="153"/>
      <c r="O483" s="153"/>
      <c r="P483" s="153"/>
      <c r="Q483" s="153"/>
      <c r="R483" s="153"/>
      <c r="S483" s="153"/>
      <c r="T483" s="153"/>
      <c r="U483" s="153"/>
      <c r="V483" s="153"/>
      <c r="W483" s="153"/>
      <c r="X483" s="153"/>
      <c r="Y483" s="153"/>
      <c r="Z483" s="153"/>
      <c r="AA483" s="153"/>
      <c r="AB483" s="153"/>
      <c r="AC483" s="153"/>
      <c r="AD483" s="153"/>
      <c r="AE483" s="153"/>
      <c r="AF483" s="153"/>
      <c r="AG483" s="153"/>
      <c r="AH483" s="736">
        <f t="shared" si="59"/>
        <v>0</v>
      </c>
    </row>
    <row r="484" spans="1:34" ht="15">
      <c r="A484" s="735" t="s">
        <v>79</v>
      </c>
      <c r="B484" s="287">
        <f t="shared" si="60"/>
        <v>0</v>
      </c>
      <c r="C484" s="153"/>
      <c r="D484" s="153"/>
      <c r="E484" s="153"/>
      <c r="F484" s="153"/>
      <c r="G484" s="153"/>
      <c r="H484" s="153"/>
      <c r="I484" s="153"/>
      <c r="J484" s="153"/>
      <c r="K484" s="153"/>
      <c r="L484" s="153"/>
      <c r="M484" s="153"/>
      <c r="N484" s="153"/>
      <c r="O484" s="153"/>
      <c r="P484" s="153"/>
      <c r="Q484" s="153"/>
      <c r="R484" s="153"/>
      <c r="S484" s="153"/>
      <c r="T484" s="153"/>
      <c r="U484" s="153"/>
      <c r="V484" s="153"/>
      <c r="W484" s="153"/>
      <c r="X484" s="153"/>
      <c r="Y484" s="153"/>
      <c r="Z484" s="153"/>
      <c r="AA484" s="153"/>
      <c r="AB484" s="153"/>
      <c r="AC484" s="153"/>
      <c r="AD484" s="153"/>
      <c r="AE484" s="153"/>
      <c r="AF484" s="153"/>
      <c r="AG484" s="153"/>
      <c r="AH484" s="736">
        <f t="shared" si="59"/>
        <v>0</v>
      </c>
    </row>
    <row r="485" spans="1:34" ht="15">
      <c r="A485" s="735" t="s">
        <v>80</v>
      </c>
      <c r="B485" s="287">
        <f t="shared" si="60"/>
        <v>0</v>
      </c>
      <c r="C485" s="153"/>
      <c r="D485" s="153"/>
      <c r="E485" s="153"/>
      <c r="F485" s="153"/>
      <c r="G485" s="153"/>
      <c r="H485" s="153"/>
      <c r="I485" s="153"/>
      <c r="J485" s="153"/>
      <c r="K485" s="153"/>
      <c r="L485" s="153"/>
      <c r="M485" s="153"/>
      <c r="N485" s="153"/>
      <c r="O485" s="153"/>
      <c r="P485" s="153"/>
      <c r="Q485" s="153"/>
      <c r="R485" s="153"/>
      <c r="S485" s="153"/>
      <c r="T485" s="153"/>
      <c r="U485" s="153"/>
      <c r="V485" s="153"/>
      <c r="W485" s="153"/>
      <c r="X485" s="153"/>
      <c r="Y485" s="153"/>
      <c r="Z485" s="153"/>
      <c r="AA485" s="153"/>
      <c r="AB485" s="153"/>
      <c r="AC485" s="153"/>
      <c r="AD485" s="153"/>
      <c r="AE485" s="153"/>
      <c r="AF485" s="153"/>
      <c r="AG485" s="153"/>
      <c r="AH485" s="736">
        <f t="shared" si="59"/>
        <v>0</v>
      </c>
    </row>
    <row r="486" spans="1:34" ht="15">
      <c r="A486" s="707" t="s">
        <v>81</v>
      </c>
      <c r="B486" s="287">
        <f t="shared" si="60"/>
        <v>0</v>
      </c>
      <c r="C486" s="737"/>
      <c r="D486" s="153"/>
      <c r="E486" s="153"/>
      <c r="F486" s="153"/>
      <c r="G486" s="153"/>
      <c r="H486" s="153"/>
      <c r="I486" s="153"/>
      <c r="J486" s="153"/>
      <c r="K486" s="153"/>
      <c r="L486" s="153"/>
      <c r="M486" s="153"/>
      <c r="N486" s="153"/>
      <c r="O486" s="153"/>
      <c r="P486" s="153"/>
      <c r="Q486" s="153"/>
      <c r="R486" s="153"/>
      <c r="S486" s="153"/>
      <c r="T486" s="153"/>
      <c r="U486" s="153"/>
      <c r="V486" s="153"/>
      <c r="W486" s="153"/>
      <c r="X486" s="153"/>
      <c r="Y486" s="153"/>
      <c r="Z486" s="153"/>
      <c r="AA486" s="153"/>
      <c r="AB486" s="153"/>
      <c r="AC486" s="153"/>
      <c r="AD486" s="153"/>
      <c r="AE486" s="153"/>
      <c r="AF486" s="153"/>
      <c r="AG486" s="153"/>
      <c r="AH486" s="736">
        <f t="shared" si="59"/>
        <v>0</v>
      </c>
    </row>
    <row r="487" spans="1:34" ht="15">
      <c r="A487" s="707" t="s">
        <v>82</v>
      </c>
      <c r="B487" s="287">
        <f t="shared" si="60"/>
        <v>0</v>
      </c>
      <c r="C487" s="737"/>
      <c r="D487" s="153"/>
      <c r="E487" s="153"/>
      <c r="F487" s="153"/>
      <c r="G487" s="153"/>
      <c r="H487" s="153"/>
      <c r="I487" s="153"/>
      <c r="J487" s="153"/>
      <c r="K487" s="153"/>
      <c r="L487" s="153"/>
      <c r="M487" s="153"/>
      <c r="N487" s="153"/>
      <c r="O487" s="153"/>
      <c r="P487" s="153"/>
      <c r="Q487" s="287"/>
      <c r="R487" s="287"/>
      <c r="S487" s="287"/>
      <c r="T487" s="287"/>
      <c r="U487" s="287"/>
      <c r="V487" s="287"/>
      <c r="W487" s="287"/>
      <c r="X487" s="287"/>
      <c r="Y487" s="287"/>
      <c r="Z487" s="287"/>
      <c r="AA487" s="287"/>
      <c r="AB487" s="287"/>
      <c r="AC487" s="287"/>
      <c r="AD487" s="287"/>
      <c r="AE487" s="287"/>
      <c r="AF487" s="287"/>
      <c r="AG487" s="287"/>
      <c r="AH487" s="736">
        <f t="shared" si="59"/>
        <v>0</v>
      </c>
    </row>
    <row r="488" spans="1:34" ht="15">
      <c r="A488" s="707" t="s">
        <v>83</v>
      </c>
      <c r="B488" s="287">
        <f t="shared" si="60"/>
        <v>0</v>
      </c>
      <c r="C488" s="287"/>
      <c r="D488" s="287"/>
      <c r="E488" s="287"/>
      <c r="F488" s="287"/>
      <c r="G488" s="287"/>
      <c r="H488" s="287"/>
      <c r="I488" s="287"/>
      <c r="J488" s="287"/>
      <c r="K488" s="287"/>
      <c r="L488" s="287"/>
      <c r="M488" s="287"/>
      <c r="N488" s="287"/>
      <c r="O488" s="287"/>
      <c r="P488" s="287"/>
      <c r="Q488" s="287"/>
      <c r="R488" s="287"/>
      <c r="S488" s="287"/>
      <c r="T488" s="287"/>
      <c r="U488" s="287"/>
      <c r="V488" s="287"/>
      <c r="W488" s="287"/>
      <c r="X488" s="287"/>
      <c r="Y488" s="287"/>
      <c r="Z488" s="287"/>
      <c r="AA488" s="287"/>
      <c r="AB488" s="287"/>
      <c r="AC488" s="287"/>
      <c r="AD488" s="287"/>
      <c r="AE488" s="287"/>
      <c r="AF488" s="287"/>
      <c r="AG488" s="287"/>
      <c r="AH488" s="736">
        <f t="shared" si="59"/>
        <v>0</v>
      </c>
    </row>
    <row r="489" spans="1:34" ht="15">
      <c r="A489" s="707" t="s">
        <v>84</v>
      </c>
      <c r="B489" s="287">
        <f t="shared" si="60"/>
        <v>0</v>
      </c>
      <c r="C489" s="737"/>
      <c r="D489" s="738"/>
      <c r="E489" s="153"/>
      <c r="F489" s="153"/>
      <c r="G489" s="153"/>
      <c r="H489" s="153"/>
      <c r="I489" s="153"/>
      <c r="J489" s="153"/>
      <c r="K489" s="153"/>
      <c r="L489" s="153"/>
      <c r="M489" s="153"/>
      <c r="N489" s="153"/>
      <c r="O489" s="153"/>
      <c r="P489" s="153"/>
      <c r="Q489" s="153"/>
      <c r="R489" s="153"/>
      <c r="S489" s="153"/>
      <c r="T489" s="153"/>
      <c r="U489" s="153"/>
      <c r="V489" s="153"/>
      <c r="W489" s="153"/>
      <c r="X489" s="153"/>
      <c r="Y489" s="153"/>
      <c r="Z489" s="153"/>
      <c r="AA489" s="153"/>
      <c r="AB489" s="153"/>
      <c r="AC489" s="153"/>
      <c r="AD489" s="153"/>
      <c r="AE489" s="153"/>
      <c r="AF489" s="153"/>
      <c r="AG489" s="153"/>
      <c r="AH489" s="736">
        <f t="shared" si="59"/>
        <v>0</v>
      </c>
    </row>
    <row r="490" spans="1:34" ht="16.5">
      <c r="A490" s="707" t="s">
        <v>85</v>
      </c>
      <c r="B490" s="287">
        <f t="shared" si="60"/>
        <v>0</v>
      </c>
      <c r="C490" s="740"/>
      <c r="D490" s="741"/>
      <c r="E490" s="742"/>
      <c r="F490" s="153"/>
      <c r="G490" s="153"/>
      <c r="H490" s="153"/>
      <c r="I490" s="153"/>
      <c r="J490" s="153"/>
      <c r="K490" s="153"/>
      <c r="L490" s="153"/>
      <c r="M490" s="153"/>
      <c r="N490" s="153"/>
      <c r="O490" s="153"/>
      <c r="P490" s="153"/>
      <c r="Q490" s="153"/>
      <c r="R490" s="153"/>
      <c r="S490" s="153"/>
      <c r="T490" s="153"/>
      <c r="U490" s="153"/>
      <c r="V490" s="153"/>
      <c r="W490" s="153"/>
      <c r="X490" s="153"/>
      <c r="Y490" s="153"/>
      <c r="Z490" s="153"/>
      <c r="AA490" s="153"/>
      <c r="AB490" s="153"/>
      <c r="AC490" s="153"/>
      <c r="AD490" s="153"/>
      <c r="AE490" s="153"/>
      <c r="AF490" s="153"/>
      <c r="AG490" s="153"/>
      <c r="AH490" s="736">
        <f t="shared" si="59"/>
        <v>0</v>
      </c>
    </row>
    <row r="491" spans="1:34" ht="15">
      <c r="A491" s="707" t="s">
        <v>86</v>
      </c>
      <c r="B491" s="287">
        <f t="shared" si="60"/>
        <v>0</v>
      </c>
      <c r="C491" s="153"/>
      <c r="D491" s="743"/>
      <c r="E491" s="153"/>
      <c r="F491" s="153"/>
      <c r="G491" s="153"/>
      <c r="H491" s="153"/>
      <c r="I491" s="153"/>
      <c r="J491" s="153"/>
      <c r="K491" s="153"/>
      <c r="L491" s="153"/>
      <c r="M491" s="153"/>
      <c r="N491" s="153"/>
      <c r="O491" s="153"/>
      <c r="P491" s="153"/>
      <c r="Q491" s="153"/>
      <c r="R491" s="153"/>
      <c r="S491" s="153"/>
      <c r="T491" s="153"/>
      <c r="U491" s="153"/>
      <c r="V491" s="153"/>
      <c r="W491" s="153"/>
      <c r="X491" s="153"/>
      <c r="Y491" s="153"/>
      <c r="Z491" s="153"/>
      <c r="AA491" s="153"/>
      <c r="AB491" s="153"/>
      <c r="AC491" s="153"/>
      <c r="AD491" s="153"/>
      <c r="AE491" s="153"/>
      <c r="AF491" s="153"/>
      <c r="AG491" s="153"/>
      <c r="AH491" s="736">
        <f t="shared" si="59"/>
        <v>0</v>
      </c>
    </row>
    <row r="492" spans="1:34" ht="15">
      <c r="A492" s="744" t="s">
        <v>52</v>
      </c>
      <c r="B492" s="745">
        <f>SUM(B480:B491)</f>
        <v>0</v>
      </c>
      <c r="C492" s="736">
        <v>0</v>
      </c>
      <c r="D492" s="736">
        <v>0</v>
      </c>
      <c r="E492" s="736">
        <v>0</v>
      </c>
      <c r="F492" s="736">
        <v>0</v>
      </c>
      <c r="G492" s="736">
        <v>0</v>
      </c>
      <c r="H492" s="736">
        <v>0</v>
      </c>
      <c r="I492" s="736">
        <v>0</v>
      </c>
      <c r="J492" s="736">
        <v>0</v>
      </c>
      <c r="K492" s="736">
        <v>0</v>
      </c>
      <c r="L492" s="736">
        <v>0</v>
      </c>
      <c r="M492" s="736">
        <v>0</v>
      </c>
      <c r="N492" s="736">
        <v>0</v>
      </c>
      <c r="O492" s="739">
        <v>0</v>
      </c>
      <c r="P492" s="739">
        <v>0</v>
      </c>
      <c r="Q492" s="739">
        <v>0</v>
      </c>
      <c r="R492" s="739">
        <v>0</v>
      </c>
      <c r="S492" s="739">
        <v>0</v>
      </c>
      <c r="T492" s="739">
        <v>0</v>
      </c>
      <c r="U492" s="739">
        <v>0</v>
      </c>
      <c r="V492" s="739">
        <v>0</v>
      </c>
      <c r="W492" s="739">
        <v>0</v>
      </c>
      <c r="X492" s="739">
        <v>0</v>
      </c>
      <c r="Y492" s="739">
        <v>0</v>
      </c>
      <c r="Z492" s="739">
        <v>0</v>
      </c>
      <c r="AA492" s="739">
        <v>0</v>
      </c>
      <c r="AB492" s="739">
        <v>0</v>
      </c>
      <c r="AC492" s="739">
        <v>0</v>
      </c>
      <c r="AD492" s="739">
        <v>0</v>
      </c>
      <c r="AE492" s="739">
        <v>0</v>
      </c>
      <c r="AF492" s="739">
        <v>0</v>
      </c>
      <c r="AG492" s="739">
        <v>0</v>
      </c>
      <c r="AH492" s="739">
        <v>0</v>
      </c>
    </row>
    <row r="494" spans="1:34" ht="13.5" thickBot="1"/>
    <row r="495" spans="1:34" ht="15.75" thickBot="1">
      <c r="A495" s="3711" t="s">
        <v>352</v>
      </c>
      <c r="B495" s="3712"/>
      <c r="C495" s="3713"/>
      <c r="D495" s="759" t="s">
        <v>353</v>
      </c>
      <c r="E495" s="760"/>
      <c r="F495" s="761"/>
      <c r="G495" s="887" t="s">
        <v>131</v>
      </c>
      <c r="H495" s="1557"/>
      <c r="I495" s="1558"/>
      <c r="J495" s="1559"/>
      <c r="K495" s="731"/>
      <c r="L495" s="731"/>
      <c r="M495" s="732"/>
      <c r="N495" s="731"/>
      <c r="O495" s="731"/>
      <c r="P495" s="731"/>
      <c r="Q495" s="731"/>
      <c r="R495" s="731"/>
      <c r="S495" s="731"/>
      <c r="T495" s="731"/>
      <c r="U495" s="731"/>
      <c r="V495" s="731"/>
      <c r="W495" s="731"/>
      <c r="X495" s="731"/>
      <c r="Y495" s="731"/>
      <c r="Z495" s="731"/>
      <c r="AA495" s="731"/>
      <c r="AB495" s="731"/>
      <c r="AC495" s="731"/>
      <c r="AD495" s="731"/>
      <c r="AE495" s="731"/>
      <c r="AF495" s="731"/>
      <c r="AG495" s="731"/>
      <c r="AH495" s="733"/>
    </row>
    <row r="496" spans="1:34" ht="15">
      <c r="A496" s="746" t="s">
        <v>72</v>
      </c>
      <c r="B496" s="746" t="s">
        <v>73</v>
      </c>
      <c r="C496" s="747">
        <v>1</v>
      </c>
      <c r="D496" s="747">
        <v>2</v>
      </c>
      <c r="E496" s="747">
        <v>3</v>
      </c>
      <c r="F496" s="747">
        <v>4</v>
      </c>
      <c r="G496" s="747">
        <v>5</v>
      </c>
      <c r="H496" s="747">
        <v>6</v>
      </c>
      <c r="I496" s="747">
        <v>7</v>
      </c>
      <c r="J496" s="708">
        <v>8</v>
      </c>
      <c r="K496" s="708">
        <v>9</v>
      </c>
      <c r="L496" s="708">
        <v>10</v>
      </c>
      <c r="M496" s="708">
        <v>11</v>
      </c>
      <c r="N496" s="708">
        <v>12</v>
      </c>
      <c r="O496" s="708">
        <v>13</v>
      </c>
      <c r="P496" s="708">
        <v>14</v>
      </c>
      <c r="Q496" s="708">
        <v>15</v>
      </c>
      <c r="R496" s="708">
        <v>16</v>
      </c>
      <c r="S496" s="708">
        <v>17</v>
      </c>
      <c r="T496" s="708">
        <v>18</v>
      </c>
      <c r="U496" s="708">
        <v>19</v>
      </c>
      <c r="V496" s="708">
        <v>20</v>
      </c>
      <c r="W496" s="708">
        <v>21</v>
      </c>
      <c r="X496" s="708">
        <v>22</v>
      </c>
      <c r="Y496" s="708">
        <v>23</v>
      </c>
      <c r="Z496" s="708">
        <v>24</v>
      </c>
      <c r="AA496" s="1555">
        <v>25</v>
      </c>
      <c r="AB496" s="708">
        <v>26</v>
      </c>
      <c r="AC496" s="708">
        <v>27</v>
      </c>
      <c r="AD496" s="708">
        <v>28</v>
      </c>
      <c r="AE496" s="708">
        <v>29</v>
      </c>
      <c r="AF496" s="708">
        <v>30</v>
      </c>
      <c r="AG496" s="708">
        <v>31</v>
      </c>
      <c r="AH496" s="734" t="s">
        <v>74</v>
      </c>
    </row>
    <row r="497" spans="1:34" ht="15">
      <c r="A497" s="735" t="s">
        <v>75</v>
      </c>
      <c r="B497" s="287">
        <f t="shared" ref="B497:B502" si="61">SUM(C497:AG497)</f>
        <v>0</v>
      </c>
      <c r="C497" s="153"/>
      <c r="D497" s="153"/>
      <c r="E497" s="153"/>
      <c r="F497" s="153"/>
      <c r="G497" s="153"/>
      <c r="H497" s="153"/>
      <c r="I497" s="153"/>
      <c r="J497" s="153"/>
      <c r="K497" s="153"/>
      <c r="L497" s="153"/>
      <c r="M497" s="153"/>
      <c r="N497" s="153"/>
      <c r="O497" s="153"/>
      <c r="P497" s="153"/>
      <c r="Q497" s="153"/>
      <c r="R497" s="153"/>
      <c r="S497" s="153"/>
      <c r="T497" s="153"/>
      <c r="U497" s="153"/>
      <c r="V497" s="153"/>
      <c r="W497" s="153"/>
      <c r="X497" s="153"/>
      <c r="Y497" s="153"/>
      <c r="Z497" s="153"/>
      <c r="AA497" s="153"/>
      <c r="AB497" s="153"/>
      <c r="AC497" s="153"/>
      <c r="AD497" s="153"/>
      <c r="AE497" s="153"/>
      <c r="AF497" s="153"/>
      <c r="AG497" s="153"/>
      <c r="AH497" s="736">
        <f>SUM(C497:AG497)</f>
        <v>0</v>
      </c>
    </row>
    <row r="498" spans="1:34" ht="15">
      <c r="A498" s="735" t="s">
        <v>76</v>
      </c>
      <c r="B498" s="287">
        <f t="shared" si="61"/>
        <v>0</v>
      </c>
      <c r="C498" s="153"/>
      <c r="D498" s="153"/>
      <c r="E498" s="153"/>
      <c r="F498" s="153"/>
      <c r="G498" s="153"/>
      <c r="H498" s="153"/>
      <c r="I498" s="153"/>
      <c r="J498" s="153"/>
      <c r="K498" s="153"/>
      <c r="L498" s="153"/>
      <c r="M498" s="153"/>
      <c r="N498" s="153"/>
      <c r="O498" s="153"/>
      <c r="P498" s="153"/>
      <c r="Q498" s="153"/>
      <c r="R498" s="153"/>
      <c r="S498" s="153"/>
      <c r="T498" s="153"/>
      <c r="U498" s="153"/>
      <c r="V498" s="153"/>
      <c r="W498" s="153"/>
      <c r="X498" s="153"/>
      <c r="Y498" s="153"/>
      <c r="Z498" s="153"/>
      <c r="AA498" s="153"/>
      <c r="AB498" s="153"/>
      <c r="AC498" s="153"/>
      <c r="AD498" s="153"/>
      <c r="AE498" s="153"/>
      <c r="AF498" s="153"/>
      <c r="AG498" s="153"/>
      <c r="AH498" s="736">
        <f t="shared" ref="AH498:AH508" si="62">SUM(C498:AG498)</f>
        <v>0</v>
      </c>
    </row>
    <row r="499" spans="1:34" ht="15">
      <c r="A499" s="735" t="s">
        <v>77</v>
      </c>
      <c r="B499" s="287">
        <f t="shared" si="61"/>
        <v>0</v>
      </c>
      <c r="C499" s="153"/>
      <c r="D499" s="153"/>
      <c r="E499" s="153"/>
      <c r="F499" s="153"/>
      <c r="G499" s="153"/>
      <c r="H499" s="153"/>
      <c r="I499" s="153"/>
      <c r="J499" s="153"/>
      <c r="K499" s="153"/>
      <c r="L499" s="153"/>
      <c r="M499" s="153"/>
      <c r="N499" s="153"/>
      <c r="O499" s="153"/>
      <c r="P499" s="153"/>
      <c r="Q499" s="153"/>
      <c r="R499" s="153"/>
      <c r="S499" s="153"/>
      <c r="T499" s="153"/>
      <c r="U499" s="153"/>
      <c r="V499" s="153"/>
      <c r="W499" s="153"/>
      <c r="X499" s="153"/>
      <c r="Y499" s="153"/>
      <c r="Z499" s="153"/>
      <c r="AA499" s="153"/>
      <c r="AB499" s="153"/>
      <c r="AC499" s="153"/>
      <c r="AD499" s="153"/>
      <c r="AE499" s="153"/>
      <c r="AF499" s="153"/>
      <c r="AG499" s="153"/>
      <c r="AH499" s="736">
        <f t="shared" si="62"/>
        <v>0</v>
      </c>
    </row>
    <row r="500" spans="1:34" ht="15">
      <c r="A500" s="735" t="s">
        <v>78</v>
      </c>
      <c r="B500" s="287">
        <f t="shared" si="61"/>
        <v>0</v>
      </c>
      <c r="C500" s="153"/>
      <c r="D500" s="153"/>
      <c r="E500" s="153"/>
      <c r="F500" s="153"/>
      <c r="G500" s="153"/>
      <c r="H500" s="153"/>
      <c r="I500" s="153"/>
      <c r="J500" s="153"/>
      <c r="K500" s="153"/>
      <c r="L500" s="153"/>
      <c r="M500" s="153"/>
      <c r="N500" s="153"/>
      <c r="O500" s="153"/>
      <c r="P500" s="153"/>
      <c r="Q500" s="153"/>
      <c r="R500" s="153"/>
      <c r="S500" s="153"/>
      <c r="T500" s="153"/>
      <c r="U500" s="153"/>
      <c r="V500" s="153"/>
      <c r="W500" s="153"/>
      <c r="X500" s="153"/>
      <c r="Y500" s="153"/>
      <c r="Z500" s="153"/>
      <c r="AA500" s="153"/>
      <c r="AB500" s="153"/>
      <c r="AC500" s="153"/>
      <c r="AD500" s="153"/>
      <c r="AE500" s="153"/>
      <c r="AF500" s="153"/>
      <c r="AG500" s="153"/>
      <c r="AH500" s="736">
        <f t="shared" si="62"/>
        <v>0</v>
      </c>
    </row>
    <row r="501" spans="1:34" ht="15">
      <c r="A501" s="735" t="s">
        <v>79</v>
      </c>
      <c r="B501" s="287">
        <f t="shared" si="61"/>
        <v>0</v>
      </c>
      <c r="C501" s="153"/>
      <c r="D501" s="153"/>
      <c r="E501" s="153"/>
      <c r="F501" s="153"/>
      <c r="G501" s="153"/>
      <c r="H501" s="153"/>
      <c r="I501" s="153"/>
      <c r="J501" s="153"/>
      <c r="K501" s="153"/>
      <c r="L501" s="153"/>
      <c r="M501" s="153"/>
      <c r="N501" s="153"/>
      <c r="O501" s="153"/>
      <c r="P501" s="153"/>
      <c r="Q501" s="153"/>
      <c r="R501" s="153"/>
      <c r="S501" s="153"/>
      <c r="T501" s="153"/>
      <c r="U501" s="153"/>
      <c r="V501" s="153"/>
      <c r="W501" s="153"/>
      <c r="X501" s="153"/>
      <c r="Y501" s="153"/>
      <c r="Z501" s="153"/>
      <c r="AA501" s="153"/>
      <c r="AB501" s="153"/>
      <c r="AC501" s="153"/>
      <c r="AD501" s="153"/>
      <c r="AE501" s="153"/>
      <c r="AF501" s="153"/>
      <c r="AG501" s="153"/>
      <c r="AH501" s="736">
        <f t="shared" si="62"/>
        <v>0</v>
      </c>
    </row>
    <row r="502" spans="1:34" ht="15">
      <c r="A502" s="735" t="s">
        <v>80</v>
      </c>
      <c r="B502" s="287">
        <f t="shared" si="61"/>
        <v>0</v>
      </c>
      <c r="C502" s="153"/>
      <c r="D502" s="153"/>
      <c r="E502" s="153"/>
      <c r="F502" s="153"/>
      <c r="G502" s="153"/>
      <c r="H502" s="153"/>
      <c r="I502" s="153"/>
      <c r="J502" s="153"/>
      <c r="K502" s="153"/>
      <c r="L502" s="153"/>
      <c r="M502" s="153"/>
      <c r="N502" s="153"/>
      <c r="O502" s="153"/>
      <c r="P502" s="153"/>
      <c r="Q502" s="153"/>
      <c r="R502" s="153"/>
      <c r="S502" s="153"/>
      <c r="T502" s="153"/>
      <c r="U502" s="153"/>
      <c r="V502" s="153"/>
      <c r="W502" s="153"/>
      <c r="X502" s="153"/>
      <c r="Y502" s="153"/>
      <c r="Z502" s="153"/>
      <c r="AA502" s="153"/>
      <c r="AB502" s="153"/>
      <c r="AC502" s="153"/>
      <c r="AD502" s="153"/>
      <c r="AE502" s="153"/>
      <c r="AF502" s="153"/>
      <c r="AG502" s="153"/>
      <c r="AH502" s="736">
        <f t="shared" si="62"/>
        <v>0</v>
      </c>
    </row>
    <row r="503" spans="1:34" ht="15">
      <c r="A503" s="707" t="s">
        <v>81</v>
      </c>
      <c r="B503" s="287">
        <f t="shared" ref="B503:B508" si="63">SUM(C503:AG503)</f>
        <v>0</v>
      </c>
      <c r="C503" s="737"/>
      <c r="D503" s="153"/>
      <c r="E503" s="153"/>
      <c r="F503" s="153"/>
      <c r="G503" s="153"/>
      <c r="H503" s="153"/>
      <c r="I503" s="153"/>
      <c r="J503" s="153"/>
      <c r="K503" s="153"/>
      <c r="L503" s="153"/>
      <c r="M503" s="153"/>
      <c r="N503" s="153"/>
      <c r="O503" s="153"/>
      <c r="P503" s="153"/>
      <c r="Q503" s="153"/>
      <c r="R503" s="153"/>
      <c r="S503" s="153"/>
      <c r="T503" s="153"/>
      <c r="U503" s="153"/>
      <c r="V503" s="153"/>
      <c r="W503" s="153"/>
      <c r="X503" s="153"/>
      <c r="Y503" s="153"/>
      <c r="Z503" s="153"/>
      <c r="AA503" s="153"/>
      <c r="AB503" s="153"/>
      <c r="AC503" s="153"/>
      <c r="AD503" s="153"/>
      <c r="AE503" s="153"/>
      <c r="AF503" s="153"/>
      <c r="AG503" s="153"/>
      <c r="AH503" s="736">
        <f t="shared" si="62"/>
        <v>0</v>
      </c>
    </row>
    <row r="504" spans="1:34" ht="15">
      <c r="A504" s="707" t="s">
        <v>82</v>
      </c>
      <c r="B504" s="287">
        <f t="shared" si="63"/>
        <v>0</v>
      </c>
      <c r="C504" s="737"/>
      <c r="D504" s="153"/>
      <c r="E504" s="153"/>
      <c r="F504" s="153"/>
      <c r="G504" s="153"/>
      <c r="H504" s="153"/>
      <c r="I504" s="153"/>
      <c r="J504" s="153"/>
      <c r="K504" s="153"/>
      <c r="L504" s="153"/>
      <c r="M504" s="153"/>
      <c r="N504" s="153"/>
      <c r="O504" s="153"/>
      <c r="P504" s="153"/>
      <c r="Q504" s="287"/>
      <c r="R504" s="287"/>
      <c r="S504" s="287"/>
      <c r="T504" s="287"/>
      <c r="U504" s="287"/>
      <c r="V504" s="287"/>
      <c r="W504" s="287"/>
      <c r="X504" s="287"/>
      <c r="Y504" s="287"/>
      <c r="Z504" s="287"/>
      <c r="AA504" s="287"/>
      <c r="AB504" s="287"/>
      <c r="AC504" s="287"/>
      <c r="AD504" s="287"/>
      <c r="AE504" s="287"/>
      <c r="AF504" s="287"/>
      <c r="AG504" s="287"/>
      <c r="AH504" s="736">
        <f t="shared" si="62"/>
        <v>0</v>
      </c>
    </row>
    <row r="505" spans="1:34" ht="15">
      <c r="A505" s="707" t="s">
        <v>83</v>
      </c>
      <c r="B505" s="287">
        <f t="shared" si="63"/>
        <v>0</v>
      </c>
      <c r="C505" s="287"/>
      <c r="D505" s="287"/>
      <c r="E505" s="287"/>
      <c r="F505" s="287"/>
      <c r="G505" s="287"/>
      <c r="H505" s="287"/>
      <c r="I505" s="287"/>
      <c r="J505" s="287"/>
      <c r="K505" s="287"/>
      <c r="L505" s="287"/>
      <c r="M505" s="287"/>
      <c r="N505" s="287"/>
      <c r="O505" s="287"/>
      <c r="P505" s="287"/>
      <c r="Q505" s="287"/>
      <c r="R505" s="287"/>
      <c r="S505" s="287"/>
      <c r="T505" s="287"/>
      <c r="U505" s="287"/>
      <c r="V505" s="287"/>
      <c r="W505" s="287"/>
      <c r="X505" s="287"/>
      <c r="Y505" s="287"/>
      <c r="Z505" s="287"/>
      <c r="AA505" s="287"/>
      <c r="AB505" s="287"/>
      <c r="AC505" s="287"/>
      <c r="AD505" s="287"/>
      <c r="AE505" s="287"/>
      <c r="AF505" s="287"/>
      <c r="AG505" s="287"/>
      <c r="AH505" s="736">
        <f t="shared" si="62"/>
        <v>0</v>
      </c>
    </row>
    <row r="506" spans="1:34" ht="15">
      <c r="A506" s="707" t="s">
        <v>84</v>
      </c>
      <c r="B506" s="287">
        <f t="shared" si="63"/>
        <v>0</v>
      </c>
      <c r="C506" s="737"/>
      <c r="D506" s="738"/>
      <c r="E506" s="153"/>
      <c r="F506" s="153"/>
      <c r="G506" s="153"/>
      <c r="H506" s="153"/>
      <c r="I506" s="153"/>
      <c r="J506" s="153"/>
      <c r="K506" s="153"/>
      <c r="L506" s="153"/>
      <c r="M506" s="153"/>
      <c r="N506" s="153"/>
      <c r="O506" s="153"/>
      <c r="P506" s="153"/>
      <c r="Q506" s="153"/>
      <c r="R506" s="153"/>
      <c r="S506" s="153"/>
      <c r="T506" s="153"/>
      <c r="U506" s="153"/>
      <c r="V506" s="153"/>
      <c r="W506" s="153"/>
      <c r="X506" s="153"/>
      <c r="Y506" s="153"/>
      <c r="Z506" s="153"/>
      <c r="AA506" s="153"/>
      <c r="AB506" s="153"/>
      <c r="AC506" s="153"/>
      <c r="AD506" s="153"/>
      <c r="AE506" s="153"/>
      <c r="AF506" s="153"/>
      <c r="AG506" s="153"/>
      <c r="AH506" s="736">
        <f t="shared" si="62"/>
        <v>0</v>
      </c>
    </row>
    <row r="507" spans="1:34" ht="16.5">
      <c r="A507" s="707" t="s">
        <v>85</v>
      </c>
      <c r="B507" s="287">
        <f t="shared" si="63"/>
        <v>0</v>
      </c>
      <c r="C507" s="740"/>
      <c r="D507" s="741"/>
      <c r="E507" s="742"/>
      <c r="F507" s="153"/>
      <c r="G507" s="153"/>
      <c r="H507" s="153"/>
      <c r="I507" s="153"/>
      <c r="J507" s="153"/>
      <c r="K507" s="153"/>
      <c r="L507" s="153"/>
      <c r="M507" s="153"/>
      <c r="N507" s="153"/>
      <c r="O507" s="153"/>
      <c r="P507" s="153"/>
      <c r="Q507" s="153"/>
      <c r="R507" s="153"/>
      <c r="S507" s="153"/>
      <c r="T507" s="153"/>
      <c r="U507" s="153"/>
      <c r="V507" s="153"/>
      <c r="W507" s="153"/>
      <c r="X507" s="153"/>
      <c r="Y507" s="153"/>
      <c r="Z507" s="153"/>
      <c r="AA507" s="153"/>
      <c r="AB507" s="153"/>
      <c r="AC507" s="153"/>
      <c r="AD507" s="153"/>
      <c r="AE507" s="153"/>
      <c r="AF507" s="153"/>
      <c r="AG507" s="153"/>
      <c r="AH507" s="736">
        <f t="shared" si="62"/>
        <v>0</v>
      </c>
    </row>
    <row r="508" spans="1:34" ht="15">
      <c r="A508" s="707" t="s">
        <v>86</v>
      </c>
      <c r="B508" s="287">
        <f t="shared" si="63"/>
        <v>0</v>
      </c>
      <c r="C508" s="153"/>
      <c r="D508" s="743"/>
      <c r="E508" s="153"/>
      <c r="F508" s="153"/>
      <c r="G508" s="153"/>
      <c r="H508" s="153"/>
      <c r="I508" s="153"/>
      <c r="J508" s="153"/>
      <c r="K508" s="153"/>
      <c r="L508" s="153"/>
      <c r="M508" s="153"/>
      <c r="N508" s="153"/>
      <c r="O508" s="153"/>
      <c r="P508" s="153"/>
      <c r="Q508" s="153"/>
      <c r="R508" s="153"/>
      <c r="S508" s="153"/>
      <c r="T508" s="153"/>
      <c r="U508" s="153"/>
      <c r="V508" s="153"/>
      <c r="W508" s="153"/>
      <c r="X508" s="153"/>
      <c r="Y508" s="153"/>
      <c r="Z508" s="153"/>
      <c r="AA508" s="153"/>
      <c r="AB508" s="153"/>
      <c r="AC508" s="153"/>
      <c r="AD508" s="153"/>
      <c r="AE508" s="153"/>
      <c r="AF508" s="153"/>
      <c r="AG508" s="153"/>
      <c r="AH508" s="736">
        <f t="shared" si="62"/>
        <v>0</v>
      </c>
    </row>
    <row r="509" spans="1:34" ht="15">
      <c r="A509" s="757" t="s">
        <v>52</v>
      </c>
      <c r="B509" s="758">
        <f>SUM(B497:B508)</f>
        <v>0</v>
      </c>
      <c r="C509" s="736">
        <v>0</v>
      </c>
      <c r="D509" s="736">
        <v>0</v>
      </c>
      <c r="E509" s="736">
        <v>0</v>
      </c>
      <c r="F509" s="736">
        <v>0</v>
      </c>
      <c r="G509" s="736">
        <v>0</v>
      </c>
      <c r="H509" s="736">
        <v>0</v>
      </c>
      <c r="I509" s="736">
        <v>0</v>
      </c>
      <c r="J509" s="736">
        <v>0</v>
      </c>
      <c r="K509" s="736">
        <v>0</v>
      </c>
      <c r="L509" s="736">
        <v>0</v>
      </c>
      <c r="M509" s="736">
        <v>0</v>
      </c>
      <c r="N509" s="736">
        <v>0</v>
      </c>
      <c r="O509" s="739">
        <v>0</v>
      </c>
      <c r="P509" s="739">
        <v>0</v>
      </c>
      <c r="Q509" s="739">
        <v>0</v>
      </c>
      <c r="R509" s="739">
        <v>0</v>
      </c>
      <c r="S509" s="739">
        <v>0</v>
      </c>
      <c r="T509" s="739">
        <v>0</v>
      </c>
      <c r="U509" s="739">
        <v>0</v>
      </c>
      <c r="V509" s="739">
        <v>0</v>
      </c>
      <c r="W509" s="739">
        <v>0</v>
      </c>
      <c r="X509" s="739">
        <v>0</v>
      </c>
      <c r="Y509" s="739">
        <v>0</v>
      </c>
      <c r="Z509" s="739">
        <v>0</v>
      </c>
      <c r="AA509" s="739">
        <v>0</v>
      </c>
      <c r="AB509" s="739">
        <v>0</v>
      </c>
      <c r="AC509" s="739">
        <v>0</v>
      </c>
      <c r="AD509" s="739">
        <v>0</v>
      </c>
      <c r="AE509" s="739">
        <v>0</v>
      </c>
      <c r="AF509" s="739">
        <v>0</v>
      </c>
      <c r="AG509" s="739">
        <v>0</v>
      </c>
      <c r="AH509" s="739">
        <v>0</v>
      </c>
    </row>
    <row r="510" spans="1:34" ht="13.5" thickBot="1"/>
    <row r="511" spans="1:34" s="1379" customFormat="1" ht="15.75" thickBot="1">
      <c r="A511" s="3711" t="s">
        <v>524</v>
      </c>
      <c r="B511" s="3712"/>
      <c r="C511" s="3713"/>
      <c r="D511" s="759" t="s">
        <v>525</v>
      </c>
      <c r="E511" s="760"/>
      <c r="F511" s="761"/>
      <c r="G511" s="1556"/>
      <c r="H511" s="1557"/>
      <c r="I511" s="1558"/>
      <c r="J511" s="731"/>
      <c r="K511" s="731"/>
      <c r="L511" s="731"/>
      <c r="M511" s="732"/>
      <c r="N511" s="731"/>
      <c r="O511" s="731"/>
      <c r="P511" s="731"/>
      <c r="Q511" s="731"/>
      <c r="R511" s="731"/>
      <c r="S511" s="731"/>
      <c r="T511" s="731"/>
      <c r="U511" s="731"/>
      <c r="V511" s="731"/>
      <c r="W511" s="731"/>
      <c r="X511" s="731"/>
      <c r="Y511" s="731"/>
      <c r="Z511" s="731"/>
      <c r="AA511" s="731"/>
      <c r="AB511" s="731"/>
      <c r="AC511" s="731"/>
      <c r="AD511" s="731"/>
      <c r="AE511" s="731"/>
      <c r="AF511" s="731"/>
      <c r="AG511" s="731"/>
      <c r="AH511" s="733"/>
    </row>
    <row r="512" spans="1:34" s="1379" customFormat="1" ht="15">
      <c r="A512" s="746" t="s">
        <v>72</v>
      </c>
      <c r="B512" s="746" t="s">
        <v>73</v>
      </c>
      <c r="C512" s="747">
        <v>1</v>
      </c>
      <c r="D512" s="747">
        <v>2</v>
      </c>
      <c r="E512" s="747">
        <v>3</v>
      </c>
      <c r="F512" s="747">
        <v>4</v>
      </c>
      <c r="G512" s="747">
        <v>5</v>
      </c>
      <c r="H512" s="747">
        <v>6</v>
      </c>
      <c r="I512" s="747">
        <v>7</v>
      </c>
      <c r="J512" s="708">
        <v>8</v>
      </c>
      <c r="K512" s="708">
        <v>9</v>
      </c>
      <c r="L512" s="708">
        <v>10</v>
      </c>
      <c r="M512" s="708">
        <v>11</v>
      </c>
      <c r="N512" s="708">
        <v>12</v>
      </c>
      <c r="O512" s="708">
        <v>13</v>
      </c>
      <c r="P512" s="708">
        <v>14</v>
      </c>
      <c r="Q512" s="708">
        <v>15</v>
      </c>
      <c r="R512" s="708">
        <v>16</v>
      </c>
      <c r="S512" s="708">
        <v>17</v>
      </c>
      <c r="T512" s="708">
        <v>18</v>
      </c>
      <c r="U512" s="708">
        <v>19</v>
      </c>
      <c r="V512" s="708">
        <v>20</v>
      </c>
      <c r="W512" s="708">
        <v>21</v>
      </c>
      <c r="X512" s="708">
        <v>22</v>
      </c>
      <c r="Y512" s="708">
        <v>23</v>
      </c>
      <c r="Z512" s="708">
        <v>24</v>
      </c>
      <c r="AA512" s="1555">
        <v>25</v>
      </c>
      <c r="AB512" s="708">
        <v>26</v>
      </c>
      <c r="AC512" s="708">
        <v>27</v>
      </c>
      <c r="AD512" s="708">
        <v>28</v>
      </c>
      <c r="AE512" s="708">
        <v>29</v>
      </c>
      <c r="AF512" s="708">
        <v>30</v>
      </c>
      <c r="AG512" s="708">
        <v>31</v>
      </c>
      <c r="AH512" s="734" t="s">
        <v>74</v>
      </c>
    </row>
    <row r="513" spans="1:34" s="1379" customFormat="1" ht="15">
      <c r="A513" s="735" t="s">
        <v>75</v>
      </c>
      <c r="B513" s="287">
        <f t="shared" ref="B513:B518" si="64">SUM(C513:AG513)</f>
        <v>0</v>
      </c>
      <c r="C513" s="153"/>
      <c r="D513" s="153"/>
      <c r="E513" s="153"/>
      <c r="F513" s="153"/>
      <c r="G513" s="153"/>
      <c r="H513" s="153"/>
      <c r="I513" s="153"/>
      <c r="J513" s="153"/>
      <c r="K513" s="153"/>
      <c r="L513" s="153"/>
      <c r="M513" s="153"/>
      <c r="N513" s="153"/>
      <c r="O513" s="153"/>
      <c r="P513" s="153"/>
      <c r="Q513" s="153"/>
      <c r="R513" s="153"/>
      <c r="S513" s="153"/>
      <c r="T513" s="153"/>
      <c r="U513" s="153"/>
      <c r="V513" s="153"/>
      <c r="W513" s="153"/>
      <c r="X513" s="153"/>
      <c r="Y513" s="153"/>
      <c r="Z513" s="153"/>
      <c r="AA513" s="153"/>
      <c r="AB513" s="153"/>
      <c r="AC513" s="153"/>
      <c r="AD513" s="153"/>
      <c r="AE513" s="153"/>
      <c r="AF513" s="153"/>
      <c r="AG513" s="153"/>
      <c r="AH513" s="736">
        <f>SUM(C513:AG513)</f>
        <v>0</v>
      </c>
    </row>
    <row r="514" spans="1:34" s="1379" customFormat="1" ht="15">
      <c r="A514" s="735" t="s">
        <v>76</v>
      </c>
      <c r="B514" s="287">
        <f t="shared" si="64"/>
        <v>0</v>
      </c>
      <c r="C514" s="153"/>
      <c r="D514" s="153"/>
      <c r="E514" s="153"/>
      <c r="F514" s="153"/>
      <c r="G514" s="153"/>
      <c r="H514" s="153"/>
      <c r="I514" s="153"/>
      <c r="J514" s="153"/>
      <c r="K514" s="153"/>
      <c r="L514" s="153"/>
      <c r="M514" s="153"/>
      <c r="N514" s="153"/>
      <c r="O514" s="153"/>
      <c r="P514" s="153"/>
      <c r="Q514" s="153"/>
      <c r="R514" s="153"/>
      <c r="S514" s="153"/>
      <c r="T514" s="153"/>
      <c r="U514" s="153"/>
      <c r="V514" s="153"/>
      <c r="W514" s="153"/>
      <c r="X514" s="153"/>
      <c r="Y514" s="153"/>
      <c r="Z514" s="153"/>
      <c r="AA514" s="153"/>
      <c r="AB514" s="153"/>
      <c r="AC514" s="153"/>
      <c r="AD514" s="153"/>
      <c r="AE514" s="153"/>
      <c r="AF514" s="153"/>
      <c r="AG514" s="153"/>
      <c r="AH514" s="736">
        <f t="shared" ref="AH514:AH524" si="65">SUM(C514:AG514)</f>
        <v>0</v>
      </c>
    </row>
    <row r="515" spans="1:34" s="1379" customFormat="1" ht="15">
      <c r="A515" s="735" t="s">
        <v>77</v>
      </c>
      <c r="B515" s="287">
        <f t="shared" si="64"/>
        <v>0</v>
      </c>
      <c r="C515" s="153"/>
      <c r="D515" s="153"/>
      <c r="E515" s="153"/>
      <c r="F515" s="153"/>
      <c r="G515" s="153"/>
      <c r="H515" s="153"/>
      <c r="I515" s="153"/>
      <c r="J515" s="153"/>
      <c r="K515" s="153"/>
      <c r="L515" s="153"/>
      <c r="M515" s="153"/>
      <c r="N515" s="153"/>
      <c r="O515" s="153"/>
      <c r="P515" s="153"/>
      <c r="Q515" s="153"/>
      <c r="R515" s="153"/>
      <c r="S515" s="153"/>
      <c r="T515" s="153"/>
      <c r="U515" s="153"/>
      <c r="V515" s="153"/>
      <c r="W515" s="153"/>
      <c r="X515" s="153"/>
      <c r="Y515" s="153"/>
      <c r="Z515" s="153"/>
      <c r="AA515" s="153"/>
      <c r="AB515" s="153"/>
      <c r="AC515" s="153"/>
      <c r="AD515" s="153"/>
      <c r="AE515" s="153"/>
      <c r="AF515" s="153"/>
      <c r="AG515" s="153"/>
      <c r="AH515" s="736">
        <f t="shared" si="65"/>
        <v>0</v>
      </c>
    </row>
    <row r="516" spans="1:34" s="1379" customFormat="1" ht="15">
      <c r="A516" s="735" t="s">
        <v>78</v>
      </c>
      <c r="B516" s="287">
        <f t="shared" si="64"/>
        <v>0</v>
      </c>
      <c r="C516" s="153"/>
      <c r="D516" s="153"/>
      <c r="E516" s="153"/>
      <c r="F516" s="153"/>
      <c r="G516" s="153"/>
      <c r="H516" s="153"/>
      <c r="I516" s="153"/>
      <c r="J516" s="153"/>
      <c r="K516" s="153"/>
      <c r="L516" s="153"/>
      <c r="M516" s="153"/>
      <c r="N516" s="153"/>
      <c r="O516" s="153"/>
      <c r="P516" s="153"/>
      <c r="Q516" s="153"/>
      <c r="R516" s="153"/>
      <c r="S516" s="153"/>
      <c r="T516" s="153"/>
      <c r="U516" s="153"/>
      <c r="V516" s="153"/>
      <c r="W516" s="153"/>
      <c r="X516" s="153"/>
      <c r="Y516" s="153"/>
      <c r="Z516" s="153"/>
      <c r="AA516" s="153"/>
      <c r="AB516" s="153"/>
      <c r="AC516" s="153"/>
      <c r="AD516" s="153"/>
      <c r="AE516" s="153"/>
      <c r="AF516" s="153"/>
      <c r="AG516" s="153"/>
      <c r="AH516" s="736">
        <f t="shared" si="65"/>
        <v>0</v>
      </c>
    </row>
    <row r="517" spans="1:34" s="1379" customFormat="1" ht="15">
      <c r="A517" s="735" t="s">
        <v>79</v>
      </c>
      <c r="B517" s="287">
        <f t="shared" si="64"/>
        <v>0</v>
      </c>
      <c r="C517" s="153"/>
      <c r="D517" s="153"/>
      <c r="E517" s="153"/>
      <c r="F517" s="153"/>
      <c r="G517" s="153"/>
      <c r="H517" s="153"/>
      <c r="I517" s="153"/>
      <c r="J517" s="153"/>
      <c r="K517" s="153"/>
      <c r="L517" s="153"/>
      <c r="M517" s="153"/>
      <c r="N517" s="153"/>
      <c r="O517" s="153"/>
      <c r="P517" s="153"/>
      <c r="Q517" s="153"/>
      <c r="R517" s="153"/>
      <c r="S517" s="153"/>
      <c r="T517" s="153"/>
      <c r="U517" s="153"/>
      <c r="V517" s="153"/>
      <c r="W517" s="153"/>
      <c r="X517" s="153"/>
      <c r="Y517" s="153"/>
      <c r="Z517" s="153"/>
      <c r="AA517" s="153"/>
      <c r="AB517" s="153"/>
      <c r="AC517" s="153"/>
      <c r="AD517" s="153"/>
      <c r="AE517" s="153"/>
      <c r="AF517" s="153"/>
      <c r="AG517" s="153"/>
      <c r="AH517" s="736">
        <f t="shared" si="65"/>
        <v>0</v>
      </c>
    </row>
    <row r="518" spans="1:34" s="1379" customFormat="1" ht="15">
      <c r="A518" s="735" t="s">
        <v>80</v>
      </c>
      <c r="B518" s="287">
        <f t="shared" si="64"/>
        <v>0</v>
      </c>
      <c r="C518" s="153"/>
      <c r="D518" s="153"/>
      <c r="E518" s="153"/>
      <c r="F518" s="153"/>
      <c r="G518" s="153"/>
      <c r="H518" s="153"/>
      <c r="I518" s="153"/>
      <c r="J518" s="153"/>
      <c r="K518" s="153"/>
      <c r="L518" s="153"/>
      <c r="M518" s="153"/>
      <c r="N518" s="153"/>
      <c r="O518" s="153"/>
      <c r="P518" s="153"/>
      <c r="Q518" s="153"/>
      <c r="R518" s="153"/>
      <c r="S518" s="153"/>
      <c r="T518" s="153"/>
      <c r="U518" s="153"/>
      <c r="V518" s="153"/>
      <c r="W518" s="153"/>
      <c r="X518" s="153"/>
      <c r="Y518" s="153"/>
      <c r="Z518" s="153"/>
      <c r="AA518" s="153"/>
      <c r="AB518" s="153"/>
      <c r="AC518" s="153"/>
      <c r="AD518" s="153"/>
      <c r="AE518" s="153"/>
      <c r="AF518" s="153"/>
      <c r="AG518" s="153"/>
      <c r="AH518" s="736">
        <f t="shared" si="65"/>
        <v>0</v>
      </c>
    </row>
    <row r="519" spans="1:34" s="1379" customFormat="1" ht="15">
      <c r="A519" s="707" t="s">
        <v>81</v>
      </c>
      <c r="B519" s="287">
        <f t="shared" ref="B519:B524" si="66">SUM(C519:AG519)</f>
        <v>0</v>
      </c>
      <c r="C519" s="737"/>
      <c r="D519" s="153"/>
      <c r="E519" s="153"/>
      <c r="F519" s="153"/>
      <c r="G519" s="153"/>
      <c r="H519" s="153"/>
      <c r="I519" s="153"/>
      <c r="J519" s="153"/>
      <c r="K519" s="153"/>
      <c r="L519" s="153"/>
      <c r="M519" s="153"/>
      <c r="N519" s="153"/>
      <c r="O519" s="153"/>
      <c r="P519" s="153"/>
      <c r="Q519" s="153"/>
      <c r="R519" s="153"/>
      <c r="S519" s="153"/>
      <c r="T519" s="153"/>
      <c r="U519" s="153"/>
      <c r="V519" s="153"/>
      <c r="W519" s="153"/>
      <c r="X519" s="153"/>
      <c r="Y519" s="153"/>
      <c r="Z519" s="153"/>
      <c r="AA519" s="153"/>
      <c r="AB519" s="153"/>
      <c r="AC519" s="153"/>
      <c r="AD519" s="153"/>
      <c r="AE519" s="153"/>
      <c r="AF519" s="153"/>
      <c r="AG519" s="153"/>
      <c r="AH519" s="736">
        <f t="shared" si="65"/>
        <v>0</v>
      </c>
    </row>
    <row r="520" spans="1:34" s="1379" customFormat="1" ht="15">
      <c r="A520" s="707" t="s">
        <v>82</v>
      </c>
      <c r="B520" s="287">
        <f t="shared" si="66"/>
        <v>0</v>
      </c>
      <c r="C520" s="737"/>
      <c r="D520" s="153"/>
      <c r="E520" s="153"/>
      <c r="F520" s="153"/>
      <c r="G520" s="153"/>
      <c r="H520" s="153"/>
      <c r="I520" s="153"/>
      <c r="J520" s="153"/>
      <c r="K520" s="153"/>
      <c r="L520" s="153"/>
      <c r="M520" s="153"/>
      <c r="N520" s="153"/>
      <c r="O520" s="153"/>
      <c r="P520" s="153"/>
      <c r="Q520" s="287"/>
      <c r="R520" s="287"/>
      <c r="S520" s="287"/>
      <c r="T520" s="287"/>
      <c r="U520" s="287"/>
      <c r="V520" s="287"/>
      <c r="W520" s="287"/>
      <c r="X520" s="287"/>
      <c r="Y520" s="287"/>
      <c r="Z520" s="287"/>
      <c r="AA520" s="287"/>
      <c r="AB520" s="287"/>
      <c r="AC520" s="287"/>
      <c r="AD520" s="287"/>
      <c r="AE520" s="287"/>
      <c r="AF520" s="287"/>
      <c r="AG520" s="287"/>
      <c r="AH520" s="736">
        <f t="shared" si="65"/>
        <v>0</v>
      </c>
    </row>
    <row r="521" spans="1:34" s="1379" customFormat="1" ht="15">
      <c r="A521" s="707" t="s">
        <v>83</v>
      </c>
      <c r="B521" s="287">
        <f t="shared" si="66"/>
        <v>0</v>
      </c>
      <c r="C521" s="287"/>
      <c r="D521" s="287"/>
      <c r="E521" s="287"/>
      <c r="F521" s="287"/>
      <c r="G521" s="287"/>
      <c r="H521" s="287"/>
      <c r="I521" s="287"/>
      <c r="J521" s="287"/>
      <c r="K521" s="287"/>
      <c r="L521" s="287"/>
      <c r="M521" s="287"/>
      <c r="N521" s="287"/>
      <c r="O521" s="287"/>
      <c r="P521" s="287"/>
      <c r="Q521" s="287"/>
      <c r="R521" s="287"/>
      <c r="S521" s="287"/>
      <c r="T521" s="287"/>
      <c r="U521" s="287"/>
      <c r="V521" s="287"/>
      <c r="W521" s="287"/>
      <c r="X521" s="287"/>
      <c r="Y521" s="287"/>
      <c r="Z521" s="287"/>
      <c r="AA521" s="287"/>
      <c r="AB521" s="287"/>
      <c r="AC521" s="287"/>
      <c r="AD521" s="287"/>
      <c r="AE521" s="287"/>
      <c r="AF521" s="287"/>
      <c r="AG521" s="287"/>
      <c r="AH521" s="736">
        <f t="shared" si="65"/>
        <v>0</v>
      </c>
    </row>
    <row r="522" spans="1:34" s="1379" customFormat="1" ht="15">
      <c r="A522" s="707" t="s">
        <v>84</v>
      </c>
      <c r="B522" s="287">
        <f t="shared" si="66"/>
        <v>0</v>
      </c>
      <c r="C522" s="737"/>
      <c r="D522" s="738"/>
      <c r="E522" s="153"/>
      <c r="F522" s="153"/>
      <c r="G522" s="153"/>
      <c r="H522" s="153"/>
      <c r="I522" s="153"/>
      <c r="J522" s="153"/>
      <c r="K522" s="153"/>
      <c r="L522" s="153"/>
      <c r="M522" s="153"/>
      <c r="N522" s="153"/>
      <c r="O522" s="153"/>
      <c r="P522" s="153"/>
      <c r="Q522" s="153"/>
      <c r="R522" s="153"/>
      <c r="S522" s="153"/>
      <c r="T522" s="153"/>
      <c r="U522" s="153"/>
      <c r="V522" s="153"/>
      <c r="W522" s="153"/>
      <c r="X522" s="153"/>
      <c r="Y522" s="153"/>
      <c r="Z522" s="153"/>
      <c r="AA522" s="153"/>
      <c r="AB522" s="153"/>
      <c r="AC522" s="153"/>
      <c r="AD522" s="153"/>
      <c r="AE522" s="153"/>
      <c r="AF522" s="153"/>
      <c r="AG522" s="153"/>
      <c r="AH522" s="736">
        <f t="shared" si="65"/>
        <v>0</v>
      </c>
    </row>
    <row r="523" spans="1:34" s="1379" customFormat="1" ht="16.5">
      <c r="A523" s="707" t="s">
        <v>85</v>
      </c>
      <c r="B523" s="287">
        <f t="shared" si="66"/>
        <v>0</v>
      </c>
      <c r="C523" s="740"/>
      <c r="D523" s="741"/>
      <c r="E523" s="742"/>
      <c r="F523" s="153"/>
      <c r="G523" s="153"/>
      <c r="H523" s="153"/>
      <c r="I523" s="153"/>
      <c r="J523" s="153"/>
      <c r="K523" s="153"/>
      <c r="L523" s="153"/>
      <c r="M523" s="153"/>
      <c r="N523" s="153"/>
      <c r="O523" s="153"/>
      <c r="P523" s="153"/>
      <c r="Q523" s="153"/>
      <c r="R523" s="153"/>
      <c r="S523" s="153"/>
      <c r="T523" s="153"/>
      <c r="U523" s="153"/>
      <c r="V523" s="153"/>
      <c r="W523" s="153"/>
      <c r="X523" s="153"/>
      <c r="Y523" s="153"/>
      <c r="Z523" s="153"/>
      <c r="AA523" s="153"/>
      <c r="AB523" s="153"/>
      <c r="AC523" s="153"/>
      <c r="AD523" s="153"/>
      <c r="AE523" s="153"/>
      <c r="AF523" s="153"/>
      <c r="AG523" s="153"/>
      <c r="AH523" s="736">
        <f t="shared" si="65"/>
        <v>0</v>
      </c>
    </row>
    <row r="524" spans="1:34" s="1379" customFormat="1" ht="15">
      <c r="A524" s="707" t="s">
        <v>86</v>
      </c>
      <c r="B524" s="287">
        <f t="shared" si="66"/>
        <v>0</v>
      </c>
      <c r="C524" s="153"/>
      <c r="D524" s="743"/>
      <c r="E524" s="153"/>
      <c r="F524" s="153"/>
      <c r="G524" s="153"/>
      <c r="H524" s="153"/>
      <c r="I524" s="153"/>
      <c r="J524" s="153"/>
      <c r="K524" s="153"/>
      <c r="L524" s="153"/>
      <c r="M524" s="153"/>
      <c r="N524" s="153"/>
      <c r="O524" s="153"/>
      <c r="P524" s="153"/>
      <c r="Q524" s="153"/>
      <c r="R524" s="153"/>
      <c r="S524" s="153"/>
      <c r="T524" s="153"/>
      <c r="U524" s="153"/>
      <c r="V524" s="153"/>
      <c r="W524" s="153"/>
      <c r="X524" s="153"/>
      <c r="Y524" s="153"/>
      <c r="Z524" s="153"/>
      <c r="AA524" s="153"/>
      <c r="AB524" s="153"/>
      <c r="AC524" s="153"/>
      <c r="AD524" s="153"/>
      <c r="AE524" s="153"/>
      <c r="AF524" s="153"/>
      <c r="AG524" s="153"/>
      <c r="AH524" s="736">
        <f t="shared" si="65"/>
        <v>0</v>
      </c>
    </row>
    <row r="525" spans="1:34" s="1379" customFormat="1" ht="15">
      <c r="A525" s="757" t="s">
        <v>52</v>
      </c>
      <c r="B525" s="758">
        <f>SUM(B513:B524)</f>
        <v>0</v>
      </c>
      <c r="C525" s="736">
        <v>0</v>
      </c>
      <c r="D525" s="736">
        <v>0</v>
      </c>
      <c r="E525" s="736">
        <v>0</v>
      </c>
      <c r="F525" s="736">
        <v>0</v>
      </c>
      <c r="G525" s="736">
        <v>0</v>
      </c>
      <c r="H525" s="736">
        <v>0</v>
      </c>
      <c r="I525" s="736">
        <v>0</v>
      </c>
      <c r="J525" s="736">
        <v>0</v>
      </c>
      <c r="K525" s="736">
        <v>0</v>
      </c>
      <c r="L525" s="736">
        <v>0</v>
      </c>
      <c r="M525" s="736">
        <v>0</v>
      </c>
      <c r="N525" s="736">
        <v>0</v>
      </c>
      <c r="O525" s="739">
        <v>0</v>
      </c>
      <c r="P525" s="739">
        <v>0</v>
      </c>
      <c r="Q525" s="739">
        <v>0</v>
      </c>
      <c r="R525" s="739">
        <v>0</v>
      </c>
      <c r="S525" s="739">
        <v>0</v>
      </c>
      <c r="T525" s="739">
        <v>0</v>
      </c>
      <c r="U525" s="739">
        <v>0</v>
      </c>
      <c r="V525" s="739">
        <v>0</v>
      </c>
      <c r="W525" s="739">
        <v>0</v>
      </c>
      <c r="X525" s="739">
        <v>0</v>
      </c>
      <c r="Y525" s="739">
        <v>0</v>
      </c>
      <c r="Z525" s="739">
        <v>0</v>
      </c>
      <c r="AA525" s="739">
        <v>0</v>
      </c>
      <c r="AB525" s="739">
        <v>0</v>
      </c>
      <c r="AC525" s="739">
        <v>0</v>
      </c>
      <c r="AD525" s="739">
        <v>0</v>
      </c>
      <c r="AE525" s="739">
        <v>0</v>
      </c>
      <c r="AF525" s="739">
        <v>0</v>
      </c>
      <c r="AG525" s="739">
        <v>0</v>
      </c>
      <c r="AH525" s="739">
        <v>0</v>
      </c>
    </row>
    <row r="529" spans="1:17" ht="15">
      <c r="A529" s="69"/>
      <c r="B529" s="3730" t="s">
        <v>919</v>
      </c>
      <c r="C529" s="3730"/>
      <c r="D529" s="3730"/>
      <c r="E529" s="3730"/>
      <c r="F529" s="3730"/>
      <c r="G529" s="3730"/>
      <c r="H529" s="3730"/>
      <c r="I529" s="3730"/>
      <c r="J529" s="3730"/>
      <c r="K529" s="2491"/>
      <c r="L529" s="2491"/>
      <c r="M529" s="2491"/>
      <c r="N529" s="2491"/>
      <c r="O529" s="2491"/>
      <c r="P529" s="2491"/>
      <c r="Q529" s="2491"/>
    </row>
    <row r="530" spans="1:17" ht="15">
      <c r="A530" s="69"/>
      <c r="B530" s="69"/>
      <c r="C530" s="641"/>
      <c r="D530" s="3731" t="s">
        <v>920</v>
      </c>
      <c r="E530" s="3731"/>
      <c r="F530" s="3731"/>
      <c r="G530" s="3732">
        <v>0</v>
      </c>
      <c r="H530" s="3732"/>
      <c r="I530" s="2493"/>
      <c r="J530" s="641"/>
      <c r="K530" s="641"/>
      <c r="L530" s="641"/>
      <c r="M530" s="641"/>
      <c r="N530" s="641"/>
      <c r="O530" s="641"/>
      <c r="P530" s="641"/>
      <c r="Q530" s="641"/>
    </row>
    <row r="531" spans="1:17" ht="15.75" thickBot="1">
      <c r="A531" s="69"/>
      <c r="B531" s="69"/>
      <c r="C531" s="69"/>
      <c r="D531" s="69"/>
      <c r="E531" s="69"/>
      <c r="F531" s="69"/>
      <c r="G531" s="69"/>
      <c r="H531" s="69"/>
      <c r="I531" s="2494"/>
      <c r="J531" s="69"/>
      <c r="K531" s="2491"/>
      <c r="L531" s="2491"/>
      <c r="M531" s="2491"/>
      <c r="N531" s="2491"/>
      <c r="O531" s="2491"/>
      <c r="P531" s="2491"/>
      <c r="Q531" s="2491"/>
    </row>
    <row r="532" spans="1:17" ht="15.75" thickBot="1">
      <c r="A532" s="2495" t="s">
        <v>225</v>
      </c>
      <c r="B532" s="2496"/>
      <c r="C532" s="2496"/>
      <c r="D532" s="2496"/>
      <c r="E532" s="3733" t="s">
        <v>155</v>
      </c>
      <c r="F532" s="3734"/>
      <c r="G532" s="3733" t="s">
        <v>156</v>
      </c>
      <c r="H532" s="3734"/>
      <c r="I532" s="3733" t="s">
        <v>157</v>
      </c>
      <c r="J532" s="3734"/>
      <c r="K532" s="2491"/>
      <c r="L532" s="2491"/>
      <c r="M532" s="2491"/>
      <c r="N532" s="2491"/>
      <c r="O532" s="2491"/>
      <c r="P532" s="2491"/>
      <c r="Q532" s="2491"/>
    </row>
    <row r="533" spans="1:17" ht="60.75" thickBot="1">
      <c r="A533" s="2497" t="s">
        <v>226</v>
      </c>
      <c r="B533" s="2498" t="s">
        <v>227</v>
      </c>
      <c r="C533" s="2499" t="s">
        <v>228</v>
      </c>
      <c r="D533" s="2500" t="s">
        <v>160</v>
      </c>
      <c r="E533" s="2501" t="s">
        <v>229</v>
      </c>
      <c r="F533" s="2502" t="s">
        <v>230</v>
      </c>
      <c r="G533" s="2498" t="s">
        <v>921</v>
      </c>
      <c r="H533" s="2500" t="s">
        <v>231</v>
      </c>
      <c r="I533" s="2503" t="s">
        <v>232</v>
      </c>
      <c r="J533" s="2500" t="s">
        <v>233</v>
      </c>
      <c r="K533" s="2504"/>
      <c r="L533" s="2504"/>
      <c r="M533" s="2504"/>
      <c r="N533" s="2504"/>
      <c r="O533" s="2504"/>
      <c r="P533" s="2504"/>
      <c r="Q533" s="2504"/>
    </row>
    <row r="534" spans="1:17" ht="15">
      <c r="A534" s="2505">
        <v>729</v>
      </c>
      <c r="B534" s="2506">
        <v>959370</v>
      </c>
      <c r="C534" s="1354" t="s">
        <v>922</v>
      </c>
      <c r="D534" s="2507">
        <v>3002</v>
      </c>
      <c r="E534" s="2508">
        <v>5</v>
      </c>
      <c r="F534" s="2509">
        <v>245</v>
      </c>
      <c r="G534" s="2510">
        <v>0</v>
      </c>
      <c r="H534" s="2529">
        <v>0</v>
      </c>
      <c r="I534" s="2533">
        <f>(E534-G534)</f>
        <v>5</v>
      </c>
      <c r="J534" s="2534">
        <f>(F534-H534)</f>
        <v>245</v>
      </c>
      <c r="K534" s="2491"/>
      <c r="L534" s="2491"/>
      <c r="M534" s="2491"/>
      <c r="N534" s="2491"/>
      <c r="O534" s="2491"/>
      <c r="P534" s="2491"/>
      <c r="Q534" s="2491"/>
    </row>
    <row r="535" spans="1:17" ht="15">
      <c r="A535" s="2511">
        <v>729</v>
      </c>
      <c r="B535" s="2512">
        <v>955514</v>
      </c>
      <c r="C535" s="1355" t="s">
        <v>165</v>
      </c>
      <c r="D535" s="2513">
        <v>2881</v>
      </c>
      <c r="E535" s="2514">
        <v>5</v>
      </c>
      <c r="F535" s="2515">
        <v>245</v>
      </c>
      <c r="G535" s="2516">
        <v>0</v>
      </c>
      <c r="H535" s="2530">
        <v>0</v>
      </c>
      <c r="I535" s="2535">
        <f t="shared" ref="I535:I544" si="67">(E535-G535)</f>
        <v>5</v>
      </c>
      <c r="J535" s="2536">
        <f t="shared" ref="J535:J544" si="68">(F535-H535)</f>
        <v>245</v>
      </c>
      <c r="K535" s="2491"/>
      <c r="L535" s="2491" t="s">
        <v>923</v>
      </c>
      <c r="M535" s="2491"/>
      <c r="N535" s="2491"/>
      <c r="O535" s="2491"/>
      <c r="P535" s="2491"/>
      <c r="Q535" s="2491"/>
    </row>
    <row r="536" spans="1:17" ht="15">
      <c r="A536" s="2511">
        <v>729</v>
      </c>
      <c r="B536" s="2512">
        <v>959391</v>
      </c>
      <c r="C536" s="1355" t="s">
        <v>449</v>
      </c>
      <c r="D536" s="2513">
        <v>2995</v>
      </c>
      <c r="E536" s="2514">
        <v>5</v>
      </c>
      <c r="F536" s="2515">
        <v>245</v>
      </c>
      <c r="G536" s="2516">
        <v>0</v>
      </c>
      <c r="H536" s="2530">
        <v>0</v>
      </c>
      <c r="I536" s="2535">
        <f t="shared" si="67"/>
        <v>5</v>
      </c>
      <c r="J536" s="2536">
        <f t="shared" si="68"/>
        <v>245</v>
      </c>
      <c r="K536" s="2491"/>
      <c r="L536" s="2491" t="s">
        <v>923</v>
      </c>
      <c r="M536" s="2491"/>
      <c r="N536" s="2491"/>
      <c r="O536" s="2491"/>
      <c r="P536" s="2491"/>
      <c r="Q536" s="2491"/>
    </row>
    <row r="537" spans="1:17" ht="15">
      <c r="A537" s="2511">
        <v>729</v>
      </c>
      <c r="B537" s="2512">
        <v>952314</v>
      </c>
      <c r="C537" s="1355" t="s">
        <v>169</v>
      </c>
      <c r="D537" s="2513">
        <v>2778</v>
      </c>
      <c r="E537" s="2514">
        <v>5</v>
      </c>
      <c r="F537" s="2515">
        <v>245</v>
      </c>
      <c r="G537" s="2516">
        <v>0</v>
      </c>
      <c r="H537" s="2530">
        <v>0</v>
      </c>
      <c r="I537" s="2535">
        <f t="shared" si="67"/>
        <v>5</v>
      </c>
      <c r="J537" s="2536">
        <f t="shared" si="68"/>
        <v>245</v>
      </c>
      <c r="K537" s="2491"/>
      <c r="L537" s="2491"/>
      <c r="M537" s="2491"/>
      <c r="N537" s="2491"/>
      <c r="O537" s="2491"/>
      <c r="P537" s="2491"/>
      <c r="Q537" s="2491"/>
    </row>
    <row r="538" spans="1:17" ht="15">
      <c r="A538" s="2511">
        <v>729</v>
      </c>
      <c r="B538" s="2512">
        <v>957800</v>
      </c>
      <c r="C538" s="1355" t="s">
        <v>170</v>
      </c>
      <c r="D538" s="2513">
        <v>2949</v>
      </c>
      <c r="E538" s="2514">
        <v>5</v>
      </c>
      <c r="F538" s="2515">
        <v>245</v>
      </c>
      <c r="G538" s="2516">
        <v>1.8380000000000001</v>
      </c>
      <c r="H538" s="2530">
        <v>31.013000000000002</v>
      </c>
      <c r="I538" s="2535">
        <f t="shared" si="67"/>
        <v>3.1619999999999999</v>
      </c>
      <c r="J538" s="2536">
        <f t="shared" si="68"/>
        <v>213.98699999999999</v>
      </c>
      <c r="K538" s="2491"/>
      <c r="L538" s="2491"/>
      <c r="M538" s="2491"/>
      <c r="N538" s="2491"/>
      <c r="O538" s="2491"/>
      <c r="P538" s="2491"/>
      <c r="Q538" s="2491"/>
    </row>
    <row r="539" spans="1:17" ht="15">
      <c r="A539" s="2511">
        <v>729</v>
      </c>
      <c r="B539" s="2512">
        <v>955250</v>
      </c>
      <c r="C539" s="1355" t="s">
        <v>924</v>
      </c>
      <c r="D539" s="2513">
        <v>2874</v>
      </c>
      <c r="E539" s="2514">
        <v>5</v>
      </c>
      <c r="F539" s="2515">
        <v>245</v>
      </c>
      <c r="G539" s="2516">
        <v>0</v>
      </c>
      <c r="H539" s="2530">
        <v>0</v>
      </c>
      <c r="I539" s="2535">
        <f t="shared" si="67"/>
        <v>5</v>
      </c>
      <c r="J539" s="2536">
        <f t="shared" si="68"/>
        <v>245</v>
      </c>
      <c r="K539" s="2491"/>
      <c r="L539" s="2491"/>
      <c r="M539" s="2491"/>
      <c r="N539" s="2491"/>
      <c r="O539" s="2491"/>
      <c r="P539" s="2491"/>
      <c r="Q539" s="2491"/>
    </row>
    <row r="540" spans="1:17" ht="15">
      <c r="A540" s="2511">
        <v>729</v>
      </c>
      <c r="B540" s="2512">
        <v>955486</v>
      </c>
      <c r="C540" s="1355" t="s">
        <v>175</v>
      </c>
      <c r="D540" s="2513">
        <v>2882</v>
      </c>
      <c r="E540" s="2514">
        <v>5</v>
      </c>
      <c r="F540" s="2515">
        <v>245</v>
      </c>
      <c r="G540" s="2516">
        <v>3.149</v>
      </c>
      <c r="H540" s="2530">
        <v>21.396000000000001</v>
      </c>
      <c r="I540" s="2535">
        <f t="shared" si="67"/>
        <v>1.851</v>
      </c>
      <c r="J540" s="2536">
        <f t="shared" si="68"/>
        <v>223.60399999999998</v>
      </c>
      <c r="K540" s="2491"/>
      <c r="L540" s="2491"/>
      <c r="M540" s="2491"/>
      <c r="N540" s="2491"/>
      <c r="O540" s="2491"/>
      <c r="P540" s="2491"/>
      <c r="Q540" s="2491"/>
    </row>
    <row r="541" spans="1:17" ht="15">
      <c r="A541" s="2511">
        <v>729</v>
      </c>
      <c r="B541" s="2512">
        <v>953832</v>
      </c>
      <c r="C541" s="1355" t="s">
        <v>385</v>
      </c>
      <c r="D541" s="2513">
        <v>2819</v>
      </c>
      <c r="E541" s="2514">
        <v>5</v>
      </c>
      <c r="F541" s="2515">
        <v>245</v>
      </c>
      <c r="G541" s="2516">
        <v>0.29299999999999998</v>
      </c>
      <c r="H541" s="2530">
        <v>14.118</v>
      </c>
      <c r="I541" s="2535">
        <f t="shared" si="67"/>
        <v>4.7069999999999999</v>
      </c>
      <c r="J541" s="2536">
        <f t="shared" si="68"/>
        <v>230.88200000000001</v>
      </c>
      <c r="K541" s="2491"/>
      <c r="L541" s="103"/>
      <c r="M541" s="2491"/>
      <c r="N541" s="2491"/>
      <c r="O541" s="2491"/>
      <c r="P541" s="2491"/>
      <c r="Q541" s="2491"/>
    </row>
    <row r="542" spans="1:17" ht="15">
      <c r="A542" s="2511">
        <v>729</v>
      </c>
      <c r="B542" s="2512">
        <v>960052</v>
      </c>
      <c r="C542" s="1355" t="s">
        <v>925</v>
      </c>
      <c r="D542" s="2513">
        <v>137</v>
      </c>
      <c r="E542" s="2514">
        <v>5</v>
      </c>
      <c r="F542" s="2515">
        <v>245</v>
      </c>
      <c r="G542" s="2516">
        <v>0</v>
      </c>
      <c r="H542" s="2530">
        <v>0</v>
      </c>
      <c r="I542" s="2535">
        <f t="shared" si="67"/>
        <v>5</v>
      </c>
      <c r="J542" s="2536">
        <f t="shared" si="68"/>
        <v>245</v>
      </c>
      <c r="K542" s="2491"/>
      <c r="L542" s="2491"/>
      <c r="M542" s="2491"/>
      <c r="N542" s="2491"/>
      <c r="O542" s="2491"/>
      <c r="P542" s="2491"/>
      <c r="Q542" s="2491"/>
    </row>
    <row r="543" spans="1:17" ht="15">
      <c r="A543" s="2517">
        <v>729</v>
      </c>
      <c r="B543" s="2518">
        <v>951647</v>
      </c>
      <c r="C543" s="1356" t="s">
        <v>167</v>
      </c>
      <c r="D543" s="2519">
        <v>2240</v>
      </c>
      <c r="E543" s="2520">
        <v>3</v>
      </c>
      <c r="F543" s="2521">
        <v>147</v>
      </c>
      <c r="G543" s="2522">
        <v>0</v>
      </c>
      <c r="H543" s="2531">
        <v>0</v>
      </c>
      <c r="I543" s="2535">
        <f t="shared" si="67"/>
        <v>3</v>
      </c>
      <c r="J543" s="2536">
        <f t="shared" si="68"/>
        <v>147</v>
      </c>
      <c r="K543" s="2491"/>
      <c r="L543" s="2491"/>
      <c r="M543" s="2491"/>
      <c r="N543" s="2491"/>
      <c r="O543" s="2491"/>
      <c r="P543" s="2491"/>
      <c r="Q543" s="2491"/>
    </row>
    <row r="544" spans="1:17" ht="15.75" thickBot="1">
      <c r="A544" s="2523">
        <v>729</v>
      </c>
      <c r="B544" s="2524">
        <v>959387</v>
      </c>
      <c r="C544" s="1357" t="s">
        <v>733</v>
      </c>
      <c r="D544" s="2525">
        <v>1424</v>
      </c>
      <c r="E544" s="2526">
        <v>1.5</v>
      </c>
      <c r="F544" s="2527">
        <v>148.5</v>
      </c>
      <c r="G544" s="2528">
        <v>0</v>
      </c>
      <c r="H544" s="2532">
        <v>0</v>
      </c>
      <c r="I544" s="2537">
        <f t="shared" si="67"/>
        <v>1.5</v>
      </c>
      <c r="J544" s="2538">
        <f t="shared" si="68"/>
        <v>148.5</v>
      </c>
      <c r="K544" s="2491"/>
      <c r="L544" s="103"/>
      <c r="M544" s="2491"/>
      <c r="N544" s="2491"/>
      <c r="O544" s="2491"/>
      <c r="P544" s="2491"/>
      <c r="Q544" s="2491"/>
    </row>
  </sheetData>
  <mergeCells count="32">
    <mergeCell ref="B529:J529"/>
    <mergeCell ref="D530:F530"/>
    <mergeCell ref="G530:H530"/>
    <mergeCell ref="E532:F532"/>
    <mergeCell ref="G532:H532"/>
    <mergeCell ref="I532:J532"/>
    <mergeCell ref="A511:C511"/>
    <mergeCell ref="A297:C297"/>
    <mergeCell ref="A184:C184"/>
    <mergeCell ref="A330:C330"/>
    <mergeCell ref="A414:H414"/>
    <mergeCell ref="A248:C248"/>
    <mergeCell ref="A314:C314"/>
    <mergeCell ref="A378:C378"/>
    <mergeCell ref="A232:C232"/>
    <mergeCell ref="A347:C347"/>
    <mergeCell ref="A495:C495"/>
    <mergeCell ref="A462:C462"/>
    <mergeCell ref="A446:C446"/>
    <mergeCell ref="A430:C430"/>
    <mergeCell ref="A361:C361"/>
    <mergeCell ref="A395:C395"/>
    <mergeCell ref="A478:C478"/>
    <mergeCell ref="A134:H134"/>
    <mergeCell ref="A200:C200"/>
    <mergeCell ref="A296:O296"/>
    <mergeCell ref="A152:C152"/>
    <mergeCell ref="A216:C216"/>
    <mergeCell ref="A168:C168"/>
    <mergeCell ref="A136:C136"/>
    <mergeCell ref="A264:C264"/>
    <mergeCell ref="A280:C280"/>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sheetPr>
    <tabColor theme="0"/>
  </sheetPr>
  <dimension ref="A1:P288"/>
  <sheetViews>
    <sheetView topLeftCell="A16" workbookViewId="0"/>
  </sheetViews>
  <sheetFormatPr baseColWidth="10" defaultRowHeight="12.75"/>
  <cols>
    <col min="1" max="1" width="2.85546875" customWidth="1"/>
    <col min="2" max="2" width="15.28515625" customWidth="1"/>
    <col min="3" max="3" width="28.7109375" customWidth="1"/>
    <col min="4" max="4" width="31.85546875" customWidth="1"/>
    <col min="5" max="5" width="21.140625" customWidth="1"/>
    <col min="6" max="6" width="11.42578125" customWidth="1"/>
    <col min="7" max="7" width="15.85546875" customWidth="1"/>
    <col min="8" max="8" width="15.140625" customWidth="1"/>
    <col min="9" max="9" width="16" customWidth="1"/>
    <col min="10" max="10" width="10.5703125" customWidth="1"/>
    <col min="11" max="11" width="11.28515625" customWidth="1"/>
    <col min="12" max="12" width="11.85546875" customWidth="1"/>
    <col min="13" max="13" width="19.140625" bestFit="1" customWidth="1"/>
    <col min="14" max="14" width="25" customWidth="1"/>
    <col min="15" max="15" width="9" customWidth="1"/>
    <col min="16" max="16" width="8.85546875" customWidth="1"/>
  </cols>
  <sheetData>
    <row r="1" spans="1:16" ht="13.5" thickBot="1">
      <c r="A1" s="167"/>
      <c r="B1" s="3763" t="s">
        <v>133</v>
      </c>
      <c r="C1" s="3763"/>
      <c r="D1" s="167"/>
      <c r="E1" s="1438"/>
      <c r="F1" s="167"/>
      <c r="G1" s="167"/>
      <c r="H1" s="167"/>
      <c r="I1" s="167"/>
      <c r="J1" s="167"/>
      <c r="K1" s="346"/>
      <c r="L1" s="167"/>
      <c r="M1" s="167"/>
      <c r="N1" s="167"/>
      <c r="O1" s="167"/>
    </row>
    <row r="2" spans="1:16" ht="13.5" thickBot="1">
      <c r="A2" s="167"/>
      <c r="B2" s="492" t="s">
        <v>181</v>
      </c>
      <c r="C2" s="493"/>
      <c r="D2" s="493"/>
      <c r="E2" s="493"/>
      <c r="F2" s="493"/>
      <c r="G2" s="3763" t="s">
        <v>155</v>
      </c>
      <c r="H2" s="3763"/>
      <c r="I2" s="3763"/>
      <c r="J2" s="3763" t="s">
        <v>156</v>
      </c>
      <c r="K2" s="3763"/>
      <c r="L2" s="3763" t="s">
        <v>157</v>
      </c>
      <c r="M2" s="167"/>
      <c r="N2" s="167"/>
      <c r="O2" s="167"/>
    </row>
    <row r="3" spans="1:16" ht="13.5" thickBot="1">
      <c r="A3" s="167"/>
      <c r="B3" s="494" t="s">
        <v>158</v>
      </c>
      <c r="C3" s="495" t="s">
        <v>159</v>
      </c>
      <c r="D3" s="496" t="s">
        <v>136</v>
      </c>
      <c r="E3" s="497" t="s">
        <v>134</v>
      </c>
      <c r="F3" s="495" t="s">
        <v>160</v>
      </c>
      <c r="G3" s="498" t="s">
        <v>8</v>
      </c>
      <c r="H3" s="499" t="s">
        <v>161</v>
      </c>
      <c r="I3" s="500" t="s">
        <v>52</v>
      </c>
      <c r="J3" s="498" t="s">
        <v>8</v>
      </c>
      <c r="K3" s="501" t="s">
        <v>162</v>
      </c>
      <c r="L3" s="3763"/>
      <c r="M3" s="502" t="s">
        <v>183</v>
      </c>
      <c r="N3" s="168"/>
      <c r="O3" s="167"/>
    </row>
    <row r="4" spans="1:16">
      <c r="A4" s="167"/>
      <c r="B4" s="3754">
        <v>1</v>
      </c>
      <c r="C4" s="3754">
        <v>40980</v>
      </c>
      <c r="D4" s="503">
        <v>950877</v>
      </c>
      <c r="E4" s="504" t="s">
        <v>144</v>
      </c>
      <c r="F4" s="505">
        <v>2469</v>
      </c>
      <c r="G4" s="506"/>
      <c r="H4" s="507"/>
      <c r="I4" s="508">
        <f t="shared" ref="I4:I9" si="0">SUM(G4:H4)</f>
        <v>0</v>
      </c>
      <c r="J4" s="506"/>
      <c r="K4" s="509"/>
      <c r="L4" s="1007">
        <f t="shared" ref="L4:L20" si="1">+I4-J4-K4</f>
        <v>0</v>
      </c>
      <c r="M4" s="813"/>
      <c r="N4" s="168"/>
      <c r="O4" s="167"/>
    </row>
    <row r="5" spans="1:16" ht="13.5" thickBot="1">
      <c r="A5" s="167"/>
      <c r="B5" s="3755"/>
      <c r="C5" s="3755"/>
      <c r="D5" s="510">
        <v>953670</v>
      </c>
      <c r="E5" s="511" t="s">
        <v>143</v>
      </c>
      <c r="F5" s="512">
        <v>2708</v>
      </c>
      <c r="G5" s="513"/>
      <c r="H5" s="514"/>
      <c r="I5" s="515">
        <f t="shared" si="0"/>
        <v>0</v>
      </c>
      <c r="J5" s="513"/>
      <c r="K5" s="516"/>
      <c r="L5" s="517">
        <f t="shared" si="1"/>
        <v>0</v>
      </c>
      <c r="M5" s="545"/>
      <c r="N5" s="812"/>
      <c r="O5" s="167"/>
    </row>
    <row r="6" spans="1:16" ht="13.5" thickBot="1">
      <c r="A6" s="167"/>
      <c r="B6" s="1679">
        <v>2</v>
      </c>
      <c r="C6" s="1680">
        <v>40991</v>
      </c>
      <c r="D6" s="1681">
        <v>924618</v>
      </c>
      <c r="E6" s="1682" t="s">
        <v>172</v>
      </c>
      <c r="F6" s="1683">
        <v>1027</v>
      </c>
      <c r="G6" s="1684"/>
      <c r="H6" s="1685"/>
      <c r="I6" s="1686">
        <f t="shared" si="0"/>
        <v>0</v>
      </c>
      <c r="J6" s="1684"/>
      <c r="K6" s="1687"/>
      <c r="L6" s="1688">
        <f t="shared" si="1"/>
        <v>0</v>
      </c>
      <c r="M6" s="1689"/>
      <c r="N6" s="519"/>
      <c r="O6" s="518"/>
    </row>
    <row r="7" spans="1:16" ht="13.5" thickBot="1">
      <c r="A7" s="167"/>
      <c r="B7" s="1679">
        <v>3</v>
      </c>
      <c r="C7" s="1680">
        <v>40996</v>
      </c>
      <c r="D7" s="1681">
        <v>957372</v>
      </c>
      <c r="E7" s="1682" t="s">
        <v>182</v>
      </c>
      <c r="F7" s="1683">
        <v>884</v>
      </c>
      <c r="G7" s="1684"/>
      <c r="H7" s="1685"/>
      <c r="I7" s="1686">
        <f t="shared" si="0"/>
        <v>0</v>
      </c>
      <c r="J7" s="1684"/>
      <c r="K7" s="1687"/>
      <c r="L7" s="1688">
        <f t="shared" si="1"/>
        <v>0</v>
      </c>
      <c r="M7" s="1690"/>
      <c r="N7" s="519"/>
      <c r="O7" s="518"/>
    </row>
    <row r="8" spans="1:16" ht="13.5" thickBot="1">
      <c r="A8" s="167"/>
      <c r="B8" s="1162">
        <v>4</v>
      </c>
      <c r="C8" s="1160">
        <v>40998</v>
      </c>
      <c r="D8" s="510">
        <v>954873</v>
      </c>
      <c r="E8" s="511" t="s">
        <v>173</v>
      </c>
      <c r="F8" s="512">
        <v>231</v>
      </c>
      <c r="G8" s="513"/>
      <c r="H8" s="514"/>
      <c r="I8" s="515">
        <f t="shared" si="0"/>
        <v>0</v>
      </c>
      <c r="J8" s="513"/>
      <c r="K8" s="516"/>
      <c r="L8" s="517">
        <f t="shared" si="1"/>
        <v>0</v>
      </c>
      <c r="M8" s="545"/>
      <c r="N8" s="519"/>
      <c r="O8" s="167"/>
    </row>
    <row r="9" spans="1:16" ht="13.5" thickBot="1">
      <c r="A9" s="167"/>
      <c r="B9" s="784">
        <v>5</v>
      </c>
      <c r="C9" s="1161">
        <v>41023</v>
      </c>
      <c r="D9" s="510">
        <v>956410</v>
      </c>
      <c r="E9" s="511" t="s">
        <v>193</v>
      </c>
      <c r="F9" s="512" t="s">
        <v>194</v>
      </c>
      <c r="G9" s="513"/>
      <c r="H9" s="514"/>
      <c r="I9" s="515">
        <f t="shared" si="0"/>
        <v>0</v>
      </c>
      <c r="J9" s="513"/>
      <c r="K9" s="516"/>
      <c r="L9" s="517">
        <f t="shared" si="1"/>
        <v>0</v>
      </c>
      <c r="M9" s="545"/>
      <c r="N9" s="519"/>
      <c r="O9" s="518"/>
      <c r="P9" s="312"/>
    </row>
    <row r="10" spans="1:16" ht="13.5" thickBot="1">
      <c r="A10" s="167"/>
      <c r="B10" s="3754">
        <v>6</v>
      </c>
      <c r="C10" s="3754">
        <v>41039</v>
      </c>
      <c r="D10" s="503">
        <v>951259</v>
      </c>
      <c r="E10" s="504" t="s">
        <v>219</v>
      </c>
      <c r="F10" s="505">
        <v>2189</v>
      </c>
      <c r="G10" s="506"/>
      <c r="H10" s="507"/>
      <c r="I10" s="508">
        <f t="shared" ref="I10:I17" si="2">SUM(G10:H10)</f>
        <v>0</v>
      </c>
      <c r="J10" s="506"/>
      <c r="K10" s="509"/>
      <c r="L10" s="517">
        <f t="shared" si="1"/>
        <v>0</v>
      </c>
      <c r="M10" s="542"/>
      <c r="N10" s="338"/>
      <c r="O10" s="167"/>
    </row>
    <row r="11" spans="1:16" ht="13.5" thickBot="1">
      <c r="A11" s="167"/>
      <c r="B11" s="3756"/>
      <c r="C11" s="3756"/>
      <c r="D11" s="520">
        <v>902374</v>
      </c>
      <c r="E11" s="521" t="s">
        <v>220</v>
      </c>
      <c r="F11" s="522">
        <v>605</v>
      </c>
      <c r="G11" s="523"/>
      <c r="H11" s="524"/>
      <c r="I11" s="525">
        <f t="shared" si="2"/>
        <v>0</v>
      </c>
      <c r="J11" s="523"/>
      <c r="K11" s="526"/>
      <c r="L11" s="517">
        <f t="shared" si="1"/>
        <v>0</v>
      </c>
      <c r="M11" s="814"/>
      <c r="N11" s="338"/>
      <c r="O11" s="167"/>
    </row>
    <row r="12" spans="1:16" ht="13.5" thickBot="1">
      <c r="A12" s="167"/>
      <c r="B12" s="3756"/>
      <c r="C12" s="3756"/>
      <c r="D12" s="527">
        <v>952212</v>
      </c>
      <c r="E12" s="528" t="s">
        <v>221</v>
      </c>
      <c r="F12" s="529">
        <v>575</v>
      </c>
      <c r="G12" s="530"/>
      <c r="H12" s="531"/>
      <c r="I12" s="532">
        <f t="shared" si="2"/>
        <v>0</v>
      </c>
      <c r="J12" s="530"/>
      <c r="K12" s="533"/>
      <c r="L12" s="517">
        <f t="shared" si="1"/>
        <v>0</v>
      </c>
      <c r="M12" s="815"/>
      <c r="N12" s="338"/>
      <c r="O12" s="167"/>
    </row>
    <row r="13" spans="1:16" ht="13.5" thickBot="1">
      <c r="A13" s="167"/>
      <c r="B13" s="3755"/>
      <c r="C13" s="3755"/>
      <c r="D13" s="510">
        <v>910612</v>
      </c>
      <c r="E13" s="511" t="s">
        <v>222</v>
      </c>
      <c r="F13" s="512">
        <v>603</v>
      </c>
      <c r="G13" s="513"/>
      <c r="H13" s="514"/>
      <c r="I13" s="515">
        <f t="shared" si="2"/>
        <v>0</v>
      </c>
      <c r="J13" s="513"/>
      <c r="K13" s="516"/>
      <c r="L13" s="517">
        <f t="shared" si="1"/>
        <v>0</v>
      </c>
      <c r="M13" s="545"/>
      <c r="N13" s="338"/>
      <c r="O13" s="167"/>
    </row>
    <row r="14" spans="1:16" ht="13.5" thickBot="1">
      <c r="A14" s="167"/>
      <c r="B14" s="951">
        <v>7</v>
      </c>
      <c r="C14" s="1161">
        <v>41057</v>
      </c>
      <c r="D14" s="534">
        <v>954962</v>
      </c>
      <c r="E14" s="535" t="s">
        <v>195</v>
      </c>
      <c r="F14" s="536">
        <v>1487</v>
      </c>
      <c r="G14" s="537"/>
      <c r="H14" s="538"/>
      <c r="I14" s="539">
        <f t="shared" si="2"/>
        <v>0</v>
      </c>
      <c r="J14" s="513"/>
      <c r="K14" s="516"/>
      <c r="L14" s="517">
        <f t="shared" si="1"/>
        <v>0</v>
      </c>
      <c r="M14" s="816"/>
      <c r="N14" s="338"/>
      <c r="O14" s="167"/>
    </row>
    <row r="15" spans="1:16" ht="13.5" thickBot="1">
      <c r="A15" s="167"/>
      <c r="B15" s="3754">
        <v>8</v>
      </c>
      <c r="C15" s="3764">
        <v>41061</v>
      </c>
      <c r="D15" s="503">
        <v>952212</v>
      </c>
      <c r="E15" s="504" t="s">
        <v>221</v>
      </c>
      <c r="F15" s="540">
        <v>575</v>
      </c>
      <c r="G15" s="506"/>
      <c r="H15" s="507"/>
      <c r="I15" s="541">
        <f t="shared" si="2"/>
        <v>0</v>
      </c>
      <c r="J15" s="506"/>
      <c r="K15" s="509"/>
      <c r="L15" s="517">
        <f t="shared" si="1"/>
        <v>0</v>
      </c>
      <c r="M15" s="542"/>
      <c r="N15" s="338"/>
      <c r="O15" s="167"/>
    </row>
    <row r="16" spans="1:16" ht="13.5" thickBot="1">
      <c r="A16" s="167"/>
      <c r="B16" s="3755"/>
      <c r="C16" s="3765"/>
      <c r="D16" s="510">
        <v>910612</v>
      </c>
      <c r="E16" s="511" t="s">
        <v>222</v>
      </c>
      <c r="F16" s="543">
        <v>603</v>
      </c>
      <c r="G16" s="513"/>
      <c r="H16" s="514"/>
      <c r="I16" s="544">
        <f t="shared" si="2"/>
        <v>0</v>
      </c>
      <c r="J16" s="513"/>
      <c r="K16" s="516"/>
      <c r="L16" s="517">
        <f t="shared" si="1"/>
        <v>0</v>
      </c>
      <c r="M16" s="545"/>
      <c r="N16" s="338"/>
      <c r="O16" s="167"/>
    </row>
    <row r="17" spans="1:15" ht="13.5" thickBot="1">
      <c r="A17" s="167"/>
      <c r="B17" s="611">
        <v>17</v>
      </c>
      <c r="C17" s="1161">
        <v>41211</v>
      </c>
      <c r="D17" s="510">
        <v>954250</v>
      </c>
      <c r="E17" s="511" t="s">
        <v>448</v>
      </c>
      <c r="F17" s="512"/>
      <c r="G17" s="513"/>
      <c r="H17" s="514"/>
      <c r="I17" s="515">
        <f t="shared" si="2"/>
        <v>0</v>
      </c>
      <c r="J17" s="513"/>
      <c r="K17" s="516"/>
      <c r="L17" s="517">
        <f t="shared" si="1"/>
        <v>0</v>
      </c>
      <c r="M17" s="545"/>
      <c r="N17" s="338"/>
      <c r="O17" s="167"/>
    </row>
    <row r="18" spans="1:15" ht="13.5" thickBot="1">
      <c r="A18" s="167"/>
      <c r="B18" s="611">
        <v>18</v>
      </c>
      <c r="C18" s="611">
        <v>41212</v>
      </c>
      <c r="D18" s="496">
        <v>956410</v>
      </c>
      <c r="E18" s="497" t="s">
        <v>193</v>
      </c>
      <c r="F18" s="495"/>
      <c r="G18" s="1190"/>
      <c r="H18" s="1191"/>
      <c r="I18" s="1192">
        <f>SUM(G18:H18)</f>
        <v>0</v>
      </c>
      <c r="J18" s="1190"/>
      <c r="K18" s="1193"/>
      <c r="L18" s="517">
        <f t="shared" si="1"/>
        <v>0</v>
      </c>
      <c r="M18" s="1194"/>
      <c r="N18" s="338"/>
      <c r="O18" s="167"/>
    </row>
    <row r="19" spans="1:15" ht="13.5" thickBot="1">
      <c r="A19" s="167"/>
      <c r="B19" s="3764">
        <v>20</v>
      </c>
      <c r="C19" s="3764">
        <v>41221</v>
      </c>
      <c r="D19" s="873">
        <v>951950</v>
      </c>
      <c r="E19" s="875" t="s">
        <v>473</v>
      </c>
      <c r="F19" s="1195"/>
      <c r="G19" s="1196"/>
      <c r="H19" s="1197"/>
      <c r="I19" s="1198">
        <f>SUM(G19:H19)</f>
        <v>0</v>
      </c>
      <c r="J19" s="1199"/>
      <c r="K19" s="1200"/>
      <c r="L19" s="517">
        <f t="shared" si="1"/>
        <v>0</v>
      </c>
      <c r="M19" s="1201"/>
      <c r="N19" s="338"/>
      <c r="O19" s="167"/>
    </row>
    <row r="20" spans="1:15" ht="13.5" thickBot="1">
      <c r="A20" s="167"/>
      <c r="B20" s="3765"/>
      <c r="C20" s="3765"/>
      <c r="D20" s="883">
        <v>950991</v>
      </c>
      <c r="E20" s="876" t="s">
        <v>474</v>
      </c>
      <c r="F20" s="1202"/>
      <c r="G20" s="1203"/>
      <c r="H20" s="1204"/>
      <c r="I20" s="1205">
        <f>SUM(G20:H20)</f>
        <v>0</v>
      </c>
      <c r="J20" s="1206"/>
      <c r="K20" s="1207"/>
      <c r="L20" s="517">
        <f t="shared" si="1"/>
        <v>0</v>
      </c>
      <c r="M20" s="1208"/>
      <c r="N20" s="338"/>
      <c r="O20" s="167"/>
    </row>
    <row r="21" spans="1:15" ht="13.5" thickBot="1">
      <c r="A21" s="168"/>
      <c r="B21" s="1022"/>
      <c r="C21" s="1023"/>
      <c r="D21" s="1022"/>
      <c r="E21" s="1022"/>
      <c r="F21" s="1022"/>
      <c r="G21" s="1021"/>
      <c r="H21" s="1021"/>
      <c r="I21" s="1021"/>
      <c r="J21" s="1021"/>
      <c r="K21" s="1024"/>
      <c r="L21" s="1021"/>
      <c r="M21" s="1021"/>
      <c r="N21" s="338"/>
      <c r="O21" s="167"/>
    </row>
    <row r="22" spans="1:15" ht="13.5" thickBot="1">
      <c r="A22" s="167"/>
      <c r="B22" s="3763" t="s">
        <v>223</v>
      </c>
      <c r="C22" s="3763"/>
      <c r="D22" s="3763"/>
      <c r="E22" s="3763"/>
      <c r="F22" s="3763"/>
      <c r="G22" s="549">
        <f t="shared" ref="G22:L22" si="3">SUM(G4:G20)</f>
        <v>0</v>
      </c>
      <c r="H22" s="550">
        <f t="shared" si="3"/>
        <v>0</v>
      </c>
      <c r="I22" s="549">
        <f t="shared" si="3"/>
        <v>0</v>
      </c>
      <c r="J22" s="549">
        <f t="shared" si="3"/>
        <v>0</v>
      </c>
      <c r="K22" s="1209">
        <f t="shared" si="3"/>
        <v>0</v>
      </c>
      <c r="L22" s="1216">
        <f t="shared" si="3"/>
        <v>0</v>
      </c>
      <c r="M22" s="493"/>
      <c r="N22" s="338"/>
      <c r="O22" s="167"/>
    </row>
    <row r="23" spans="1:15">
      <c r="A23" s="167"/>
      <c r="B23" s="345"/>
      <c r="C23" s="167"/>
      <c r="D23" s="167"/>
      <c r="E23" s="315"/>
      <c r="F23" s="551"/>
      <c r="G23" s="338"/>
      <c r="H23" s="552"/>
      <c r="I23" s="553"/>
      <c r="J23" s="345"/>
      <c r="K23" s="346"/>
      <c r="L23" s="553"/>
      <c r="M23" s="554"/>
      <c r="N23" s="338"/>
      <c r="O23" s="167"/>
    </row>
    <row r="24" spans="1:15" ht="13.5" thickBot="1"/>
    <row r="25" spans="1:15" ht="13.5" customHeight="1" thickBot="1">
      <c r="A25" s="167"/>
      <c r="B25" s="555" t="s">
        <v>225</v>
      </c>
      <c r="C25" s="493"/>
      <c r="D25" s="493"/>
      <c r="E25" s="493"/>
      <c r="F25" s="3766" t="s">
        <v>155</v>
      </c>
      <c r="G25" s="3767"/>
      <c r="H25" s="3766" t="s">
        <v>156</v>
      </c>
      <c r="I25" s="3767"/>
      <c r="J25" s="3766" t="s">
        <v>157</v>
      </c>
      <c r="K25" s="3767"/>
      <c r="L25" s="554"/>
      <c r="M25" s="338"/>
      <c r="N25" s="167"/>
      <c r="O25" s="167"/>
    </row>
    <row r="26" spans="1:15" ht="22.5" customHeight="1" thickBot="1">
      <c r="A26" s="167"/>
      <c r="B26" s="556" t="s">
        <v>226</v>
      </c>
      <c r="C26" s="557" t="s">
        <v>227</v>
      </c>
      <c r="D26" s="558" t="s">
        <v>228</v>
      </c>
      <c r="E26" s="559" t="s">
        <v>160</v>
      </c>
      <c r="F26" s="560" t="s">
        <v>229</v>
      </c>
      <c r="G26" s="561" t="s">
        <v>230</v>
      </c>
      <c r="H26" s="1337" t="s">
        <v>509</v>
      </c>
      <c r="I26" s="559" t="s">
        <v>231</v>
      </c>
      <c r="J26" s="560" t="s">
        <v>232</v>
      </c>
      <c r="K26" s="559" t="s">
        <v>233</v>
      </c>
      <c r="L26" s="562" t="s">
        <v>138</v>
      </c>
      <c r="M26" s="167"/>
    </row>
    <row r="27" spans="1:15" ht="13.5" customHeight="1">
      <c r="A27" s="167"/>
      <c r="B27" s="563">
        <v>645</v>
      </c>
      <c r="C27" s="564">
        <v>950817</v>
      </c>
      <c r="D27" s="565" t="s">
        <v>168</v>
      </c>
      <c r="E27" s="566">
        <v>2676</v>
      </c>
      <c r="F27" s="567"/>
      <c r="G27" s="568"/>
      <c r="H27" s="897"/>
      <c r="I27" s="898"/>
      <c r="J27" s="613">
        <f>+F27-H27</f>
        <v>0</v>
      </c>
      <c r="K27" s="940">
        <f>+G27-I27</f>
        <v>0</v>
      </c>
      <c r="L27" s="554"/>
      <c r="M27" s="167">
        <v>1</v>
      </c>
      <c r="N27" s="1354"/>
    </row>
    <row r="28" spans="1:15" ht="13.5" customHeight="1">
      <c r="A28" s="167"/>
      <c r="B28" s="1620">
        <v>645</v>
      </c>
      <c r="C28" s="1644">
        <v>951205</v>
      </c>
      <c r="D28" s="1645" t="s">
        <v>164</v>
      </c>
      <c r="E28" s="1621">
        <v>2518</v>
      </c>
      <c r="F28" s="1622"/>
      <c r="G28" s="1623"/>
      <c r="H28" s="1618"/>
      <c r="I28" s="1646"/>
      <c r="J28" s="1599">
        <f t="shared" ref="J28:J92" si="4">+F28-H28</f>
        <v>0</v>
      </c>
      <c r="K28" s="1592">
        <f t="shared" ref="K28:K92" si="5">+G28-I28</f>
        <v>0</v>
      </c>
      <c r="L28" s="1651"/>
      <c r="M28" s="1438">
        <v>2</v>
      </c>
      <c r="N28" s="1355"/>
    </row>
    <row r="29" spans="1:15" ht="15">
      <c r="A29" s="167"/>
      <c r="B29" s="1620">
        <v>645</v>
      </c>
      <c r="C29" s="1644">
        <v>951647</v>
      </c>
      <c r="D29" s="1645" t="s">
        <v>167</v>
      </c>
      <c r="E29" s="1621">
        <v>2240</v>
      </c>
      <c r="F29" s="1622"/>
      <c r="G29" s="1623"/>
      <c r="H29" s="1618"/>
      <c r="I29" s="1646"/>
      <c r="J29" s="1636">
        <f t="shared" si="4"/>
        <v>0</v>
      </c>
      <c r="K29" s="1637">
        <f t="shared" si="5"/>
        <v>0</v>
      </c>
      <c r="L29" s="1652"/>
      <c r="M29" s="1438">
        <v>3</v>
      </c>
      <c r="N29" s="1355"/>
    </row>
    <row r="30" spans="1:15" ht="15">
      <c r="A30" s="167"/>
      <c r="B30" s="1620">
        <v>645</v>
      </c>
      <c r="C30" s="1644">
        <v>952314</v>
      </c>
      <c r="D30" s="1645" t="s">
        <v>169</v>
      </c>
      <c r="E30" s="1621">
        <v>2778</v>
      </c>
      <c r="F30" s="1622"/>
      <c r="G30" s="1623"/>
      <c r="H30" s="1618"/>
      <c r="I30" s="1646"/>
      <c r="J30" s="1636">
        <f t="shared" si="4"/>
        <v>0</v>
      </c>
      <c r="K30" s="1637">
        <f t="shared" si="5"/>
        <v>0</v>
      </c>
      <c r="L30" s="1506"/>
      <c r="M30" s="1438">
        <v>4</v>
      </c>
      <c r="N30" s="1355"/>
    </row>
    <row r="31" spans="1:15" ht="18" customHeight="1">
      <c r="A31" s="167"/>
      <c r="B31" s="1620">
        <v>645</v>
      </c>
      <c r="C31" s="1644">
        <v>952808</v>
      </c>
      <c r="D31" s="1645" t="s">
        <v>163</v>
      </c>
      <c r="E31" s="1621">
        <v>2620</v>
      </c>
      <c r="F31" s="1622"/>
      <c r="G31" s="1623"/>
      <c r="H31" s="1618"/>
      <c r="I31" s="1646"/>
      <c r="J31" s="1636">
        <f t="shared" si="4"/>
        <v>0</v>
      </c>
      <c r="K31" s="1637">
        <f t="shared" si="5"/>
        <v>0</v>
      </c>
      <c r="L31" s="1506"/>
      <c r="M31" s="1438">
        <v>5</v>
      </c>
      <c r="N31" s="1355"/>
    </row>
    <row r="32" spans="1:15" ht="15">
      <c r="A32" s="167"/>
      <c r="B32" s="1620">
        <v>645</v>
      </c>
      <c r="C32" s="1644">
        <v>955514</v>
      </c>
      <c r="D32" s="1645" t="s">
        <v>165</v>
      </c>
      <c r="E32" s="1621">
        <v>2881</v>
      </c>
      <c r="F32" s="1622"/>
      <c r="G32" s="1623"/>
      <c r="H32" s="1618"/>
      <c r="I32" s="1646"/>
      <c r="J32" s="1636">
        <f t="shared" si="4"/>
        <v>0</v>
      </c>
      <c r="K32" s="1637">
        <f t="shared" si="5"/>
        <v>0</v>
      </c>
      <c r="L32" s="1506"/>
      <c r="M32" s="1438">
        <v>6</v>
      </c>
      <c r="N32" s="1355"/>
    </row>
    <row r="33" spans="1:14" ht="15">
      <c r="A33" s="167"/>
      <c r="B33" s="1620">
        <v>645</v>
      </c>
      <c r="C33" s="1644">
        <v>957374</v>
      </c>
      <c r="D33" s="1645" t="s">
        <v>166</v>
      </c>
      <c r="E33" s="1621">
        <v>1540</v>
      </c>
      <c r="F33" s="1622"/>
      <c r="G33" s="1623"/>
      <c r="H33" s="1618"/>
      <c r="I33" s="1646"/>
      <c r="J33" s="1636">
        <f t="shared" si="4"/>
        <v>0</v>
      </c>
      <c r="K33" s="1637">
        <f t="shared" si="5"/>
        <v>0</v>
      </c>
      <c r="L33" s="1506"/>
      <c r="M33" s="1438">
        <v>7</v>
      </c>
      <c r="N33" s="1355"/>
    </row>
    <row r="34" spans="1:14" ht="15">
      <c r="A34" s="167"/>
      <c r="B34" s="1653">
        <v>645</v>
      </c>
      <c r="C34" s="1654">
        <v>957800</v>
      </c>
      <c r="D34" s="1655" t="s">
        <v>170</v>
      </c>
      <c r="E34" s="1656">
        <v>2949</v>
      </c>
      <c r="F34" s="1657"/>
      <c r="G34" s="1658"/>
      <c r="H34" s="1659"/>
      <c r="I34" s="1660"/>
      <c r="J34" s="1636">
        <f>+F34-H34</f>
        <v>0</v>
      </c>
      <c r="K34" s="1637">
        <f>+G34-I34</f>
        <v>0</v>
      </c>
      <c r="L34" s="1506"/>
      <c r="M34" s="1438">
        <v>8</v>
      </c>
      <c r="N34" s="1356"/>
    </row>
    <row r="35" spans="1:14" ht="15.75" thickBot="1">
      <c r="A35" s="167"/>
      <c r="B35" s="1661">
        <v>645</v>
      </c>
      <c r="C35" s="1662">
        <v>959391</v>
      </c>
      <c r="D35" s="1663" t="s">
        <v>449</v>
      </c>
      <c r="E35" s="1664">
        <v>2995</v>
      </c>
      <c r="F35" s="1665"/>
      <c r="G35" s="1666"/>
      <c r="H35" s="1667"/>
      <c r="I35" s="1668"/>
      <c r="J35" s="1636">
        <f>+F35-H35</f>
        <v>0</v>
      </c>
      <c r="K35" s="1637">
        <f>+G35-I35</f>
        <v>0</v>
      </c>
      <c r="L35" s="3759"/>
      <c r="M35" s="3759"/>
      <c r="N35" s="1357"/>
    </row>
    <row r="36" spans="1:14" ht="15">
      <c r="A36" s="167"/>
      <c r="B36" s="1669">
        <v>646</v>
      </c>
      <c r="C36" s="1670">
        <v>950950</v>
      </c>
      <c r="D36" s="1671" t="s">
        <v>177</v>
      </c>
      <c r="E36" s="1672">
        <v>2720</v>
      </c>
      <c r="F36" s="1673"/>
      <c r="G36" s="1674"/>
      <c r="H36" s="1675"/>
      <c r="I36" s="1676"/>
      <c r="J36" s="1677">
        <f t="shared" si="4"/>
        <v>0</v>
      </c>
      <c r="K36" s="1678">
        <f t="shared" si="5"/>
        <v>0</v>
      </c>
      <c r="L36" s="1438"/>
      <c r="M36" s="1438">
        <v>10</v>
      </c>
      <c r="N36" s="1358"/>
    </row>
    <row r="37" spans="1:14" ht="15">
      <c r="A37" s="167"/>
      <c r="B37" s="1620">
        <v>646</v>
      </c>
      <c r="C37" s="1644">
        <v>951905</v>
      </c>
      <c r="D37" s="1645" t="s">
        <v>180</v>
      </c>
      <c r="E37" s="1621">
        <v>263</v>
      </c>
      <c r="F37" s="1622"/>
      <c r="G37" s="1623"/>
      <c r="H37" s="1618"/>
      <c r="I37" s="1646"/>
      <c r="J37" s="1636">
        <f t="shared" si="4"/>
        <v>0</v>
      </c>
      <c r="K37" s="1637">
        <f t="shared" si="5"/>
        <v>0</v>
      </c>
      <c r="L37" s="1438"/>
      <c r="M37" s="1438">
        <v>11</v>
      </c>
      <c r="N37" s="1355"/>
    </row>
    <row r="38" spans="1:14" ht="15">
      <c r="A38" s="167"/>
      <c r="B38" s="1620">
        <v>646</v>
      </c>
      <c r="C38" s="1644">
        <v>952407</v>
      </c>
      <c r="D38" s="1645" t="s">
        <v>179</v>
      </c>
      <c r="E38" s="1621">
        <v>2762</v>
      </c>
      <c r="F38" s="1622"/>
      <c r="G38" s="1623"/>
      <c r="H38" s="1618"/>
      <c r="I38" s="1646"/>
      <c r="J38" s="1636">
        <f t="shared" si="4"/>
        <v>0</v>
      </c>
      <c r="K38" s="1637">
        <f t="shared" si="5"/>
        <v>0</v>
      </c>
      <c r="L38" s="1438"/>
      <c r="M38" s="1438">
        <v>12</v>
      </c>
      <c r="N38" s="1355"/>
    </row>
    <row r="39" spans="1:14" ht="15">
      <c r="A39" s="167"/>
      <c r="B39" s="569">
        <v>646</v>
      </c>
      <c r="C39" s="570">
        <v>953052</v>
      </c>
      <c r="D39" s="571" t="s">
        <v>178</v>
      </c>
      <c r="E39" s="572">
        <v>2492</v>
      </c>
      <c r="F39" s="573"/>
      <c r="G39" s="574"/>
      <c r="H39" s="899"/>
      <c r="I39" s="900"/>
      <c r="J39" s="836">
        <f t="shared" si="4"/>
        <v>0</v>
      </c>
      <c r="K39" s="1630">
        <f t="shared" si="5"/>
        <v>0</v>
      </c>
      <c r="L39" s="167"/>
      <c r="M39" s="167">
        <v>13</v>
      </c>
      <c r="N39" s="1355"/>
    </row>
    <row r="40" spans="1:14" ht="15">
      <c r="A40" s="167"/>
      <c r="B40" s="569">
        <v>646</v>
      </c>
      <c r="C40" s="570">
        <v>953964</v>
      </c>
      <c r="D40" s="571" t="s">
        <v>176</v>
      </c>
      <c r="E40" s="572">
        <v>2830</v>
      </c>
      <c r="F40" s="573"/>
      <c r="G40" s="574"/>
      <c r="H40" s="899"/>
      <c r="I40" s="900"/>
      <c r="J40" s="836">
        <f t="shared" si="4"/>
        <v>0</v>
      </c>
      <c r="K40" s="1630">
        <f t="shared" si="5"/>
        <v>0</v>
      </c>
      <c r="L40" s="167"/>
      <c r="M40" s="167">
        <v>14</v>
      </c>
      <c r="N40" s="1355"/>
    </row>
    <row r="41" spans="1:14" ht="15.75" thickBot="1">
      <c r="A41" s="167"/>
      <c r="B41" s="587">
        <v>646</v>
      </c>
      <c r="C41" s="588">
        <v>955486</v>
      </c>
      <c r="D41" s="589" t="s">
        <v>175</v>
      </c>
      <c r="E41" s="590">
        <v>2882</v>
      </c>
      <c r="F41" s="591"/>
      <c r="G41" s="592"/>
      <c r="H41" s="904"/>
      <c r="I41" s="905"/>
      <c r="J41" s="836">
        <f t="shared" si="4"/>
        <v>0</v>
      </c>
      <c r="K41" s="1630">
        <f t="shared" si="5"/>
        <v>0</v>
      </c>
      <c r="L41" s="700"/>
      <c r="M41" s="167">
        <v>15</v>
      </c>
      <c r="N41" s="1356"/>
    </row>
    <row r="42" spans="1:14" ht="15">
      <c r="A42" s="167"/>
      <c r="B42" s="563">
        <v>894</v>
      </c>
      <c r="C42" s="564">
        <v>5547</v>
      </c>
      <c r="D42" s="565" t="s">
        <v>189</v>
      </c>
      <c r="E42" s="566">
        <v>1652</v>
      </c>
      <c r="F42" s="567"/>
      <c r="G42" s="568"/>
      <c r="H42" s="897"/>
      <c r="I42" s="906"/>
      <c r="J42" s="613">
        <f t="shared" si="4"/>
        <v>0</v>
      </c>
      <c r="K42" s="614">
        <f t="shared" si="5"/>
        <v>0</v>
      </c>
      <c r="L42" s="167"/>
      <c r="M42" s="167">
        <v>16</v>
      </c>
      <c r="N42" s="1354"/>
    </row>
    <row r="43" spans="1:14" ht="15">
      <c r="A43" s="167"/>
      <c r="B43" s="569">
        <v>894</v>
      </c>
      <c r="C43" s="570">
        <v>924752</v>
      </c>
      <c r="D43" s="571" t="s">
        <v>190</v>
      </c>
      <c r="E43" s="572">
        <v>2567</v>
      </c>
      <c r="F43" s="573"/>
      <c r="G43" s="574"/>
      <c r="H43" s="899"/>
      <c r="I43" s="907"/>
      <c r="J43" s="615">
        <f t="shared" si="4"/>
        <v>0</v>
      </c>
      <c r="K43" s="616">
        <f t="shared" si="5"/>
        <v>0</v>
      </c>
      <c r="L43" s="167"/>
      <c r="M43" s="167">
        <v>17</v>
      </c>
      <c r="N43" s="1355"/>
    </row>
    <row r="44" spans="1:14" ht="15.75" thickBot="1">
      <c r="A44" s="167"/>
      <c r="B44" s="575">
        <v>894</v>
      </c>
      <c r="C44" s="576">
        <v>951136</v>
      </c>
      <c r="D44" s="577" t="s">
        <v>191</v>
      </c>
      <c r="E44" s="578">
        <v>314</v>
      </c>
      <c r="F44" s="579"/>
      <c r="G44" s="580"/>
      <c r="H44" s="901"/>
      <c r="I44" s="908"/>
      <c r="J44" s="617">
        <f t="shared" si="4"/>
        <v>0</v>
      </c>
      <c r="K44" s="618">
        <f t="shared" si="5"/>
        <v>0</v>
      </c>
      <c r="L44" s="700"/>
      <c r="M44" s="167">
        <v>18</v>
      </c>
      <c r="N44" s="1357"/>
    </row>
    <row r="45" spans="1:14" ht="15">
      <c r="A45" s="167"/>
      <c r="B45" s="581">
        <v>954</v>
      </c>
      <c r="C45" s="582">
        <v>957986</v>
      </c>
      <c r="D45" s="583" t="s">
        <v>197</v>
      </c>
      <c r="E45" s="584">
        <v>810</v>
      </c>
      <c r="F45" s="585"/>
      <c r="G45" s="586"/>
      <c r="H45" s="903"/>
      <c r="I45" s="909"/>
      <c r="J45" s="613">
        <f t="shared" si="4"/>
        <v>0</v>
      </c>
      <c r="K45" s="614">
        <f t="shared" si="5"/>
        <v>0</v>
      </c>
      <c r="L45" s="167"/>
      <c r="M45" s="167">
        <v>19</v>
      </c>
      <c r="N45" s="1358"/>
    </row>
    <row r="46" spans="1:14" ht="15">
      <c r="A46" s="167"/>
      <c r="B46" s="569">
        <v>954</v>
      </c>
      <c r="C46" s="570">
        <v>910586</v>
      </c>
      <c r="D46" s="571" t="s">
        <v>198</v>
      </c>
      <c r="E46" s="572">
        <v>963</v>
      </c>
      <c r="F46" s="573"/>
      <c r="G46" s="574"/>
      <c r="H46" s="899"/>
      <c r="I46" s="907"/>
      <c r="J46" s="615">
        <f t="shared" si="4"/>
        <v>0</v>
      </c>
      <c r="K46" s="616">
        <f t="shared" si="5"/>
        <v>0</v>
      </c>
      <c r="L46" s="167"/>
      <c r="M46" s="167">
        <v>20</v>
      </c>
      <c r="N46" s="1355"/>
    </row>
    <row r="47" spans="1:14" ht="15">
      <c r="A47" s="167"/>
      <c r="B47" s="569">
        <v>954</v>
      </c>
      <c r="C47" s="570">
        <v>923977</v>
      </c>
      <c r="D47" s="571" t="s">
        <v>199</v>
      </c>
      <c r="E47" s="572">
        <v>2348</v>
      </c>
      <c r="F47" s="573"/>
      <c r="G47" s="574"/>
      <c r="H47" s="899"/>
      <c r="I47" s="907"/>
      <c r="J47" s="615">
        <f t="shared" si="4"/>
        <v>0</v>
      </c>
      <c r="K47" s="616">
        <f t="shared" si="5"/>
        <v>0</v>
      </c>
      <c r="L47" s="167"/>
      <c r="M47" s="167">
        <v>21</v>
      </c>
      <c r="N47" s="1355"/>
    </row>
    <row r="48" spans="1:14" ht="15">
      <c r="A48" s="167"/>
      <c r="B48" s="569">
        <v>954</v>
      </c>
      <c r="C48" s="570">
        <v>952004</v>
      </c>
      <c r="D48" s="571" t="s">
        <v>200</v>
      </c>
      <c r="E48" s="572">
        <v>339</v>
      </c>
      <c r="F48" s="573"/>
      <c r="G48" s="574"/>
      <c r="H48" s="899"/>
      <c r="I48" s="907"/>
      <c r="J48" s="615">
        <f t="shared" si="4"/>
        <v>0</v>
      </c>
      <c r="K48" s="616">
        <f t="shared" si="5"/>
        <v>0</v>
      </c>
      <c r="L48" s="167"/>
      <c r="M48" s="167">
        <v>22</v>
      </c>
      <c r="N48" s="1355"/>
    </row>
    <row r="49" spans="1:14" ht="15">
      <c r="A49" s="167"/>
      <c r="B49" s="569">
        <v>954</v>
      </c>
      <c r="C49" s="570">
        <v>31292</v>
      </c>
      <c r="D49" s="571" t="s">
        <v>201</v>
      </c>
      <c r="E49" s="572">
        <v>6</v>
      </c>
      <c r="F49" s="573"/>
      <c r="G49" s="574"/>
      <c r="H49" s="899"/>
      <c r="I49" s="907"/>
      <c r="J49" s="615">
        <f t="shared" si="4"/>
        <v>0</v>
      </c>
      <c r="K49" s="616">
        <f t="shared" si="5"/>
        <v>0</v>
      </c>
      <c r="L49" s="167"/>
      <c r="M49" s="167">
        <v>23</v>
      </c>
      <c r="N49" s="1355"/>
    </row>
    <row r="50" spans="1:14" ht="15">
      <c r="A50" s="167"/>
      <c r="B50" s="569">
        <v>954</v>
      </c>
      <c r="C50" s="570">
        <v>910399</v>
      </c>
      <c r="D50" s="571" t="s">
        <v>202</v>
      </c>
      <c r="E50" s="572">
        <v>636</v>
      </c>
      <c r="F50" s="573"/>
      <c r="G50" s="574"/>
      <c r="H50" s="899"/>
      <c r="I50" s="907"/>
      <c r="J50" s="615">
        <f t="shared" si="4"/>
        <v>0</v>
      </c>
      <c r="K50" s="616">
        <f t="shared" si="5"/>
        <v>0</v>
      </c>
      <c r="L50" s="167"/>
      <c r="M50" s="167">
        <v>24</v>
      </c>
      <c r="N50" s="1355"/>
    </row>
    <row r="51" spans="1:14" ht="15">
      <c r="A51" s="167"/>
      <c r="B51" s="569">
        <v>954</v>
      </c>
      <c r="C51" s="570">
        <v>4546</v>
      </c>
      <c r="D51" s="571" t="s">
        <v>203</v>
      </c>
      <c r="E51" s="572">
        <v>280</v>
      </c>
      <c r="F51" s="573"/>
      <c r="G51" s="574"/>
      <c r="H51" s="899"/>
      <c r="I51" s="907"/>
      <c r="J51" s="615">
        <f t="shared" si="4"/>
        <v>0</v>
      </c>
      <c r="K51" s="616">
        <f t="shared" si="5"/>
        <v>0</v>
      </c>
      <c r="L51" s="167"/>
      <c r="M51" s="167">
        <v>25</v>
      </c>
      <c r="N51" s="1355"/>
    </row>
    <row r="52" spans="1:14" ht="15">
      <c r="A52" s="167"/>
      <c r="B52" s="569">
        <v>954</v>
      </c>
      <c r="C52" s="570">
        <v>954510</v>
      </c>
      <c r="D52" s="571" t="s">
        <v>204</v>
      </c>
      <c r="E52" s="572">
        <v>968</v>
      </c>
      <c r="F52" s="573"/>
      <c r="G52" s="574"/>
      <c r="H52" s="899"/>
      <c r="I52" s="907"/>
      <c r="J52" s="615">
        <f t="shared" si="4"/>
        <v>0</v>
      </c>
      <c r="K52" s="616">
        <f t="shared" si="5"/>
        <v>0</v>
      </c>
      <c r="L52" s="167"/>
      <c r="M52" s="167">
        <v>26</v>
      </c>
      <c r="N52" s="1355"/>
    </row>
    <row r="53" spans="1:14" ht="15">
      <c r="A53" s="167"/>
      <c r="B53" s="569">
        <v>954</v>
      </c>
      <c r="C53" s="570">
        <v>910840</v>
      </c>
      <c r="D53" s="571" t="s">
        <v>205</v>
      </c>
      <c r="E53" s="572">
        <v>2243</v>
      </c>
      <c r="F53" s="573"/>
      <c r="G53" s="574"/>
      <c r="H53" s="899"/>
      <c r="I53" s="907"/>
      <c r="J53" s="615">
        <f t="shared" si="4"/>
        <v>0</v>
      </c>
      <c r="K53" s="616">
        <f t="shared" si="5"/>
        <v>0</v>
      </c>
      <c r="L53" s="167"/>
      <c r="M53" s="167">
        <v>27</v>
      </c>
      <c r="N53" s="1355"/>
    </row>
    <row r="54" spans="1:14" ht="15">
      <c r="A54" s="167"/>
      <c r="B54" s="569">
        <v>954</v>
      </c>
      <c r="C54" s="570">
        <v>955396</v>
      </c>
      <c r="D54" s="571" t="s">
        <v>206</v>
      </c>
      <c r="E54" s="572">
        <v>2836</v>
      </c>
      <c r="F54" s="573"/>
      <c r="G54" s="574"/>
      <c r="H54" s="899"/>
      <c r="I54" s="907"/>
      <c r="J54" s="615">
        <f t="shared" si="4"/>
        <v>0</v>
      </c>
      <c r="K54" s="616">
        <f t="shared" si="5"/>
        <v>0</v>
      </c>
      <c r="L54" s="167"/>
      <c r="M54" s="167">
        <v>28</v>
      </c>
      <c r="N54" s="1355"/>
    </row>
    <row r="55" spans="1:14" ht="15">
      <c r="A55" s="167"/>
      <c r="B55" s="569">
        <v>954</v>
      </c>
      <c r="C55" s="570">
        <v>953144</v>
      </c>
      <c r="D55" s="571" t="s">
        <v>207</v>
      </c>
      <c r="E55" s="572">
        <v>847</v>
      </c>
      <c r="F55" s="573"/>
      <c r="G55" s="574"/>
      <c r="H55" s="899"/>
      <c r="I55" s="907"/>
      <c r="J55" s="615">
        <f t="shared" si="4"/>
        <v>0</v>
      </c>
      <c r="K55" s="616">
        <f t="shared" si="5"/>
        <v>0</v>
      </c>
      <c r="L55" s="167"/>
      <c r="M55" s="167">
        <v>29</v>
      </c>
      <c r="N55" s="1355"/>
    </row>
    <row r="56" spans="1:14" ht="15">
      <c r="A56" s="167"/>
      <c r="B56" s="569">
        <v>954</v>
      </c>
      <c r="C56" s="570">
        <v>922513</v>
      </c>
      <c r="D56" s="571" t="s">
        <v>208</v>
      </c>
      <c r="E56" s="572">
        <v>1434</v>
      </c>
      <c r="F56" s="573"/>
      <c r="G56" s="574"/>
      <c r="H56" s="899"/>
      <c r="I56" s="907"/>
      <c r="J56" s="615">
        <f t="shared" si="4"/>
        <v>0</v>
      </c>
      <c r="K56" s="616">
        <f t="shared" si="5"/>
        <v>0</v>
      </c>
      <c r="L56" s="167"/>
      <c r="M56" s="167">
        <v>30</v>
      </c>
      <c r="N56" s="1355"/>
    </row>
    <row r="57" spans="1:14" ht="15">
      <c r="A57" s="167"/>
      <c r="B57" s="569">
        <v>954</v>
      </c>
      <c r="C57" s="570">
        <v>924606</v>
      </c>
      <c r="D57" s="571" t="s">
        <v>209</v>
      </c>
      <c r="E57" s="572">
        <v>2596</v>
      </c>
      <c r="F57" s="573"/>
      <c r="G57" s="574"/>
      <c r="H57" s="899"/>
      <c r="I57" s="907"/>
      <c r="J57" s="615">
        <f t="shared" si="4"/>
        <v>0</v>
      </c>
      <c r="K57" s="616">
        <f t="shared" si="5"/>
        <v>0</v>
      </c>
      <c r="L57" s="167"/>
      <c r="M57" s="167">
        <v>31</v>
      </c>
      <c r="N57" s="1355"/>
    </row>
    <row r="58" spans="1:14" ht="15">
      <c r="A58" s="167"/>
      <c r="B58" s="569">
        <v>954</v>
      </c>
      <c r="C58" s="570">
        <v>926663</v>
      </c>
      <c r="D58" s="571" t="s">
        <v>210</v>
      </c>
      <c r="E58" s="572">
        <v>2442</v>
      </c>
      <c r="F58" s="573"/>
      <c r="G58" s="574"/>
      <c r="H58" s="899"/>
      <c r="I58" s="907"/>
      <c r="J58" s="615">
        <f t="shared" si="4"/>
        <v>0</v>
      </c>
      <c r="K58" s="616">
        <f t="shared" si="5"/>
        <v>0</v>
      </c>
      <c r="L58" s="167"/>
      <c r="M58" s="167">
        <v>32</v>
      </c>
      <c r="N58" s="1355"/>
    </row>
    <row r="59" spans="1:14" ht="15">
      <c r="A59" s="167"/>
      <c r="B59" s="569">
        <v>954</v>
      </c>
      <c r="C59" s="570">
        <v>951772</v>
      </c>
      <c r="D59" s="571" t="s">
        <v>211</v>
      </c>
      <c r="E59" s="572">
        <v>2383</v>
      </c>
      <c r="F59" s="573"/>
      <c r="G59" s="574"/>
      <c r="H59" s="899"/>
      <c r="I59" s="907"/>
      <c r="J59" s="615">
        <f t="shared" si="4"/>
        <v>0</v>
      </c>
      <c r="K59" s="616">
        <f t="shared" si="5"/>
        <v>0</v>
      </c>
      <c r="L59" s="167"/>
      <c r="M59" s="167">
        <v>33</v>
      </c>
      <c r="N59" s="1355"/>
    </row>
    <row r="60" spans="1:14" ht="15">
      <c r="A60" s="167"/>
      <c r="B60" s="569">
        <v>954</v>
      </c>
      <c r="C60" s="570">
        <v>955878</v>
      </c>
      <c r="D60" s="571" t="s">
        <v>212</v>
      </c>
      <c r="E60" s="572">
        <v>2878</v>
      </c>
      <c r="F60" s="573"/>
      <c r="G60" s="574"/>
      <c r="H60" s="899"/>
      <c r="I60" s="907"/>
      <c r="J60" s="615">
        <f t="shared" si="4"/>
        <v>0</v>
      </c>
      <c r="K60" s="616">
        <f t="shared" si="5"/>
        <v>0</v>
      </c>
      <c r="L60" s="167"/>
      <c r="M60" s="167">
        <v>0</v>
      </c>
      <c r="N60" s="1355"/>
    </row>
    <row r="61" spans="1:14" ht="15">
      <c r="A61" s="167"/>
      <c r="B61" s="569">
        <v>954</v>
      </c>
      <c r="C61" s="570">
        <v>951999</v>
      </c>
      <c r="D61" s="571" t="s">
        <v>213</v>
      </c>
      <c r="E61" s="572">
        <v>1718</v>
      </c>
      <c r="F61" s="573"/>
      <c r="G61" s="574"/>
      <c r="H61" s="899"/>
      <c r="I61" s="907"/>
      <c r="J61" s="615">
        <f t="shared" si="4"/>
        <v>0</v>
      </c>
      <c r="K61" s="616">
        <f t="shared" si="5"/>
        <v>0</v>
      </c>
      <c r="L61" s="167"/>
      <c r="M61" s="167">
        <v>35</v>
      </c>
      <c r="N61" s="1355"/>
    </row>
    <row r="62" spans="1:14" ht="15">
      <c r="A62" s="167"/>
      <c r="B62" s="569">
        <v>954</v>
      </c>
      <c r="C62" s="570">
        <v>954552</v>
      </c>
      <c r="D62" s="571" t="s">
        <v>214</v>
      </c>
      <c r="E62" s="572">
        <v>1486</v>
      </c>
      <c r="F62" s="573"/>
      <c r="G62" s="574"/>
      <c r="H62" s="899"/>
      <c r="I62" s="907"/>
      <c r="J62" s="615">
        <f t="shared" si="4"/>
        <v>0</v>
      </c>
      <c r="K62" s="616">
        <f t="shared" si="5"/>
        <v>0</v>
      </c>
      <c r="L62" s="167"/>
      <c r="M62" s="167">
        <v>36</v>
      </c>
      <c r="N62" s="1355"/>
    </row>
    <row r="63" spans="1:14" ht="15">
      <c r="A63" s="167"/>
      <c r="B63" s="569">
        <v>954</v>
      </c>
      <c r="C63" s="570">
        <v>956044</v>
      </c>
      <c r="D63" s="571" t="s">
        <v>215</v>
      </c>
      <c r="E63" s="572">
        <v>1409</v>
      </c>
      <c r="F63" s="573"/>
      <c r="G63" s="574"/>
      <c r="H63" s="899"/>
      <c r="I63" s="907"/>
      <c r="J63" s="615">
        <f t="shared" si="4"/>
        <v>0</v>
      </c>
      <c r="K63" s="616">
        <f t="shared" si="5"/>
        <v>0</v>
      </c>
      <c r="L63" s="167"/>
      <c r="M63" s="167">
        <v>37</v>
      </c>
      <c r="N63" s="1355"/>
    </row>
    <row r="64" spans="1:14" ht="15">
      <c r="A64" s="167"/>
      <c r="B64" s="569">
        <v>954</v>
      </c>
      <c r="C64" s="570">
        <v>954609</v>
      </c>
      <c r="D64" s="571" t="s">
        <v>216</v>
      </c>
      <c r="E64" s="572">
        <v>1189</v>
      </c>
      <c r="F64" s="573"/>
      <c r="G64" s="574"/>
      <c r="H64" s="899"/>
      <c r="I64" s="907"/>
      <c r="J64" s="615">
        <f t="shared" si="4"/>
        <v>0</v>
      </c>
      <c r="K64" s="616">
        <f t="shared" si="5"/>
        <v>0</v>
      </c>
      <c r="L64" s="167"/>
      <c r="M64" s="167">
        <v>38</v>
      </c>
      <c r="N64" s="1355"/>
    </row>
    <row r="65" spans="1:14" ht="15">
      <c r="A65" s="167"/>
      <c r="B65" s="569">
        <v>954</v>
      </c>
      <c r="C65" s="570">
        <v>955330</v>
      </c>
      <c r="D65" s="571" t="s">
        <v>217</v>
      </c>
      <c r="E65" s="572">
        <v>2747</v>
      </c>
      <c r="F65" s="573"/>
      <c r="G65" s="574"/>
      <c r="H65" s="899"/>
      <c r="I65" s="907"/>
      <c r="J65" s="615">
        <f t="shared" si="4"/>
        <v>0</v>
      </c>
      <c r="K65" s="616">
        <f t="shared" si="5"/>
        <v>0</v>
      </c>
      <c r="L65" s="167"/>
      <c r="M65" s="167">
        <v>39</v>
      </c>
      <c r="N65" s="1355"/>
    </row>
    <row r="66" spans="1:14" ht="15.75" thickBot="1">
      <c r="A66" s="167"/>
      <c r="B66" s="575">
        <v>954</v>
      </c>
      <c r="C66" s="576">
        <v>951919</v>
      </c>
      <c r="D66" s="577" t="s">
        <v>218</v>
      </c>
      <c r="E66" s="578">
        <v>1529</v>
      </c>
      <c r="F66" s="579"/>
      <c r="G66" s="580"/>
      <c r="H66" s="901"/>
      <c r="I66" s="908"/>
      <c r="J66" s="1647">
        <f t="shared" si="4"/>
        <v>0</v>
      </c>
      <c r="K66" s="1648">
        <f t="shared" si="5"/>
        <v>0</v>
      </c>
      <c r="L66" s="700"/>
      <c r="M66" s="167">
        <v>40</v>
      </c>
      <c r="N66" s="1357"/>
    </row>
    <row r="67" spans="1:14" ht="15">
      <c r="A67" s="167"/>
      <c r="B67" s="563">
        <v>1230</v>
      </c>
      <c r="C67" s="564">
        <v>955486</v>
      </c>
      <c r="D67" s="565" t="s">
        <v>175</v>
      </c>
      <c r="E67" s="566">
        <v>2882</v>
      </c>
      <c r="F67" s="567"/>
      <c r="G67" s="568"/>
      <c r="H67" s="897"/>
      <c r="I67" s="898"/>
      <c r="J67" s="1649">
        <f t="shared" si="4"/>
        <v>0</v>
      </c>
      <c r="K67" s="1650">
        <f t="shared" si="5"/>
        <v>0</v>
      </c>
      <c r="L67" s="167"/>
      <c r="M67" s="167">
        <v>41</v>
      </c>
      <c r="N67" s="1354"/>
    </row>
    <row r="68" spans="1:14" ht="15">
      <c r="A68" s="167"/>
      <c r="B68" s="569">
        <v>1230</v>
      </c>
      <c r="C68" s="570">
        <v>910840</v>
      </c>
      <c r="D68" s="571" t="s">
        <v>205</v>
      </c>
      <c r="E68" s="572">
        <v>2243</v>
      </c>
      <c r="F68" s="573"/>
      <c r="G68" s="574"/>
      <c r="H68" s="899"/>
      <c r="I68" s="900"/>
      <c r="J68" s="836">
        <f t="shared" si="4"/>
        <v>0</v>
      </c>
      <c r="K68" s="1630">
        <f t="shared" si="5"/>
        <v>0</v>
      </c>
      <c r="L68" s="167"/>
      <c r="M68" s="167">
        <v>42</v>
      </c>
      <c r="N68" s="1355"/>
    </row>
    <row r="69" spans="1:14" ht="15">
      <c r="A69" s="167"/>
      <c r="B69" s="1620">
        <v>1230</v>
      </c>
      <c r="C69" s="1644">
        <v>956590</v>
      </c>
      <c r="D69" s="1645" t="s">
        <v>234</v>
      </c>
      <c r="E69" s="1621">
        <v>1201</v>
      </c>
      <c r="F69" s="1622"/>
      <c r="G69" s="1623"/>
      <c r="H69" s="1618"/>
      <c r="I69" s="1646"/>
      <c r="J69" s="1636">
        <f t="shared" si="4"/>
        <v>0</v>
      </c>
      <c r="K69" s="1637">
        <f t="shared" si="5"/>
        <v>0</v>
      </c>
      <c r="L69" s="167"/>
      <c r="M69" s="167">
        <v>43</v>
      </c>
      <c r="N69" s="1355"/>
    </row>
    <row r="70" spans="1:14" ht="15">
      <c r="A70" s="167"/>
      <c r="B70" s="569">
        <v>1230</v>
      </c>
      <c r="C70" s="570">
        <v>955473</v>
      </c>
      <c r="D70" s="571" t="s">
        <v>235</v>
      </c>
      <c r="E70" s="572">
        <v>2352</v>
      </c>
      <c r="F70" s="573"/>
      <c r="G70" s="574"/>
      <c r="H70" s="899"/>
      <c r="I70" s="900"/>
      <c r="J70" s="836">
        <f t="shared" si="4"/>
        <v>0</v>
      </c>
      <c r="K70" s="1630">
        <f t="shared" si="5"/>
        <v>0</v>
      </c>
      <c r="L70" s="167"/>
      <c r="M70" s="167">
        <v>44</v>
      </c>
      <c r="N70" s="1355"/>
    </row>
    <row r="71" spans="1:14" ht="15">
      <c r="A71" s="167"/>
      <c r="B71" s="569">
        <v>1230</v>
      </c>
      <c r="C71" s="570">
        <v>926655</v>
      </c>
      <c r="D71" s="571" t="s">
        <v>236</v>
      </c>
      <c r="E71" s="572">
        <v>2393</v>
      </c>
      <c r="F71" s="834"/>
      <c r="G71" s="835"/>
      <c r="H71" s="910"/>
      <c r="I71" s="911"/>
      <c r="J71" s="837">
        <f t="shared" si="4"/>
        <v>0</v>
      </c>
      <c r="K71" s="616">
        <f t="shared" si="5"/>
        <v>0</v>
      </c>
      <c r="L71" s="167"/>
      <c r="M71" s="167">
        <v>45</v>
      </c>
      <c r="N71" s="1355"/>
    </row>
    <row r="72" spans="1:14" ht="15">
      <c r="A72" s="167"/>
      <c r="B72" s="569">
        <v>1230</v>
      </c>
      <c r="C72" s="570">
        <v>926674</v>
      </c>
      <c r="D72" s="571" t="s">
        <v>237</v>
      </c>
      <c r="E72" s="572">
        <v>2341</v>
      </c>
      <c r="F72" s="573"/>
      <c r="G72" s="574"/>
      <c r="H72" s="899"/>
      <c r="I72" s="900"/>
      <c r="J72" s="615">
        <f t="shared" si="4"/>
        <v>0</v>
      </c>
      <c r="K72" s="616">
        <f t="shared" si="5"/>
        <v>0</v>
      </c>
      <c r="L72" s="167"/>
      <c r="M72" s="167">
        <v>46</v>
      </c>
      <c r="N72" s="1355"/>
    </row>
    <row r="73" spans="1:14" ht="15">
      <c r="A73" s="167"/>
      <c r="B73" s="569">
        <v>1230</v>
      </c>
      <c r="C73" s="570">
        <v>952407</v>
      </c>
      <c r="D73" s="571" t="s">
        <v>179</v>
      </c>
      <c r="E73" s="572">
        <v>2762</v>
      </c>
      <c r="F73" s="573"/>
      <c r="G73" s="574"/>
      <c r="H73" s="899"/>
      <c r="I73" s="900"/>
      <c r="J73" s="615">
        <f t="shared" si="4"/>
        <v>0</v>
      </c>
      <c r="K73" s="616">
        <f t="shared" si="5"/>
        <v>0</v>
      </c>
      <c r="L73" s="167"/>
      <c r="M73" s="167">
        <v>47</v>
      </c>
      <c r="N73" s="1355"/>
    </row>
    <row r="74" spans="1:14" ht="15">
      <c r="A74" s="167"/>
      <c r="B74" s="569">
        <v>1230</v>
      </c>
      <c r="C74" s="570">
        <v>922476</v>
      </c>
      <c r="D74" s="571" t="s">
        <v>238</v>
      </c>
      <c r="E74" s="572">
        <v>2154</v>
      </c>
      <c r="F74" s="573"/>
      <c r="G74" s="574"/>
      <c r="H74" s="899"/>
      <c r="I74" s="900"/>
      <c r="J74" s="615">
        <f t="shared" si="4"/>
        <v>0</v>
      </c>
      <c r="K74" s="616">
        <f t="shared" si="5"/>
        <v>0</v>
      </c>
      <c r="L74" s="167"/>
      <c r="M74" s="167">
        <v>48</v>
      </c>
      <c r="N74" s="1355"/>
    </row>
    <row r="75" spans="1:14" ht="15.75" thickBot="1">
      <c r="A75" s="167"/>
      <c r="B75" s="587">
        <v>1230</v>
      </c>
      <c r="C75" s="588">
        <v>952321</v>
      </c>
      <c r="D75" s="589" t="s">
        <v>239</v>
      </c>
      <c r="E75" s="590">
        <v>2792</v>
      </c>
      <c r="F75" s="591"/>
      <c r="G75" s="592"/>
      <c r="H75" s="901"/>
      <c r="I75" s="902"/>
      <c r="J75" s="617">
        <f t="shared" si="4"/>
        <v>0</v>
      </c>
      <c r="K75" s="618">
        <f t="shared" si="5"/>
        <v>0</v>
      </c>
      <c r="L75" s="700"/>
      <c r="M75" s="167">
        <v>49</v>
      </c>
      <c r="N75" s="1357"/>
    </row>
    <row r="76" spans="1:14" ht="15">
      <c r="A76" s="167"/>
      <c r="B76" s="593">
        <v>1462</v>
      </c>
      <c r="C76" s="593">
        <v>902374</v>
      </c>
      <c r="D76" s="490" t="s">
        <v>220</v>
      </c>
      <c r="E76" s="594">
        <v>605</v>
      </c>
      <c r="F76" s="593"/>
      <c r="G76" s="594"/>
      <c r="H76" s="903"/>
      <c r="I76" s="909"/>
      <c r="J76" s="613">
        <f t="shared" si="4"/>
        <v>0</v>
      </c>
      <c r="K76" s="614">
        <f t="shared" si="5"/>
        <v>0</v>
      </c>
      <c r="L76" s="167"/>
      <c r="M76" s="167">
        <v>50</v>
      </c>
      <c r="N76" s="1358"/>
    </row>
    <row r="77" spans="1:14" ht="15">
      <c r="A77" s="167"/>
      <c r="B77" s="595">
        <v>1462</v>
      </c>
      <c r="C77" s="595">
        <v>958080</v>
      </c>
      <c r="D77" s="596" t="s">
        <v>247</v>
      </c>
      <c r="E77" s="597">
        <v>6059</v>
      </c>
      <c r="F77" s="595"/>
      <c r="G77" s="597"/>
      <c r="H77" s="899"/>
      <c r="I77" s="907"/>
      <c r="J77" s="615">
        <f t="shared" si="4"/>
        <v>0</v>
      </c>
      <c r="K77" s="616">
        <f t="shared" si="5"/>
        <v>0</v>
      </c>
      <c r="L77" s="167"/>
      <c r="M77" s="167">
        <v>51</v>
      </c>
      <c r="N77" s="1355"/>
    </row>
    <row r="78" spans="1:14" ht="15">
      <c r="A78" s="167"/>
      <c r="B78" s="595">
        <v>1462</v>
      </c>
      <c r="C78" s="595">
        <v>954062</v>
      </c>
      <c r="D78" s="596" t="s">
        <v>248</v>
      </c>
      <c r="E78" s="597">
        <v>733</v>
      </c>
      <c r="F78" s="595"/>
      <c r="G78" s="597"/>
      <c r="H78" s="899"/>
      <c r="I78" s="907"/>
      <c r="J78" s="615">
        <f t="shared" si="4"/>
        <v>0</v>
      </c>
      <c r="K78" s="616">
        <f t="shared" si="5"/>
        <v>0</v>
      </c>
      <c r="L78" s="167"/>
      <c r="M78" s="167">
        <v>52</v>
      </c>
      <c r="N78" s="1355"/>
    </row>
    <row r="79" spans="1:14" ht="15">
      <c r="A79" s="167"/>
      <c r="B79" s="595">
        <v>1462</v>
      </c>
      <c r="C79" s="595">
        <v>916009</v>
      </c>
      <c r="D79" s="596" t="s">
        <v>249</v>
      </c>
      <c r="E79" s="597">
        <v>638</v>
      </c>
      <c r="F79" s="595"/>
      <c r="G79" s="597"/>
      <c r="H79" s="899"/>
      <c r="I79" s="907"/>
      <c r="J79" s="615">
        <f t="shared" si="4"/>
        <v>0</v>
      </c>
      <c r="K79" s="616">
        <f t="shared" si="5"/>
        <v>0</v>
      </c>
      <c r="L79" s="167"/>
      <c r="M79" s="167">
        <v>53</v>
      </c>
      <c r="N79" s="1355"/>
    </row>
    <row r="80" spans="1:14" ht="15">
      <c r="A80" s="167"/>
      <c r="B80" s="1625">
        <v>1462</v>
      </c>
      <c r="C80" s="1625">
        <v>916010</v>
      </c>
      <c r="D80" s="1626" t="s">
        <v>250</v>
      </c>
      <c r="E80" s="1627">
        <v>639</v>
      </c>
      <c r="F80" s="1625"/>
      <c r="G80" s="1627"/>
      <c r="H80" s="1628"/>
      <c r="I80" s="1629"/>
      <c r="J80" s="836">
        <f t="shared" si="4"/>
        <v>0</v>
      </c>
      <c r="K80" s="1630">
        <f t="shared" si="5"/>
        <v>0</v>
      </c>
      <c r="L80" s="167"/>
      <c r="M80" s="167">
        <v>54</v>
      </c>
      <c r="N80" s="1355"/>
    </row>
    <row r="81" spans="1:14" ht="15">
      <c r="A81" s="1438"/>
      <c r="B81" s="1631">
        <v>1462</v>
      </c>
      <c r="C81" s="1631">
        <v>951259</v>
      </c>
      <c r="D81" s="1632" t="s">
        <v>219</v>
      </c>
      <c r="E81" s="1633">
        <v>2189</v>
      </c>
      <c r="F81" s="1631"/>
      <c r="G81" s="1633"/>
      <c r="H81" s="1634"/>
      <c r="I81" s="1635"/>
      <c r="J81" s="1636">
        <f t="shared" si="4"/>
        <v>0</v>
      </c>
      <c r="K81" s="1637">
        <f t="shared" si="5"/>
        <v>0</v>
      </c>
      <c r="L81" s="1438"/>
      <c r="M81" s="167">
        <v>55</v>
      </c>
      <c r="N81" s="1355"/>
    </row>
    <row r="82" spans="1:14" ht="15">
      <c r="A82" s="1438"/>
      <c r="B82" s="1631">
        <v>1462</v>
      </c>
      <c r="C82" s="1631">
        <v>923199</v>
      </c>
      <c r="D82" s="1632" t="s">
        <v>251</v>
      </c>
      <c r="E82" s="1633">
        <v>2602</v>
      </c>
      <c r="F82" s="1631"/>
      <c r="G82" s="1633"/>
      <c r="H82" s="1634"/>
      <c r="I82" s="1635"/>
      <c r="J82" s="1636">
        <f t="shared" si="4"/>
        <v>0</v>
      </c>
      <c r="K82" s="1637">
        <f t="shared" si="5"/>
        <v>0</v>
      </c>
      <c r="L82" s="1438"/>
      <c r="M82" s="167">
        <v>56</v>
      </c>
      <c r="N82" s="1355"/>
    </row>
    <row r="83" spans="1:14" ht="15">
      <c r="A83" s="1438" t="s">
        <v>132</v>
      </c>
      <c r="B83" s="1638">
        <v>1462</v>
      </c>
      <c r="C83" s="1639">
        <v>953048</v>
      </c>
      <c r="D83" s="1640" t="s">
        <v>266</v>
      </c>
      <c r="E83" s="1641">
        <v>502</v>
      </c>
      <c r="F83" s="1642"/>
      <c r="G83" s="1643"/>
      <c r="H83" s="1634"/>
      <c r="I83" s="1635"/>
      <c r="J83" s="1636">
        <f t="shared" si="4"/>
        <v>0</v>
      </c>
      <c r="K83" s="1637">
        <f t="shared" si="5"/>
        <v>0</v>
      </c>
      <c r="L83" s="1438"/>
      <c r="M83" s="167">
        <v>57</v>
      </c>
      <c r="N83" s="1359"/>
    </row>
    <row r="84" spans="1:14" ht="15">
      <c r="A84" s="1438"/>
      <c r="B84" s="1631">
        <v>1462</v>
      </c>
      <c r="C84" s="1631">
        <v>958249</v>
      </c>
      <c r="D84" s="1632" t="s">
        <v>252</v>
      </c>
      <c r="E84" s="1633">
        <v>2549</v>
      </c>
      <c r="F84" s="1631"/>
      <c r="G84" s="1633"/>
      <c r="H84" s="1634"/>
      <c r="I84" s="1635"/>
      <c r="J84" s="1636">
        <f t="shared" si="4"/>
        <v>0</v>
      </c>
      <c r="K84" s="1637">
        <f t="shared" si="5"/>
        <v>0</v>
      </c>
      <c r="L84" s="1438"/>
      <c r="M84" s="167">
        <v>58</v>
      </c>
      <c r="N84" s="1355"/>
    </row>
    <row r="85" spans="1:14" ht="15">
      <c r="A85" s="1438"/>
      <c r="B85" s="1631">
        <v>1462</v>
      </c>
      <c r="C85" s="1631">
        <v>955588</v>
      </c>
      <c r="D85" s="1632" t="s">
        <v>217</v>
      </c>
      <c r="E85" s="1633">
        <v>1342</v>
      </c>
      <c r="F85" s="1631"/>
      <c r="G85" s="1633"/>
      <c r="H85" s="1634"/>
      <c r="I85" s="1635"/>
      <c r="J85" s="1636">
        <f t="shared" si="4"/>
        <v>0</v>
      </c>
      <c r="K85" s="1637">
        <f t="shared" si="5"/>
        <v>0</v>
      </c>
      <c r="L85" s="1438"/>
      <c r="M85" s="167">
        <v>59</v>
      </c>
      <c r="N85" s="1355"/>
    </row>
    <row r="86" spans="1:14" ht="15">
      <c r="A86" s="1438" t="s">
        <v>132</v>
      </c>
      <c r="B86" s="1638">
        <v>1462</v>
      </c>
      <c r="C86" s="1639">
        <v>954700</v>
      </c>
      <c r="D86" s="1640" t="s">
        <v>267</v>
      </c>
      <c r="E86" s="1641">
        <v>209</v>
      </c>
      <c r="F86" s="1642"/>
      <c r="G86" s="1643"/>
      <c r="H86" s="1634"/>
      <c r="I86" s="1635"/>
      <c r="J86" s="1636">
        <f t="shared" si="4"/>
        <v>0</v>
      </c>
      <c r="K86" s="1637">
        <f t="shared" si="5"/>
        <v>0</v>
      </c>
      <c r="L86" s="1438"/>
      <c r="M86" s="167">
        <v>60</v>
      </c>
      <c r="N86" s="1359"/>
    </row>
    <row r="87" spans="1:14" ht="15">
      <c r="A87" s="1438"/>
      <c r="B87" s="1631">
        <v>1462</v>
      </c>
      <c r="C87" s="1631">
        <v>952005</v>
      </c>
      <c r="D87" s="1632" t="s">
        <v>253</v>
      </c>
      <c r="E87" s="1633">
        <v>1412</v>
      </c>
      <c r="F87" s="1631"/>
      <c r="G87" s="1633"/>
      <c r="H87" s="1634"/>
      <c r="I87" s="1635"/>
      <c r="J87" s="1636">
        <f t="shared" si="4"/>
        <v>0</v>
      </c>
      <c r="K87" s="1637">
        <f t="shared" si="5"/>
        <v>0</v>
      </c>
      <c r="L87" s="1438"/>
      <c r="M87" s="167">
        <v>61</v>
      </c>
      <c r="N87" s="1355"/>
    </row>
    <row r="88" spans="1:14" ht="15">
      <c r="A88" s="1438" t="s">
        <v>12</v>
      </c>
      <c r="B88" s="1638">
        <v>1462</v>
      </c>
      <c r="C88" s="1639">
        <v>902835</v>
      </c>
      <c r="D88" s="1640" t="s">
        <v>299</v>
      </c>
      <c r="E88" s="1641">
        <v>640</v>
      </c>
      <c r="F88" s="1642"/>
      <c r="G88" s="1643"/>
      <c r="H88" s="1634"/>
      <c r="I88" s="1635"/>
      <c r="J88" s="1636">
        <f t="shared" si="4"/>
        <v>0</v>
      </c>
      <c r="K88" s="1637">
        <f t="shared" si="5"/>
        <v>0</v>
      </c>
      <c r="L88" s="1624"/>
      <c r="M88" s="167">
        <v>62</v>
      </c>
      <c r="N88" s="1359"/>
    </row>
    <row r="89" spans="1:14" ht="15">
      <c r="A89" s="1438"/>
      <c r="B89" s="1596">
        <v>1462</v>
      </c>
      <c r="C89" s="1596">
        <v>952183</v>
      </c>
      <c r="D89" s="1594" t="s">
        <v>254</v>
      </c>
      <c r="E89" s="1610">
        <v>529</v>
      </c>
      <c r="F89" s="1596"/>
      <c r="G89" s="1610"/>
      <c r="H89" s="1618"/>
      <c r="I89" s="1619"/>
      <c r="J89" s="1599">
        <f t="shared" si="4"/>
        <v>0</v>
      </c>
      <c r="K89" s="1592">
        <f t="shared" si="5"/>
        <v>0</v>
      </c>
      <c r="L89" s="1438"/>
      <c r="M89" s="167">
        <v>63</v>
      </c>
      <c r="N89" s="1355"/>
    </row>
    <row r="90" spans="1:14" ht="15">
      <c r="A90" s="1438" t="s">
        <v>18</v>
      </c>
      <c r="B90" s="1596">
        <v>1462</v>
      </c>
      <c r="C90" s="1596">
        <v>957995</v>
      </c>
      <c r="D90" s="1594" t="s">
        <v>242</v>
      </c>
      <c r="E90" s="1610">
        <v>1930</v>
      </c>
      <c r="F90" s="1596"/>
      <c r="G90" s="1610"/>
      <c r="H90" s="1618"/>
      <c r="I90" s="1619"/>
      <c r="J90" s="1599">
        <f t="shared" si="4"/>
        <v>0</v>
      </c>
      <c r="K90" s="1592">
        <f t="shared" si="5"/>
        <v>0</v>
      </c>
      <c r="L90" s="1624"/>
      <c r="M90" s="167">
        <v>64</v>
      </c>
      <c r="N90" s="1355"/>
    </row>
    <row r="91" spans="1:14" ht="15">
      <c r="A91" s="167"/>
      <c r="B91" s="595">
        <v>1462</v>
      </c>
      <c r="C91" s="595">
        <v>953646</v>
      </c>
      <c r="D91" s="596" t="s">
        <v>255</v>
      </c>
      <c r="E91" s="597">
        <v>1248</v>
      </c>
      <c r="F91" s="595"/>
      <c r="G91" s="597"/>
      <c r="H91" s="899"/>
      <c r="I91" s="907"/>
      <c r="J91" s="615">
        <f t="shared" si="4"/>
        <v>0</v>
      </c>
      <c r="K91" s="616">
        <f t="shared" si="5"/>
        <v>0</v>
      </c>
      <c r="L91" s="167"/>
      <c r="M91" s="167">
        <v>65</v>
      </c>
      <c r="N91" s="1355"/>
    </row>
    <row r="92" spans="1:14" ht="15">
      <c r="A92" s="167"/>
      <c r="B92" s="595">
        <v>1462</v>
      </c>
      <c r="C92" s="595">
        <v>956244</v>
      </c>
      <c r="D92" s="596" t="s">
        <v>256</v>
      </c>
      <c r="E92" s="597">
        <v>1714</v>
      </c>
      <c r="F92" s="595"/>
      <c r="G92" s="597"/>
      <c r="H92" s="899"/>
      <c r="I92" s="907"/>
      <c r="J92" s="615">
        <f t="shared" si="4"/>
        <v>0</v>
      </c>
      <c r="K92" s="616">
        <f t="shared" si="5"/>
        <v>0</v>
      </c>
      <c r="L92" s="167"/>
      <c r="M92" s="167">
        <v>66</v>
      </c>
      <c r="N92" s="1355"/>
    </row>
    <row r="93" spans="1:14" ht="15">
      <c r="A93" s="167"/>
      <c r="B93" s="595">
        <v>1462</v>
      </c>
      <c r="C93" s="595">
        <v>904281</v>
      </c>
      <c r="D93" s="596" t="s">
        <v>257</v>
      </c>
      <c r="E93" s="597">
        <v>19</v>
      </c>
      <c r="F93" s="595"/>
      <c r="G93" s="597"/>
      <c r="H93" s="899"/>
      <c r="I93" s="907"/>
      <c r="J93" s="615">
        <f t="shared" ref="J93:J118" si="6">+F93-H93</f>
        <v>0</v>
      </c>
      <c r="K93" s="616">
        <f t="shared" ref="K93:K115" si="7">+G93-I93</f>
        <v>0</v>
      </c>
      <c r="L93" s="167"/>
      <c r="M93" s="167">
        <v>67</v>
      </c>
      <c r="N93" s="1355"/>
    </row>
    <row r="94" spans="1:14" ht="15">
      <c r="A94" s="167"/>
      <c r="B94" s="595">
        <v>1462</v>
      </c>
      <c r="C94" s="595">
        <v>952831</v>
      </c>
      <c r="D94" s="596" t="s">
        <v>258</v>
      </c>
      <c r="E94" s="597">
        <v>2252</v>
      </c>
      <c r="F94" s="595"/>
      <c r="G94" s="597"/>
      <c r="H94" s="899"/>
      <c r="I94" s="907"/>
      <c r="J94" s="615">
        <f t="shared" si="6"/>
        <v>0</v>
      </c>
      <c r="K94" s="616">
        <f t="shared" si="7"/>
        <v>0</v>
      </c>
      <c r="L94" s="167"/>
      <c r="M94" s="167">
        <v>68</v>
      </c>
      <c r="N94" s="1355"/>
    </row>
    <row r="95" spans="1:14" ht="15">
      <c r="A95" s="167"/>
      <c r="B95" s="595">
        <v>1462</v>
      </c>
      <c r="C95" s="595">
        <v>926065</v>
      </c>
      <c r="D95" s="596" t="s">
        <v>259</v>
      </c>
      <c r="E95" s="597">
        <v>676</v>
      </c>
      <c r="F95" s="595"/>
      <c r="G95" s="597"/>
      <c r="H95" s="899"/>
      <c r="I95" s="907"/>
      <c r="J95" s="615">
        <f t="shared" si="6"/>
        <v>0</v>
      </c>
      <c r="K95" s="616">
        <f t="shared" si="7"/>
        <v>0</v>
      </c>
      <c r="L95" s="167"/>
      <c r="M95" s="167">
        <v>69</v>
      </c>
      <c r="N95" s="1355"/>
    </row>
    <row r="96" spans="1:14" ht="15.75" thickBot="1">
      <c r="A96" s="167"/>
      <c r="B96" s="595">
        <v>1462</v>
      </c>
      <c r="C96" s="595">
        <v>922986</v>
      </c>
      <c r="D96" s="596" t="s">
        <v>260</v>
      </c>
      <c r="E96" s="597">
        <v>3899</v>
      </c>
      <c r="F96" s="595"/>
      <c r="G96" s="597"/>
      <c r="H96" s="901"/>
      <c r="I96" s="908"/>
      <c r="J96" s="617">
        <f t="shared" si="6"/>
        <v>0</v>
      </c>
      <c r="K96" s="618">
        <f t="shared" si="7"/>
        <v>0</v>
      </c>
      <c r="L96" s="700"/>
      <c r="M96" s="167">
        <v>70</v>
      </c>
      <c r="N96" s="1357"/>
    </row>
    <row r="97" spans="1:14" ht="15">
      <c r="A97" s="167"/>
      <c r="B97" s="593">
        <v>1667</v>
      </c>
      <c r="C97" s="593">
        <v>954062</v>
      </c>
      <c r="D97" s="490" t="s">
        <v>248</v>
      </c>
      <c r="E97" s="594">
        <v>733</v>
      </c>
      <c r="F97" s="593"/>
      <c r="G97" s="594"/>
      <c r="H97" s="897"/>
      <c r="I97" s="906"/>
      <c r="J97" s="613">
        <f t="shared" si="6"/>
        <v>0</v>
      </c>
      <c r="K97" s="614">
        <f t="shared" si="7"/>
        <v>0</v>
      </c>
      <c r="L97" s="167"/>
      <c r="M97" s="167">
        <v>71</v>
      </c>
      <c r="N97" s="1354"/>
    </row>
    <row r="98" spans="1:14" ht="15.75" thickBot="1">
      <c r="A98" s="167"/>
      <c r="B98" s="598">
        <v>1667</v>
      </c>
      <c r="C98" s="598">
        <v>952831</v>
      </c>
      <c r="D98" s="599" t="s">
        <v>258</v>
      </c>
      <c r="E98" s="600">
        <v>2252</v>
      </c>
      <c r="F98" s="598"/>
      <c r="G98" s="600"/>
      <c r="H98" s="901"/>
      <c r="I98" s="908"/>
      <c r="J98" s="617">
        <f t="shared" si="6"/>
        <v>0</v>
      </c>
      <c r="K98" s="618">
        <f t="shared" si="7"/>
        <v>0</v>
      </c>
      <c r="L98" s="700"/>
      <c r="M98" s="167">
        <v>72</v>
      </c>
      <c r="N98" s="1357"/>
    </row>
    <row r="99" spans="1:14" ht="15">
      <c r="A99" s="346"/>
      <c r="B99" s="563">
        <v>1696</v>
      </c>
      <c r="C99" s="564">
        <v>902378</v>
      </c>
      <c r="D99" s="565" t="s">
        <v>300</v>
      </c>
      <c r="E99" s="566">
        <v>879</v>
      </c>
      <c r="F99" s="567"/>
      <c r="G99" s="568"/>
      <c r="H99" s="897"/>
      <c r="I99" s="906"/>
      <c r="J99" s="613">
        <f t="shared" si="6"/>
        <v>0</v>
      </c>
      <c r="K99" s="614">
        <f t="shared" si="7"/>
        <v>0</v>
      </c>
      <c r="L99" s="167"/>
      <c r="M99" s="167">
        <v>73</v>
      </c>
      <c r="N99" s="1354"/>
    </row>
    <row r="100" spans="1:14" ht="15">
      <c r="A100" s="346"/>
      <c r="B100" s="569">
        <v>1696</v>
      </c>
      <c r="C100" s="570">
        <v>39480</v>
      </c>
      <c r="D100" s="571" t="s">
        <v>301</v>
      </c>
      <c r="E100" s="572">
        <v>1213</v>
      </c>
      <c r="F100" s="573"/>
      <c r="G100" s="574"/>
      <c r="H100" s="899"/>
      <c r="I100" s="907"/>
      <c r="J100" s="615">
        <f t="shared" si="6"/>
        <v>0</v>
      </c>
      <c r="K100" s="616">
        <f t="shared" si="7"/>
        <v>0</v>
      </c>
      <c r="L100" s="167"/>
      <c r="M100" s="167">
        <v>74</v>
      </c>
      <c r="N100" s="1355"/>
    </row>
    <row r="101" spans="1:14" ht="15">
      <c r="A101" s="346"/>
      <c r="B101" s="569">
        <v>1696</v>
      </c>
      <c r="C101" s="570">
        <v>910612</v>
      </c>
      <c r="D101" s="571" t="s">
        <v>222</v>
      </c>
      <c r="E101" s="572">
        <v>603</v>
      </c>
      <c r="F101" s="573"/>
      <c r="G101" s="574"/>
      <c r="H101" s="899"/>
      <c r="I101" s="907"/>
      <c r="J101" s="615">
        <f t="shared" si="6"/>
        <v>0</v>
      </c>
      <c r="K101" s="616">
        <f t="shared" si="7"/>
        <v>0</v>
      </c>
      <c r="L101" s="167"/>
      <c r="M101" s="167">
        <v>75</v>
      </c>
      <c r="N101" s="1355"/>
    </row>
    <row r="102" spans="1:14" ht="15">
      <c r="A102" s="346"/>
      <c r="B102" s="569">
        <v>1696</v>
      </c>
      <c r="C102" s="570">
        <v>955587</v>
      </c>
      <c r="D102" s="571" t="s">
        <v>302</v>
      </c>
      <c r="E102" s="572">
        <v>2749</v>
      </c>
      <c r="F102" s="573"/>
      <c r="G102" s="574"/>
      <c r="H102" s="899"/>
      <c r="I102" s="907"/>
      <c r="J102" s="615">
        <f t="shared" si="6"/>
        <v>0</v>
      </c>
      <c r="K102" s="616">
        <f t="shared" si="7"/>
        <v>0</v>
      </c>
      <c r="L102" s="167"/>
      <c r="M102" s="167">
        <v>76</v>
      </c>
      <c r="N102" s="1355"/>
    </row>
    <row r="103" spans="1:14" ht="15">
      <c r="A103" s="346"/>
      <c r="B103" s="569">
        <v>1696</v>
      </c>
      <c r="C103" s="570">
        <v>954793</v>
      </c>
      <c r="D103" s="571" t="s">
        <v>303</v>
      </c>
      <c r="E103" s="572">
        <v>2674</v>
      </c>
      <c r="F103" s="573"/>
      <c r="G103" s="574"/>
      <c r="H103" s="899"/>
      <c r="I103" s="907"/>
      <c r="J103" s="615">
        <f t="shared" si="6"/>
        <v>0</v>
      </c>
      <c r="K103" s="616">
        <f t="shared" si="7"/>
        <v>0</v>
      </c>
      <c r="L103" s="167"/>
      <c r="M103" s="167">
        <v>77</v>
      </c>
      <c r="N103" s="1355"/>
    </row>
    <row r="104" spans="1:14" ht="15">
      <c r="A104" s="346"/>
      <c r="B104" s="569">
        <v>1696</v>
      </c>
      <c r="C104" s="570">
        <v>953084</v>
      </c>
      <c r="D104" s="571" t="s">
        <v>304</v>
      </c>
      <c r="E104" s="572">
        <v>2626</v>
      </c>
      <c r="F104" s="573"/>
      <c r="G104" s="574"/>
      <c r="H104" s="899"/>
      <c r="I104" s="907"/>
      <c r="J104" s="837">
        <f t="shared" si="6"/>
        <v>0</v>
      </c>
      <c r="K104" s="616">
        <f t="shared" si="7"/>
        <v>0</v>
      </c>
      <c r="L104" s="167"/>
      <c r="M104" s="167">
        <v>78</v>
      </c>
      <c r="N104" s="1355"/>
    </row>
    <row r="105" spans="1:14" ht="15">
      <c r="A105" s="346"/>
      <c r="B105" s="569">
        <v>1696</v>
      </c>
      <c r="C105" s="570">
        <v>951205</v>
      </c>
      <c r="D105" s="571" t="s">
        <v>164</v>
      </c>
      <c r="E105" s="572">
        <v>2518</v>
      </c>
      <c r="F105" s="573"/>
      <c r="G105" s="574"/>
      <c r="H105" s="899"/>
      <c r="I105" s="907"/>
      <c r="J105" s="615">
        <f t="shared" si="6"/>
        <v>0</v>
      </c>
      <c r="K105" s="616">
        <f t="shared" si="7"/>
        <v>0</v>
      </c>
      <c r="L105" s="167"/>
      <c r="M105" s="167">
        <v>79</v>
      </c>
      <c r="N105" s="1355"/>
    </row>
    <row r="106" spans="1:14" ht="15">
      <c r="A106" s="346"/>
      <c r="B106" s="569">
        <v>1696</v>
      </c>
      <c r="C106" s="570">
        <v>952808</v>
      </c>
      <c r="D106" s="571" t="s">
        <v>163</v>
      </c>
      <c r="E106" s="572">
        <v>2620</v>
      </c>
      <c r="F106" s="573"/>
      <c r="G106" s="574"/>
      <c r="H106" s="899"/>
      <c r="I106" s="907"/>
      <c r="J106" s="615">
        <f t="shared" si="6"/>
        <v>0</v>
      </c>
      <c r="K106" s="616">
        <f t="shared" si="7"/>
        <v>0</v>
      </c>
      <c r="L106" s="167"/>
      <c r="M106" s="167">
        <v>80</v>
      </c>
      <c r="N106" s="1355"/>
    </row>
    <row r="107" spans="1:14" ht="15">
      <c r="A107" s="346"/>
      <c r="B107" s="569">
        <v>1696</v>
      </c>
      <c r="C107" s="570">
        <v>957803</v>
      </c>
      <c r="D107" s="571" t="s">
        <v>305</v>
      </c>
      <c r="E107" s="572">
        <v>2941</v>
      </c>
      <c r="F107" s="573"/>
      <c r="G107" s="574"/>
      <c r="H107" s="899"/>
      <c r="I107" s="907"/>
      <c r="J107" s="615">
        <f t="shared" si="6"/>
        <v>0</v>
      </c>
      <c r="K107" s="616">
        <f t="shared" si="7"/>
        <v>0</v>
      </c>
      <c r="L107" s="167"/>
      <c r="M107" s="167">
        <v>81</v>
      </c>
      <c r="N107" s="1355"/>
    </row>
    <row r="108" spans="1:14" ht="15">
      <c r="A108" s="346"/>
      <c r="B108" s="569">
        <v>1696</v>
      </c>
      <c r="C108" s="570">
        <v>957536</v>
      </c>
      <c r="D108" s="571" t="s">
        <v>306</v>
      </c>
      <c r="E108" s="572">
        <v>454</v>
      </c>
      <c r="F108" s="573"/>
      <c r="G108" s="574"/>
      <c r="H108" s="899"/>
      <c r="I108" s="907"/>
      <c r="J108" s="615">
        <f t="shared" si="6"/>
        <v>0</v>
      </c>
      <c r="K108" s="616">
        <f t="shared" si="7"/>
        <v>0</v>
      </c>
      <c r="L108" s="167"/>
      <c r="M108" s="167">
        <v>82</v>
      </c>
      <c r="N108" s="1355"/>
    </row>
    <row r="109" spans="1:14" ht="15">
      <c r="A109" s="346"/>
      <c r="B109" s="569">
        <v>1696</v>
      </c>
      <c r="C109" s="570">
        <v>910608</v>
      </c>
      <c r="D109" s="571" t="s">
        <v>307</v>
      </c>
      <c r="E109" s="572">
        <v>5416</v>
      </c>
      <c r="F109" s="573"/>
      <c r="G109" s="574"/>
      <c r="H109" s="899"/>
      <c r="I109" s="907"/>
      <c r="J109" s="615">
        <f t="shared" si="6"/>
        <v>0</v>
      </c>
      <c r="K109" s="616">
        <f t="shared" si="7"/>
        <v>0</v>
      </c>
      <c r="L109" s="167"/>
      <c r="M109" s="167">
        <v>83</v>
      </c>
      <c r="N109" s="1355"/>
    </row>
    <row r="110" spans="1:14" ht="15">
      <c r="A110" s="346"/>
      <c r="B110" s="569">
        <v>1696</v>
      </c>
      <c r="C110" s="570">
        <v>952034</v>
      </c>
      <c r="D110" s="571" t="s">
        <v>308</v>
      </c>
      <c r="E110" s="572">
        <v>365</v>
      </c>
      <c r="F110" s="573"/>
      <c r="G110" s="574"/>
      <c r="H110" s="899"/>
      <c r="I110" s="907"/>
      <c r="J110" s="615">
        <f t="shared" si="6"/>
        <v>0</v>
      </c>
      <c r="K110" s="616">
        <f t="shared" si="7"/>
        <v>0</v>
      </c>
      <c r="L110" s="167"/>
      <c r="M110" s="167">
        <v>84</v>
      </c>
      <c r="N110" s="1355"/>
    </row>
    <row r="111" spans="1:14" ht="15">
      <c r="A111" s="346"/>
      <c r="B111" s="569">
        <v>1696</v>
      </c>
      <c r="C111" s="570">
        <v>952212</v>
      </c>
      <c r="D111" s="571" t="s">
        <v>221</v>
      </c>
      <c r="E111" s="572">
        <v>575</v>
      </c>
      <c r="F111" s="573"/>
      <c r="G111" s="574"/>
      <c r="H111" s="899"/>
      <c r="I111" s="907"/>
      <c r="J111" s="615">
        <f t="shared" si="6"/>
        <v>0</v>
      </c>
      <c r="K111" s="616">
        <f t="shared" si="7"/>
        <v>0</v>
      </c>
      <c r="L111" s="167"/>
      <c r="M111" s="167">
        <v>85</v>
      </c>
      <c r="N111" s="1355"/>
    </row>
    <row r="112" spans="1:14" ht="15">
      <c r="A112" s="346"/>
      <c r="B112" s="569">
        <v>1696</v>
      </c>
      <c r="C112" s="570">
        <v>910367</v>
      </c>
      <c r="D112" s="571" t="s">
        <v>309</v>
      </c>
      <c r="E112" s="572">
        <v>1354</v>
      </c>
      <c r="F112" s="573"/>
      <c r="G112" s="574"/>
      <c r="H112" s="899"/>
      <c r="I112" s="907"/>
      <c r="J112" s="615">
        <f t="shared" si="6"/>
        <v>0</v>
      </c>
      <c r="K112" s="616">
        <f t="shared" si="7"/>
        <v>0</v>
      </c>
      <c r="L112" s="167"/>
      <c r="M112" s="167">
        <v>86</v>
      </c>
      <c r="N112" s="1355"/>
    </row>
    <row r="113" spans="1:14" ht="15">
      <c r="A113" s="346"/>
      <c r="B113" s="569">
        <v>1696</v>
      </c>
      <c r="C113" s="570">
        <v>923170</v>
      </c>
      <c r="D113" s="571" t="s">
        <v>310</v>
      </c>
      <c r="E113" s="572">
        <v>1203</v>
      </c>
      <c r="F113" s="573"/>
      <c r="G113" s="574"/>
      <c r="H113" s="899"/>
      <c r="I113" s="907"/>
      <c r="J113" s="615">
        <f t="shared" si="6"/>
        <v>0</v>
      </c>
      <c r="K113" s="616">
        <f t="shared" si="7"/>
        <v>0</v>
      </c>
      <c r="L113" s="167"/>
      <c r="M113" s="167">
        <v>87</v>
      </c>
      <c r="N113" s="1355"/>
    </row>
    <row r="114" spans="1:14" ht="15">
      <c r="A114" s="346"/>
      <c r="B114" s="569">
        <v>1696</v>
      </c>
      <c r="C114" s="570">
        <v>952003</v>
      </c>
      <c r="D114" s="571" t="s">
        <v>311</v>
      </c>
      <c r="E114" s="572">
        <v>607</v>
      </c>
      <c r="F114" s="573"/>
      <c r="G114" s="574"/>
      <c r="H114" s="899"/>
      <c r="I114" s="907"/>
      <c r="J114" s="615">
        <f t="shared" si="6"/>
        <v>0</v>
      </c>
      <c r="K114" s="616">
        <f t="shared" si="7"/>
        <v>0</v>
      </c>
      <c r="L114" s="167"/>
      <c r="M114" s="167">
        <v>88</v>
      </c>
      <c r="N114" s="1355"/>
    </row>
    <row r="115" spans="1:14" ht="15.75" thickBot="1">
      <c r="A115" s="346"/>
      <c r="B115" s="575">
        <v>1696</v>
      </c>
      <c r="C115" s="576">
        <v>952209</v>
      </c>
      <c r="D115" s="577" t="s">
        <v>312</v>
      </c>
      <c r="E115" s="578">
        <v>652</v>
      </c>
      <c r="F115" s="579"/>
      <c r="G115" s="580"/>
      <c r="H115" s="901"/>
      <c r="I115" s="908"/>
      <c r="J115" s="615">
        <f t="shared" si="6"/>
        <v>0</v>
      </c>
      <c r="K115" s="616">
        <f t="shared" si="7"/>
        <v>0</v>
      </c>
      <c r="L115" s="700"/>
      <c r="M115" s="167">
        <v>89</v>
      </c>
      <c r="N115" s="1357"/>
    </row>
    <row r="116" spans="1:14" ht="15">
      <c r="A116" s="346"/>
      <c r="B116" s="563">
        <v>1862</v>
      </c>
      <c r="C116" s="564">
        <v>953744</v>
      </c>
      <c r="D116" s="565" t="s">
        <v>328</v>
      </c>
      <c r="E116" s="566">
        <v>2267</v>
      </c>
      <c r="F116" s="567"/>
      <c r="G116" s="568"/>
      <c r="H116" s="897"/>
      <c r="I116" s="906"/>
      <c r="J116" s="615">
        <f t="shared" si="6"/>
        <v>0</v>
      </c>
      <c r="K116" s="614">
        <f>+G116-I116</f>
        <v>0</v>
      </c>
      <c r="L116" s="167"/>
      <c r="M116" s="167">
        <v>90</v>
      </c>
      <c r="N116" s="1354"/>
    </row>
    <row r="117" spans="1:14" ht="15">
      <c r="A117" s="346"/>
      <c r="B117" s="569">
        <v>1862</v>
      </c>
      <c r="C117" s="570">
        <v>953084</v>
      </c>
      <c r="D117" s="571" t="s">
        <v>304</v>
      </c>
      <c r="E117" s="572">
        <v>2626</v>
      </c>
      <c r="F117" s="573"/>
      <c r="G117" s="574"/>
      <c r="H117" s="899"/>
      <c r="I117" s="907"/>
      <c r="J117" s="615">
        <f t="shared" si="6"/>
        <v>0</v>
      </c>
      <c r="K117" s="597">
        <f>+G117-I117</f>
        <v>0</v>
      </c>
      <c r="L117" s="167"/>
      <c r="M117" s="167">
        <v>91</v>
      </c>
      <c r="N117" s="1355"/>
    </row>
    <row r="118" spans="1:14" ht="15.75" thickBot="1">
      <c r="A118" s="346"/>
      <c r="B118" s="575">
        <v>1862</v>
      </c>
      <c r="C118" s="576">
        <v>957803</v>
      </c>
      <c r="D118" s="577" t="s">
        <v>305</v>
      </c>
      <c r="E118" s="578">
        <v>2941</v>
      </c>
      <c r="F118" s="579"/>
      <c r="G118" s="580"/>
      <c r="H118" s="901"/>
      <c r="I118" s="908"/>
      <c r="J118" s="615">
        <f t="shared" si="6"/>
        <v>0</v>
      </c>
      <c r="K118" s="600">
        <f>+G118-I118</f>
        <v>0</v>
      </c>
      <c r="L118" s="700"/>
      <c r="M118" s="167">
        <v>92</v>
      </c>
      <c r="N118" s="1357"/>
    </row>
    <row r="119" spans="1:14" ht="15">
      <c r="A119" s="346"/>
      <c r="B119" s="3754">
        <v>1890</v>
      </c>
      <c r="C119" s="564">
        <v>31025</v>
      </c>
      <c r="D119" s="565" t="s">
        <v>334</v>
      </c>
      <c r="E119" s="566"/>
      <c r="F119" s="594"/>
      <c r="G119" s="594"/>
      <c r="H119" s="897"/>
      <c r="I119" s="906"/>
      <c r="J119" s="615">
        <f t="shared" ref="J119:J130" si="8">+F119-H119</f>
        <v>0</v>
      </c>
      <c r="K119" s="616">
        <f t="shared" ref="K119:K182" si="9">+G119-I119</f>
        <v>0</v>
      </c>
      <c r="L119" s="167"/>
      <c r="M119" s="167">
        <v>93</v>
      </c>
      <c r="N119" s="1354"/>
    </row>
    <row r="120" spans="1:14" ht="15">
      <c r="A120" s="346"/>
      <c r="B120" s="3756"/>
      <c r="C120" s="570">
        <v>902770</v>
      </c>
      <c r="D120" s="571" t="s">
        <v>335</v>
      </c>
      <c r="E120" s="572"/>
      <c r="F120" s="597"/>
      <c r="G120" s="597"/>
      <c r="H120" s="899"/>
      <c r="I120" s="907"/>
      <c r="J120" s="615">
        <f t="shared" si="8"/>
        <v>0</v>
      </c>
      <c r="K120" s="616">
        <f t="shared" si="9"/>
        <v>0</v>
      </c>
      <c r="L120" s="167"/>
      <c r="M120" s="167">
        <v>94</v>
      </c>
      <c r="N120" s="1355"/>
    </row>
    <row r="121" spans="1:14" ht="15">
      <c r="A121" s="346"/>
      <c r="B121" s="3756"/>
      <c r="C121" s="570">
        <v>958198</v>
      </c>
      <c r="D121" s="571" t="s">
        <v>336</v>
      </c>
      <c r="E121" s="572"/>
      <c r="F121" s="597"/>
      <c r="G121" s="597"/>
      <c r="H121" s="899"/>
      <c r="I121" s="907"/>
      <c r="J121" s="615">
        <f t="shared" si="8"/>
        <v>0</v>
      </c>
      <c r="K121" s="616">
        <f t="shared" si="9"/>
        <v>0</v>
      </c>
      <c r="L121" s="167"/>
      <c r="M121" s="167">
        <v>95</v>
      </c>
      <c r="N121" s="1356"/>
    </row>
    <row r="122" spans="1:14" ht="15">
      <c r="A122" s="346"/>
      <c r="B122" s="3756"/>
      <c r="C122" s="570">
        <v>902723</v>
      </c>
      <c r="D122" s="571" t="s">
        <v>337</v>
      </c>
      <c r="E122" s="572"/>
      <c r="F122" s="597"/>
      <c r="G122" s="597"/>
      <c r="H122" s="899"/>
      <c r="I122" s="907"/>
      <c r="J122" s="615">
        <f t="shared" si="8"/>
        <v>0</v>
      </c>
      <c r="K122" s="616">
        <f t="shared" si="9"/>
        <v>0</v>
      </c>
      <c r="L122" s="167"/>
      <c r="M122" s="167">
        <v>96</v>
      </c>
      <c r="N122" s="1356"/>
    </row>
    <row r="123" spans="1:14" ht="15">
      <c r="A123" s="346"/>
      <c r="B123" s="3756"/>
      <c r="C123" s="570">
        <v>923215</v>
      </c>
      <c r="D123" s="571" t="s">
        <v>338</v>
      </c>
      <c r="E123" s="572"/>
      <c r="F123" s="597"/>
      <c r="G123" s="597"/>
      <c r="H123" s="899"/>
      <c r="I123" s="907"/>
      <c r="J123" s="615">
        <f t="shared" si="8"/>
        <v>0</v>
      </c>
      <c r="K123" s="616">
        <f t="shared" si="9"/>
        <v>0</v>
      </c>
      <c r="L123" s="167"/>
      <c r="M123" s="167">
        <v>97</v>
      </c>
      <c r="N123" s="1356"/>
    </row>
    <row r="124" spans="1:14" ht="15">
      <c r="A124" s="346"/>
      <c r="B124" s="3756"/>
      <c r="C124" s="570">
        <v>950847</v>
      </c>
      <c r="D124" s="571" t="s">
        <v>339</v>
      </c>
      <c r="E124" s="572"/>
      <c r="F124" s="597"/>
      <c r="G124" s="597"/>
      <c r="H124" s="899"/>
      <c r="I124" s="907"/>
      <c r="J124" s="615">
        <f t="shared" si="8"/>
        <v>0</v>
      </c>
      <c r="K124" s="616">
        <f t="shared" si="9"/>
        <v>0</v>
      </c>
      <c r="L124" s="167"/>
      <c r="M124" s="167">
        <v>98</v>
      </c>
      <c r="N124" s="1356"/>
    </row>
    <row r="125" spans="1:14" ht="15">
      <c r="A125" s="346"/>
      <c r="B125" s="3756"/>
      <c r="C125" s="570">
        <v>951746</v>
      </c>
      <c r="D125" s="571" t="s">
        <v>340</v>
      </c>
      <c r="E125" s="572"/>
      <c r="F125" s="597"/>
      <c r="G125" s="597"/>
      <c r="H125" s="899"/>
      <c r="I125" s="907"/>
      <c r="J125" s="615">
        <f t="shared" si="8"/>
        <v>0</v>
      </c>
      <c r="K125" s="616">
        <f t="shared" si="9"/>
        <v>0</v>
      </c>
      <c r="L125" s="167"/>
      <c r="M125" s="167">
        <v>99</v>
      </c>
      <c r="N125" s="1356"/>
    </row>
    <row r="126" spans="1:14" ht="15">
      <c r="A126" s="346"/>
      <c r="B126" s="3756"/>
      <c r="C126" s="570">
        <v>955834</v>
      </c>
      <c r="D126" s="571" t="s">
        <v>341</v>
      </c>
      <c r="E126" s="572"/>
      <c r="F126" s="597"/>
      <c r="G126" s="597"/>
      <c r="H126" s="899"/>
      <c r="I126" s="907"/>
      <c r="J126" s="615">
        <f t="shared" si="8"/>
        <v>0</v>
      </c>
      <c r="K126" s="616">
        <f t="shared" si="9"/>
        <v>0</v>
      </c>
      <c r="L126" s="167"/>
      <c r="M126" s="167">
        <v>100</v>
      </c>
      <c r="N126" s="1356"/>
    </row>
    <row r="127" spans="1:14" ht="15">
      <c r="A127" s="346"/>
      <c r="B127" s="3756"/>
      <c r="C127" s="570">
        <v>902733</v>
      </c>
      <c r="D127" s="571" t="s">
        <v>342</v>
      </c>
      <c r="E127" s="572"/>
      <c r="F127" s="597"/>
      <c r="G127" s="597"/>
      <c r="H127" s="899"/>
      <c r="I127" s="907"/>
      <c r="J127" s="615">
        <f t="shared" si="8"/>
        <v>0</v>
      </c>
      <c r="K127" s="616">
        <f t="shared" si="9"/>
        <v>0</v>
      </c>
      <c r="L127" s="167"/>
      <c r="M127" s="167">
        <v>101</v>
      </c>
      <c r="N127" s="1356"/>
    </row>
    <row r="128" spans="1:14" ht="15.75" thickBot="1">
      <c r="A128" s="346"/>
      <c r="B128" s="3755"/>
      <c r="C128" s="588">
        <v>902373</v>
      </c>
      <c r="D128" s="589" t="s">
        <v>343</v>
      </c>
      <c r="E128" s="590"/>
      <c r="F128" s="597"/>
      <c r="G128" s="597"/>
      <c r="H128" s="901"/>
      <c r="I128" s="908"/>
      <c r="J128" s="615">
        <f t="shared" si="8"/>
        <v>0</v>
      </c>
      <c r="K128" s="616">
        <f t="shared" si="9"/>
        <v>0</v>
      </c>
      <c r="L128" s="700"/>
      <c r="M128" s="167">
        <v>102</v>
      </c>
      <c r="N128" s="1357"/>
    </row>
    <row r="129" spans="1:14" ht="15">
      <c r="A129" s="346"/>
      <c r="B129" s="3754">
        <v>1977</v>
      </c>
      <c r="C129" s="593">
        <v>951349</v>
      </c>
      <c r="D129" s="490" t="s">
        <v>361</v>
      </c>
      <c r="E129" s="594">
        <v>1352</v>
      </c>
      <c r="F129" s="806"/>
      <c r="G129" s="806"/>
      <c r="H129" s="897"/>
      <c r="I129" s="906"/>
      <c r="J129" s="615">
        <f t="shared" si="8"/>
        <v>0</v>
      </c>
      <c r="K129" s="614">
        <v>0</v>
      </c>
      <c r="L129" s="700"/>
      <c r="M129" s="167">
        <v>103</v>
      </c>
      <c r="N129" s="1354"/>
    </row>
    <row r="130" spans="1:14" ht="15.75" thickBot="1">
      <c r="A130" s="346"/>
      <c r="B130" s="3755"/>
      <c r="C130" s="598">
        <v>951633</v>
      </c>
      <c r="D130" s="599" t="s">
        <v>360</v>
      </c>
      <c r="E130" s="600">
        <v>602</v>
      </c>
      <c r="F130" s="807"/>
      <c r="G130" s="807"/>
      <c r="H130" s="901"/>
      <c r="I130" s="908"/>
      <c r="J130" s="615">
        <f t="shared" si="8"/>
        <v>0</v>
      </c>
      <c r="K130" s="618">
        <v>0</v>
      </c>
      <c r="L130" s="700"/>
      <c r="M130" s="167">
        <v>104</v>
      </c>
      <c r="N130" s="1357"/>
    </row>
    <row r="131" spans="1:14" ht="15.75" thickBot="1">
      <c r="A131" s="346"/>
      <c r="B131" s="601">
        <v>2042</v>
      </c>
      <c r="C131" s="865">
        <v>953641</v>
      </c>
      <c r="D131" s="866" t="s">
        <v>346</v>
      </c>
      <c r="E131" s="863"/>
      <c r="F131" s="861"/>
      <c r="G131" s="490"/>
      <c r="H131" s="912"/>
      <c r="I131" s="913"/>
      <c r="J131" s="864">
        <f t="shared" ref="J131:J137" si="10">+F131-H131</f>
        <v>0</v>
      </c>
      <c r="K131" s="862">
        <f t="shared" si="9"/>
        <v>0</v>
      </c>
      <c r="L131" s="700"/>
      <c r="M131" s="167">
        <v>105</v>
      </c>
      <c r="N131" s="1360"/>
    </row>
    <row r="132" spans="1:14" ht="15">
      <c r="A132" s="346"/>
      <c r="B132" s="3754">
        <v>2246</v>
      </c>
      <c r="C132" s="593"/>
      <c r="D132" s="490" t="s">
        <v>205</v>
      </c>
      <c r="E132" s="594"/>
      <c r="F132" s="490"/>
      <c r="G132" s="806"/>
      <c r="H132" s="914"/>
      <c r="I132" s="915"/>
      <c r="J132" s="613">
        <f t="shared" si="10"/>
        <v>0</v>
      </c>
      <c r="K132" s="614">
        <f t="shared" ref="K132:K137" si="11">+G132-I132</f>
        <v>0</v>
      </c>
      <c r="L132" s="700"/>
      <c r="M132" s="167">
        <v>106</v>
      </c>
      <c r="N132" s="1361"/>
    </row>
    <row r="133" spans="1:14" ht="15">
      <c r="A133" s="346"/>
      <c r="B133" s="3756"/>
      <c r="C133" s="595"/>
      <c r="D133" s="596" t="s">
        <v>235</v>
      </c>
      <c r="E133" s="597"/>
      <c r="F133" s="596"/>
      <c r="G133" s="859"/>
      <c r="H133" s="916"/>
      <c r="I133" s="917"/>
      <c r="J133" s="615">
        <f t="shared" si="10"/>
        <v>0</v>
      </c>
      <c r="K133" s="616">
        <f t="shared" si="11"/>
        <v>0</v>
      </c>
      <c r="L133" s="700"/>
      <c r="M133" s="167">
        <v>107</v>
      </c>
      <c r="N133" s="1362"/>
    </row>
    <row r="134" spans="1:14" ht="15">
      <c r="A134" s="346"/>
      <c r="B134" s="3756"/>
      <c r="C134" s="595"/>
      <c r="D134" s="596" t="s">
        <v>384</v>
      </c>
      <c r="E134" s="597"/>
      <c r="F134" s="596"/>
      <c r="G134" s="859"/>
      <c r="H134" s="916"/>
      <c r="I134" s="917"/>
      <c r="J134" s="615">
        <f t="shared" si="10"/>
        <v>0</v>
      </c>
      <c r="K134" s="616">
        <f t="shared" si="11"/>
        <v>0</v>
      </c>
      <c r="L134" s="700"/>
      <c r="M134" s="167">
        <v>108</v>
      </c>
      <c r="N134" s="1362"/>
    </row>
    <row r="135" spans="1:14" ht="15">
      <c r="A135" s="346"/>
      <c r="B135" s="3756"/>
      <c r="C135" s="595"/>
      <c r="D135" s="596" t="s">
        <v>257</v>
      </c>
      <c r="E135" s="597"/>
      <c r="F135" s="596"/>
      <c r="G135" s="859"/>
      <c r="H135" s="916"/>
      <c r="I135" s="917"/>
      <c r="J135" s="615">
        <f t="shared" si="10"/>
        <v>0</v>
      </c>
      <c r="K135" s="616">
        <f t="shared" si="11"/>
        <v>0</v>
      </c>
      <c r="L135" s="700"/>
      <c r="M135" s="167">
        <v>109</v>
      </c>
      <c r="N135" s="1362"/>
    </row>
    <row r="136" spans="1:14" ht="15">
      <c r="A136" s="346"/>
      <c r="B136" s="3756"/>
      <c r="C136" s="595"/>
      <c r="D136" s="596" t="s">
        <v>251</v>
      </c>
      <c r="E136" s="597"/>
      <c r="F136" s="596"/>
      <c r="G136" s="859"/>
      <c r="H136" s="916"/>
      <c r="I136" s="917"/>
      <c r="J136" s="615">
        <f t="shared" si="10"/>
        <v>0</v>
      </c>
      <c r="K136" s="616">
        <f t="shared" si="11"/>
        <v>0</v>
      </c>
      <c r="L136" s="700"/>
      <c r="M136" s="167">
        <v>110</v>
      </c>
      <c r="N136" s="1362"/>
    </row>
    <row r="137" spans="1:14" ht="15.75" thickBot="1">
      <c r="A137" s="346"/>
      <c r="B137" s="3755"/>
      <c r="C137" s="598"/>
      <c r="D137" s="599" t="s">
        <v>385</v>
      </c>
      <c r="E137" s="600"/>
      <c r="F137" s="599"/>
      <c r="G137" s="807"/>
      <c r="H137" s="918"/>
      <c r="I137" s="919"/>
      <c r="J137" s="617">
        <f t="shared" si="10"/>
        <v>0</v>
      </c>
      <c r="K137" s="618">
        <f t="shared" si="11"/>
        <v>0</v>
      </c>
      <c r="L137" s="700"/>
      <c r="M137" s="167">
        <v>111</v>
      </c>
      <c r="N137" s="1363"/>
    </row>
    <row r="138" spans="1:14" ht="15">
      <c r="A138" s="346">
        <v>1</v>
      </c>
      <c r="B138" s="3754">
        <v>2247</v>
      </c>
      <c r="C138" s="595">
        <v>31305</v>
      </c>
      <c r="D138" s="596" t="s">
        <v>366</v>
      </c>
      <c r="E138" s="597"/>
      <c r="F138" s="596"/>
      <c r="G138" s="859"/>
      <c r="H138" s="916"/>
      <c r="I138" s="920"/>
      <c r="J138" s="615">
        <f t="shared" ref="J138:K195" si="12">+F138-H138</f>
        <v>0</v>
      </c>
      <c r="K138" s="860">
        <f t="shared" si="9"/>
        <v>0</v>
      </c>
      <c r="L138" s="700"/>
      <c r="M138" s="167">
        <v>112</v>
      </c>
      <c r="N138" s="1362"/>
    </row>
    <row r="139" spans="1:14" ht="15">
      <c r="A139" s="346">
        <v>2</v>
      </c>
      <c r="B139" s="3756"/>
      <c r="C139" s="595">
        <v>924614</v>
      </c>
      <c r="D139" s="596" t="s">
        <v>367</v>
      </c>
      <c r="E139" s="597"/>
      <c r="F139" s="596"/>
      <c r="G139" s="859"/>
      <c r="H139" s="916"/>
      <c r="I139" s="920"/>
      <c r="J139" s="615">
        <f t="shared" si="12"/>
        <v>0</v>
      </c>
      <c r="K139" s="860">
        <f t="shared" si="9"/>
        <v>0</v>
      </c>
      <c r="L139" s="700"/>
      <c r="M139" s="167">
        <v>113</v>
      </c>
      <c r="N139" s="1362"/>
    </row>
    <row r="140" spans="1:14" ht="15">
      <c r="A140" s="346">
        <v>3</v>
      </c>
      <c r="B140" s="3756"/>
      <c r="C140" s="595">
        <v>955448</v>
      </c>
      <c r="D140" s="596" t="s">
        <v>368</v>
      </c>
      <c r="E140" s="597"/>
      <c r="F140" s="596"/>
      <c r="G140" s="859"/>
      <c r="H140" s="916"/>
      <c r="I140" s="920"/>
      <c r="J140" s="615">
        <f t="shared" si="12"/>
        <v>0</v>
      </c>
      <c r="K140" s="860">
        <f t="shared" si="9"/>
        <v>0</v>
      </c>
      <c r="L140" s="700"/>
      <c r="M140" s="167">
        <v>114</v>
      </c>
      <c r="N140" s="1362"/>
    </row>
    <row r="141" spans="1:14" ht="15">
      <c r="A141" s="346">
        <v>4</v>
      </c>
      <c r="B141" s="3756"/>
      <c r="C141" s="595">
        <v>25093</v>
      </c>
      <c r="D141" s="596" t="s">
        <v>369</v>
      </c>
      <c r="E141" s="597"/>
      <c r="F141" s="596"/>
      <c r="G141" s="859"/>
      <c r="H141" s="916"/>
      <c r="I141" s="920"/>
      <c r="J141" s="615">
        <f t="shared" si="12"/>
        <v>0</v>
      </c>
      <c r="K141" s="860">
        <f t="shared" si="9"/>
        <v>0</v>
      </c>
      <c r="L141" s="700"/>
      <c r="M141" s="167">
        <v>115</v>
      </c>
      <c r="N141" s="1362"/>
    </row>
    <row r="142" spans="1:14" ht="15">
      <c r="A142" s="346">
        <v>5</v>
      </c>
      <c r="B142" s="3756"/>
      <c r="C142" s="595">
        <v>955838</v>
      </c>
      <c r="D142" s="596" t="s">
        <v>370</v>
      </c>
      <c r="E142" s="597"/>
      <c r="F142" s="596"/>
      <c r="G142" s="859"/>
      <c r="H142" s="916"/>
      <c r="I142" s="920"/>
      <c r="J142" s="615">
        <f t="shared" si="12"/>
        <v>0</v>
      </c>
      <c r="K142" s="860">
        <f t="shared" si="9"/>
        <v>0</v>
      </c>
      <c r="L142" s="700"/>
      <c r="M142" s="167">
        <v>116</v>
      </c>
      <c r="N142" s="1362"/>
    </row>
    <row r="143" spans="1:14" ht="15">
      <c r="A143" s="346">
        <v>6</v>
      </c>
      <c r="B143" s="3756"/>
      <c r="C143" s="595">
        <v>956560</v>
      </c>
      <c r="D143" s="596" t="s">
        <v>371</v>
      </c>
      <c r="E143" s="597"/>
      <c r="F143" s="596"/>
      <c r="G143" s="859"/>
      <c r="H143" s="916"/>
      <c r="I143" s="920"/>
      <c r="J143" s="615">
        <f t="shared" si="12"/>
        <v>0</v>
      </c>
      <c r="K143" s="860">
        <f t="shared" si="9"/>
        <v>0</v>
      </c>
      <c r="L143" s="700"/>
      <c r="M143" s="167">
        <v>117</v>
      </c>
      <c r="N143" s="1362"/>
    </row>
    <row r="144" spans="1:14" ht="15">
      <c r="A144" s="346">
        <v>7</v>
      </c>
      <c r="B144" s="3756"/>
      <c r="C144" s="595">
        <v>957821</v>
      </c>
      <c r="D144" s="596" t="s">
        <v>372</v>
      </c>
      <c r="E144" s="597"/>
      <c r="F144" s="596"/>
      <c r="G144" s="859"/>
      <c r="H144" s="916"/>
      <c r="I144" s="920"/>
      <c r="J144" s="615">
        <f t="shared" si="12"/>
        <v>0</v>
      </c>
      <c r="K144" s="860">
        <f t="shared" si="9"/>
        <v>0</v>
      </c>
      <c r="L144" s="700"/>
      <c r="M144" s="167">
        <v>118</v>
      </c>
      <c r="N144" s="1362"/>
    </row>
    <row r="145" spans="1:14" ht="15">
      <c r="A145" s="346">
        <v>8</v>
      </c>
      <c r="B145" s="3756"/>
      <c r="C145" s="595">
        <v>923224</v>
      </c>
      <c r="D145" s="596" t="s">
        <v>373</v>
      </c>
      <c r="E145" s="597"/>
      <c r="F145" s="596"/>
      <c r="G145" s="859"/>
      <c r="H145" s="916"/>
      <c r="I145" s="920"/>
      <c r="J145" s="615">
        <f t="shared" si="12"/>
        <v>0</v>
      </c>
      <c r="K145" s="860">
        <f t="shared" si="9"/>
        <v>0</v>
      </c>
      <c r="L145" s="700"/>
      <c r="M145" s="167">
        <v>119</v>
      </c>
      <c r="N145" s="1362"/>
    </row>
    <row r="146" spans="1:14" ht="15">
      <c r="A146" s="346">
        <v>9</v>
      </c>
      <c r="B146" s="3756"/>
      <c r="C146" s="595">
        <v>954686</v>
      </c>
      <c r="D146" s="596" t="s">
        <v>374</v>
      </c>
      <c r="E146" s="597"/>
      <c r="F146" s="596"/>
      <c r="G146" s="859"/>
      <c r="H146" s="916"/>
      <c r="I146" s="920"/>
      <c r="J146" s="615">
        <f t="shared" si="12"/>
        <v>0</v>
      </c>
      <c r="K146" s="860">
        <f t="shared" si="9"/>
        <v>0</v>
      </c>
      <c r="L146" s="700"/>
      <c r="M146" s="167">
        <v>120</v>
      </c>
      <c r="N146" s="1362"/>
    </row>
    <row r="147" spans="1:14" ht="15">
      <c r="A147" s="346">
        <v>10</v>
      </c>
      <c r="B147" s="3756"/>
      <c r="C147" s="595">
        <v>956236</v>
      </c>
      <c r="D147" s="596" t="s">
        <v>375</v>
      </c>
      <c r="E147" s="597"/>
      <c r="F147" s="596"/>
      <c r="G147" s="859"/>
      <c r="H147" s="916"/>
      <c r="I147" s="920"/>
      <c r="J147" s="615">
        <f t="shared" si="12"/>
        <v>0</v>
      </c>
      <c r="K147" s="860">
        <f t="shared" si="9"/>
        <v>0</v>
      </c>
      <c r="L147" s="700"/>
      <c r="M147" s="167">
        <v>121</v>
      </c>
      <c r="N147" s="1362"/>
    </row>
    <row r="148" spans="1:14" ht="15">
      <c r="A148" s="346">
        <v>11</v>
      </c>
      <c r="B148" s="3756"/>
      <c r="C148" s="595">
        <v>957810</v>
      </c>
      <c r="D148" s="596" t="s">
        <v>376</v>
      </c>
      <c r="E148" s="597"/>
      <c r="F148" s="596"/>
      <c r="G148" s="859"/>
      <c r="H148" s="916"/>
      <c r="I148" s="920"/>
      <c r="J148" s="615">
        <f t="shared" si="12"/>
        <v>0</v>
      </c>
      <c r="K148" s="860">
        <f t="shared" si="9"/>
        <v>0</v>
      </c>
      <c r="L148" s="700"/>
      <c r="M148" s="167">
        <v>122</v>
      </c>
      <c r="N148" s="1362"/>
    </row>
    <row r="149" spans="1:14" ht="15">
      <c r="A149" s="346">
        <v>12</v>
      </c>
      <c r="B149" s="3756"/>
      <c r="C149" s="595">
        <v>30822</v>
      </c>
      <c r="D149" s="596" t="s">
        <v>377</v>
      </c>
      <c r="E149" s="597"/>
      <c r="F149" s="596"/>
      <c r="G149" s="859"/>
      <c r="H149" s="916"/>
      <c r="I149" s="920"/>
      <c r="J149" s="615">
        <f t="shared" si="12"/>
        <v>0</v>
      </c>
      <c r="K149" s="860">
        <f t="shared" si="9"/>
        <v>0</v>
      </c>
      <c r="L149" s="700"/>
      <c r="M149" s="167">
        <v>123</v>
      </c>
      <c r="N149" s="1362"/>
    </row>
    <row r="150" spans="1:14" ht="15">
      <c r="A150" s="346">
        <v>13</v>
      </c>
      <c r="B150" s="3756"/>
      <c r="C150" s="595">
        <v>952452</v>
      </c>
      <c r="D150" s="596" t="s">
        <v>378</v>
      </c>
      <c r="E150" s="597"/>
      <c r="F150" s="596"/>
      <c r="G150" s="859"/>
      <c r="H150" s="916"/>
      <c r="I150" s="920"/>
      <c r="J150" s="615">
        <f t="shared" si="12"/>
        <v>0</v>
      </c>
      <c r="K150" s="860">
        <f t="shared" si="9"/>
        <v>0</v>
      </c>
      <c r="L150" s="700"/>
      <c r="M150" s="167">
        <v>124</v>
      </c>
      <c r="N150" s="1362"/>
    </row>
    <row r="151" spans="1:14" ht="15">
      <c r="A151" s="346">
        <v>14</v>
      </c>
      <c r="B151" s="3756"/>
      <c r="C151" s="595">
        <v>951497</v>
      </c>
      <c r="D151" s="596" t="s">
        <v>379</v>
      </c>
      <c r="E151" s="597"/>
      <c r="F151" s="596"/>
      <c r="G151" s="859"/>
      <c r="H151" s="916"/>
      <c r="I151" s="920"/>
      <c r="J151" s="615">
        <f t="shared" si="12"/>
        <v>0</v>
      </c>
      <c r="K151" s="860">
        <f t="shared" si="9"/>
        <v>0</v>
      </c>
      <c r="L151" s="700"/>
      <c r="M151" s="167">
        <v>125</v>
      </c>
      <c r="N151" s="1362"/>
    </row>
    <row r="152" spans="1:14" ht="15">
      <c r="A152" s="346">
        <v>15</v>
      </c>
      <c r="B152" s="3756"/>
      <c r="C152" s="595">
        <v>5592</v>
      </c>
      <c r="D152" s="596" t="s">
        <v>380</v>
      </c>
      <c r="E152" s="597"/>
      <c r="F152" s="596"/>
      <c r="G152" s="859"/>
      <c r="H152" s="916"/>
      <c r="I152" s="920"/>
      <c r="J152" s="615">
        <f t="shared" si="12"/>
        <v>0</v>
      </c>
      <c r="K152" s="860">
        <f t="shared" si="9"/>
        <v>0</v>
      </c>
      <c r="L152" s="700"/>
      <c r="M152" s="167">
        <v>126</v>
      </c>
      <c r="N152" s="1362"/>
    </row>
    <row r="153" spans="1:14" ht="15">
      <c r="A153" s="346">
        <v>16</v>
      </c>
      <c r="B153" s="3756"/>
      <c r="C153" s="595">
        <v>952296</v>
      </c>
      <c r="D153" s="596" t="s">
        <v>381</v>
      </c>
      <c r="E153" s="597"/>
      <c r="F153" s="596"/>
      <c r="G153" s="859"/>
      <c r="H153" s="916"/>
      <c r="I153" s="920"/>
      <c r="J153" s="615">
        <f t="shared" si="12"/>
        <v>0</v>
      </c>
      <c r="K153" s="860">
        <f t="shared" si="9"/>
        <v>0</v>
      </c>
      <c r="L153" s="700"/>
      <c r="M153" s="167">
        <v>127</v>
      </c>
      <c r="N153" s="1362"/>
    </row>
    <row r="154" spans="1:14" ht="15">
      <c r="A154" s="346">
        <v>17</v>
      </c>
      <c r="B154" s="3756"/>
      <c r="C154" s="595">
        <v>952311</v>
      </c>
      <c r="D154" s="596" t="s">
        <v>382</v>
      </c>
      <c r="E154" s="597"/>
      <c r="F154" s="596"/>
      <c r="G154" s="859"/>
      <c r="H154" s="916"/>
      <c r="I154" s="920"/>
      <c r="J154" s="615">
        <f t="shared" si="12"/>
        <v>0</v>
      </c>
      <c r="K154" s="860">
        <f t="shared" si="9"/>
        <v>0</v>
      </c>
      <c r="L154" s="700"/>
      <c r="M154" s="167">
        <v>128</v>
      </c>
      <c r="N154" s="1362"/>
    </row>
    <row r="155" spans="1:14" ht="15.75" thickBot="1">
      <c r="A155" s="346">
        <v>18</v>
      </c>
      <c r="B155" s="3755"/>
      <c r="C155" s="595">
        <v>953334</v>
      </c>
      <c r="D155" s="596" t="s">
        <v>383</v>
      </c>
      <c r="E155" s="597"/>
      <c r="F155" s="596"/>
      <c r="G155" s="859"/>
      <c r="H155" s="916"/>
      <c r="I155" s="920"/>
      <c r="J155" s="615">
        <f t="shared" si="12"/>
        <v>0</v>
      </c>
      <c r="K155" s="860">
        <f t="shared" si="9"/>
        <v>0</v>
      </c>
      <c r="L155" s="700"/>
      <c r="M155" s="167">
        <v>129</v>
      </c>
      <c r="N155" s="1362"/>
    </row>
    <row r="156" spans="1:14" ht="15">
      <c r="A156" s="346"/>
      <c r="B156" s="3743">
        <v>2477</v>
      </c>
      <c r="C156" s="1601">
        <v>926663</v>
      </c>
      <c r="D156" s="1602" t="s">
        <v>210</v>
      </c>
      <c r="E156" s="1603">
        <v>2442</v>
      </c>
      <c r="F156" s="1602"/>
      <c r="G156" s="1604"/>
      <c r="H156" s="1605"/>
      <c r="I156" s="1606"/>
      <c r="J156" s="1607">
        <f t="shared" si="12"/>
        <v>0</v>
      </c>
      <c r="K156" s="1584">
        <f t="shared" si="9"/>
        <v>0</v>
      </c>
      <c r="L156" s="700"/>
      <c r="M156" s="167">
        <v>130</v>
      </c>
      <c r="N156" s="1361"/>
    </row>
    <row r="157" spans="1:14" ht="15">
      <c r="A157" s="346"/>
      <c r="B157" s="3744"/>
      <c r="C157" s="1608">
        <v>951772</v>
      </c>
      <c r="D157" s="1595" t="s">
        <v>211</v>
      </c>
      <c r="E157" s="1609">
        <v>2383</v>
      </c>
      <c r="F157" s="1595"/>
      <c r="G157" s="1610"/>
      <c r="H157" s="1597"/>
      <c r="I157" s="1598"/>
      <c r="J157" s="1599">
        <f t="shared" si="12"/>
        <v>0</v>
      </c>
      <c r="K157" s="1592">
        <f t="shared" si="9"/>
        <v>0</v>
      </c>
      <c r="L157" s="700"/>
      <c r="M157" s="167">
        <v>131</v>
      </c>
      <c r="N157" s="1362"/>
    </row>
    <row r="158" spans="1:14" ht="15">
      <c r="A158" s="346"/>
      <c r="B158" s="3744"/>
      <c r="C158" s="1608">
        <v>955878</v>
      </c>
      <c r="D158" s="1595" t="s">
        <v>393</v>
      </c>
      <c r="E158" s="1609">
        <v>2878</v>
      </c>
      <c r="F158" s="1595"/>
      <c r="G158" s="1610"/>
      <c r="H158" s="1597"/>
      <c r="I158" s="1598"/>
      <c r="J158" s="1599">
        <f t="shared" si="12"/>
        <v>0</v>
      </c>
      <c r="K158" s="1592">
        <f t="shared" si="9"/>
        <v>0</v>
      </c>
      <c r="L158" s="700"/>
      <c r="M158" s="167">
        <v>132</v>
      </c>
      <c r="N158" s="1362"/>
    </row>
    <row r="159" spans="1:14" ht="15.75" thickBot="1">
      <c r="A159" s="346"/>
      <c r="B159" s="3745"/>
      <c r="C159" s="1611">
        <v>956244</v>
      </c>
      <c r="D159" s="1612" t="s">
        <v>256</v>
      </c>
      <c r="E159" s="1613">
        <v>1714</v>
      </c>
      <c r="F159" s="1612"/>
      <c r="G159" s="1614"/>
      <c r="H159" s="1615"/>
      <c r="I159" s="1616"/>
      <c r="J159" s="1617">
        <f t="shared" si="12"/>
        <v>0</v>
      </c>
      <c r="K159" s="1593">
        <f t="shared" si="9"/>
        <v>0</v>
      </c>
      <c r="L159" s="700"/>
      <c r="M159" s="167">
        <v>133</v>
      </c>
      <c r="N159" s="1363"/>
    </row>
    <row r="160" spans="1:14" ht="15">
      <c r="A160" s="346"/>
      <c r="B160" s="3746">
        <v>2547</v>
      </c>
      <c r="C160" s="865">
        <v>955511</v>
      </c>
      <c r="D160" s="938" t="s">
        <v>396</v>
      </c>
      <c r="E160" s="806">
        <v>2876</v>
      </c>
      <c r="F160" s="970"/>
      <c r="G160" s="943"/>
      <c r="H160" s="946"/>
      <c r="I160" s="947"/>
      <c r="J160" s="939">
        <f t="shared" si="12"/>
        <v>0</v>
      </c>
      <c r="K160" s="940">
        <f t="shared" si="9"/>
        <v>0</v>
      </c>
      <c r="L160" s="700"/>
      <c r="M160" s="167">
        <v>134</v>
      </c>
      <c r="N160" s="1361"/>
    </row>
    <row r="161" spans="1:14" ht="15">
      <c r="A161" s="346"/>
      <c r="B161" s="3747"/>
      <c r="C161" s="963">
        <v>952831</v>
      </c>
      <c r="D161" s="640" t="s">
        <v>258</v>
      </c>
      <c r="E161" s="859">
        <v>2252</v>
      </c>
      <c r="F161" s="971"/>
      <c r="G161" s="945"/>
      <c r="H161" s="948"/>
      <c r="I161" s="949"/>
      <c r="J161" s="937">
        <f t="shared" si="12"/>
        <v>0</v>
      </c>
      <c r="K161" s="941">
        <f t="shared" si="9"/>
        <v>0</v>
      </c>
      <c r="L161" s="700"/>
      <c r="M161" s="167">
        <v>135</v>
      </c>
      <c r="N161" s="1362"/>
    </row>
    <row r="162" spans="1:14" ht="15">
      <c r="A162" s="346"/>
      <c r="B162" s="3747"/>
      <c r="C162" s="963">
        <v>926065</v>
      </c>
      <c r="D162" s="1691" t="s">
        <v>397</v>
      </c>
      <c r="E162" s="1692">
        <v>676</v>
      </c>
      <c r="F162" s="1693"/>
      <c r="G162" s="1694"/>
      <c r="H162" s="1695"/>
      <c r="I162" s="1696"/>
      <c r="J162" s="1697">
        <f t="shared" si="12"/>
        <v>0</v>
      </c>
      <c r="K162" s="1698">
        <f t="shared" si="9"/>
        <v>0</v>
      </c>
      <c r="L162" s="700"/>
      <c r="M162" s="167">
        <v>136</v>
      </c>
      <c r="N162" s="1362"/>
    </row>
    <row r="163" spans="1:14" ht="15">
      <c r="A163" s="346"/>
      <c r="B163" s="3747"/>
      <c r="C163" s="963">
        <v>953744</v>
      </c>
      <c r="D163" s="1691" t="s">
        <v>398</v>
      </c>
      <c r="E163" s="1692">
        <v>2267</v>
      </c>
      <c r="F163" s="1693"/>
      <c r="G163" s="1694"/>
      <c r="H163" s="1695"/>
      <c r="I163" s="1696"/>
      <c r="J163" s="1697">
        <f t="shared" si="12"/>
        <v>0</v>
      </c>
      <c r="K163" s="1698">
        <f t="shared" si="9"/>
        <v>0</v>
      </c>
      <c r="L163" s="700"/>
      <c r="M163" s="167">
        <v>137</v>
      </c>
      <c r="N163" s="1362"/>
    </row>
    <row r="164" spans="1:14" ht="15">
      <c r="A164" s="346"/>
      <c r="B164" s="3747"/>
      <c r="C164" s="963">
        <v>953084</v>
      </c>
      <c r="D164" s="1691" t="s">
        <v>304</v>
      </c>
      <c r="E164" s="1692">
        <v>2626</v>
      </c>
      <c r="F164" s="1693"/>
      <c r="G164" s="1694"/>
      <c r="H164" s="1695"/>
      <c r="I164" s="1696"/>
      <c r="J164" s="1697">
        <f t="shared" si="12"/>
        <v>0</v>
      </c>
      <c r="K164" s="1698">
        <f t="shared" si="9"/>
        <v>0</v>
      </c>
      <c r="L164" s="700"/>
      <c r="M164" s="167">
        <v>138</v>
      </c>
      <c r="N164" s="1362"/>
    </row>
    <row r="165" spans="1:14" ht="15.75" thickBot="1">
      <c r="A165" s="346"/>
      <c r="B165" s="3747"/>
      <c r="C165" s="963">
        <v>957803</v>
      </c>
      <c r="D165" s="1691" t="s">
        <v>305</v>
      </c>
      <c r="E165" s="1699">
        <v>2941</v>
      </c>
      <c r="F165" s="1693"/>
      <c r="G165" s="1694"/>
      <c r="H165" s="1695"/>
      <c r="I165" s="1696"/>
      <c r="J165" s="1697">
        <f t="shared" si="12"/>
        <v>0</v>
      </c>
      <c r="K165" s="1698">
        <f t="shared" si="9"/>
        <v>0</v>
      </c>
      <c r="L165" s="700"/>
      <c r="M165" s="167">
        <v>139</v>
      </c>
      <c r="N165" s="1363"/>
    </row>
    <row r="166" spans="1:14" ht="15.75" thickBot="1">
      <c r="A166" s="346"/>
      <c r="B166" s="1014">
        <v>2602</v>
      </c>
      <c r="C166" s="1015">
        <v>924717</v>
      </c>
      <c r="D166" s="1700" t="s">
        <v>447</v>
      </c>
      <c r="E166" s="1701">
        <v>948</v>
      </c>
      <c r="F166" s="1702"/>
      <c r="G166" s="1701"/>
      <c r="H166" s="1703"/>
      <c r="I166" s="1704"/>
      <c r="J166" s="1705">
        <f t="shared" si="12"/>
        <v>0</v>
      </c>
      <c r="K166" s="1706">
        <f t="shared" si="9"/>
        <v>0</v>
      </c>
      <c r="L166" s="700"/>
      <c r="M166" s="167">
        <v>140</v>
      </c>
      <c r="N166" s="1362"/>
    </row>
    <row r="167" spans="1:14" ht="15">
      <c r="A167" s="346"/>
      <c r="B167" s="3754">
        <v>2751</v>
      </c>
      <c r="C167" s="596"/>
      <c r="D167" s="1693" t="s">
        <v>406</v>
      </c>
      <c r="E167" s="1626"/>
      <c r="F167" s="1707"/>
      <c r="G167" s="1693"/>
      <c r="H167" s="1708"/>
      <c r="I167" s="1696"/>
      <c r="J167" s="1697">
        <f t="shared" si="12"/>
        <v>0</v>
      </c>
      <c r="K167" s="1698">
        <f t="shared" si="9"/>
        <v>0</v>
      </c>
      <c r="L167" s="700"/>
      <c r="M167" s="167">
        <v>141</v>
      </c>
      <c r="N167" s="1361"/>
    </row>
    <row r="168" spans="1:14" ht="15">
      <c r="A168" s="346"/>
      <c r="B168" s="3756"/>
      <c r="C168" s="596"/>
      <c r="D168" s="1693" t="s">
        <v>407</v>
      </c>
      <c r="E168" s="1626"/>
      <c r="F168" s="1707"/>
      <c r="G168" s="1693"/>
      <c r="H168" s="1708"/>
      <c r="I168" s="1696"/>
      <c r="J168" s="1697">
        <f t="shared" si="12"/>
        <v>0</v>
      </c>
      <c r="K168" s="1698">
        <f t="shared" si="9"/>
        <v>0</v>
      </c>
      <c r="L168" s="700"/>
      <c r="M168" s="167">
        <v>142</v>
      </c>
      <c r="N168" s="1362"/>
    </row>
    <row r="169" spans="1:14" ht="15">
      <c r="A169" s="346"/>
      <c r="B169" s="3756"/>
      <c r="C169" s="596"/>
      <c r="D169" s="1693" t="s">
        <v>408</v>
      </c>
      <c r="E169" s="1626"/>
      <c r="F169" s="1707"/>
      <c r="G169" s="1693"/>
      <c r="H169" s="1708"/>
      <c r="I169" s="1696"/>
      <c r="J169" s="1697">
        <f t="shared" si="12"/>
        <v>0</v>
      </c>
      <c r="K169" s="1698">
        <f t="shared" si="9"/>
        <v>0</v>
      </c>
      <c r="L169" s="700"/>
      <c r="M169" s="167">
        <v>143</v>
      </c>
      <c r="N169" s="1362"/>
    </row>
    <row r="170" spans="1:14" ht="15">
      <c r="A170" s="346"/>
      <c r="B170" s="3756"/>
      <c r="C170" s="596"/>
      <c r="D170" s="1693" t="s">
        <v>409</v>
      </c>
      <c r="E170" s="1626"/>
      <c r="F170" s="1707"/>
      <c r="G170" s="1693"/>
      <c r="H170" s="1708"/>
      <c r="I170" s="1696"/>
      <c r="J170" s="1697">
        <f t="shared" si="12"/>
        <v>0</v>
      </c>
      <c r="K170" s="1698">
        <f t="shared" si="9"/>
        <v>0</v>
      </c>
      <c r="L170" s="700"/>
      <c r="M170" s="167">
        <v>144</v>
      </c>
      <c r="N170" s="1362"/>
    </row>
    <row r="171" spans="1:14" ht="15">
      <c r="A171" s="346"/>
      <c r="B171" s="3756"/>
      <c r="C171" s="596"/>
      <c r="D171" s="1693" t="s">
        <v>215</v>
      </c>
      <c r="E171" s="1626"/>
      <c r="F171" s="1707"/>
      <c r="G171" s="1693"/>
      <c r="H171" s="1708"/>
      <c r="I171" s="1696"/>
      <c r="J171" s="1697">
        <f t="shared" si="12"/>
        <v>0</v>
      </c>
      <c r="K171" s="1698">
        <f t="shared" si="9"/>
        <v>0</v>
      </c>
      <c r="L171" s="700"/>
      <c r="M171" s="167">
        <v>145</v>
      </c>
      <c r="N171" s="1362"/>
    </row>
    <row r="172" spans="1:14" ht="15">
      <c r="A172" s="346"/>
      <c r="B172" s="3756"/>
      <c r="C172" s="596"/>
      <c r="D172" s="1693" t="s">
        <v>410</v>
      </c>
      <c r="E172" s="1626"/>
      <c r="F172" s="1707"/>
      <c r="G172" s="1693"/>
      <c r="H172" s="1708"/>
      <c r="I172" s="1696"/>
      <c r="J172" s="1697">
        <f t="shared" si="12"/>
        <v>0</v>
      </c>
      <c r="K172" s="1698">
        <f t="shared" si="9"/>
        <v>0</v>
      </c>
      <c r="L172" s="700"/>
      <c r="M172" s="167">
        <v>146</v>
      </c>
      <c r="N172" s="1362"/>
    </row>
    <row r="173" spans="1:14" ht="15">
      <c r="A173" s="346"/>
      <c r="B173" s="3756"/>
      <c r="C173" s="596"/>
      <c r="D173" s="1693" t="s">
        <v>411</v>
      </c>
      <c r="E173" s="1626"/>
      <c r="F173" s="1707"/>
      <c r="G173" s="1693"/>
      <c r="H173" s="1708"/>
      <c r="I173" s="1696"/>
      <c r="J173" s="1697">
        <f t="shared" si="12"/>
        <v>0</v>
      </c>
      <c r="K173" s="1698">
        <f t="shared" si="9"/>
        <v>0</v>
      </c>
      <c r="L173" s="700"/>
      <c r="M173" s="167">
        <v>147</v>
      </c>
      <c r="N173" s="1362"/>
    </row>
    <row r="174" spans="1:14" ht="15.75" thickBot="1">
      <c r="A174" s="346"/>
      <c r="B174" s="3755"/>
      <c r="C174" s="596"/>
      <c r="D174" s="1693" t="s">
        <v>326</v>
      </c>
      <c r="E174" s="1709"/>
      <c r="F174" s="1710"/>
      <c r="G174" s="1711"/>
      <c r="H174" s="1712"/>
      <c r="I174" s="1713"/>
      <c r="J174" s="1714">
        <f t="shared" si="12"/>
        <v>0</v>
      </c>
      <c r="K174" s="1715">
        <f t="shared" si="9"/>
        <v>0</v>
      </c>
      <c r="L174" s="700"/>
      <c r="M174" s="167">
        <v>148</v>
      </c>
      <c r="N174" s="1363"/>
    </row>
    <row r="175" spans="1:14" ht="15">
      <c r="A175" s="346"/>
      <c r="B175" s="3756">
        <v>2794</v>
      </c>
      <c r="C175" s="490"/>
      <c r="D175" s="1716" t="s">
        <v>418</v>
      </c>
      <c r="E175" s="1717"/>
      <c r="F175" s="1718"/>
      <c r="G175" s="1719"/>
      <c r="H175" s="1720"/>
      <c r="I175" s="1721"/>
      <c r="J175" s="1722">
        <f t="shared" si="12"/>
        <v>0</v>
      </c>
      <c r="K175" s="1723">
        <f t="shared" si="9"/>
        <v>0</v>
      </c>
      <c r="L175" s="700"/>
      <c r="M175" s="167">
        <v>149</v>
      </c>
      <c r="N175" s="1361"/>
    </row>
    <row r="176" spans="1:14" ht="15">
      <c r="A176" s="346"/>
      <c r="B176" s="3756"/>
      <c r="C176" s="596"/>
      <c r="D176" s="1693" t="s">
        <v>419</v>
      </c>
      <c r="E176" s="1692"/>
      <c r="F176" s="1707"/>
      <c r="G176" s="1691"/>
      <c r="H176" s="1695"/>
      <c r="I176" s="1708"/>
      <c r="J176" s="837">
        <f t="shared" si="12"/>
        <v>0</v>
      </c>
      <c r="K176" s="1698">
        <f t="shared" si="9"/>
        <v>0</v>
      </c>
      <c r="L176" s="700"/>
      <c r="M176" s="167">
        <v>150</v>
      </c>
      <c r="N176" s="1362"/>
    </row>
    <row r="177" spans="1:14" ht="15">
      <c r="A177" s="346"/>
      <c r="B177" s="3756"/>
      <c r="C177" s="596"/>
      <c r="D177" s="1693" t="s">
        <v>420</v>
      </c>
      <c r="E177" s="1692"/>
      <c r="F177" s="1707"/>
      <c r="G177" s="1691"/>
      <c r="H177" s="1695"/>
      <c r="I177" s="1708"/>
      <c r="J177" s="837">
        <f t="shared" si="12"/>
        <v>0</v>
      </c>
      <c r="K177" s="1698">
        <f t="shared" si="9"/>
        <v>0</v>
      </c>
      <c r="L177" s="700"/>
      <c r="M177" s="167">
        <v>151</v>
      </c>
      <c r="N177" s="1362"/>
    </row>
    <row r="178" spans="1:14" ht="15">
      <c r="A178" s="346"/>
      <c r="B178" s="3756"/>
      <c r="C178" s="596"/>
      <c r="D178" s="1693" t="s">
        <v>421</v>
      </c>
      <c r="E178" s="1692"/>
      <c r="F178" s="1707"/>
      <c r="G178" s="1691"/>
      <c r="H178" s="1695"/>
      <c r="I178" s="1708"/>
      <c r="J178" s="837">
        <f t="shared" si="12"/>
        <v>0</v>
      </c>
      <c r="K178" s="1698">
        <f t="shared" si="9"/>
        <v>0</v>
      </c>
      <c r="L178" s="700"/>
      <c r="M178" s="167">
        <v>152</v>
      </c>
      <c r="N178" s="1362"/>
    </row>
    <row r="179" spans="1:14" ht="15">
      <c r="A179" s="346"/>
      <c r="B179" s="3756"/>
      <c r="C179" s="1594"/>
      <c r="D179" s="1724" t="s">
        <v>422</v>
      </c>
      <c r="E179" s="1724"/>
      <c r="F179" s="1631"/>
      <c r="G179" s="1632"/>
      <c r="H179" s="1725"/>
      <c r="I179" s="1726"/>
      <c r="J179" s="1636">
        <f t="shared" si="12"/>
        <v>0</v>
      </c>
      <c r="K179" s="1637">
        <f t="shared" si="9"/>
        <v>0</v>
      </c>
      <c r="L179" s="1600"/>
      <c r="M179" s="167">
        <v>153</v>
      </c>
      <c r="N179" s="1362"/>
    </row>
    <row r="180" spans="1:14" ht="15">
      <c r="A180" s="346"/>
      <c r="B180" s="3756"/>
      <c r="C180" s="596"/>
      <c r="D180" s="1693" t="s">
        <v>423</v>
      </c>
      <c r="E180" s="1692"/>
      <c r="F180" s="1707"/>
      <c r="G180" s="1691"/>
      <c r="H180" s="1695"/>
      <c r="I180" s="1708"/>
      <c r="J180" s="837">
        <f t="shared" si="12"/>
        <v>0</v>
      </c>
      <c r="K180" s="1698">
        <f t="shared" si="9"/>
        <v>0</v>
      </c>
      <c r="L180" s="700"/>
      <c r="M180" s="167">
        <v>154</v>
      </c>
      <c r="N180" s="1362"/>
    </row>
    <row r="181" spans="1:14" ht="15">
      <c r="A181" s="346"/>
      <c r="B181" s="3756"/>
      <c r="C181" s="596"/>
      <c r="D181" s="1693" t="s">
        <v>424</v>
      </c>
      <c r="E181" s="1692"/>
      <c r="F181" s="1707"/>
      <c r="G181" s="1691"/>
      <c r="H181" s="1695"/>
      <c r="I181" s="1708"/>
      <c r="J181" s="837">
        <f t="shared" si="12"/>
        <v>0</v>
      </c>
      <c r="K181" s="1698">
        <f t="shared" si="9"/>
        <v>0</v>
      </c>
      <c r="L181" s="700"/>
      <c r="M181" s="167">
        <v>155</v>
      </c>
      <c r="N181" s="1362"/>
    </row>
    <row r="182" spans="1:14" ht="15">
      <c r="A182" s="346"/>
      <c r="B182" s="3756"/>
      <c r="C182" s="596"/>
      <c r="D182" s="1693" t="s">
        <v>425</v>
      </c>
      <c r="E182" s="1692"/>
      <c r="F182" s="1707"/>
      <c r="G182" s="1691"/>
      <c r="H182" s="1695"/>
      <c r="I182" s="1708"/>
      <c r="J182" s="837">
        <f t="shared" si="12"/>
        <v>0</v>
      </c>
      <c r="K182" s="1698">
        <f t="shared" si="9"/>
        <v>0</v>
      </c>
      <c r="L182" s="700"/>
      <c r="M182" s="167">
        <v>156</v>
      </c>
      <c r="N182" s="1362"/>
    </row>
    <row r="183" spans="1:14" ht="15">
      <c r="A183" s="346"/>
      <c r="B183" s="3756"/>
      <c r="C183" s="596"/>
      <c r="D183" s="1693" t="s">
        <v>426</v>
      </c>
      <c r="E183" s="1692"/>
      <c r="F183" s="1707"/>
      <c r="G183" s="1691"/>
      <c r="H183" s="1695"/>
      <c r="I183" s="1708"/>
      <c r="J183" s="837">
        <f t="shared" si="12"/>
        <v>0</v>
      </c>
      <c r="K183" s="1698">
        <f t="shared" si="12"/>
        <v>0</v>
      </c>
      <c r="L183" s="700"/>
      <c r="M183" s="167">
        <v>157</v>
      </c>
      <c r="N183" s="1362"/>
    </row>
    <row r="184" spans="1:14" ht="15">
      <c r="A184" s="346"/>
      <c r="B184" s="3756"/>
      <c r="C184" s="596"/>
      <c r="D184" s="971" t="s">
        <v>427</v>
      </c>
      <c r="E184" s="859"/>
      <c r="F184" s="944"/>
      <c r="G184" s="640"/>
      <c r="H184" s="948"/>
      <c r="I184" s="936"/>
      <c r="J184" s="985">
        <f t="shared" si="12"/>
        <v>0</v>
      </c>
      <c r="K184" s="941">
        <f t="shared" si="12"/>
        <v>0</v>
      </c>
      <c r="L184" s="700"/>
      <c r="M184" s="167">
        <v>158</v>
      </c>
      <c r="N184" s="1362"/>
    </row>
    <row r="185" spans="1:14" ht="15">
      <c r="A185" s="346"/>
      <c r="B185" s="3756"/>
      <c r="C185" s="596"/>
      <c r="D185" s="971" t="s">
        <v>428</v>
      </c>
      <c r="E185" s="859"/>
      <c r="F185" s="944"/>
      <c r="G185" s="640"/>
      <c r="H185" s="948"/>
      <c r="I185" s="936"/>
      <c r="J185" s="985">
        <f t="shared" si="12"/>
        <v>0</v>
      </c>
      <c r="K185" s="941">
        <f t="shared" si="12"/>
        <v>0</v>
      </c>
      <c r="L185" s="700"/>
      <c r="M185" s="167">
        <v>159</v>
      </c>
      <c r="N185" s="1362"/>
    </row>
    <row r="186" spans="1:14" ht="15">
      <c r="A186" s="346"/>
      <c r="B186" s="3756"/>
      <c r="C186" s="596"/>
      <c r="D186" s="971" t="s">
        <v>429</v>
      </c>
      <c r="E186" s="859"/>
      <c r="F186" s="944"/>
      <c r="G186" s="640"/>
      <c r="H186" s="948"/>
      <c r="I186" s="936"/>
      <c r="J186" s="985">
        <f t="shared" si="12"/>
        <v>0</v>
      </c>
      <c r="K186" s="941">
        <f t="shared" si="12"/>
        <v>0</v>
      </c>
      <c r="L186" s="700"/>
      <c r="M186" s="167">
        <v>160</v>
      </c>
      <c r="N186" s="1362"/>
    </row>
    <row r="187" spans="1:14" ht="15">
      <c r="A187" s="346"/>
      <c r="B187" s="3756"/>
      <c r="C187" s="596"/>
      <c r="D187" s="971" t="s">
        <v>430</v>
      </c>
      <c r="E187" s="859"/>
      <c r="F187" s="944"/>
      <c r="G187" s="640"/>
      <c r="H187" s="948"/>
      <c r="I187" s="936"/>
      <c r="J187" s="985">
        <f t="shared" si="12"/>
        <v>0</v>
      </c>
      <c r="K187" s="941">
        <f t="shared" si="12"/>
        <v>0</v>
      </c>
      <c r="L187" s="700"/>
      <c r="M187" s="167">
        <v>161</v>
      </c>
      <c r="N187" s="1362"/>
    </row>
    <row r="188" spans="1:14" ht="15">
      <c r="A188" s="346"/>
      <c r="B188" s="3756"/>
      <c r="C188" s="596"/>
      <c r="D188" s="971" t="s">
        <v>431</v>
      </c>
      <c r="E188" s="859"/>
      <c r="F188" s="944"/>
      <c r="G188" s="640"/>
      <c r="H188" s="948"/>
      <c r="I188" s="936"/>
      <c r="J188" s="985">
        <f t="shared" si="12"/>
        <v>0</v>
      </c>
      <c r="K188" s="941">
        <f t="shared" si="12"/>
        <v>0</v>
      </c>
      <c r="L188" s="700"/>
      <c r="M188" s="167">
        <v>162</v>
      </c>
      <c r="N188" s="1362"/>
    </row>
    <row r="189" spans="1:14" ht="15">
      <c r="A189" s="346"/>
      <c r="B189" s="3756"/>
      <c r="C189" s="596"/>
      <c r="D189" s="971" t="s">
        <v>432</v>
      </c>
      <c r="E189" s="859"/>
      <c r="F189" s="944"/>
      <c r="G189" s="640"/>
      <c r="H189" s="948"/>
      <c r="I189" s="936"/>
      <c r="J189" s="985">
        <f t="shared" si="12"/>
        <v>0</v>
      </c>
      <c r="K189" s="941">
        <f t="shared" si="12"/>
        <v>0</v>
      </c>
      <c r="L189" s="700"/>
      <c r="M189" s="167">
        <v>163</v>
      </c>
      <c r="N189" s="1362"/>
    </row>
    <row r="190" spans="1:14" ht="15">
      <c r="A190" s="346"/>
      <c r="B190" s="3756"/>
      <c r="C190" s="596"/>
      <c r="D190" s="971" t="s">
        <v>214</v>
      </c>
      <c r="E190" s="859"/>
      <c r="F190" s="944"/>
      <c r="G190" s="640"/>
      <c r="H190" s="948"/>
      <c r="I190" s="936"/>
      <c r="J190" s="985">
        <f t="shared" si="12"/>
        <v>0</v>
      </c>
      <c r="K190" s="941">
        <f t="shared" si="12"/>
        <v>0</v>
      </c>
      <c r="L190" s="700"/>
      <c r="M190" s="167">
        <v>164</v>
      </c>
      <c r="N190" s="1362"/>
    </row>
    <row r="191" spans="1:14" ht="15">
      <c r="A191" s="346"/>
      <c r="B191" s="3756"/>
      <c r="C191" s="596"/>
      <c r="D191" s="971" t="s">
        <v>433</v>
      </c>
      <c r="E191" s="859"/>
      <c r="F191" s="944"/>
      <c r="G191" s="640"/>
      <c r="H191" s="948"/>
      <c r="I191" s="936"/>
      <c r="J191" s="985">
        <f t="shared" si="12"/>
        <v>0</v>
      </c>
      <c r="K191" s="941">
        <f t="shared" si="12"/>
        <v>0</v>
      </c>
      <c r="L191" s="700"/>
      <c r="M191" s="167">
        <v>165</v>
      </c>
      <c r="N191" s="1362"/>
    </row>
    <row r="192" spans="1:14" ht="15">
      <c r="A192" s="346"/>
      <c r="B192" s="3756"/>
      <c r="C192" s="596"/>
      <c r="D192" s="971" t="s">
        <v>434</v>
      </c>
      <c r="E192" s="859"/>
      <c r="F192" s="944"/>
      <c r="G192" s="640"/>
      <c r="H192" s="948"/>
      <c r="I192" s="936"/>
      <c r="J192" s="985">
        <f t="shared" si="12"/>
        <v>0</v>
      </c>
      <c r="K192" s="941">
        <f t="shared" si="12"/>
        <v>0</v>
      </c>
      <c r="L192" s="700"/>
      <c r="M192" s="167">
        <v>166</v>
      </c>
      <c r="N192" s="1362"/>
    </row>
    <row r="193" spans="1:14" ht="15">
      <c r="A193" s="346"/>
      <c r="B193" s="3756"/>
      <c r="C193" s="596"/>
      <c r="D193" s="971" t="s">
        <v>434</v>
      </c>
      <c r="E193" s="859"/>
      <c r="F193" s="944"/>
      <c r="G193" s="640"/>
      <c r="H193" s="948"/>
      <c r="I193" s="936"/>
      <c r="J193" s="985">
        <f t="shared" si="12"/>
        <v>0</v>
      </c>
      <c r="K193" s="941">
        <f t="shared" si="12"/>
        <v>0</v>
      </c>
      <c r="L193" s="700"/>
      <c r="M193" s="167">
        <v>167</v>
      </c>
      <c r="N193" s="1362"/>
    </row>
    <row r="194" spans="1:14" ht="15">
      <c r="A194" s="346"/>
      <c r="B194" s="3756"/>
      <c r="C194" s="596"/>
      <c r="D194" s="971" t="s">
        <v>435</v>
      </c>
      <c r="E194" s="859"/>
      <c r="F194" s="944"/>
      <c r="G194" s="640"/>
      <c r="H194" s="948"/>
      <c r="I194" s="936"/>
      <c r="J194" s="985">
        <f t="shared" si="12"/>
        <v>0</v>
      </c>
      <c r="K194" s="941">
        <f t="shared" si="12"/>
        <v>0</v>
      </c>
      <c r="L194" s="700"/>
      <c r="M194" s="167">
        <v>168</v>
      </c>
      <c r="N194" s="1362"/>
    </row>
    <row r="195" spans="1:14" ht="15.75" thickBot="1">
      <c r="A195" s="346"/>
      <c r="B195" s="3755"/>
      <c r="C195" s="596"/>
      <c r="D195" s="971" t="s">
        <v>436</v>
      </c>
      <c r="E195" s="859"/>
      <c r="F195" s="944"/>
      <c r="G195" s="640"/>
      <c r="H195" s="948"/>
      <c r="I195" s="936"/>
      <c r="J195" s="985">
        <f t="shared" si="12"/>
        <v>0</v>
      </c>
      <c r="K195" s="941">
        <f t="shared" si="12"/>
        <v>0</v>
      </c>
      <c r="L195" s="700"/>
      <c r="M195" s="167">
        <v>169</v>
      </c>
      <c r="N195" s="1363"/>
    </row>
    <row r="196" spans="1:14" ht="15">
      <c r="A196" s="346"/>
      <c r="B196" s="1018">
        <v>2879</v>
      </c>
      <c r="C196" s="806">
        <v>6466</v>
      </c>
      <c r="D196" s="970" t="s">
        <v>450</v>
      </c>
      <c r="E196" s="806">
        <v>327</v>
      </c>
      <c r="F196" s="942"/>
      <c r="G196" s="943"/>
      <c r="H196" s="946"/>
      <c r="I196" s="947"/>
      <c r="J196" s="984">
        <f t="shared" ref="J196:J211" si="13">+F196-H196</f>
        <v>0</v>
      </c>
      <c r="K196" s="940">
        <f t="shared" ref="K196:K211" si="14">+G196-I196</f>
        <v>0</v>
      </c>
      <c r="L196" s="700"/>
      <c r="M196" s="167">
        <v>170</v>
      </c>
      <c r="N196" s="1362"/>
    </row>
    <row r="197" spans="1:14" ht="15">
      <c r="A197" s="346"/>
      <c r="B197" s="1019">
        <v>2879</v>
      </c>
      <c r="C197" s="859">
        <v>913375</v>
      </c>
      <c r="D197" s="971" t="s">
        <v>451</v>
      </c>
      <c r="E197" s="859">
        <v>1076</v>
      </c>
      <c r="F197" s="944"/>
      <c r="G197" s="945"/>
      <c r="H197" s="948"/>
      <c r="I197" s="949"/>
      <c r="J197" s="985">
        <f t="shared" si="13"/>
        <v>0</v>
      </c>
      <c r="K197" s="941">
        <f t="shared" si="14"/>
        <v>0</v>
      </c>
      <c r="L197" s="700"/>
      <c r="M197" s="167">
        <v>171</v>
      </c>
      <c r="N197" s="1362"/>
    </row>
    <row r="198" spans="1:14" ht="15">
      <c r="A198" s="346"/>
      <c r="B198" s="1019">
        <v>2879</v>
      </c>
      <c r="C198" s="859">
        <v>954465</v>
      </c>
      <c r="D198" s="971" t="s">
        <v>452</v>
      </c>
      <c r="E198" s="859">
        <v>1311</v>
      </c>
      <c r="F198" s="944"/>
      <c r="G198" s="945"/>
      <c r="H198" s="948"/>
      <c r="I198" s="949"/>
      <c r="J198" s="985">
        <f t="shared" si="13"/>
        <v>0</v>
      </c>
      <c r="K198" s="941">
        <f t="shared" si="14"/>
        <v>0</v>
      </c>
      <c r="L198" s="700"/>
      <c r="M198" s="167">
        <v>172</v>
      </c>
      <c r="N198" s="1362"/>
    </row>
    <row r="199" spans="1:14" ht="15">
      <c r="A199" s="346"/>
      <c r="B199" s="1019">
        <v>2879</v>
      </c>
      <c r="C199" s="859">
        <v>922996</v>
      </c>
      <c r="D199" s="971" t="s">
        <v>453</v>
      </c>
      <c r="E199" s="859">
        <v>2360</v>
      </c>
      <c r="F199" s="944"/>
      <c r="G199" s="945"/>
      <c r="H199" s="948"/>
      <c r="I199" s="949"/>
      <c r="J199" s="985">
        <f t="shared" si="13"/>
        <v>0</v>
      </c>
      <c r="K199" s="941">
        <f t="shared" si="14"/>
        <v>0</v>
      </c>
      <c r="L199" s="700"/>
      <c r="M199" s="167">
        <v>173</v>
      </c>
      <c r="N199" s="1362"/>
    </row>
    <row r="200" spans="1:14" ht="15">
      <c r="A200" s="346"/>
      <c r="B200" s="1019">
        <v>2879</v>
      </c>
      <c r="C200" s="859">
        <v>926655</v>
      </c>
      <c r="D200" s="971" t="s">
        <v>236</v>
      </c>
      <c r="E200" s="859">
        <v>2393</v>
      </c>
      <c r="F200" s="944"/>
      <c r="G200" s="945"/>
      <c r="H200" s="948"/>
      <c r="I200" s="949"/>
      <c r="J200" s="985">
        <f t="shared" si="13"/>
        <v>0</v>
      </c>
      <c r="K200" s="941">
        <f t="shared" si="14"/>
        <v>0</v>
      </c>
      <c r="L200" s="700"/>
      <c r="M200" s="167">
        <v>174</v>
      </c>
      <c r="N200" s="1362"/>
    </row>
    <row r="201" spans="1:14" ht="15">
      <c r="A201" s="346"/>
      <c r="B201" s="1019">
        <v>2879</v>
      </c>
      <c r="C201" s="859">
        <v>924619</v>
      </c>
      <c r="D201" s="971" t="s">
        <v>454</v>
      </c>
      <c r="E201" s="859">
        <v>2583</v>
      </c>
      <c r="F201" s="944"/>
      <c r="G201" s="945"/>
      <c r="H201" s="948"/>
      <c r="I201" s="949"/>
      <c r="J201" s="985">
        <f t="shared" si="13"/>
        <v>0</v>
      </c>
      <c r="K201" s="941">
        <f t="shared" si="14"/>
        <v>0</v>
      </c>
      <c r="L201" s="700"/>
      <c r="M201" s="167">
        <v>175</v>
      </c>
      <c r="N201" s="1362"/>
    </row>
    <row r="202" spans="1:14" ht="15">
      <c r="A202" s="346"/>
      <c r="B202" s="1019">
        <v>2879</v>
      </c>
      <c r="C202" s="859">
        <v>950846</v>
      </c>
      <c r="D202" s="971" t="s">
        <v>455</v>
      </c>
      <c r="E202" s="859">
        <v>2176</v>
      </c>
      <c r="F202" s="944"/>
      <c r="G202" s="945"/>
      <c r="H202" s="948"/>
      <c r="I202" s="949"/>
      <c r="J202" s="985">
        <f t="shared" si="13"/>
        <v>0</v>
      </c>
      <c r="K202" s="941">
        <f t="shared" si="14"/>
        <v>0</v>
      </c>
      <c r="L202" s="700"/>
      <c r="M202" s="167">
        <v>176</v>
      </c>
      <c r="N202" s="1362"/>
    </row>
    <row r="203" spans="1:14" ht="15">
      <c r="A203" s="346"/>
      <c r="B203" s="1019">
        <v>2879</v>
      </c>
      <c r="C203" s="859">
        <v>926663</v>
      </c>
      <c r="D203" s="971" t="s">
        <v>210</v>
      </c>
      <c r="E203" s="859">
        <v>2442</v>
      </c>
      <c r="F203" s="944"/>
      <c r="G203" s="945"/>
      <c r="H203" s="948"/>
      <c r="I203" s="949"/>
      <c r="J203" s="985">
        <f t="shared" si="13"/>
        <v>0</v>
      </c>
      <c r="K203" s="941">
        <f t="shared" si="14"/>
        <v>0</v>
      </c>
      <c r="L203" s="700"/>
      <c r="M203" s="167">
        <v>177</v>
      </c>
      <c r="N203" s="1362"/>
    </row>
    <row r="204" spans="1:14" ht="15">
      <c r="A204" s="346"/>
      <c r="B204" s="1019">
        <v>2879</v>
      </c>
      <c r="C204" s="859">
        <v>952355</v>
      </c>
      <c r="D204" s="971" t="s">
        <v>456</v>
      </c>
      <c r="E204" s="859">
        <v>2761</v>
      </c>
      <c r="F204" s="944"/>
      <c r="G204" s="945"/>
      <c r="H204" s="948"/>
      <c r="I204" s="949"/>
      <c r="J204" s="985">
        <f t="shared" si="13"/>
        <v>0</v>
      </c>
      <c r="K204" s="941">
        <f t="shared" si="14"/>
        <v>0</v>
      </c>
      <c r="L204" s="700"/>
      <c r="M204" s="167">
        <v>178</v>
      </c>
      <c r="N204" s="1362"/>
    </row>
    <row r="205" spans="1:14" ht="15">
      <c r="A205" s="346"/>
      <c r="B205" s="1019">
        <v>2879</v>
      </c>
      <c r="C205" s="859">
        <v>951349</v>
      </c>
      <c r="D205" s="971" t="s">
        <v>361</v>
      </c>
      <c r="E205" s="859">
        <v>1352</v>
      </c>
      <c r="F205" s="944"/>
      <c r="G205" s="945"/>
      <c r="H205" s="948"/>
      <c r="I205" s="949"/>
      <c r="J205" s="985">
        <f t="shared" si="13"/>
        <v>0</v>
      </c>
      <c r="K205" s="941">
        <f t="shared" si="14"/>
        <v>0</v>
      </c>
      <c r="L205" s="700"/>
      <c r="M205" s="167">
        <v>179</v>
      </c>
      <c r="N205" s="1362"/>
    </row>
    <row r="206" spans="1:14" ht="15.75" thickBot="1">
      <c r="A206" s="346"/>
      <c r="B206" s="1353">
        <v>2879</v>
      </c>
      <c r="C206" s="859">
        <v>951633</v>
      </c>
      <c r="D206" s="971" t="s">
        <v>360</v>
      </c>
      <c r="E206" s="859">
        <v>602</v>
      </c>
      <c r="F206" s="944"/>
      <c r="G206" s="945"/>
      <c r="H206" s="948"/>
      <c r="I206" s="949"/>
      <c r="J206" s="985">
        <f>+F206-H206</f>
        <v>0</v>
      </c>
      <c r="K206" s="941">
        <f t="shared" si="14"/>
        <v>0</v>
      </c>
      <c r="L206" s="700"/>
      <c r="M206" s="167">
        <v>180</v>
      </c>
      <c r="N206" s="1363"/>
    </row>
    <row r="207" spans="1:14" s="1352" customFormat="1" ht="15">
      <c r="A207" s="346"/>
      <c r="B207" s="1577">
        <v>3137</v>
      </c>
      <c r="C207" s="1578">
        <v>30822</v>
      </c>
      <c r="D207" s="1579" t="s">
        <v>377</v>
      </c>
      <c r="E207" s="1578">
        <v>1209</v>
      </c>
      <c r="F207" s="1580"/>
      <c r="G207" s="1580"/>
      <c r="H207" s="1581"/>
      <c r="I207" s="1582"/>
      <c r="J207" s="1583">
        <f t="shared" si="13"/>
        <v>0</v>
      </c>
      <c r="K207" s="1584">
        <f t="shared" si="14"/>
        <v>0</v>
      </c>
      <c r="L207" s="700"/>
      <c r="M207" s="167">
        <v>181</v>
      </c>
      <c r="N207" s="1362"/>
    </row>
    <row r="208" spans="1:14" s="1352" customFormat="1" ht="15">
      <c r="A208" s="346"/>
      <c r="B208" s="1585">
        <v>3137</v>
      </c>
      <c r="C208" s="1586">
        <v>952452</v>
      </c>
      <c r="D208" s="1587" t="s">
        <v>514</v>
      </c>
      <c r="E208" s="1586">
        <v>401</v>
      </c>
      <c r="F208" s="1588"/>
      <c r="G208" s="1588"/>
      <c r="H208" s="1589"/>
      <c r="I208" s="1590"/>
      <c r="J208" s="1591">
        <f t="shared" si="13"/>
        <v>0</v>
      </c>
      <c r="K208" s="1592">
        <f t="shared" si="14"/>
        <v>0</v>
      </c>
      <c r="L208" s="700"/>
      <c r="M208" s="167">
        <v>182</v>
      </c>
      <c r="N208" s="1362"/>
    </row>
    <row r="209" spans="1:15" s="1352" customFormat="1" ht="15">
      <c r="A209" s="346"/>
      <c r="B209" s="1585">
        <v>3137</v>
      </c>
      <c r="C209" s="1586">
        <v>5592</v>
      </c>
      <c r="D209" s="1587" t="s">
        <v>380</v>
      </c>
      <c r="E209" s="1586">
        <v>495</v>
      </c>
      <c r="F209" s="1588"/>
      <c r="G209" s="1588"/>
      <c r="H209" s="1589"/>
      <c r="I209" s="1590"/>
      <c r="J209" s="1591">
        <f t="shared" si="13"/>
        <v>0</v>
      </c>
      <c r="K209" s="1592">
        <f t="shared" si="14"/>
        <v>0</v>
      </c>
      <c r="L209" s="700"/>
      <c r="M209" s="167">
        <v>183</v>
      </c>
      <c r="N209" s="1362"/>
    </row>
    <row r="210" spans="1:15" s="1352" customFormat="1" ht="15">
      <c r="A210" s="346"/>
      <c r="B210" s="1585">
        <v>3137</v>
      </c>
      <c r="C210" s="1586">
        <v>952296</v>
      </c>
      <c r="D210" s="1587" t="s">
        <v>515</v>
      </c>
      <c r="E210" s="1586">
        <v>706</v>
      </c>
      <c r="F210" s="1588"/>
      <c r="G210" s="1588"/>
      <c r="H210" s="1589"/>
      <c r="I210" s="1590"/>
      <c r="J210" s="1727">
        <f t="shared" si="13"/>
        <v>0</v>
      </c>
      <c r="K210" s="1592">
        <f t="shared" si="14"/>
        <v>0</v>
      </c>
      <c r="L210" s="700"/>
      <c r="M210" s="167">
        <v>184</v>
      </c>
      <c r="N210" s="1362"/>
    </row>
    <row r="211" spans="1:15" s="1352" customFormat="1" ht="15.75" thickBot="1">
      <c r="A211" s="346"/>
      <c r="B211" s="1585">
        <v>3137</v>
      </c>
      <c r="C211" s="1586">
        <v>952311</v>
      </c>
      <c r="D211" s="1587" t="s">
        <v>382</v>
      </c>
      <c r="E211" s="1586">
        <v>574</v>
      </c>
      <c r="F211" s="1588"/>
      <c r="G211" s="1588"/>
      <c r="H211" s="1589"/>
      <c r="I211" s="1590"/>
      <c r="J211" s="1728">
        <f t="shared" si="13"/>
        <v>0</v>
      </c>
      <c r="K211" s="1593">
        <f t="shared" si="14"/>
        <v>0</v>
      </c>
      <c r="L211" s="700"/>
      <c r="M211" s="167">
        <v>185</v>
      </c>
      <c r="N211" s="1362"/>
    </row>
    <row r="212" spans="1:15" ht="15.75" thickBot="1">
      <c r="A212" s="167"/>
      <c r="B212" s="601">
        <v>1674</v>
      </c>
      <c r="C212" s="861"/>
      <c r="D212" s="861" t="s">
        <v>315</v>
      </c>
      <c r="E212" s="861"/>
      <c r="F212" s="1436"/>
      <c r="G212" s="1436"/>
      <c r="H212" s="1016"/>
      <c r="I212" s="1017"/>
      <c r="J212" s="1730">
        <f t="shared" ref="J212:K215" si="15">+F212-H212</f>
        <v>0</v>
      </c>
      <c r="K212" s="1437">
        <f t="shared" si="15"/>
        <v>0</v>
      </c>
      <c r="L212" s="700"/>
      <c r="M212" s="167">
        <v>186</v>
      </c>
      <c r="N212" s="1362"/>
    </row>
    <row r="213" spans="1:15" ht="46.5" thickBot="1">
      <c r="A213" s="167"/>
      <c r="B213" s="595">
        <v>954</v>
      </c>
      <c r="C213" s="595">
        <v>15</v>
      </c>
      <c r="D213" s="859" t="s">
        <v>245</v>
      </c>
      <c r="E213" s="597">
        <v>15</v>
      </c>
      <c r="F213" s="1367"/>
      <c r="G213" s="1368"/>
      <c r="H213" s="1369"/>
      <c r="I213" s="1370"/>
      <c r="J213" s="1729">
        <f t="shared" si="15"/>
        <v>0</v>
      </c>
      <c r="K213" s="1371">
        <f t="shared" si="15"/>
        <v>0</v>
      </c>
      <c r="L213" s="167"/>
      <c r="M213" s="167">
        <v>187</v>
      </c>
      <c r="N213" s="1362"/>
    </row>
    <row r="214" spans="1:15" ht="46.5" customHeight="1" thickBot="1">
      <c r="A214" s="167"/>
      <c r="B214" s="601">
        <v>954</v>
      </c>
      <c r="C214" s="601">
        <v>30</v>
      </c>
      <c r="D214" s="861" t="s">
        <v>246</v>
      </c>
      <c r="E214" s="602">
        <v>30</v>
      </c>
      <c r="F214" s="896"/>
      <c r="G214" s="972"/>
      <c r="H214" s="921"/>
      <c r="I214" s="922"/>
      <c r="J214" s="964">
        <f t="shared" si="15"/>
        <v>0</v>
      </c>
      <c r="K214" s="965">
        <f t="shared" si="15"/>
        <v>0</v>
      </c>
      <c r="L214" s="700"/>
      <c r="M214" s="167">
        <v>188</v>
      </c>
      <c r="N214" s="1362"/>
    </row>
    <row r="215" spans="1:15" ht="15.75" thickBot="1">
      <c r="A215" s="167"/>
      <c r="B215" s="601">
        <v>2794</v>
      </c>
      <c r="C215" s="3761" t="s">
        <v>417</v>
      </c>
      <c r="D215" s="3762"/>
      <c r="E215" s="602"/>
      <c r="F215" s="980"/>
      <c r="G215" s="981"/>
      <c r="H215" s="982"/>
      <c r="I215" s="983"/>
      <c r="J215" s="1008">
        <f t="shared" si="15"/>
        <v>0</v>
      </c>
      <c r="K215" s="1009">
        <f t="shared" si="15"/>
        <v>0</v>
      </c>
      <c r="L215" s="700"/>
      <c r="M215" s="167">
        <v>189</v>
      </c>
      <c r="N215" s="1362"/>
    </row>
    <row r="216" spans="1:15" s="1217" customFormat="1" ht="15.75" thickBot="1">
      <c r="A216" s="167"/>
      <c r="B216" s="596"/>
      <c r="C216" s="168"/>
      <c r="D216" s="168"/>
      <c r="E216" s="596"/>
      <c r="F216" s="640"/>
      <c r="G216" s="640"/>
      <c r="H216" s="1338"/>
      <c r="I216" s="1338"/>
      <c r="J216" s="937"/>
      <c r="K216" s="937"/>
      <c r="L216" s="700"/>
      <c r="M216" s="167"/>
      <c r="N216" s="1362"/>
    </row>
    <row r="217" spans="1:15" ht="15.75" thickBot="1">
      <c r="A217" s="167"/>
      <c r="B217" s="935"/>
      <c r="C217" s="640"/>
      <c r="D217" s="640"/>
      <c r="E217" s="640"/>
      <c r="F217" s="640"/>
      <c r="G217" s="640"/>
      <c r="H217" s="936"/>
      <c r="I217" s="936"/>
      <c r="J217" s="937"/>
      <c r="K217" s="937"/>
      <c r="L217" s="700"/>
      <c r="M217" s="167"/>
      <c r="N217" s="1360"/>
    </row>
    <row r="218" spans="1:15" ht="13.5" thickBot="1">
      <c r="A218" s="167"/>
      <c r="B218" s="601" t="s">
        <v>223</v>
      </c>
      <c r="C218" s="601"/>
      <c r="D218" s="604"/>
      <c r="E218" s="602"/>
      <c r="F218" s="602">
        <f t="shared" ref="F218:K218" si="16">SUM(F27:F217)</f>
        <v>0</v>
      </c>
      <c r="G218" s="602">
        <f t="shared" si="16"/>
        <v>0</v>
      </c>
      <c r="H218" s="605">
        <f t="shared" si="16"/>
        <v>0</v>
      </c>
      <c r="I218" s="605">
        <f t="shared" si="16"/>
        <v>0</v>
      </c>
      <c r="J218" s="605">
        <f t="shared" si="16"/>
        <v>0</v>
      </c>
      <c r="K218" s="605">
        <f t="shared" si="16"/>
        <v>0</v>
      </c>
      <c r="L218" s="167"/>
      <c r="M218" s="167"/>
      <c r="N218" s="1364"/>
    </row>
    <row r="219" spans="1:15" ht="13.5" thickBot="1">
      <c r="A219" s="167"/>
      <c r="B219" s="596"/>
      <c r="C219" s="596"/>
      <c r="D219" s="603"/>
      <c r="E219" s="596"/>
      <c r="F219" s="596"/>
      <c r="G219" s="596"/>
      <c r="H219" s="640"/>
      <c r="I219" s="640"/>
      <c r="J219" s="596"/>
      <c r="K219" s="596"/>
      <c r="L219" s="167"/>
      <c r="M219" s="167"/>
      <c r="N219" s="1365"/>
    </row>
    <row r="220" spans="1:15" ht="13.5" thickBot="1">
      <c r="A220" s="167"/>
      <c r="B220" s="596"/>
      <c r="C220" s="596"/>
      <c r="D220" s="603"/>
      <c r="E220" s="596"/>
      <c r="F220" s="596"/>
      <c r="G220" s="596"/>
      <c r="H220" s="640"/>
      <c r="I220" s="640"/>
      <c r="J220" s="596"/>
      <c r="K220" s="596"/>
      <c r="L220" s="167"/>
      <c r="M220" s="167"/>
      <c r="N220" s="1366"/>
      <c r="O220" s="167"/>
    </row>
    <row r="221" spans="1:15" ht="15">
      <c r="A221" s="167"/>
      <c r="B221" s="69"/>
      <c r="C221" s="69"/>
      <c r="D221" s="3750" t="s">
        <v>324</v>
      </c>
      <c r="E221" s="3750"/>
      <c r="F221" s="3750"/>
      <c r="G221" s="3750"/>
      <c r="H221" s="3750"/>
      <c r="I221" s="3750"/>
      <c r="J221" s="3750"/>
      <c r="K221" s="3750"/>
      <c r="L221" s="69"/>
      <c r="M221" s="167"/>
      <c r="N221" s="167"/>
      <c r="O221" s="167"/>
    </row>
    <row r="222" spans="1:15">
      <c r="A222" s="167"/>
      <c r="B222" s="641"/>
      <c r="C222" s="641"/>
      <c r="D222" s="641"/>
      <c r="E222" s="641"/>
      <c r="F222" s="3731"/>
      <c r="G222" s="3731"/>
      <c r="H222" s="3731"/>
      <c r="I222" s="642"/>
      <c r="J222" s="641"/>
      <c r="K222" s="641"/>
      <c r="L222" s="641"/>
      <c r="M222" s="167"/>
      <c r="N222" s="167"/>
      <c r="O222" s="167"/>
    </row>
    <row r="223" spans="1:15">
      <c r="A223" s="167"/>
      <c r="B223" s="69"/>
      <c r="C223" s="69"/>
      <c r="D223" s="69"/>
      <c r="E223" s="69"/>
      <c r="F223" s="69"/>
      <c r="G223" s="69"/>
      <c r="H223" s="69"/>
      <c r="I223" s="69"/>
      <c r="J223" s="69"/>
      <c r="K223" s="69"/>
      <c r="L223" s="69"/>
      <c r="M223" s="167"/>
      <c r="N223" s="167"/>
      <c r="O223" s="167"/>
    </row>
    <row r="224" spans="1:15" ht="13.5" thickBot="1">
      <c r="A224" s="167"/>
      <c r="B224" s="69"/>
      <c r="C224" s="69"/>
      <c r="D224" s="69"/>
      <c r="E224" s="69"/>
      <c r="F224" s="69"/>
      <c r="G224" s="69"/>
      <c r="H224" s="69"/>
      <c r="I224" s="69"/>
      <c r="J224" s="69"/>
      <c r="K224" s="69"/>
      <c r="L224" s="69"/>
      <c r="M224" s="167"/>
      <c r="N224" s="167"/>
      <c r="O224" s="167"/>
    </row>
    <row r="225" spans="1:15" ht="13.5" thickBot="1">
      <c r="A225" s="167"/>
      <c r="B225" s="643" t="s">
        <v>325</v>
      </c>
      <c r="C225" s="644"/>
      <c r="D225" s="644"/>
      <c r="E225" s="644"/>
      <c r="F225" s="644"/>
      <c r="G225" s="3752" t="s">
        <v>155</v>
      </c>
      <c r="H225" s="3760"/>
      <c r="I225" s="3753"/>
      <c r="J225" s="3752" t="s">
        <v>156</v>
      </c>
      <c r="K225" s="3753"/>
      <c r="L225" s="3748" t="s">
        <v>157</v>
      </c>
      <c r="M225" s="345" t="s">
        <v>331</v>
      </c>
      <c r="N225" s="167"/>
      <c r="O225" s="167"/>
    </row>
    <row r="226" spans="1:15" ht="13.5" thickBot="1">
      <c r="A226" s="167"/>
      <c r="B226" s="808" t="s">
        <v>158</v>
      </c>
      <c r="C226" s="809" t="s">
        <v>159</v>
      </c>
      <c r="D226" s="647" t="s">
        <v>136</v>
      </c>
      <c r="E226" s="648" t="s">
        <v>134</v>
      </c>
      <c r="F226" s="646" t="s">
        <v>160</v>
      </c>
      <c r="G226" s="649" t="s">
        <v>8</v>
      </c>
      <c r="H226" s="650" t="s">
        <v>161</v>
      </c>
      <c r="I226" s="651" t="s">
        <v>52</v>
      </c>
      <c r="J226" s="810" t="s">
        <v>8</v>
      </c>
      <c r="K226" s="651" t="s">
        <v>162</v>
      </c>
      <c r="L226" s="3751"/>
      <c r="M226" s="1438"/>
      <c r="N226" s="167"/>
      <c r="O226" s="167"/>
    </row>
    <row r="227" spans="1:15">
      <c r="A227" s="167"/>
      <c r="B227" s="826">
        <v>835</v>
      </c>
      <c r="C227" s="830">
        <v>41008</v>
      </c>
      <c r="D227" s="504">
        <v>956410</v>
      </c>
      <c r="E227" s="504" t="s">
        <v>193</v>
      </c>
      <c r="F227" s="505" t="s">
        <v>194</v>
      </c>
      <c r="G227" s="503"/>
      <c r="H227" s="504"/>
      <c r="I227" s="505">
        <f t="shared" ref="I227:I232" si="17">SUM(G227:H227)</f>
        <v>0</v>
      </c>
      <c r="J227" s="826"/>
      <c r="K227" s="827"/>
      <c r="L227" s="831">
        <f t="shared" ref="L227:L232" si="18">+I227-J227-K227</f>
        <v>0</v>
      </c>
      <c r="M227" s="167"/>
      <c r="N227" s="167"/>
      <c r="O227" s="167"/>
    </row>
    <row r="228" spans="1:15">
      <c r="A228" s="167"/>
      <c r="B228" s="1572">
        <v>895</v>
      </c>
      <c r="C228" s="1573">
        <v>41016</v>
      </c>
      <c r="D228" s="1574">
        <v>954962</v>
      </c>
      <c r="E228" s="1574" t="s">
        <v>195</v>
      </c>
      <c r="F228" s="1575" t="s">
        <v>224</v>
      </c>
      <c r="G228" s="1576"/>
      <c r="H228" s="1574"/>
      <c r="I228" s="1575">
        <f t="shared" si="17"/>
        <v>0</v>
      </c>
      <c r="J228" s="1572"/>
      <c r="K228" s="1731"/>
      <c r="L228" s="1735">
        <f t="shared" si="18"/>
        <v>0</v>
      </c>
      <c r="M228" s="167"/>
      <c r="N228" s="167"/>
      <c r="O228" s="167"/>
    </row>
    <row r="229" spans="1:15">
      <c r="A229" s="167"/>
      <c r="B229" s="828">
        <v>1496</v>
      </c>
      <c r="C229" s="829">
        <v>41065</v>
      </c>
      <c r="D229" s="521">
        <v>923199</v>
      </c>
      <c r="E229" s="521" t="s">
        <v>251</v>
      </c>
      <c r="F229" s="522"/>
      <c r="G229" s="520"/>
      <c r="H229" s="521"/>
      <c r="I229" s="522">
        <f t="shared" si="17"/>
        <v>0</v>
      </c>
      <c r="J229" s="828"/>
      <c r="K229" s="1732"/>
      <c r="L229" s="832">
        <f t="shared" si="18"/>
        <v>0</v>
      </c>
      <c r="M229" s="167"/>
      <c r="N229" s="167"/>
      <c r="O229" s="167"/>
    </row>
    <row r="230" spans="1:15" ht="13.5" thickBot="1">
      <c r="A230" s="167"/>
      <c r="B230" s="877">
        <v>1861</v>
      </c>
      <c r="C230" s="878">
        <v>41095</v>
      </c>
      <c r="D230" s="535">
        <v>923199</v>
      </c>
      <c r="E230" s="535" t="s">
        <v>251</v>
      </c>
      <c r="F230" s="536"/>
      <c r="G230" s="534"/>
      <c r="H230" s="535"/>
      <c r="I230" s="536">
        <f t="shared" si="17"/>
        <v>0</v>
      </c>
      <c r="J230" s="877"/>
      <c r="K230" s="1733"/>
      <c r="L230" s="880">
        <f t="shared" si="18"/>
        <v>0</v>
      </c>
      <c r="M230" s="167"/>
      <c r="N230" s="167"/>
      <c r="O230" s="167"/>
    </row>
    <row r="231" spans="1:15">
      <c r="A231" s="167"/>
      <c r="B231" s="826">
        <v>1871</v>
      </c>
      <c r="C231" s="830">
        <v>41095</v>
      </c>
      <c r="D231" s="504">
        <v>924618</v>
      </c>
      <c r="E231" s="504" t="s">
        <v>172</v>
      </c>
      <c r="F231" s="505"/>
      <c r="G231" s="503"/>
      <c r="H231" s="504"/>
      <c r="I231" s="505">
        <f t="shared" si="17"/>
        <v>0</v>
      </c>
      <c r="J231" s="826"/>
      <c r="K231" s="1734"/>
      <c r="L231" s="831">
        <f t="shared" si="18"/>
        <v>0</v>
      </c>
      <c r="M231" s="167"/>
      <c r="N231" s="167"/>
      <c r="O231" s="167"/>
    </row>
    <row r="232" spans="1:15" ht="13.5" thickBot="1">
      <c r="A232" s="167"/>
      <c r="B232" s="877">
        <v>1871</v>
      </c>
      <c r="C232" s="878">
        <v>41095</v>
      </c>
      <c r="D232" s="535">
        <v>958676</v>
      </c>
      <c r="E232" s="535" t="s">
        <v>326</v>
      </c>
      <c r="F232" s="536"/>
      <c r="G232" s="534"/>
      <c r="H232" s="535"/>
      <c r="I232" s="536">
        <f t="shared" si="17"/>
        <v>0</v>
      </c>
      <c r="J232" s="877"/>
      <c r="K232" s="879"/>
      <c r="L232" s="880">
        <f t="shared" si="18"/>
        <v>0</v>
      </c>
      <c r="M232" s="167"/>
      <c r="N232" s="167"/>
      <c r="O232" s="167"/>
    </row>
    <row r="233" spans="1:15" ht="59.25" customHeight="1" thickBot="1">
      <c r="A233" s="167"/>
      <c r="B233" s="1211" t="s">
        <v>457</v>
      </c>
      <c r="C233" s="1212">
        <v>41121</v>
      </c>
      <c r="D233" s="1211">
        <v>950818</v>
      </c>
      <c r="E233" s="1025" t="s">
        <v>458</v>
      </c>
      <c r="F233" s="1211"/>
      <c r="G233" s="1211"/>
      <c r="H233" s="1211"/>
      <c r="I233" s="1211">
        <f>+G233+H233</f>
        <v>0</v>
      </c>
      <c r="J233" s="1211"/>
      <c r="K233" s="1213"/>
      <c r="L233" s="548">
        <f>+H233-K233</f>
        <v>0</v>
      </c>
      <c r="M233" s="167"/>
      <c r="N233" s="167"/>
      <c r="O233" s="167"/>
    </row>
    <row r="234" spans="1:15" ht="13.5" thickBot="1">
      <c r="A234" s="167"/>
      <c r="B234" s="3757">
        <v>2166</v>
      </c>
      <c r="C234" s="547">
        <v>41127</v>
      </c>
      <c r="D234" s="881">
        <v>954241</v>
      </c>
      <c r="E234" s="881" t="s">
        <v>362</v>
      </c>
      <c r="F234" s="881"/>
      <c r="G234" s="881"/>
      <c r="H234" s="881"/>
      <c r="I234" s="1211">
        <f t="shared" ref="I234:I235" si="19">+G234+H234</f>
        <v>0</v>
      </c>
      <c r="J234" s="881"/>
      <c r="K234" s="884"/>
      <c r="L234" s="874">
        <f>+I234-J234-K234</f>
        <v>0</v>
      </c>
      <c r="M234" s="167"/>
      <c r="N234" s="167"/>
      <c r="O234" s="167"/>
    </row>
    <row r="235" spans="1:15" ht="13.5" thickBot="1">
      <c r="A235" s="167"/>
      <c r="B235" s="3758"/>
      <c r="C235" s="882">
        <v>41127</v>
      </c>
      <c r="D235" s="876">
        <v>926460</v>
      </c>
      <c r="E235" s="876" t="s">
        <v>363</v>
      </c>
      <c r="F235" s="876"/>
      <c r="G235" s="876"/>
      <c r="H235" s="876"/>
      <c r="I235" s="1211">
        <f t="shared" si="19"/>
        <v>0</v>
      </c>
      <c r="J235" s="876"/>
      <c r="K235" s="885"/>
      <c r="L235" s="883">
        <f>+I235-J235-K235</f>
        <v>0</v>
      </c>
      <c r="M235" s="167"/>
      <c r="N235" s="167"/>
      <c r="O235" s="167"/>
    </row>
    <row r="236" spans="1:15">
      <c r="A236" s="167"/>
      <c r="B236" s="546"/>
      <c r="C236" s="547"/>
      <c r="D236" s="546"/>
      <c r="E236" s="546"/>
      <c r="F236" s="546"/>
      <c r="G236" s="546"/>
      <c r="H236" s="546"/>
      <c r="I236" s="546"/>
      <c r="J236" s="546"/>
      <c r="K236" s="818"/>
      <c r="L236" s="546"/>
      <c r="M236" s="167"/>
      <c r="N236" s="167"/>
      <c r="O236" s="167"/>
    </row>
    <row r="237" spans="1:15" ht="13.5" thickBot="1">
      <c r="A237" s="167"/>
      <c r="B237" s="346"/>
      <c r="C237" s="346"/>
      <c r="D237" s="346"/>
      <c r="E237" s="346"/>
      <c r="F237" s="346"/>
      <c r="G237" s="346"/>
      <c r="H237" s="346"/>
      <c r="I237" s="346"/>
      <c r="J237" s="346"/>
      <c r="K237" s="346"/>
      <c r="L237" s="346"/>
      <c r="M237" s="167"/>
      <c r="N237" s="167"/>
      <c r="O237" s="167"/>
    </row>
    <row r="238" spans="1:15" ht="13.5" thickBot="1">
      <c r="A238" s="167"/>
      <c r="B238" s="855" t="s">
        <v>223</v>
      </c>
      <c r="C238" s="854"/>
      <c r="D238" s="854"/>
      <c r="E238" s="854"/>
      <c r="F238" s="548"/>
      <c r="G238" s="549">
        <f>SUM(G227:G237)</f>
        <v>0</v>
      </c>
      <c r="H238" s="549">
        <f>SUM(H227:H237)</f>
        <v>0</v>
      </c>
      <c r="I238" s="549">
        <f>SUM(I227:I237)</f>
        <v>0</v>
      </c>
      <c r="J238" s="1209">
        <f>SUM(J227:J235)</f>
        <v>0</v>
      </c>
      <c r="K238" s="550">
        <f>SUM(K227:K235)</f>
        <v>0</v>
      </c>
      <c r="L238" s="1209">
        <f>SUM(L227:L237)</f>
        <v>0</v>
      </c>
      <c r="M238" s="167"/>
      <c r="N238" s="167"/>
      <c r="O238" s="167"/>
    </row>
    <row r="239" spans="1:15">
      <c r="A239" s="167"/>
      <c r="B239" s="346"/>
      <c r="C239" s="346"/>
      <c r="D239" s="346"/>
      <c r="E239" s="346"/>
      <c r="F239" s="346"/>
      <c r="G239" s="346"/>
      <c r="H239" s="346"/>
      <c r="I239" s="346"/>
      <c r="J239" s="346"/>
      <c r="K239" s="346"/>
      <c r="L239" s="346"/>
      <c r="M239" s="167"/>
      <c r="N239" s="167"/>
      <c r="O239" s="167"/>
    </row>
    <row r="240" spans="1:15" ht="13.5" thickBot="1">
      <c r="A240" s="167"/>
      <c r="B240" s="346"/>
      <c r="C240" s="346"/>
      <c r="D240" s="346"/>
      <c r="E240" s="346"/>
      <c r="F240" s="346"/>
      <c r="G240" s="346"/>
      <c r="H240" s="346"/>
      <c r="I240" s="346"/>
      <c r="J240" s="346"/>
      <c r="K240" s="346"/>
      <c r="L240" s="346"/>
      <c r="M240" s="167"/>
      <c r="N240" s="167"/>
      <c r="O240" s="167"/>
    </row>
    <row r="241" spans="1:15" ht="13.5" thickBot="1">
      <c r="A241" s="167"/>
      <c r="B241" s="652" t="s">
        <v>241</v>
      </c>
      <c r="C241" s="653"/>
      <c r="D241" s="644"/>
      <c r="E241" s="644"/>
      <c r="F241" s="644"/>
      <c r="G241" s="856" t="s">
        <v>155</v>
      </c>
      <c r="H241" s="857"/>
      <c r="I241" s="858"/>
      <c r="J241" s="3741" t="s">
        <v>156</v>
      </c>
      <c r="K241" s="3742"/>
      <c r="L241" s="3748" t="s">
        <v>157</v>
      </c>
      <c r="M241" s="167"/>
      <c r="N241" s="167"/>
      <c r="O241" s="167"/>
    </row>
    <row r="242" spans="1:15" ht="13.5" thickBot="1">
      <c r="A242" s="167"/>
      <c r="B242" s="645" t="s">
        <v>158</v>
      </c>
      <c r="C242" s="646" t="s">
        <v>159</v>
      </c>
      <c r="D242" s="647" t="s">
        <v>136</v>
      </c>
      <c r="E242" s="648" t="s">
        <v>134</v>
      </c>
      <c r="F242" s="646" t="s">
        <v>160</v>
      </c>
      <c r="G242" s="649" t="s">
        <v>8</v>
      </c>
      <c r="H242" s="650" t="s">
        <v>161</v>
      </c>
      <c r="I242" s="609" t="s">
        <v>52</v>
      </c>
      <c r="J242" s="649" t="s">
        <v>8</v>
      </c>
      <c r="K242" s="651" t="s">
        <v>162</v>
      </c>
      <c r="L242" s="3749"/>
      <c r="M242" s="1438"/>
      <c r="N242" s="167"/>
      <c r="O242" s="167"/>
    </row>
    <row r="243" spans="1:15" ht="13.5" thickBot="1">
      <c r="A243" s="167"/>
      <c r="B243" s="710">
        <v>1489</v>
      </c>
      <c r="C243" s="711">
        <v>41059</v>
      </c>
      <c r="D243" s="712">
        <v>957995</v>
      </c>
      <c r="E243" s="713" t="s">
        <v>242</v>
      </c>
      <c r="F243" s="714"/>
      <c r="G243" s="710"/>
      <c r="H243" s="713"/>
      <c r="I243" s="715">
        <f>SUM(G243:H243)</f>
        <v>0</v>
      </c>
      <c r="J243" s="833"/>
      <c r="K243" s="716"/>
      <c r="L243" s="717">
        <f>+I243-J243-K243</f>
        <v>0</v>
      </c>
      <c r="M243" s="1564"/>
      <c r="N243" s="167"/>
      <c r="O243" s="167"/>
    </row>
    <row r="244" spans="1:15" s="1217" customFormat="1" ht="13.5" thickBot="1">
      <c r="A244" s="167"/>
      <c r="B244" s="1238">
        <v>3038</v>
      </c>
      <c r="C244" s="1244">
        <v>41233</v>
      </c>
      <c r="D244" s="1239">
        <v>957995</v>
      </c>
      <c r="E244" s="1239" t="s">
        <v>242</v>
      </c>
      <c r="F244" s="1241"/>
      <c r="G244" s="1241"/>
      <c r="H244" s="1241"/>
      <c r="I244" s="1241">
        <f>SUM(G244:H244)</f>
        <v>0</v>
      </c>
      <c r="J244" s="1242"/>
      <c r="K244" s="1243"/>
      <c r="L244" s="1240">
        <f>+I244-J244-K244</f>
        <v>0</v>
      </c>
      <c r="M244" s="1564"/>
      <c r="N244" s="167"/>
      <c r="O244" s="167"/>
    </row>
    <row r="245" spans="1:15" ht="13.5" thickBot="1">
      <c r="A245" s="167"/>
      <c r="B245" s="346"/>
      <c r="C245" s="346"/>
      <c r="D245" s="346"/>
      <c r="E245" s="346"/>
      <c r="F245" s="346"/>
      <c r="G245" s="346"/>
      <c r="H245" s="346"/>
      <c r="I245" s="346"/>
      <c r="J245" s="346"/>
      <c r="K245" s="346"/>
      <c r="L245" s="346"/>
      <c r="M245" s="1438"/>
      <c r="N245" s="167"/>
      <c r="O245" s="167"/>
    </row>
    <row r="246" spans="1:15" ht="13.5" thickBot="1">
      <c r="A246" s="167"/>
      <c r="B246" s="1236" t="s">
        <v>313</v>
      </c>
      <c r="C246" s="1237"/>
      <c r="D246" s="644"/>
      <c r="E246" s="644"/>
      <c r="F246" s="644"/>
      <c r="G246" s="3738" t="s">
        <v>155</v>
      </c>
      <c r="H246" s="3739"/>
      <c r="I246" s="3740"/>
      <c r="J246" s="3741" t="s">
        <v>156</v>
      </c>
      <c r="K246" s="3742"/>
      <c r="L246" s="3748" t="s">
        <v>157</v>
      </c>
      <c r="M246" s="1438"/>
      <c r="N246" s="167"/>
      <c r="O246" s="167"/>
    </row>
    <row r="247" spans="1:15" ht="13.5" thickBot="1">
      <c r="A247" s="167"/>
      <c r="B247" s="645" t="s">
        <v>158</v>
      </c>
      <c r="C247" s="646" t="s">
        <v>159</v>
      </c>
      <c r="D247" s="647" t="s">
        <v>136</v>
      </c>
      <c r="E247" s="648" t="s">
        <v>134</v>
      </c>
      <c r="F247" s="646" t="s">
        <v>160</v>
      </c>
      <c r="G247" s="1218" t="s">
        <v>8</v>
      </c>
      <c r="H247" s="810" t="s">
        <v>161</v>
      </c>
      <c r="I247" s="609" t="s">
        <v>52</v>
      </c>
      <c r="J247" s="649" t="s">
        <v>8</v>
      </c>
      <c r="K247" s="651" t="s">
        <v>162</v>
      </c>
      <c r="L247" s="3749"/>
      <c r="M247" s="1438"/>
      <c r="N247" s="167"/>
      <c r="O247" s="167"/>
    </row>
    <row r="248" spans="1:15" ht="13.5" thickBot="1">
      <c r="A248" s="167"/>
      <c r="B248" s="1565">
        <v>1666</v>
      </c>
      <c r="C248" s="1566">
        <v>41080</v>
      </c>
      <c r="D248" s="1567"/>
      <c r="E248" s="1568" t="s">
        <v>327</v>
      </c>
      <c r="F248" s="1569"/>
      <c r="G248" s="1569"/>
      <c r="H248" s="1567"/>
      <c r="I248" s="1568">
        <f>SUM(G248:H248)</f>
        <v>0</v>
      </c>
      <c r="J248" s="1569"/>
      <c r="K248" s="1570"/>
      <c r="L248" s="1571">
        <f>+I248-J248-K248</f>
        <v>0</v>
      </c>
      <c r="M248" s="1438"/>
      <c r="N248" s="1438"/>
      <c r="O248" s="167"/>
    </row>
    <row r="249" spans="1:15" ht="13.5" thickBot="1">
      <c r="A249" s="167"/>
      <c r="B249" s="607">
        <v>2925</v>
      </c>
      <c r="C249" s="610">
        <v>41220</v>
      </c>
      <c r="D249" s="606"/>
      <c r="E249" s="608" t="s">
        <v>476</v>
      </c>
      <c r="F249" s="1211"/>
      <c r="G249" s="1211"/>
      <c r="H249" s="606"/>
      <c r="I249" s="608">
        <f>SUM(G249:H249)</f>
        <v>0</v>
      </c>
      <c r="J249" s="1211"/>
      <c r="K249" s="1235"/>
      <c r="L249" s="548">
        <f>+I249-J249-K249</f>
        <v>0</v>
      </c>
      <c r="M249" s="1438"/>
      <c r="N249" s="167"/>
      <c r="O249" s="167"/>
    </row>
    <row r="250" spans="1:15" s="1334" customFormat="1" ht="15.75" thickBot="1">
      <c r="A250" s="167"/>
      <c r="B250" s="1339">
        <v>3115</v>
      </c>
      <c r="C250" s="1340">
        <v>41241</v>
      </c>
      <c r="D250" s="1341"/>
      <c r="E250" s="1342" t="s">
        <v>327</v>
      </c>
      <c r="F250" s="1343"/>
      <c r="G250" s="1339"/>
      <c r="H250" s="1342"/>
      <c r="I250" s="1344">
        <f>SUM(G250:H250)</f>
        <v>0</v>
      </c>
      <c r="J250" s="1345"/>
      <c r="K250" s="1346"/>
      <c r="L250" s="1347">
        <f>+I250-J250-K250</f>
        <v>0</v>
      </c>
      <c r="M250" s="167"/>
      <c r="N250" s="167"/>
      <c r="O250" s="167"/>
    </row>
    <row r="251" spans="1:15" s="1217" customFormat="1" ht="13.5" thickBot="1">
      <c r="A251" s="167"/>
      <c r="B251" s="546"/>
      <c r="C251" s="547"/>
      <c r="D251" s="546"/>
      <c r="E251" s="546"/>
      <c r="F251" s="546"/>
      <c r="G251" s="546"/>
      <c r="H251" s="546"/>
      <c r="I251" s="546"/>
      <c r="J251" s="546"/>
      <c r="K251" s="1214"/>
      <c r="L251" s="546"/>
      <c r="M251" s="168"/>
      <c r="N251" s="167"/>
      <c r="O251" s="167"/>
    </row>
    <row r="252" spans="1:15" s="1270" customFormat="1" ht="13.5" thickBot="1">
      <c r="A252" s="167"/>
      <c r="B252" s="1272" t="s">
        <v>502</v>
      </c>
      <c r="C252" s="1273"/>
      <c r="D252" s="546"/>
      <c r="E252" s="546"/>
      <c r="F252" s="546"/>
      <c r="G252" s="1274" t="s">
        <v>155</v>
      </c>
      <c r="H252" s="875"/>
      <c r="I252" s="875"/>
      <c r="J252" s="875" t="s">
        <v>156</v>
      </c>
      <c r="K252" s="1275"/>
      <c r="L252" s="875" t="s">
        <v>157</v>
      </c>
      <c r="M252" s="168"/>
      <c r="N252" s="167"/>
      <c r="O252" s="167"/>
    </row>
    <row r="253" spans="1:15" s="1270" customFormat="1" ht="13.5" thickBot="1">
      <c r="A253" s="167"/>
      <c r="B253" s="1274" t="s">
        <v>158</v>
      </c>
      <c r="C253" s="1277" t="s">
        <v>159</v>
      </c>
      <c r="D253" s="875" t="s">
        <v>136</v>
      </c>
      <c r="E253" s="875" t="s">
        <v>134</v>
      </c>
      <c r="F253" s="1195" t="s">
        <v>160</v>
      </c>
      <c r="G253" s="1274" t="s">
        <v>8</v>
      </c>
      <c r="H253" s="875" t="s">
        <v>161</v>
      </c>
      <c r="I253" s="875" t="s">
        <v>52</v>
      </c>
      <c r="J253" s="875" t="s">
        <v>8</v>
      </c>
      <c r="K253" s="1275" t="s">
        <v>162</v>
      </c>
      <c r="L253" s="875"/>
      <c r="M253" s="168"/>
      <c r="N253" s="167"/>
      <c r="O253" s="167"/>
    </row>
    <row r="254" spans="1:15" s="1270" customFormat="1" ht="13.5" thickBot="1">
      <c r="A254" s="167"/>
      <c r="B254" s="1339">
        <v>3095</v>
      </c>
      <c r="C254" s="1340">
        <v>41239</v>
      </c>
      <c r="D254" s="1341">
        <v>901835</v>
      </c>
      <c r="E254" s="1342" t="s">
        <v>299</v>
      </c>
      <c r="F254" s="1195"/>
      <c r="G254" s="1274"/>
      <c r="H254" s="875"/>
      <c r="I254" s="875">
        <f>+G254+H254</f>
        <v>0</v>
      </c>
      <c r="J254" s="875"/>
      <c r="K254" s="1275"/>
      <c r="L254" s="1211">
        <f t="shared" ref="L254:L255" si="20">+I254-K254</f>
        <v>0</v>
      </c>
      <c r="M254" s="168"/>
      <c r="N254" s="167"/>
      <c r="O254" s="167"/>
    </row>
    <row r="255" spans="1:15" s="1270" customFormat="1" ht="13.5" thickBot="1">
      <c r="A255" s="167"/>
      <c r="B255" s="1339">
        <v>3038</v>
      </c>
      <c r="C255" s="1340">
        <v>41233</v>
      </c>
      <c r="D255" s="1341">
        <v>955617</v>
      </c>
      <c r="E255" s="1342" t="s">
        <v>543</v>
      </c>
      <c r="F255" s="1195"/>
      <c r="G255" s="1274"/>
      <c r="H255" s="875"/>
      <c r="I255" s="875">
        <f>+H255+G255</f>
        <v>0</v>
      </c>
      <c r="J255" s="875"/>
      <c r="K255" s="1275"/>
      <c r="L255" s="1211">
        <f t="shared" si="20"/>
        <v>0</v>
      </c>
      <c r="M255" s="168"/>
      <c r="N255" s="167"/>
      <c r="O255" s="167"/>
    </row>
    <row r="256" spans="1:15" s="1270" customFormat="1" ht="13.5" thickBot="1">
      <c r="A256" s="167"/>
      <c r="B256" s="1339">
        <v>3038</v>
      </c>
      <c r="C256" s="1340">
        <v>41233</v>
      </c>
      <c r="D256" s="1341">
        <v>901835</v>
      </c>
      <c r="E256" s="1342" t="s">
        <v>299</v>
      </c>
      <c r="F256" s="854"/>
      <c r="G256" s="855"/>
      <c r="H256" s="1211"/>
      <c r="I256" s="1211">
        <f>+H256</f>
        <v>0</v>
      </c>
      <c r="J256" s="1211"/>
      <c r="K256" s="1276"/>
      <c r="L256" s="1211">
        <f>+I256-K256</f>
        <v>0</v>
      </c>
      <c r="M256" s="168"/>
      <c r="N256" s="167"/>
      <c r="O256" s="167"/>
    </row>
    <row r="257" spans="1:15" s="1270" customFormat="1">
      <c r="A257" s="167"/>
      <c r="B257" s="546"/>
      <c r="C257" s="547"/>
      <c r="D257" s="546"/>
      <c r="E257" s="546"/>
      <c r="F257" s="546"/>
      <c r="G257" s="546"/>
      <c r="H257" s="546"/>
      <c r="I257" s="546"/>
      <c r="J257" s="546"/>
      <c r="K257" s="1214"/>
      <c r="L257" s="546"/>
      <c r="M257" s="168"/>
      <c r="N257" s="167"/>
      <c r="O257" s="167"/>
    </row>
    <row r="258" spans="1:15" s="1187" customFormat="1">
      <c r="A258" s="167">
        <v>0</v>
      </c>
      <c r="B258" s="546"/>
      <c r="C258" s="547"/>
      <c r="D258" s="546"/>
      <c r="E258" s="546"/>
      <c r="F258" s="546"/>
      <c r="G258" s="546"/>
      <c r="H258" s="546"/>
      <c r="I258" s="546"/>
      <c r="J258" s="546"/>
      <c r="K258" s="1214"/>
      <c r="L258" s="546"/>
      <c r="M258" s="167"/>
      <c r="N258" s="167"/>
      <c r="O258" s="167"/>
    </row>
    <row r="259" spans="1:15" ht="13.5" thickBot="1">
      <c r="A259" s="167"/>
      <c r="B259" s="69"/>
      <c r="C259" s="69"/>
      <c r="D259" s="69"/>
      <c r="E259" s="69"/>
      <c r="F259" s="69"/>
      <c r="G259" s="69"/>
      <c r="H259" s="69"/>
      <c r="I259" s="69"/>
      <c r="J259" s="69"/>
      <c r="K259" s="69"/>
      <c r="L259" s="69"/>
      <c r="M259" s="167"/>
      <c r="N259" s="167"/>
      <c r="O259" s="167"/>
    </row>
    <row r="260" spans="1:15" ht="13.5" thickBot="1">
      <c r="A260" s="167"/>
      <c r="B260" s="3735" t="s">
        <v>446</v>
      </c>
      <c r="C260" s="3736"/>
      <c r="D260" s="3736"/>
      <c r="E260" s="3736"/>
      <c r="F260" s="3736"/>
      <c r="G260" s="3736"/>
      <c r="H260" s="3736"/>
      <c r="I260" s="3736"/>
      <c r="J260" s="3736"/>
      <c r="K260" s="3736"/>
      <c r="L260" s="3737"/>
      <c r="M260" s="167"/>
      <c r="N260" s="167"/>
      <c r="O260" s="167"/>
    </row>
    <row r="261" spans="1:15" ht="13.5" thickBot="1">
      <c r="A261" s="167"/>
      <c r="N261" s="167"/>
      <c r="O261" s="167"/>
    </row>
    <row r="262" spans="1:15" ht="13.5" thickBot="1">
      <c r="A262" s="167"/>
      <c r="B262" s="795" t="s">
        <v>359</v>
      </c>
      <c r="C262" s="796"/>
      <c r="D262" s="802"/>
      <c r="E262" s="801"/>
      <c r="F262" s="785"/>
      <c r="G262" s="785"/>
      <c r="H262" s="785"/>
      <c r="I262" s="785"/>
      <c r="J262" s="785"/>
      <c r="K262" s="785"/>
      <c r="L262" s="786"/>
      <c r="N262" s="167"/>
      <c r="O262" s="167"/>
    </row>
    <row r="263" spans="1:15" ht="18" customHeight="1" thickBot="1">
      <c r="A263" s="167"/>
      <c r="B263" s="798" t="s">
        <v>358</v>
      </c>
      <c r="C263" s="799"/>
      <c r="D263" s="799"/>
      <c r="E263" s="800" t="s">
        <v>348</v>
      </c>
      <c r="F263" s="169"/>
      <c r="G263" s="169"/>
      <c r="H263" s="169"/>
      <c r="I263" s="169"/>
      <c r="J263" s="169"/>
      <c r="K263" s="1561"/>
      <c r="L263" s="787"/>
      <c r="N263" s="167"/>
      <c r="O263" s="167"/>
    </row>
    <row r="264" spans="1:15" ht="13.5" thickBot="1">
      <c r="A264" s="167"/>
      <c r="B264" s="1000" t="s">
        <v>443</v>
      </c>
      <c r="C264" s="803" t="s">
        <v>264</v>
      </c>
      <c r="D264" s="797" t="s">
        <v>349</v>
      </c>
      <c r="E264" s="797" t="s">
        <v>350</v>
      </c>
      <c r="F264" s="753" t="s">
        <v>351</v>
      </c>
      <c r="G264" s="1005" t="s">
        <v>271</v>
      </c>
      <c r="H264" s="753" t="s">
        <v>74</v>
      </c>
      <c r="I264" s="754" t="s">
        <v>51</v>
      </c>
      <c r="J264" s="791"/>
      <c r="K264" s="791"/>
      <c r="L264" s="787"/>
      <c r="N264" s="167" t="s">
        <v>130</v>
      </c>
      <c r="O264" s="167"/>
    </row>
    <row r="265" spans="1:15" ht="13.5" thickBot="1">
      <c r="A265" s="167"/>
      <c r="B265" s="992" t="s">
        <v>347</v>
      </c>
      <c r="C265" s="1332"/>
      <c r="D265" s="994"/>
      <c r="E265" s="994"/>
      <c r="F265" s="994"/>
      <c r="G265" s="994"/>
      <c r="H265" s="994">
        <f>SUM(C265:G265)</f>
        <v>0</v>
      </c>
      <c r="I265" s="995"/>
      <c r="J265" s="791"/>
      <c r="K265" s="791"/>
      <c r="L265" s="787"/>
      <c r="N265" s="167"/>
      <c r="O265" s="167"/>
    </row>
    <row r="266" spans="1:15" ht="13.5" thickBot="1">
      <c r="A266" s="167"/>
      <c r="B266" s="993"/>
      <c r="C266" s="996"/>
      <c r="D266" s="996"/>
      <c r="E266" s="996"/>
      <c r="F266" s="996"/>
      <c r="G266" s="996"/>
      <c r="H266" s="996"/>
      <c r="I266" s="997"/>
      <c r="J266" s="791"/>
      <c r="K266" s="791"/>
      <c r="L266" s="787"/>
      <c r="N266" s="167"/>
      <c r="O266" s="167"/>
    </row>
    <row r="267" spans="1:15" ht="13.5" thickBot="1">
      <c r="A267" s="167"/>
      <c r="B267" s="1001" t="s">
        <v>444</v>
      </c>
      <c r="C267" s="999" t="s">
        <v>264</v>
      </c>
      <c r="D267" s="996"/>
      <c r="E267" s="996"/>
      <c r="F267" s="996"/>
      <c r="G267" s="996"/>
      <c r="H267" s="996"/>
      <c r="I267" s="997"/>
      <c r="J267" s="791"/>
      <c r="K267" s="791"/>
      <c r="L267" s="787"/>
      <c r="N267" s="167"/>
      <c r="O267" s="167"/>
    </row>
    <row r="268" spans="1:15" ht="13.5" thickBot="1">
      <c r="A268" s="167"/>
      <c r="B268" s="992" t="s">
        <v>347</v>
      </c>
      <c r="C268" s="1331"/>
      <c r="D268" s="1350"/>
      <c r="E268" s="990"/>
      <c r="F268" s="1350"/>
      <c r="G268" s="990"/>
      <c r="H268" s="990">
        <f>SUM(C268:G268)</f>
        <v>0</v>
      </c>
      <c r="I268" s="991"/>
      <c r="J268" s="791"/>
      <c r="K268" s="791"/>
      <c r="L268" s="787"/>
      <c r="N268" s="167"/>
      <c r="O268" s="167"/>
    </row>
    <row r="269" spans="1:15" ht="13.5" thickBot="1">
      <c r="A269" s="167"/>
      <c r="B269" s="989"/>
      <c r="C269" s="622"/>
      <c r="D269" s="622"/>
      <c r="E269" s="622"/>
      <c r="F269" s="622"/>
      <c r="G269" s="622"/>
      <c r="H269" s="622"/>
      <c r="I269" s="792"/>
      <c r="J269" s="791"/>
      <c r="K269" s="791"/>
      <c r="L269" s="787"/>
      <c r="N269" s="167"/>
      <c r="O269" s="167"/>
    </row>
    <row r="270" spans="1:15" ht="13.5" thickBot="1">
      <c r="A270" s="167"/>
      <c r="B270" s="1001" t="s">
        <v>445</v>
      </c>
      <c r="C270" s="999" t="s">
        <v>264</v>
      </c>
      <c r="D270" s="996"/>
      <c r="E270" s="996"/>
      <c r="F270" s="996"/>
      <c r="G270" s="996"/>
      <c r="H270" s="996"/>
      <c r="I270" s="997"/>
      <c r="J270" s="791"/>
      <c r="K270" s="1215"/>
      <c r="L270" s="787"/>
      <c r="M270" s="227"/>
      <c r="N270" s="167"/>
      <c r="O270" s="167"/>
    </row>
    <row r="271" spans="1:15" ht="13.5" thickBot="1">
      <c r="A271" s="167"/>
      <c r="B271" s="992" t="s">
        <v>347</v>
      </c>
      <c r="C271" s="1189"/>
      <c r="D271" s="1350"/>
      <c r="E271" s="990"/>
      <c r="F271" s="990"/>
      <c r="G271" s="990"/>
      <c r="H271" s="990">
        <f>SUM(C271:G271)</f>
        <v>0</v>
      </c>
      <c r="I271" s="991"/>
      <c r="J271" s="169"/>
      <c r="K271" s="169"/>
      <c r="L271" s="787"/>
      <c r="N271" s="167"/>
      <c r="O271" s="167"/>
    </row>
    <row r="272" spans="1:15" ht="13.5" thickBot="1">
      <c r="A272" s="167"/>
      <c r="B272" s="363"/>
      <c r="C272" s="622"/>
      <c r="D272" s="791"/>
      <c r="E272" s="791"/>
      <c r="F272" s="791"/>
      <c r="G272" s="791"/>
      <c r="H272" s="791"/>
      <c r="I272" s="792"/>
      <c r="J272" s="169" t="s">
        <v>264</v>
      </c>
      <c r="K272" s="169"/>
      <c r="L272" s="787"/>
      <c r="N272" s="167"/>
      <c r="O272" s="167"/>
    </row>
    <row r="273" spans="1:16" ht="18" customHeight="1" thickBot="1">
      <c r="A273" s="167"/>
      <c r="B273" s="788"/>
      <c r="C273" s="804" t="s">
        <v>510</v>
      </c>
      <c r="D273" s="998"/>
      <c r="E273" s="804" t="s">
        <v>400</v>
      </c>
      <c r="F273" s="1006" t="s">
        <v>68</v>
      </c>
      <c r="G273" s="845" t="s">
        <v>51</v>
      </c>
      <c r="H273" s="169"/>
      <c r="I273" s="169"/>
      <c r="J273" s="1285">
        <v>70.63</v>
      </c>
      <c r="K273" s="1333">
        <f>+F276-J273</f>
        <v>-70.63</v>
      </c>
      <c r="L273" s="787"/>
      <c r="M273" s="169"/>
      <c r="O273" s="167"/>
      <c r="P273" s="167"/>
    </row>
    <row r="274" spans="1:16" ht="13.5" thickBot="1">
      <c r="A274" s="167"/>
      <c r="B274" s="788"/>
      <c r="C274" s="781" t="s">
        <v>356</v>
      </c>
      <c r="D274" s="763"/>
      <c r="E274" s="781">
        <f>+D274</f>
        <v>0</v>
      </c>
      <c r="F274" s="1004">
        <f>+E274-C265</f>
        <v>0</v>
      </c>
      <c r="G274" s="1011" t="e">
        <f>+F274/E274</f>
        <v>#DIV/0!</v>
      </c>
      <c r="H274" s="169"/>
      <c r="I274" s="1215"/>
      <c r="J274" s="1020"/>
      <c r="K274" s="169"/>
      <c r="L274" s="787"/>
      <c r="M274" s="169"/>
      <c r="O274" s="167"/>
      <c r="P274" s="167"/>
    </row>
    <row r="275" spans="1:16" ht="13.5" thickBot="1">
      <c r="A275" s="167"/>
      <c r="B275" s="788"/>
      <c r="C275" s="782" t="s">
        <v>84</v>
      </c>
      <c r="D275" s="784"/>
      <c r="E275" s="793">
        <f>+D275+F274</f>
        <v>0</v>
      </c>
      <c r="F275" s="1123">
        <f>+E275-C268</f>
        <v>0</v>
      </c>
      <c r="G275" s="1013" t="e">
        <f>+F275/E275</f>
        <v>#DIV/0!</v>
      </c>
      <c r="H275" s="169"/>
      <c r="I275" s="169"/>
      <c r="J275" s="1215">
        <f>+C271+C268+C265</f>
        <v>0</v>
      </c>
      <c r="K275" s="169"/>
      <c r="L275" s="787"/>
      <c r="M275" s="169"/>
      <c r="O275" s="167"/>
      <c r="P275" s="167"/>
    </row>
    <row r="276" spans="1:16" ht="13.5" thickBot="1">
      <c r="A276" s="167"/>
      <c r="B276" s="788"/>
      <c r="C276" s="783" t="s">
        <v>357</v>
      </c>
      <c r="D276" s="443"/>
      <c r="E276" s="794">
        <f>+D276+F275</f>
        <v>0</v>
      </c>
      <c r="F276" s="1563">
        <f>+E276-C271</f>
        <v>0</v>
      </c>
      <c r="G276" s="1012" t="e">
        <f>+F276/E276</f>
        <v>#DIV/0!</v>
      </c>
      <c r="H276" s="1562"/>
      <c r="I276" s="169"/>
      <c r="J276" s="1215">
        <f>+C268+C271</f>
        <v>0</v>
      </c>
      <c r="K276" s="1348" t="s">
        <v>513</v>
      </c>
      <c r="L276" s="787"/>
      <c r="M276" s="169"/>
      <c r="O276" s="167"/>
      <c r="P276" s="167"/>
    </row>
    <row r="277" spans="1:16" ht="13.5" thickBot="1">
      <c r="A277" s="167"/>
      <c r="B277" s="459"/>
      <c r="C277" s="1279" t="s">
        <v>52</v>
      </c>
      <c r="D277" s="950">
        <f>SUM(D274:D276)</f>
        <v>0</v>
      </c>
      <c r="E277" s="950"/>
      <c r="F277" s="789"/>
      <c r="G277" s="1158"/>
      <c r="H277" s="789"/>
      <c r="I277" s="789"/>
      <c r="J277" s="789">
        <v>7497.94</v>
      </c>
      <c r="K277" s="1349">
        <f>(J277-J276)</f>
        <v>7497.94</v>
      </c>
      <c r="L277" s="790"/>
      <c r="M277" s="169"/>
      <c r="O277" s="167"/>
      <c r="P277" s="167"/>
    </row>
    <row r="278" spans="1:16">
      <c r="A278" s="167"/>
      <c r="B278" s="169"/>
      <c r="C278" s="1329" t="s">
        <v>505</v>
      </c>
      <c r="D278" s="1330">
        <f>+C271+C268+C265</f>
        <v>0</v>
      </c>
      <c r="E278" s="622"/>
      <c r="F278" s="169"/>
      <c r="G278" s="169"/>
      <c r="H278" s="169"/>
      <c r="I278" s="169"/>
      <c r="J278" s="169"/>
      <c r="K278" s="169"/>
      <c r="L278" s="169"/>
      <c r="M278" s="169"/>
      <c r="O278" s="167"/>
      <c r="P278" s="167"/>
    </row>
    <row r="279" spans="1:16">
      <c r="A279" s="167"/>
      <c r="G279" s="1285"/>
      <c r="J279" s="1375" t="s">
        <v>520</v>
      </c>
    </row>
    <row r="280" spans="1:16">
      <c r="A280" s="167"/>
      <c r="G280" s="1386" t="s">
        <v>536</v>
      </c>
      <c r="J280" s="1375" t="s">
        <v>522</v>
      </c>
    </row>
    <row r="281" spans="1:16" ht="13.5" thickBot="1">
      <c r="A281" s="167"/>
      <c r="G281" s="102">
        <f>SUM(G265,G268,G271)</f>
        <v>0</v>
      </c>
      <c r="J281">
        <v>27955.837999999971</v>
      </c>
    </row>
    <row r="282" spans="1:16" ht="13.5" thickBot="1">
      <c r="A282" s="167"/>
      <c r="J282" s="1376"/>
    </row>
    <row r="283" spans="1:16">
      <c r="J283" s="1375" t="s">
        <v>523</v>
      </c>
    </row>
    <row r="284" spans="1:16">
      <c r="J284" s="102">
        <f>+G268+G271</f>
        <v>0</v>
      </c>
    </row>
    <row r="285" spans="1:16">
      <c r="J285" s="103"/>
    </row>
    <row r="286" spans="1:16">
      <c r="J286" s="1375" t="s">
        <v>521</v>
      </c>
    </row>
    <row r="287" spans="1:16">
      <c r="J287" s="102">
        <f>+J281-J284</f>
        <v>27955.837999999971</v>
      </c>
    </row>
    <row r="288" spans="1:16">
      <c r="J288" s="232"/>
    </row>
  </sheetData>
  <mergeCells count="38">
    <mergeCell ref="J25:K25"/>
    <mergeCell ref="F25:G25"/>
    <mergeCell ref="B1:C1"/>
    <mergeCell ref="G2:I2"/>
    <mergeCell ref="J2:K2"/>
    <mergeCell ref="C19:C20"/>
    <mergeCell ref="B19:B20"/>
    <mergeCell ref="H25:I25"/>
    <mergeCell ref="B22:F22"/>
    <mergeCell ref="L2:L3"/>
    <mergeCell ref="B4:B5"/>
    <mergeCell ref="C4:C5"/>
    <mergeCell ref="B10:B13"/>
    <mergeCell ref="B15:B16"/>
    <mergeCell ref="C15:C16"/>
    <mergeCell ref="C10:C13"/>
    <mergeCell ref="B129:B130"/>
    <mergeCell ref="B119:B128"/>
    <mergeCell ref="B175:B195"/>
    <mergeCell ref="B234:B235"/>
    <mergeCell ref="L35:M35"/>
    <mergeCell ref="B138:B155"/>
    <mergeCell ref="B167:B174"/>
    <mergeCell ref="B132:B137"/>
    <mergeCell ref="G225:I225"/>
    <mergeCell ref="C215:D215"/>
    <mergeCell ref="B260:L260"/>
    <mergeCell ref="G246:I246"/>
    <mergeCell ref="J246:K246"/>
    <mergeCell ref="B156:B159"/>
    <mergeCell ref="B160:B165"/>
    <mergeCell ref="L246:L247"/>
    <mergeCell ref="D221:K221"/>
    <mergeCell ref="F222:H222"/>
    <mergeCell ref="J241:K241"/>
    <mergeCell ref="L241:L242"/>
    <mergeCell ref="L225:L226"/>
    <mergeCell ref="J225:K225"/>
  </mergeCell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sheetPr>
    <tabColor theme="8" tint="0.39997558519241921"/>
  </sheetPr>
  <dimension ref="A2:Q82"/>
  <sheetViews>
    <sheetView topLeftCell="A70" workbookViewId="0">
      <selection activeCell="C19" sqref="C19:C80"/>
    </sheetView>
  </sheetViews>
  <sheetFormatPr baseColWidth="10" defaultRowHeight="12.75"/>
  <cols>
    <col min="1" max="1" width="71.140625" customWidth="1"/>
    <col min="3" max="3" width="21.7109375" bestFit="1" customWidth="1"/>
    <col min="5" max="5" width="20.85546875" bestFit="1" customWidth="1"/>
    <col min="6" max="6" width="19.5703125" bestFit="1" customWidth="1"/>
    <col min="9" max="9" width="16.42578125" bestFit="1" customWidth="1"/>
    <col min="11" max="11" width="116.140625" customWidth="1"/>
    <col min="12" max="12" width="7.5703125" bestFit="1" customWidth="1"/>
  </cols>
  <sheetData>
    <row r="2" spans="1:9" s="1971" customFormat="1"/>
    <row r="3" spans="1:9" s="1971" customFormat="1"/>
    <row r="4" spans="1:9" s="1971" customFormat="1"/>
    <row r="5" spans="1:9" s="1971" customFormat="1" ht="15">
      <c r="A5" s="1971" t="s">
        <v>604</v>
      </c>
      <c r="C5" s="1970" t="s">
        <v>49</v>
      </c>
      <c r="D5" s="1970" t="s">
        <v>192</v>
      </c>
      <c r="E5" s="1970" t="s">
        <v>50</v>
      </c>
      <c r="F5" s="88" t="s">
        <v>20</v>
      </c>
      <c r="G5" s="88" t="s">
        <v>21</v>
      </c>
      <c r="H5" s="88" t="s">
        <v>51</v>
      </c>
    </row>
    <row r="6" spans="1:9" s="1971" customFormat="1">
      <c r="C6" s="312">
        <f>+C81</f>
        <v>24674.665000000001</v>
      </c>
      <c r="E6" s="312">
        <f>+C6+D6</f>
        <v>24674.665000000001</v>
      </c>
      <c r="F6" s="102">
        <f>+F81</f>
        <v>5253.8530000000001</v>
      </c>
      <c r="G6" s="312">
        <f>+(E6-F6)</f>
        <v>19420.812000000002</v>
      </c>
      <c r="H6" s="1971">
        <f>+(G6/C6)*100</f>
        <v>78.707500182879897</v>
      </c>
    </row>
    <row r="7" spans="1:9" s="1971" customFormat="1"/>
    <row r="8" spans="1:9" s="1971" customFormat="1"/>
    <row r="9" spans="1:9" s="1971" customFormat="1"/>
    <row r="10" spans="1:9" s="1971" customFormat="1"/>
    <row r="11" spans="1:9" s="1971" customFormat="1"/>
    <row r="12" spans="1:9" s="1971" customFormat="1"/>
    <row r="13" spans="1:9" s="1971" customFormat="1"/>
    <row r="14" spans="1:9" s="1971" customFormat="1"/>
    <row r="16" spans="1:9" s="1971" customFormat="1" ht="15" customHeight="1">
      <c r="A16" s="3574" t="s">
        <v>53</v>
      </c>
      <c r="B16" s="3574"/>
      <c r="C16" s="23"/>
      <c r="D16" s="23"/>
      <c r="E16" s="23"/>
      <c r="F16" s="23"/>
      <c r="G16" s="3575"/>
      <c r="H16" s="3576"/>
      <c r="I16" s="255"/>
    </row>
    <row r="17" spans="1:17" s="1971" customFormat="1" ht="5.0999999999999996" customHeight="1">
      <c r="A17" s="11"/>
      <c r="B17" s="8"/>
      <c r="C17" s="23"/>
      <c r="D17" s="23"/>
      <c r="E17" s="23"/>
      <c r="F17" s="24"/>
      <c r="G17" s="24"/>
      <c r="H17" s="11"/>
      <c r="I17" s="255"/>
    </row>
    <row r="18" spans="1:17" s="1971" customFormat="1" ht="15" customHeight="1" thickBot="1">
      <c r="A18" s="88" t="s">
        <v>47</v>
      </c>
      <c r="B18" s="88" t="s">
        <v>48</v>
      </c>
      <c r="C18" s="1970" t="s">
        <v>49</v>
      </c>
      <c r="D18" s="1970" t="s">
        <v>192</v>
      </c>
      <c r="E18" s="1970" t="s">
        <v>50</v>
      </c>
      <c r="F18" s="88" t="s">
        <v>20</v>
      </c>
      <c r="G18" s="88" t="s">
        <v>21</v>
      </c>
      <c r="H18" s="88" t="s">
        <v>51</v>
      </c>
      <c r="I18" s="256" t="s">
        <v>23</v>
      </c>
      <c r="M18" s="1933" t="s">
        <v>938</v>
      </c>
    </row>
    <row r="19" spans="1:17" s="1971" customFormat="1" ht="30">
      <c r="A19" s="2580" t="s">
        <v>646</v>
      </c>
      <c r="B19" s="141" t="s">
        <v>593</v>
      </c>
      <c r="C19" s="120">
        <v>78</v>
      </c>
      <c r="D19" s="1210"/>
      <c r="E19" s="120">
        <f>+C19+D19</f>
        <v>78</v>
      </c>
      <c r="F19" s="302">
        <f>0.149+2.092</f>
        <v>2.2410000000000001</v>
      </c>
      <c r="G19" s="121">
        <f>+E19-F19</f>
        <v>75.759</v>
      </c>
      <c r="H19" s="2022">
        <f>+G19/E19</f>
        <v>0.97126923076923077</v>
      </c>
      <c r="I19" s="220"/>
      <c r="J19" s="1971">
        <v>1</v>
      </c>
      <c r="L19" s="103">
        <f>(M19-F19)</f>
        <v>0</v>
      </c>
      <c r="M19" s="1971">
        <v>2.2410000000000001</v>
      </c>
      <c r="O19" s="1971">
        <v>2.2410000000000001</v>
      </c>
      <c r="Q19" s="1971">
        <f>+M19-O19</f>
        <v>0</v>
      </c>
    </row>
    <row r="20" spans="1:17" s="1971" customFormat="1" ht="30">
      <c r="A20" s="2580" t="s">
        <v>647</v>
      </c>
      <c r="B20" s="141" t="s">
        <v>593</v>
      </c>
      <c r="C20" s="120">
        <v>173</v>
      </c>
      <c r="D20" s="120"/>
      <c r="E20" s="120">
        <f t="shared" ref="E20:E80" si="0">+C20</f>
        <v>173</v>
      </c>
      <c r="F20" s="304">
        <f>29.214+0.151+3.466+10.444+1.845+1.067+3.473+41.324+4.806+13.059+0.343</f>
        <v>109.19199999999999</v>
      </c>
      <c r="G20" s="121">
        <f t="shared" ref="G20:G80" si="1">+E20-F20</f>
        <v>63.808000000000007</v>
      </c>
      <c r="H20" s="2022">
        <f t="shared" ref="H20:H80" si="2">+G20/E20</f>
        <v>0.36883236994219659</v>
      </c>
      <c r="I20" s="220"/>
      <c r="J20" s="140">
        <f>+J19+1</f>
        <v>2</v>
      </c>
      <c r="L20" s="2613">
        <f t="shared" ref="L20:L80" si="3">(M20-F20)</f>
        <v>0</v>
      </c>
      <c r="M20" s="1971">
        <v>109.19199999999999</v>
      </c>
      <c r="O20" s="1971">
        <v>109.19199999999999</v>
      </c>
      <c r="Q20" s="3433">
        <f t="shared" ref="Q20:Q80" si="4">+M20-O20</f>
        <v>0</v>
      </c>
    </row>
    <row r="21" spans="1:17" s="1971" customFormat="1" ht="30">
      <c r="A21" s="2580" t="s">
        <v>648</v>
      </c>
      <c r="B21" s="141" t="s">
        <v>593</v>
      </c>
      <c r="C21" s="120">
        <v>268</v>
      </c>
      <c r="D21" s="120"/>
      <c r="E21" s="120">
        <f t="shared" si="0"/>
        <v>268</v>
      </c>
      <c r="F21" s="304">
        <v>1.379</v>
      </c>
      <c r="G21" s="121">
        <f t="shared" si="1"/>
        <v>266.62099999999998</v>
      </c>
      <c r="H21" s="2022">
        <f t="shared" si="2"/>
        <v>0.99485447761194024</v>
      </c>
      <c r="I21" s="220"/>
      <c r="J21" s="140">
        <f t="shared" ref="J21:J79" si="5">+J20+1</f>
        <v>3</v>
      </c>
      <c r="L21" s="103">
        <f t="shared" si="3"/>
        <v>0</v>
      </c>
      <c r="M21" s="1971">
        <v>1.379</v>
      </c>
      <c r="O21" s="1971">
        <v>1.379</v>
      </c>
      <c r="Q21" s="3433">
        <f t="shared" si="4"/>
        <v>0</v>
      </c>
    </row>
    <row r="22" spans="1:17" s="1971" customFormat="1" ht="30">
      <c r="A22" s="2580" t="s">
        <v>649</v>
      </c>
      <c r="B22" s="141" t="s">
        <v>593</v>
      </c>
      <c r="C22" s="120">
        <v>967</v>
      </c>
      <c r="D22" s="120"/>
      <c r="E22" s="120">
        <f t="shared" si="0"/>
        <v>967</v>
      </c>
      <c r="F22" s="303">
        <f>28.995+18-0.022+3.429+0.418+2.062+3.275+7.82+3.277+1.062+9.212+17.452+8.349+58.401+5.305+4.461+3.044+21.187+3.828+0.836+24.348+25.17</f>
        <v>249.90900000000011</v>
      </c>
      <c r="G22" s="121">
        <f>+E22-F22</f>
        <v>717.09099999999989</v>
      </c>
      <c r="H22" s="2022">
        <f t="shared" si="2"/>
        <v>0.74156256463288506</v>
      </c>
      <c r="I22" s="220"/>
      <c r="J22" s="140">
        <f t="shared" si="5"/>
        <v>4</v>
      </c>
      <c r="L22" s="103">
        <f t="shared" si="3"/>
        <v>-1.1368683772161603E-13</v>
      </c>
      <c r="M22" s="1971">
        <v>249.90899999999999</v>
      </c>
      <c r="O22" s="1971">
        <v>249.90899999999999</v>
      </c>
      <c r="Q22" s="3433">
        <f t="shared" si="4"/>
        <v>0</v>
      </c>
    </row>
    <row r="23" spans="1:17" s="1971" customFormat="1" ht="15">
      <c r="A23" s="2580" t="s">
        <v>650</v>
      </c>
      <c r="B23" s="141" t="s">
        <v>593</v>
      </c>
      <c r="C23" s="120">
        <v>12</v>
      </c>
      <c r="D23" s="120"/>
      <c r="E23" s="120">
        <f t="shared" si="0"/>
        <v>12</v>
      </c>
      <c r="F23" s="303"/>
      <c r="G23" s="121">
        <f t="shared" si="1"/>
        <v>12</v>
      </c>
      <c r="H23" s="2022">
        <f t="shared" si="2"/>
        <v>1</v>
      </c>
      <c r="I23" s="220"/>
      <c r="J23" s="140">
        <f t="shared" si="5"/>
        <v>5</v>
      </c>
      <c r="L23" s="103">
        <f t="shared" si="3"/>
        <v>0</v>
      </c>
      <c r="M23" s="1971">
        <v>0</v>
      </c>
      <c r="O23" s="1971">
        <v>0</v>
      </c>
      <c r="Q23" s="3433">
        <f t="shared" si="4"/>
        <v>0</v>
      </c>
    </row>
    <row r="24" spans="1:17" s="1971" customFormat="1" ht="15">
      <c r="A24" s="2580" t="s">
        <v>651</v>
      </c>
      <c r="B24" s="141" t="s">
        <v>593</v>
      </c>
      <c r="C24" s="120">
        <v>731</v>
      </c>
      <c r="D24" s="120"/>
      <c r="E24" s="120">
        <f t="shared" si="0"/>
        <v>731</v>
      </c>
      <c r="F24" s="303">
        <f>18.904+4.605+0.644+7.78+11.142+0.162+0.972+5.162+5.227+1.078+0.317+0.393+12.666</f>
        <v>69.052000000000007</v>
      </c>
      <c r="G24" s="121">
        <f t="shared" si="1"/>
        <v>661.94799999999998</v>
      </c>
      <c r="H24" s="2022">
        <f t="shared" si="2"/>
        <v>0.90553761969904234</v>
      </c>
      <c r="I24" s="220"/>
      <c r="J24" s="140">
        <f t="shared" si="5"/>
        <v>6</v>
      </c>
      <c r="L24" s="103">
        <f t="shared" si="3"/>
        <v>0</v>
      </c>
      <c r="M24" s="1971">
        <v>69.052000000000007</v>
      </c>
      <c r="O24" s="1971">
        <v>69.052000000000007</v>
      </c>
      <c r="Q24" s="3433">
        <f t="shared" si="4"/>
        <v>0</v>
      </c>
    </row>
    <row r="25" spans="1:17" s="1971" customFormat="1" ht="30">
      <c r="A25" s="2580" t="s">
        <v>652</v>
      </c>
      <c r="B25" s="141" t="s">
        <v>593</v>
      </c>
      <c r="C25" s="120">
        <v>764</v>
      </c>
      <c r="D25" s="120"/>
      <c r="E25" s="120">
        <f t="shared" si="0"/>
        <v>764</v>
      </c>
      <c r="F25" s="303">
        <f>7.557+3+0.848+0.534+8.304+0.486+0.797+2.775+5.194+2.835+2.763+6.081+2.017+0.94+0.328+0.636+18.693+9.104+19.171+82.41+2.243+4.699+16.019+9.523+8.014+8.815+0.14+2.978+14.046</f>
        <v>240.95000000000002</v>
      </c>
      <c r="G25" s="29">
        <f t="shared" si="1"/>
        <v>523.04999999999995</v>
      </c>
      <c r="H25" s="2022">
        <f t="shared" si="2"/>
        <v>0.68462041884816749</v>
      </c>
      <c r="I25" s="175"/>
      <c r="J25" s="140">
        <f t="shared" si="5"/>
        <v>7</v>
      </c>
      <c r="L25" s="103">
        <f t="shared" si="3"/>
        <v>-2.8421709430404007E-14</v>
      </c>
      <c r="M25" s="1971">
        <v>240.95</v>
      </c>
      <c r="O25" s="1971">
        <v>240.95</v>
      </c>
      <c r="Q25" s="3433">
        <f t="shared" si="4"/>
        <v>0</v>
      </c>
    </row>
    <row r="26" spans="1:17" s="1971" customFormat="1" ht="30">
      <c r="A26" s="2580" t="s">
        <v>653</v>
      </c>
      <c r="B26" s="141" t="s">
        <v>593</v>
      </c>
      <c r="C26" s="120">
        <v>598</v>
      </c>
      <c r="D26" s="120"/>
      <c r="E26" s="120">
        <f t="shared" si="0"/>
        <v>598</v>
      </c>
      <c r="F26" s="303">
        <f>2.255+2.807+4.5+1.183+53.035+152.851+263.15+43.092+3.747+6.906+2.213+0.681+19.875+24.159+7.209+0.145+6.678+0.4+9.281+47.201-55.95+1.031</f>
        <v>596.44899999999961</v>
      </c>
      <c r="G26" s="29">
        <f t="shared" si="1"/>
        <v>1.5510000000003856</v>
      </c>
      <c r="H26" s="2022">
        <f t="shared" si="2"/>
        <v>2.5936454849504777E-3</v>
      </c>
      <c r="I26" s="220"/>
      <c r="J26" s="140">
        <f t="shared" si="5"/>
        <v>8</v>
      </c>
      <c r="K26" s="3230" t="s">
        <v>1142</v>
      </c>
      <c r="L26" s="103">
        <f t="shared" si="3"/>
        <v>3.4106051316484809E-13</v>
      </c>
      <c r="M26" s="1971">
        <v>596.44899999999996</v>
      </c>
      <c r="O26" s="1971">
        <v>596.44899999999996</v>
      </c>
      <c r="Q26" s="3433">
        <f t="shared" si="4"/>
        <v>0</v>
      </c>
    </row>
    <row r="27" spans="1:17" s="1971" customFormat="1" ht="30">
      <c r="A27" s="2580" t="s">
        <v>654</v>
      </c>
      <c r="B27" s="141" t="s">
        <v>593</v>
      </c>
      <c r="C27" s="120">
        <v>280</v>
      </c>
      <c r="D27" s="120"/>
      <c r="E27" s="120">
        <f t="shared" si="0"/>
        <v>280</v>
      </c>
      <c r="F27" s="303">
        <f>0.466+0.276+0.713+1.676</f>
        <v>3.1310000000000002</v>
      </c>
      <c r="G27" s="29">
        <f t="shared" si="1"/>
        <v>276.86900000000003</v>
      </c>
      <c r="H27" s="2022">
        <f t="shared" si="2"/>
        <v>0.98881785714285719</v>
      </c>
      <c r="I27" s="175"/>
      <c r="J27" s="140">
        <f t="shared" si="5"/>
        <v>9</v>
      </c>
      <c r="L27" s="103">
        <f t="shared" si="3"/>
        <v>-4.4408920985006262E-16</v>
      </c>
      <c r="M27" s="1971">
        <v>3.1309999999999998</v>
      </c>
      <c r="O27" s="1971">
        <v>3.1309999999999998</v>
      </c>
      <c r="Q27" s="3433">
        <f t="shared" si="4"/>
        <v>0</v>
      </c>
    </row>
    <row r="28" spans="1:17" s="2387" customFormat="1" ht="15">
      <c r="A28" s="2580" t="s">
        <v>655</v>
      </c>
      <c r="B28" s="2414" t="s">
        <v>593</v>
      </c>
      <c r="C28" s="1784">
        <v>49</v>
      </c>
      <c r="D28" s="1784"/>
      <c r="E28" s="1784">
        <f t="shared" si="0"/>
        <v>49</v>
      </c>
      <c r="F28" s="2415"/>
      <c r="G28" s="1441">
        <f t="shared" si="1"/>
        <v>49</v>
      </c>
      <c r="H28" s="2022">
        <f t="shared" si="2"/>
        <v>1</v>
      </c>
      <c r="I28" s="1464"/>
      <c r="J28" s="1490">
        <f t="shared" si="5"/>
        <v>10</v>
      </c>
      <c r="K28" s="2416"/>
      <c r="L28" s="103">
        <f t="shared" si="3"/>
        <v>0</v>
      </c>
      <c r="M28" s="2387">
        <v>0</v>
      </c>
      <c r="O28" s="2387">
        <v>0</v>
      </c>
      <c r="Q28" s="3433">
        <f t="shared" si="4"/>
        <v>0</v>
      </c>
    </row>
    <row r="29" spans="1:17" s="1971" customFormat="1" ht="15" customHeight="1">
      <c r="A29" s="2580" t="s">
        <v>656</v>
      </c>
      <c r="B29" s="141" t="s">
        <v>593</v>
      </c>
      <c r="C29" s="120">
        <v>2047</v>
      </c>
      <c r="D29" s="120"/>
      <c r="E29" s="120">
        <f t="shared" si="0"/>
        <v>2047</v>
      </c>
      <c r="F29" s="303">
        <f>79.393+1.875+21+0.023+3.138+4.997+2.713+5.365+9.383+0.313+0.104+0.303+6.531+0.146+6.449+6.88+13.797+12.581+2.451+3.724+4.945+0.562+3.144+29.556+8.37+24.351</f>
        <v>252.09399999999999</v>
      </c>
      <c r="G29" s="29">
        <f>+E29-F29</f>
        <v>1794.9059999999999</v>
      </c>
      <c r="H29" s="2022">
        <f t="shared" si="2"/>
        <v>0.87684709330727895</v>
      </c>
      <c r="I29" s="175"/>
      <c r="J29" s="140">
        <f t="shared" si="5"/>
        <v>11</v>
      </c>
      <c r="L29" s="103">
        <f t="shared" si="3"/>
        <v>0</v>
      </c>
      <c r="M29" s="1971">
        <v>252.09399999999999</v>
      </c>
      <c r="O29" s="1971">
        <v>252.09399999999999</v>
      </c>
      <c r="Q29" s="3433">
        <f t="shared" si="4"/>
        <v>0</v>
      </c>
    </row>
    <row r="30" spans="1:17" s="1971" customFormat="1" ht="15">
      <c r="A30" s="2580" t="s">
        <v>657</v>
      </c>
      <c r="B30" s="141" t="s">
        <v>593</v>
      </c>
      <c r="C30" s="120">
        <v>131</v>
      </c>
      <c r="D30" s="120"/>
      <c r="E30" s="120">
        <f t="shared" si="0"/>
        <v>131</v>
      </c>
      <c r="F30" s="303">
        <f>0.3-0.025+0.087+0.22+0.38+0.054</f>
        <v>1.016</v>
      </c>
      <c r="G30" s="29">
        <f>+E30-F30</f>
        <v>129.98400000000001</v>
      </c>
      <c r="H30" s="2022">
        <f t="shared" si="2"/>
        <v>0.99224427480916033</v>
      </c>
      <c r="I30" s="220"/>
      <c r="J30" s="140">
        <f t="shared" si="5"/>
        <v>12</v>
      </c>
      <c r="L30" s="103">
        <f t="shared" si="3"/>
        <v>0</v>
      </c>
      <c r="M30" s="1971">
        <v>1.016</v>
      </c>
      <c r="O30" s="1971">
        <v>1.016</v>
      </c>
      <c r="Q30" s="3433">
        <f t="shared" si="4"/>
        <v>0</v>
      </c>
    </row>
    <row r="31" spans="1:17" s="1971" customFormat="1" ht="15" customHeight="1">
      <c r="A31" s="2580" t="s">
        <v>658</v>
      </c>
      <c r="B31" s="141" t="s">
        <v>593</v>
      </c>
      <c r="C31" s="120">
        <v>395</v>
      </c>
      <c r="D31" s="120"/>
      <c r="E31" s="120">
        <f t="shared" si="0"/>
        <v>395</v>
      </c>
      <c r="F31" s="303">
        <f>1.061+1.846+9.126+3.31+0.45+12.412+0.292+2.022+11.549+21.362</f>
        <v>63.429999999999993</v>
      </c>
      <c r="G31" s="29">
        <f>+E31-F31</f>
        <v>331.57</v>
      </c>
      <c r="H31" s="2022">
        <f t="shared" si="2"/>
        <v>0.8394177215189873</v>
      </c>
      <c r="I31" s="175"/>
      <c r="J31" s="140">
        <f t="shared" si="5"/>
        <v>13</v>
      </c>
      <c r="L31" s="103">
        <f t="shared" si="3"/>
        <v>7.1054273576010019E-15</v>
      </c>
      <c r="M31" s="1971">
        <v>63.43</v>
      </c>
      <c r="O31" s="1971">
        <v>63.43</v>
      </c>
      <c r="Q31" s="3433">
        <f t="shared" si="4"/>
        <v>0</v>
      </c>
    </row>
    <row r="32" spans="1:17" s="1971" customFormat="1" ht="30">
      <c r="A32" s="2580" t="s">
        <v>659</v>
      </c>
      <c r="B32" s="141" t="s">
        <v>593</v>
      </c>
      <c r="C32" s="120">
        <v>12</v>
      </c>
      <c r="D32" s="120"/>
      <c r="E32" s="120">
        <f t="shared" si="0"/>
        <v>12</v>
      </c>
      <c r="F32" s="303"/>
      <c r="G32" s="29">
        <f t="shared" si="1"/>
        <v>12</v>
      </c>
      <c r="H32" s="2022">
        <f t="shared" si="2"/>
        <v>1</v>
      </c>
      <c r="I32" s="220"/>
      <c r="J32" s="140">
        <f t="shared" si="5"/>
        <v>14</v>
      </c>
      <c r="L32" s="103">
        <f t="shared" si="3"/>
        <v>0</v>
      </c>
      <c r="M32" s="1971">
        <v>0</v>
      </c>
      <c r="O32" s="1971">
        <v>0</v>
      </c>
      <c r="Q32" s="3433">
        <f t="shared" si="4"/>
        <v>0</v>
      </c>
    </row>
    <row r="33" spans="1:17" s="1971" customFormat="1" ht="30">
      <c r="A33" s="2580" t="s">
        <v>660</v>
      </c>
      <c r="B33" s="141" t="s">
        <v>593</v>
      </c>
      <c r="C33" s="120">
        <v>732</v>
      </c>
      <c r="D33" s="120"/>
      <c r="E33" s="120">
        <f t="shared" si="0"/>
        <v>732</v>
      </c>
      <c r="F33" s="303">
        <f>34.232+1.203+8+0.024+4.844+8.762+21.176+0.423+6.076+1.117+0.599+1.674+3.192+3.986+0.608+16.262+1.694+4.952+13.546</f>
        <v>132.37</v>
      </c>
      <c r="G33" s="29">
        <f t="shared" si="1"/>
        <v>599.63</v>
      </c>
      <c r="H33" s="2022">
        <f t="shared" si="2"/>
        <v>0.81916666666666671</v>
      </c>
      <c r="I33" s="220"/>
      <c r="J33" s="140">
        <f t="shared" si="5"/>
        <v>15</v>
      </c>
      <c r="L33" s="103">
        <f t="shared" si="3"/>
        <v>0</v>
      </c>
      <c r="M33" s="1971">
        <v>132.37</v>
      </c>
      <c r="O33" s="1971">
        <v>132.37</v>
      </c>
      <c r="Q33" s="3433">
        <f t="shared" si="4"/>
        <v>0</v>
      </c>
    </row>
    <row r="34" spans="1:17" s="1971" customFormat="1" ht="30">
      <c r="A34" s="2580" t="s">
        <v>661</v>
      </c>
      <c r="B34" s="141" t="s">
        <v>593</v>
      </c>
      <c r="C34" s="120">
        <v>437</v>
      </c>
      <c r="D34" s="120"/>
      <c r="E34" s="120">
        <f t="shared" si="0"/>
        <v>437</v>
      </c>
      <c r="F34" s="303">
        <f>0.7-0.033+1.24+24.099+5.937+20.127+2.707+0.451+0.442+5.814+3.927+2.023</f>
        <v>67.433999999999997</v>
      </c>
      <c r="G34" s="29">
        <f t="shared" si="1"/>
        <v>369.56600000000003</v>
      </c>
      <c r="H34" s="2022">
        <f t="shared" si="2"/>
        <v>0.84568878718535478</v>
      </c>
      <c r="I34" s="175"/>
      <c r="J34" s="140">
        <f t="shared" si="5"/>
        <v>16</v>
      </c>
      <c r="L34" s="103">
        <f t="shared" si="3"/>
        <v>0</v>
      </c>
      <c r="M34" s="1971">
        <v>67.433999999999997</v>
      </c>
      <c r="O34" s="1971">
        <v>67.433999999999997</v>
      </c>
      <c r="Q34" s="3433">
        <f t="shared" si="4"/>
        <v>0</v>
      </c>
    </row>
    <row r="35" spans="1:17" s="1971" customFormat="1" ht="30">
      <c r="A35" s="2580" t="s">
        <v>662</v>
      </c>
      <c r="B35" s="141" t="s">
        <v>593</v>
      </c>
      <c r="C35" s="120">
        <v>1423</v>
      </c>
      <c r="D35" s="120"/>
      <c r="E35" s="120">
        <f t="shared" si="0"/>
        <v>1423</v>
      </c>
      <c r="F35" s="303">
        <f>7.256+1.163+0.636+0.205+2.821+2.466+3.332+1.193+1.307+0.329+9.812+18.086</f>
        <v>48.606000000000002</v>
      </c>
      <c r="G35" s="29">
        <f>+E35-F35</f>
        <v>1374.394</v>
      </c>
      <c r="H35" s="2022">
        <f t="shared" si="2"/>
        <v>0.96584258608573437</v>
      </c>
      <c r="I35" s="220"/>
      <c r="J35" s="140">
        <f t="shared" si="5"/>
        <v>17</v>
      </c>
      <c r="L35" s="103">
        <f t="shared" si="3"/>
        <v>0</v>
      </c>
      <c r="M35" s="1971">
        <v>48.606000000000002</v>
      </c>
      <c r="O35" s="1971">
        <v>48.606000000000002</v>
      </c>
      <c r="Q35" s="3433">
        <f t="shared" si="4"/>
        <v>0</v>
      </c>
    </row>
    <row r="36" spans="1:17" s="1971" customFormat="1" ht="30">
      <c r="A36" s="2580" t="s">
        <v>663</v>
      </c>
      <c r="B36" s="141" t="s">
        <v>593</v>
      </c>
      <c r="C36" s="120">
        <v>24</v>
      </c>
      <c r="D36" s="120"/>
      <c r="E36" s="120">
        <f t="shared" si="0"/>
        <v>24</v>
      </c>
      <c r="F36" s="303"/>
      <c r="G36" s="29">
        <f t="shared" si="1"/>
        <v>24</v>
      </c>
      <c r="H36" s="2022">
        <f t="shared" si="2"/>
        <v>1</v>
      </c>
      <c r="I36" s="175"/>
      <c r="J36" s="140">
        <f t="shared" si="5"/>
        <v>18</v>
      </c>
      <c r="L36" s="103">
        <f t="shared" si="3"/>
        <v>0</v>
      </c>
      <c r="M36" s="1971">
        <v>0</v>
      </c>
      <c r="O36" s="1971">
        <v>0</v>
      </c>
      <c r="Q36" s="3433">
        <f t="shared" si="4"/>
        <v>0</v>
      </c>
    </row>
    <row r="37" spans="1:17" s="1971" customFormat="1" ht="30">
      <c r="A37" s="2580" t="s">
        <v>664</v>
      </c>
      <c r="B37" s="141" t="s">
        <v>593</v>
      </c>
      <c r="C37" s="120">
        <v>387</v>
      </c>
      <c r="D37" s="230"/>
      <c r="E37" s="120">
        <f>+C37+D37</f>
        <v>387</v>
      </c>
      <c r="F37" s="303">
        <f>54.933+2.004+15+18.842+0.645+1.888+0.842+42.059+6.125+0.3+0.13+12.252+8.192</f>
        <v>163.21200000000002</v>
      </c>
      <c r="G37" s="121">
        <f>+E37-F37</f>
        <v>223.78799999999998</v>
      </c>
      <c r="H37" s="2022">
        <f t="shared" si="2"/>
        <v>0.57826356589147287</v>
      </c>
      <c r="I37" s="220"/>
      <c r="J37" s="140">
        <f t="shared" si="5"/>
        <v>19</v>
      </c>
      <c r="L37" s="103">
        <f t="shared" si="3"/>
        <v>-2.8421709430404007E-14</v>
      </c>
      <c r="M37" s="1971">
        <v>163.21199999999999</v>
      </c>
      <c r="O37" s="1971">
        <v>163.21199999999999</v>
      </c>
      <c r="Q37" s="3433">
        <f t="shared" si="4"/>
        <v>0</v>
      </c>
    </row>
    <row r="38" spans="1:17" s="1971" customFormat="1" ht="30">
      <c r="A38" s="2580" t="s">
        <v>665</v>
      </c>
      <c r="B38" s="141" t="s">
        <v>593</v>
      </c>
      <c r="C38" s="120">
        <v>715</v>
      </c>
      <c r="D38" s="120"/>
      <c r="E38" s="120">
        <f t="shared" si="0"/>
        <v>715</v>
      </c>
      <c r="F38" s="303">
        <f>3.5+0.021+2.037+1.058+0.468</f>
        <v>7.0839999999999996</v>
      </c>
      <c r="G38" s="29">
        <f>+E38-F38</f>
        <v>707.91600000000005</v>
      </c>
      <c r="H38" s="2022">
        <f t="shared" si="2"/>
        <v>0.99009230769230772</v>
      </c>
      <c r="I38" s="220"/>
      <c r="J38" s="140">
        <f t="shared" si="5"/>
        <v>20</v>
      </c>
      <c r="L38" s="103">
        <f t="shared" si="3"/>
        <v>0</v>
      </c>
      <c r="M38" s="1971">
        <v>7.0839999999999996</v>
      </c>
      <c r="O38" s="1971">
        <v>7.0839999999999996</v>
      </c>
      <c r="Q38" s="3433">
        <f t="shared" si="4"/>
        <v>0</v>
      </c>
    </row>
    <row r="39" spans="1:17" s="1971" customFormat="1" ht="30">
      <c r="A39" s="2580" t="s">
        <v>666</v>
      </c>
      <c r="B39" s="141" t="s">
        <v>593</v>
      </c>
      <c r="C39" s="120">
        <v>937</v>
      </c>
      <c r="D39" s="120"/>
      <c r="E39" s="120">
        <f t="shared" si="0"/>
        <v>937</v>
      </c>
      <c r="F39" s="303">
        <f>3.3+0.036+33.097+6.661+13.754+16.962+5.493+7.276+0.792+1.37+2.843+3.123+3.185+1.5+6.342+4.402</f>
        <v>110.13600000000001</v>
      </c>
      <c r="G39" s="29">
        <f>+E39-F39</f>
        <v>826.86400000000003</v>
      </c>
      <c r="H39" s="2022">
        <f t="shared" si="2"/>
        <v>0.88245891141942367</v>
      </c>
      <c r="I39" s="220"/>
      <c r="J39" s="140">
        <f t="shared" si="5"/>
        <v>21</v>
      </c>
      <c r="L39" s="103">
        <f t="shared" si="3"/>
        <v>-1.4210854715202004E-14</v>
      </c>
      <c r="M39" s="1971">
        <v>110.136</v>
      </c>
      <c r="O39" s="1971">
        <v>110.136</v>
      </c>
      <c r="Q39" s="3433">
        <f t="shared" si="4"/>
        <v>0</v>
      </c>
    </row>
    <row r="40" spans="1:17" s="1415" customFormat="1" ht="30">
      <c r="A40" s="2580" t="s">
        <v>667</v>
      </c>
      <c r="B40" s="2389" t="s">
        <v>593</v>
      </c>
      <c r="C40" s="2390">
        <v>211</v>
      </c>
      <c r="D40" s="2390"/>
      <c r="E40" s="2390">
        <f t="shared" si="0"/>
        <v>211</v>
      </c>
      <c r="F40" s="2391">
        <f>0.752+26.21</f>
        <v>26.962</v>
      </c>
      <c r="G40" s="2392">
        <f t="shared" si="1"/>
        <v>184.03800000000001</v>
      </c>
      <c r="H40" s="2022">
        <f t="shared" si="2"/>
        <v>0.87221800947867301</v>
      </c>
      <c r="I40" s="2393"/>
      <c r="J40" s="2394">
        <f t="shared" si="5"/>
        <v>22</v>
      </c>
      <c r="L40" s="103">
        <f t="shared" si="3"/>
        <v>0</v>
      </c>
      <c r="M40" s="1415">
        <v>26.962</v>
      </c>
      <c r="O40" s="1415">
        <v>26.962</v>
      </c>
      <c r="Q40" s="3433">
        <f t="shared" si="4"/>
        <v>0</v>
      </c>
    </row>
    <row r="41" spans="1:17" s="1971" customFormat="1" ht="30">
      <c r="A41" s="2580" t="s">
        <v>668</v>
      </c>
      <c r="B41" s="141" t="s">
        <v>593</v>
      </c>
      <c r="C41" s="120">
        <v>323</v>
      </c>
      <c r="D41" s="120"/>
      <c r="E41" s="120">
        <f t="shared" si="0"/>
        <v>323</v>
      </c>
      <c r="F41" s="303">
        <f>56.691+33.1+0.017+0.795+0.595+8.173+6.342+5.237+77.507+0.057+10.882+4.245+27.879+54.881+0.671-0.671+1.166+5.354</f>
        <v>292.92099999999994</v>
      </c>
      <c r="G41" s="29">
        <f t="shared" si="1"/>
        <v>30.079000000000065</v>
      </c>
      <c r="H41" s="2022">
        <f t="shared" si="2"/>
        <v>9.3123839009288126E-2</v>
      </c>
      <c r="I41" s="175"/>
      <c r="J41" s="140">
        <f t="shared" si="5"/>
        <v>23</v>
      </c>
      <c r="K41" s="3230" t="s">
        <v>1142</v>
      </c>
      <c r="L41" s="103">
        <f t="shared" si="3"/>
        <v>5.6843418860808015E-14</v>
      </c>
      <c r="M41" s="1971">
        <v>292.92099999999999</v>
      </c>
      <c r="O41" s="1971">
        <v>292.92099999999999</v>
      </c>
      <c r="Q41" s="3433">
        <f t="shared" si="4"/>
        <v>0</v>
      </c>
    </row>
    <row r="42" spans="1:17" s="1971" customFormat="1" ht="30">
      <c r="A42" s="2621" t="s">
        <v>669</v>
      </c>
      <c r="B42" s="141" t="s">
        <v>593</v>
      </c>
      <c r="C42" s="120">
        <v>58</v>
      </c>
      <c r="D42" s="120"/>
      <c r="E42" s="120">
        <f t="shared" si="0"/>
        <v>58</v>
      </c>
      <c r="F42" s="303">
        <f>1.841+57.159+0.297+1.869+0.254</f>
        <v>61.419999999999995</v>
      </c>
      <c r="G42" s="29">
        <f t="shared" si="1"/>
        <v>-3.4199999999999946</v>
      </c>
      <c r="H42" s="2022">
        <f t="shared" si="2"/>
        <v>-5.8965517241379217E-2</v>
      </c>
      <c r="I42" s="220" t="s">
        <v>957</v>
      </c>
      <c r="J42" s="140">
        <f t="shared" si="5"/>
        <v>24</v>
      </c>
      <c r="L42" s="103">
        <f t="shared" si="3"/>
        <v>7.1054273576010019E-15</v>
      </c>
      <c r="M42" s="1971">
        <v>61.42</v>
      </c>
      <c r="O42" s="1971">
        <v>61.42</v>
      </c>
      <c r="Q42" s="3433">
        <f t="shared" si="4"/>
        <v>0</v>
      </c>
    </row>
    <row r="43" spans="1:17" s="1971" customFormat="1" ht="45">
      <c r="A43" s="2580" t="s">
        <v>670</v>
      </c>
      <c r="B43" s="141" t="s">
        <v>593</v>
      </c>
      <c r="C43" s="120">
        <v>88</v>
      </c>
      <c r="D43" s="120"/>
      <c r="E43" s="120">
        <f t="shared" si="0"/>
        <v>88</v>
      </c>
      <c r="F43" s="303"/>
      <c r="G43" s="29">
        <f t="shared" si="1"/>
        <v>88</v>
      </c>
      <c r="H43" s="2022">
        <f t="shared" si="2"/>
        <v>1</v>
      </c>
      <c r="I43" s="220"/>
      <c r="J43" s="140">
        <f t="shared" si="5"/>
        <v>25</v>
      </c>
      <c r="L43" s="103">
        <f t="shared" si="3"/>
        <v>0</v>
      </c>
      <c r="M43" s="1971">
        <v>0</v>
      </c>
      <c r="O43" s="1971">
        <v>0</v>
      </c>
      <c r="Q43" s="3433">
        <f t="shared" si="4"/>
        <v>0</v>
      </c>
    </row>
    <row r="44" spans="1:17" s="1971" customFormat="1" ht="15">
      <c r="A44" s="2580" t="s">
        <v>671</v>
      </c>
      <c r="B44" s="141" t="s">
        <v>593</v>
      </c>
      <c r="C44" s="120">
        <v>155</v>
      </c>
      <c r="D44" s="120"/>
      <c r="E44" s="120">
        <f t="shared" si="0"/>
        <v>155</v>
      </c>
      <c r="F44" s="303">
        <f>1.544+0.2+0.027+7.36+1.76+0.59+0.15+1.798+1.612+15.685+20.729</f>
        <v>51.454999999999998</v>
      </c>
      <c r="G44" s="29">
        <f t="shared" si="1"/>
        <v>103.545</v>
      </c>
      <c r="H44" s="2022">
        <f t="shared" si="2"/>
        <v>0.66803225806451616</v>
      </c>
      <c r="I44" s="175"/>
      <c r="J44" s="140">
        <f t="shared" si="5"/>
        <v>26</v>
      </c>
      <c r="L44" s="103">
        <f t="shared" si="3"/>
        <v>0</v>
      </c>
      <c r="M44" s="1971">
        <v>51.454999999999998</v>
      </c>
      <c r="O44" s="1971">
        <v>51.454999999999998</v>
      </c>
      <c r="Q44" s="3433">
        <f t="shared" si="4"/>
        <v>0</v>
      </c>
    </row>
    <row r="45" spans="1:17" s="1971" customFormat="1" ht="30">
      <c r="A45" s="2580" t="s">
        <v>672</v>
      </c>
      <c r="B45" s="141" t="s">
        <v>593</v>
      </c>
      <c r="C45" s="120">
        <v>122</v>
      </c>
      <c r="D45" s="120"/>
      <c r="E45" s="120">
        <f t="shared" si="0"/>
        <v>122</v>
      </c>
      <c r="F45" s="303">
        <f>1.55+5.09+4.163+0.071+5.511</f>
        <v>16.385000000000002</v>
      </c>
      <c r="G45" s="29">
        <f t="shared" si="1"/>
        <v>105.61499999999999</v>
      </c>
      <c r="H45" s="2022">
        <f t="shared" si="2"/>
        <v>0.86569672131147535</v>
      </c>
      <c r="I45" s="220"/>
      <c r="J45" s="140">
        <f t="shared" si="5"/>
        <v>27</v>
      </c>
      <c r="L45" s="103">
        <f t="shared" si="3"/>
        <v>0</v>
      </c>
      <c r="M45" s="1971">
        <v>16.385000000000002</v>
      </c>
      <c r="O45" s="1971">
        <v>16.385000000000002</v>
      </c>
      <c r="Q45" s="3433">
        <f t="shared" si="4"/>
        <v>0</v>
      </c>
    </row>
    <row r="46" spans="1:17" s="1971" customFormat="1" ht="30">
      <c r="A46" s="2580" t="s">
        <v>673</v>
      </c>
      <c r="B46" s="141" t="s">
        <v>593</v>
      </c>
      <c r="C46" s="120">
        <v>228</v>
      </c>
      <c r="D46" s="120"/>
      <c r="E46" s="120">
        <f t="shared" si="0"/>
        <v>228</v>
      </c>
      <c r="F46" s="304">
        <f>1.518+1.9-0.023+0.676+0.926</f>
        <v>4.9969999999999999</v>
      </c>
      <c r="G46" s="29">
        <f t="shared" si="1"/>
        <v>223.00299999999999</v>
      </c>
      <c r="H46" s="2022">
        <f t="shared" si="2"/>
        <v>0.9780833333333333</v>
      </c>
      <c r="I46" s="220"/>
      <c r="J46" s="133">
        <f t="shared" si="5"/>
        <v>28</v>
      </c>
      <c r="K46" s="139"/>
      <c r="L46" s="103">
        <f t="shared" si="3"/>
        <v>0</v>
      </c>
      <c r="M46" s="1971">
        <v>4.9969999999999999</v>
      </c>
      <c r="O46" s="1971">
        <v>4.9969999999999999</v>
      </c>
      <c r="Q46" s="3433">
        <f t="shared" si="4"/>
        <v>0</v>
      </c>
    </row>
    <row r="47" spans="1:17" s="1971" customFormat="1" ht="30">
      <c r="A47" s="2580" t="s">
        <v>674</v>
      </c>
      <c r="B47" s="141" t="s">
        <v>593</v>
      </c>
      <c r="C47" s="120">
        <v>253</v>
      </c>
      <c r="D47" s="120"/>
      <c r="E47" s="120">
        <f t="shared" si="0"/>
        <v>253</v>
      </c>
      <c r="F47" s="304">
        <f>11.193+0.4+0.036+0.201+10.874+9.485+2.711+0.71+44.505+0.178+1.26+0.309+0.515+0.356+4.818+3.14</f>
        <v>90.691000000000003</v>
      </c>
      <c r="G47" s="29">
        <f t="shared" si="1"/>
        <v>162.309</v>
      </c>
      <c r="H47" s="2022">
        <f t="shared" si="2"/>
        <v>0.6415375494071146</v>
      </c>
      <c r="I47" s="220"/>
      <c r="J47" s="140">
        <f t="shared" si="5"/>
        <v>29</v>
      </c>
      <c r="L47" s="103">
        <f t="shared" si="3"/>
        <v>0</v>
      </c>
      <c r="M47" s="1971">
        <v>90.691000000000003</v>
      </c>
      <c r="O47" s="1971">
        <v>90.691000000000003</v>
      </c>
      <c r="Q47" s="3433">
        <f t="shared" si="4"/>
        <v>0</v>
      </c>
    </row>
    <row r="48" spans="1:17" s="2387" customFormat="1" ht="30">
      <c r="A48" s="2580" t="s">
        <v>675</v>
      </c>
      <c r="B48" s="2414" t="s">
        <v>593</v>
      </c>
      <c r="C48" s="1784">
        <v>47</v>
      </c>
      <c r="D48" s="1784"/>
      <c r="E48" s="1784">
        <f t="shared" si="0"/>
        <v>47</v>
      </c>
      <c r="F48" s="2417">
        <f>18.3-0.04+14.492+3.965+5.738+11.576</f>
        <v>54.030999999999999</v>
      </c>
      <c r="G48" s="1441">
        <f t="shared" si="1"/>
        <v>-7.0309999999999988</v>
      </c>
      <c r="H48" s="2022">
        <f t="shared" si="2"/>
        <v>-0.14959574468085104</v>
      </c>
      <c r="I48" s="1464"/>
      <c r="J48" s="1490">
        <f t="shared" si="5"/>
        <v>30</v>
      </c>
      <c r="L48" s="103">
        <f t="shared" si="3"/>
        <v>0</v>
      </c>
      <c r="M48" s="2387">
        <v>54.030999999999999</v>
      </c>
      <c r="O48" s="2387">
        <v>54.030999999999999</v>
      </c>
      <c r="Q48" s="3433">
        <f t="shared" si="4"/>
        <v>0</v>
      </c>
    </row>
    <row r="49" spans="1:17" s="1971" customFormat="1" ht="45">
      <c r="A49" s="2580" t="s">
        <v>676</v>
      </c>
      <c r="B49" s="141" t="s">
        <v>593</v>
      </c>
      <c r="C49" s="120">
        <v>280</v>
      </c>
      <c r="D49" s="120"/>
      <c r="E49" s="120">
        <f t="shared" si="0"/>
        <v>280</v>
      </c>
      <c r="F49" s="304">
        <f>1.363+49.269</f>
        <v>50.631999999999998</v>
      </c>
      <c r="G49" s="29">
        <f t="shared" si="1"/>
        <v>229.36799999999999</v>
      </c>
      <c r="H49" s="2022">
        <f t="shared" si="2"/>
        <v>0.81917142857142855</v>
      </c>
      <c r="I49" s="175"/>
      <c r="J49" s="140">
        <f t="shared" si="5"/>
        <v>31</v>
      </c>
      <c r="L49" s="103">
        <f t="shared" si="3"/>
        <v>0</v>
      </c>
      <c r="M49" s="1971">
        <v>50.631999999999998</v>
      </c>
      <c r="O49" s="1971">
        <v>50.631999999999998</v>
      </c>
      <c r="Q49" s="3433">
        <f t="shared" si="4"/>
        <v>0</v>
      </c>
    </row>
    <row r="50" spans="1:17" s="1971" customFormat="1" ht="45">
      <c r="A50" s="2580" t="s">
        <v>677</v>
      </c>
      <c r="B50" s="141" t="s">
        <v>593</v>
      </c>
      <c r="C50" s="120">
        <v>403</v>
      </c>
      <c r="D50" s="120"/>
      <c r="E50" s="120">
        <f t="shared" si="0"/>
        <v>403</v>
      </c>
      <c r="F50" s="304">
        <f>6.155+1.813</f>
        <v>7.968</v>
      </c>
      <c r="G50" s="29">
        <f t="shared" si="1"/>
        <v>395.03199999999998</v>
      </c>
      <c r="H50" s="2022">
        <f t="shared" si="2"/>
        <v>0.98022828784119098</v>
      </c>
      <c r="I50" s="175"/>
      <c r="J50" s="133">
        <f t="shared" si="5"/>
        <v>32</v>
      </c>
      <c r="L50" s="103">
        <f t="shared" si="3"/>
        <v>0</v>
      </c>
      <c r="M50" s="1971">
        <v>7.968</v>
      </c>
      <c r="O50" s="1971">
        <v>7.968</v>
      </c>
      <c r="Q50" s="3433">
        <f t="shared" si="4"/>
        <v>0</v>
      </c>
    </row>
    <row r="51" spans="1:17" s="1971" customFormat="1" ht="15">
      <c r="A51" s="2580" t="s">
        <v>678</v>
      </c>
      <c r="B51" s="141" t="s">
        <v>593</v>
      </c>
      <c r="C51" s="120">
        <v>24</v>
      </c>
      <c r="D51" s="120"/>
      <c r="E51" s="120">
        <f t="shared" si="0"/>
        <v>24</v>
      </c>
      <c r="F51" s="304"/>
      <c r="G51" s="29">
        <f t="shared" si="1"/>
        <v>24</v>
      </c>
      <c r="H51" s="2022">
        <f t="shared" si="2"/>
        <v>1</v>
      </c>
      <c r="I51" s="220"/>
      <c r="J51" s="140">
        <f t="shared" si="5"/>
        <v>33</v>
      </c>
      <c r="L51" s="103">
        <f t="shared" si="3"/>
        <v>0</v>
      </c>
      <c r="M51" s="1971">
        <v>0</v>
      </c>
      <c r="O51" s="1971">
        <v>0</v>
      </c>
      <c r="Q51" s="3433">
        <f t="shared" si="4"/>
        <v>0</v>
      </c>
    </row>
    <row r="52" spans="1:17" s="1971" customFormat="1" ht="30">
      <c r="A52" s="2580" t="s">
        <v>679</v>
      </c>
      <c r="B52" s="141" t="s">
        <v>593</v>
      </c>
      <c r="C52" s="120">
        <v>33</v>
      </c>
      <c r="D52" s="120"/>
      <c r="E52" s="120">
        <f t="shared" si="0"/>
        <v>33</v>
      </c>
      <c r="F52" s="304"/>
      <c r="G52" s="29">
        <f t="shared" si="1"/>
        <v>33</v>
      </c>
      <c r="H52" s="2022">
        <f t="shared" si="2"/>
        <v>1</v>
      </c>
      <c r="I52" s="220"/>
      <c r="J52" s="140">
        <f t="shared" si="5"/>
        <v>34</v>
      </c>
      <c r="L52" s="103">
        <f t="shared" si="3"/>
        <v>0</v>
      </c>
      <c r="M52" s="1971">
        <v>0</v>
      </c>
      <c r="O52" s="1971">
        <v>0</v>
      </c>
      <c r="Q52" s="3433">
        <f t="shared" si="4"/>
        <v>0</v>
      </c>
    </row>
    <row r="53" spans="1:17" s="1971" customFormat="1" ht="45">
      <c r="A53" s="2580" t="s">
        <v>680</v>
      </c>
      <c r="B53" s="141" t="s">
        <v>593</v>
      </c>
      <c r="C53" s="120">
        <v>410</v>
      </c>
      <c r="D53" s="120"/>
      <c r="E53" s="120">
        <f t="shared" si="0"/>
        <v>410</v>
      </c>
      <c r="F53" s="304">
        <f>50.206+2.244+1+10.506+15.271+2.37</f>
        <v>81.597000000000008</v>
      </c>
      <c r="G53" s="29">
        <f t="shared" si="1"/>
        <v>328.40300000000002</v>
      </c>
      <c r="H53" s="2022">
        <f t="shared" si="2"/>
        <v>0.8009829268292683</v>
      </c>
      <c r="I53" s="220"/>
      <c r="J53" s="140">
        <f t="shared" si="5"/>
        <v>35</v>
      </c>
      <c r="L53" s="103">
        <f t="shared" si="3"/>
        <v>-1.4210854715202004E-14</v>
      </c>
      <c r="M53" s="1971">
        <v>81.596999999999994</v>
      </c>
      <c r="O53" s="1971">
        <v>81.596999999999994</v>
      </c>
      <c r="Q53" s="3433">
        <f t="shared" si="4"/>
        <v>0</v>
      </c>
    </row>
    <row r="54" spans="1:17" s="1971" customFormat="1" ht="30">
      <c r="A54" s="2580" t="s">
        <v>681</v>
      </c>
      <c r="B54" s="141" t="s">
        <v>593</v>
      </c>
      <c r="C54" s="120">
        <v>158</v>
      </c>
      <c r="D54" s="120"/>
      <c r="E54" s="120">
        <f t="shared" si="0"/>
        <v>158</v>
      </c>
      <c r="F54" s="304"/>
      <c r="G54" s="29">
        <f t="shared" si="1"/>
        <v>158</v>
      </c>
      <c r="H54" s="2022">
        <f t="shared" si="2"/>
        <v>1</v>
      </c>
      <c r="I54" s="220"/>
      <c r="J54" s="140">
        <f t="shared" si="5"/>
        <v>36</v>
      </c>
      <c r="L54" s="103">
        <f t="shared" si="3"/>
        <v>0</v>
      </c>
      <c r="M54" s="1971">
        <v>0</v>
      </c>
      <c r="O54" s="1971">
        <v>0</v>
      </c>
      <c r="Q54" s="3433">
        <f t="shared" si="4"/>
        <v>0</v>
      </c>
    </row>
    <row r="55" spans="1:17" s="1971" customFormat="1" ht="30">
      <c r="A55" s="3261" t="s">
        <v>682</v>
      </c>
      <c r="B55" s="141" t="s">
        <v>593</v>
      </c>
      <c r="C55" s="120">
        <v>1090</v>
      </c>
      <c r="D55" s="120"/>
      <c r="E55" s="120">
        <f t="shared" si="0"/>
        <v>1090</v>
      </c>
      <c r="F55" s="304">
        <f>8.463+3.194+0.4-0.017+0.061+0.729+0.563+4.617+14.187+42.179</f>
        <v>74.376000000000005</v>
      </c>
      <c r="G55" s="29">
        <f t="shared" si="1"/>
        <v>1015.624</v>
      </c>
      <c r="H55" s="2022">
        <f t="shared" si="2"/>
        <v>0.93176513761467894</v>
      </c>
      <c r="I55" s="220"/>
      <c r="J55" s="140">
        <f t="shared" si="5"/>
        <v>37</v>
      </c>
      <c r="L55" s="103">
        <f t="shared" si="3"/>
        <v>0</v>
      </c>
      <c r="M55" s="1971">
        <v>74.376000000000005</v>
      </c>
      <c r="O55" s="1971">
        <v>74.376000000000005</v>
      </c>
      <c r="Q55" s="3433">
        <f t="shared" si="4"/>
        <v>0</v>
      </c>
    </row>
    <row r="56" spans="1:17" s="1971" customFormat="1" ht="30">
      <c r="A56" s="2580" t="s">
        <v>683</v>
      </c>
      <c r="B56" s="141" t="s">
        <v>593</v>
      </c>
      <c r="C56" s="120">
        <v>178</v>
      </c>
      <c r="D56" s="229"/>
      <c r="E56" s="120">
        <f>+C56+D56</f>
        <v>178</v>
      </c>
      <c r="F56" s="304">
        <f>16.118+1.775+0.153+0.598+3.129</f>
        <v>21.772999999999996</v>
      </c>
      <c r="G56" s="29">
        <f t="shared" si="1"/>
        <v>156.227</v>
      </c>
      <c r="H56" s="2022">
        <f t="shared" si="2"/>
        <v>0.87767977528089891</v>
      </c>
      <c r="I56" s="175"/>
      <c r="J56" s="140">
        <f t="shared" si="5"/>
        <v>38</v>
      </c>
      <c r="L56" s="103">
        <f t="shared" si="3"/>
        <v>3.5527136788005009E-15</v>
      </c>
      <c r="M56" s="1971">
        <v>21.773</v>
      </c>
      <c r="O56" s="1971">
        <v>21.773</v>
      </c>
      <c r="Q56" s="3433">
        <f t="shared" si="4"/>
        <v>0</v>
      </c>
    </row>
    <row r="57" spans="1:17" s="1971" customFormat="1" ht="15">
      <c r="A57" s="2580" t="s">
        <v>684</v>
      </c>
      <c r="B57" s="141" t="s">
        <v>593</v>
      </c>
      <c r="C57" s="120">
        <v>423</v>
      </c>
      <c r="D57" s="229"/>
      <c r="E57" s="120">
        <f>+C57+D57</f>
        <v>423</v>
      </c>
      <c r="F57" s="304">
        <f>1+0.023+0.77+0.922+1.38+3.759+1.92+0.838+0.125+10.394+9.195+0.575+5.2</f>
        <v>36.100999999999999</v>
      </c>
      <c r="G57" s="29">
        <f t="shared" si="1"/>
        <v>386.899</v>
      </c>
      <c r="H57" s="2022">
        <f t="shared" si="2"/>
        <v>0.91465484633569738</v>
      </c>
      <c r="I57" s="175"/>
      <c r="J57" s="140">
        <f t="shared" si="5"/>
        <v>39</v>
      </c>
      <c r="L57" s="103">
        <f t="shared" si="3"/>
        <v>0</v>
      </c>
      <c r="M57" s="1971">
        <v>36.100999999999999</v>
      </c>
      <c r="O57" s="1971">
        <v>36.100999999999999</v>
      </c>
      <c r="Q57" s="3433">
        <f t="shared" si="4"/>
        <v>0</v>
      </c>
    </row>
    <row r="58" spans="1:17" s="1971" customFormat="1" ht="30">
      <c r="A58" s="2580" t="s">
        <v>685</v>
      </c>
      <c r="B58" s="141" t="s">
        <v>593</v>
      </c>
      <c r="C58" s="120">
        <v>0</v>
      </c>
      <c r="D58" s="229"/>
      <c r="E58" s="120">
        <f>+C58+D58</f>
        <v>0</v>
      </c>
      <c r="F58" s="304"/>
      <c r="G58" s="121">
        <f t="shared" si="1"/>
        <v>0</v>
      </c>
      <c r="H58" s="2022" t="e">
        <f t="shared" si="2"/>
        <v>#DIV/0!</v>
      </c>
      <c r="I58" s="220"/>
      <c r="J58" s="140">
        <f t="shared" si="5"/>
        <v>40</v>
      </c>
      <c r="L58" s="103">
        <f t="shared" si="3"/>
        <v>0</v>
      </c>
      <c r="M58" s="1971">
        <v>0</v>
      </c>
      <c r="O58" s="1971">
        <v>0</v>
      </c>
      <c r="Q58" s="3433">
        <f t="shared" si="4"/>
        <v>0</v>
      </c>
    </row>
    <row r="59" spans="1:17" s="1971" customFormat="1" ht="45">
      <c r="A59" s="2621" t="s">
        <v>686</v>
      </c>
      <c r="B59" s="141" t="s">
        <v>593</v>
      </c>
      <c r="C59" s="120">
        <v>180</v>
      </c>
      <c r="D59" s="120"/>
      <c r="E59" s="120">
        <f t="shared" si="0"/>
        <v>180</v>
      </c>
      <c r="F59" s="304"/>
      <c r="G59" s="29">
        <f t="shared" si="1"/>
        <v>180</v>
      </c>
      <c r="H59" s="2022">
        <f t="shared" si="2"/>
        <v>1</v>
      </c>
      <c r="I59" s="220"/>
      <c r="J59" s="140">
        <f t="shared" si="5"/>
        <v>41</v>
      </c>
      <c r="L59" s="103">
        <f t="shared" si="3"/>
        <v>0</v>
      </c>
      <c r="M59" s="1971">
        <v>0</v>
      </c>
      <c r="O59" s="1971">
        <v>0</v>
      </c>
      <c r="Q59" s="3433">
        <f t="shared" si="4"/>
        <v>0</v>
      </c>
    </row>
    <row r="60" spans="1:17" s="1971" customFormat="1" ht="30">
      <c r="A60" s="2580" t="s">
        <v>687</v>
      </c>
      <c r="B60" s="141" t="s">
        <v>593</v>
      </c>
      <c r="C60" s="120">
        <v>820</v>
      </c>
      <c r="D60" s="120"/>
      <c r="E60" s="120">
        <f t="shared" si="0"/>
        <v>820</v>
      </c>
      <c r="F60" s="304">
        <f>48.275+3.126+15.6+0.268+0.611+2.293+0.539+35.525+0.56+12.753+4.39+14.107+6.049+7.644+2.962+7.028+3.049+2.663+2.933+13.563+5.194</f>
        <v>189.13199999999998</v>
      </c>
      <c r="G60" s="29">
        <f t="shared" si="1"/>
        <v>630.86800000000005</v>
      </c>
      <c r="H60" s="2022">
        <f t="shared" si="2"/>
        <v>0.76935121951219521</v>
      </c>
      <c r="I60" s="270"/>
      <c r="J60" s="140">
        <f t="shared" si="5"/>
        <v>42</v>
      </c>
      <c r="L60" s="103">
        <f t="shared" si="3"/>
        <v>2.8421709430404007E-14</v>
      </c>
      <c r="M60" s="1971">
        <v>189.13200000000001</v>
      </c>
      <c r="O60" s="1971">
        <v>189.13200000000001</v>
      </c>
      <c r="Q60" s="3433">
        <f t="shared" si="4"/>
        <v>0</v>
      </c>
    </row>
    <row r="61" spans="1:17" s="1971" customFormat="1" ht="30">
      <c r="A61" s="2580" t="s">
        <v>688</v>
      </c>
      <c r="B61" s="141" t="s">
        <v>593</v>
      </c>
      <c r="C61" s="120">
        <v>495</v>
      </c>
      <c r="D61" s="120"/>
      <c r="E61" s="120">
        <f t="shared" si="0"/>
        <v>495</v>
      </c>
      <c r="F61" s="304">
        <f>22.802+2.55-0.004+0.354+0.548+0.098+1.296+5.506+6.26+20.175</f>
        <v>59.584999999999994</v>
      </c>
      <c r="G61" s="29">
        <f t="shared" si="1"/>
        <v>435.41500000000002</v>
      </c>
      <c r="H61" s="2022">
        <f t="shared" si="2"/>
        <v>0.87962626262626264</v>
      </c>
      <c r="I61" s="220"/>
      <c r="J61" s="140">
        <f t="shared" si="5"/>
        <v>43</v>
      </c>
      <c r="L61" s="103">
        <f t="shared" si="3"/>
        <v>7.1054273576010019E-15</v>
      </c>
      <c r="M61" s="1971">
        <v>59.585000000000001</v>
      </c>
      <c r="O61" s="1971">
        <v>59.585000000000001</v>
      </c>
      <c r="Q61" s="3433">
        <f t="shared" si="4"/>
        <v>0</v>
      </c>
    </row>
    <row r="62" spans="1:17" s="1971" customFormat="1" ht="15">
      <c r="A62" s="2580" t="s">
        <v>689</v>
      </c>
      <c r="B62" s="141" t="s">
        <v>593</v>
      </c>
      <c r="C62" s="120">
        <v>33</v>
      </c>
      <c r="D62" s="120"/>
      <c r="E62" s="120">
        <f t="shared" si="0"/>
        <v>33</v>
      </c>
      <c r="F62" s="304">
        <v>0.318</v>
      </c>
      <c r="G62" s="29">
        <f t="shared" si="1"/>
        <v>32.682000000000002</v>
      </c>
      <c r="H62" s="2022">
        <f t="shared" si="2"/>
        <v>0.99036363636363645</v>
      </c>
      <c r="I62" s="273"/>
      <c r="J62" s="140">
        <f t="shared" si="5"/>
        <v>44</v>
      </c>
      <c r="L62" s="103">
        <f t="shared" si="3"/>
        <v>0</v>
      </c>
      <c r="M62" s="1971">
        <v>0.318</v>
      </c>
      <c r="O62" s="1971">
        <v>0.318</v>
      </c>
      <c r="Q62" s="3433">
        <f t="shared" si="4"/>
        <v>0</v>
      </c>
    </row>
    <row r="63" spans="1:17" s="1971" customFormat="1" ht="15" customHeight="1">
      <c r="A63" s="2580" t="s">
        <v>690</v>
      </c>
      <c r="B63" s="141" t="s">
        <v>593</v>
      </c>
      <c r="C63" s="120">
        <v>1190</v>
      </c>
      <c r="D63" s="120"/>
      <c r="E63" s="120">
        <f t="shared" si="0"/>
        <v>1190</v>
      </c>
      <c r="F63" s="304">
        <f>27.911+2.178+11.615+0.701+7.171+2.828+52.252+13.674</f>
        <v>118.33000000000001</v>
      </c>
      <c r="G63" s="29">
        <f t="shared" si="1"/>
        <v>1071.67</v>
      </c>
      <c r="H63" s="2022">
        <f t="shared" si="2"/>
        <v>0.90056302521008413</v>
      </c>
      <c r="I63" s="175"/>
      <c r="J63" s="140">
        <f t="shared" si="5"/>
        <v>45</v>
      </c>
      <c r="L63" s="103">
        <f t="shared" si="3"/>
        <v>-1.4210854715202004E-14</v>
      </c>
      <c r="M63" s="1971">
        <v>118.33</v>
      </c>
      <c r="O63" s="1971">
        <v>118.33</v>
      </c>
      <c r="Q63" s="3433">
        <f t="shared" si="4"/>
        <v>0</v>
      </c>
    </row>
    <row r="64" spans="1:17" s="1971" customFormat="1" ht="30">
      <c r="A64" s="2580" t="s">
        <v>691</v>
      </c>
      <c r="B64" s="141" t="s">
        <v>593</v>
      </c>
      <c r="C64" s="120">
        <v>461</v>
      </c>
      <c r="D64" s="120"/>
      <c r="E64" s="120">
        <f t="shared" si="0"/>
        <v>461</v>
      </c>
      <c r="F64" s="304">
        <f>21.827+3.14+52.86+0.004+0.817+10.167+22.146+17.443+26.083+54.541+14.774+171.351+2.849+3.842+0.409+0.047+2.815+12.592+4.524+1.061+2.116+35.592+1.551+17.323+37.101+2.991</f>
        <v>519.96599999999989</v>
      </c>
      <c r="G64" s="29">
        <f t="shared" si="1"/>
        <v>-58.965999999999894</v>
      </c>
      <c r="H64" s="2022">
        <f t="shared" si="2"/>
        <v>-0.12790889370932731</v>
      </c>
      <c r="I64" s="220"/>
      <c r="J64" s="140">
        <f t="shared" si="5"/>
        <v>46</v>
      </c>
      <c r="K64" s="3230" t="s">
        <v>1142</v>
      </c>
      <c r="L64" s="103">
        <f t="shared" si="3"/>
        <v>1.1368683772161603E-13</v>
      </c>
      <c r="M64" s="1971">
        <v>519.96600000000001</v>
      </c>
      <c r="O64" s="1971">
        <v>519.96600000000001</v>
      </c>
      <c r="Q64" s="3433">
        <f t="shared" si="4"/>
        <v>0</v>
      </c>
    </row>
    <row r="65" spans="1:17" s="1971" customFormat="1" ht="30">
      <c r="A65" s="2580" t="s">
        <v>692</v>
      </c>
      <c r="B65" s="141" t="s">
        <v>593</v>
      </c>
      <c r="C65" s="120">
        <v>153</v>
      </c>
      <c r="D65" s="120"/>
      <c r="E65" s="120">
        <f t="shared" si="0"/>
        <v>153</v>
      </c>
      <c r="F65" s="304">
        <f>0.026+0.885+5.276+0.645</f>
        <v>6.831999999999999</v>
      </c>
      <c r="G65" s="29">
        <f t="shared" si="1"/>
        <v>146.16800000000001</v>
      </c>
      <c r="H65" s="2022">
        <f t="shared" si="2"/>
        <v>0.95534640522875824</v>
      </c>
      <c r="I65" s="175"/>
      <c r="J65" s="140">
        <f t="shared" si="5"/>
        <v>47</v>
      </c>
      <c r="L65" s="103">
        <f t="shared" si="3"/>
        <v>8.8817841970012523E-16</v>
      </c>
      <c r="M65" s="1971">
        <v>6.8319999999999999</v>
      </c>
      <c r="O65" s="1971">
        <v>6.8319999999999999</v>
      </c>
      <c r="Q65" s="3433">
        <f t="shared" si="4"/>
        <v>0</v>
      </c>
    </row>
    <row r="66" spans="1:17" s="1971" customFormat="1" ht="30">
      <c r="A66" s="2580" t="s">
        <v>693</v>
      </c>
      <c r="B66" s="141" t="s">
        <v>593</v>
      </c>
      <c r="C66" s="120">
        <v>470</v>
      </c>
      <c r="D66" s="120"/>
      <c r="E66" s="120">
        <f t="shared" si="0"/>
        <v>470</v>
      </c>
      <c r="F66" s="304">
        <f>9.688+1.93+35.175+5.204+6.947+1.989+0.526+0.765+19.226+6.531+0.763+0.876+6.95+10.02+3.2</f>
        <v>109.79000000000002</v>
      </c>
      <c r="G66" s="29">
        <f t="shared" si="1"/>
        <v>360.21</v>
      </c>
      <c r="H66" s="2022">
        <f t="shared" si="2"/>
        <v>0.76640425531914891</v>
      </c>
      <c r="I66" s="220"/>
      <c r="J66" s="140">
        <f t="shared" si="5"/>
        <v>48</v>
      </c>
      <c r="L66" s="103">
        <f t="shared" si="3"/>
        <v>-1.4210854715202004E-14</v>
      </c>
      <c r="M66" s="1971">
        <v>109.79</v>
      </c>
      <c r="O66" s="1971">
        <v>109.79</v>
      </c>
      <c r="Q66" s="3433">
        <f t="shared" si="4"/>
        <v>0</v>
      </c>
    </row>
    <row r="67" spans="1:17" s="1971" customFormat="1" ht="30">
      <c r="A67" s="2580" t="s">
        <v>694</v>
      </c>
      <c r="B67" s="141" t="s">
        <v>593</v>
      </c>
      <c r="C67" s="120">
        <v>295</v>
      </c>
      <c r="D67" s="229"/>
      <c r="E67" s="120">
        <f>+C67+D67</f>
        <v>295</v>
      </c>
      <c r="F67" s="304">
        <f>6.317+1.24+0.45+1.955+6.084+0.106+1.62+2.359</f>
        <v>20.131</v>
      </c>
      <c r="G67" s="29">
        <f t="shared" si="1"/>
        <v>274.86900000000003</v>
      </c>
      <c r="H67" s="2022">
        <f t="shared" si="2"/>
        <v>0.93175932203389844</v>
      </c>
      <c r="I67" s="175"/>
      <c r="J67" s="140">
        <f t="shared" si="5"/>
        <v>49</v>
      </c>
      <c r="L67" s="103">
        <f t="shared" si="3"/>
        <v>0</v>
      </c>
      <c r="M67" s="1971">
        <v>20.131</v>
      </c>
      <c r="O67" s="1971">
        <v>20.131</v>
      </c>
      <c r="Q67" s="3433">
        <f t="shared" si="4"/>
        <v>0</v>
      </c>
    </row>
    <row r="68" spans="1:17" s="1971" customFormat="1" ht="30">
      <c r="A68" s="2580" t="s">
        <v>695</v>
      </c>
      <c r="B68" s="141" t="s">
        <v>593</v>
      </c>
      <c r="C68" s="120">
        <v>722</v>
      </c>
      <c r="D68" s="120"/>
      <c r="E68" s="120">
        <f t="shared" si="0"/>
        <v>722</v>
      </c>
      <c r="F68" s="304">
        <f>13.579+3.87+24.52+0.001+0.57+0.988+5.382+0.498+1.865+6.036+0.301+7.214+2.154+0.142+11.736+20.487</f>
        <v>99.342999999999989</v>
      </c>
      <c r="G68" s="29">
        <f t="shared" si="1"/>
        <v>622.65700000000004</v>
      </c>
      <c r="H68" s="2022">
        <f t="shared" si="2"/>
        <v>0.86240581717451525</v>
      </c>
      <c r="I68" s="175"/>
      <c r="J68" s="140">
        <f t="shared" si="5"/>
        <v>50</v>
      </c>
      <c r="L68" s="103">
        <f t="shared" si="3"/>
        <v>1.4210854715202004E-14</v>
      </c>
      <c r="M68" s="1971">
        <v>99.343000000000004</v>
      </c>
      <c r="O68" s="1971">
        <v>99.343000000000004</v>
      </c>
      <c r="Q68" s="3433">
        <f t="shared" si="4"/>
        <v>0</v>
      </c>
    </row>
    <row r="69" spans="1:17" s="1971" customFormat="1" ht="30">
      <c r="A69" s="2580" t="s">
        <v>696</v>
      </c>
      <c r="B69" s="141" t="s">
        <v>593</v>
      </c>
      <c r="C69" s="120">
        <v>167</v>
      </c>
      <c r="D69" s="120"/>
      <c r="E69" s="120">
        <f t="shared" si="0"/>
        <v>167</v>
      </c>
      <c r="F69" s="304">
        <f>20.812+10.17+0.832+6.672+3.278+13.266+1.723+11.22+2.05+0.687+0.03+1.764+0.621</f>
        <v>73.124999999999986</v>
      </c>
      <c r="G69" s="29">
        <f t="shared" si="1"/>
        <v>93.875000000000014</v>
      </c>
      <c r="H69" s="2022">
        <f t="shared" si="2"/>
        <v>0.56212574850299413</v>
      </c>
      <c r="I69" s="220"/>
      <c r="J69" s="140">
        <f t="shared" si="5"/>
        <v>51</v>
      </c>
      <c r="L69" s="103">
        <f t="shared" si="3"/>
        <v>1.4210854715202004E-14</v>
      </c>
      <c r="M69" s="1971">
        <v>73.125</v>
      </c>
      <c r="O69" s="1971">
        <v>73.125</v>
      </c>
      <c r="Q69" s="3433">
        <f t="shared" si="4"/>
        <v>0</v>
      </c>
    </row>
    <row r="70" spans="1:17" s="1971" customFormat="1" ht="30">
      <c r="A70" s="2580" t="s">
        <v>697</v>
      </c>
      <c r="B70" s="141" t="s">
        <v>593</v>
      </c>
      <c r="C70" s="120">
        <v>245</v>
      </c>
      <c r="D70" s="120"/>
      <c r="E70" s="120">
        <f t="shared" si="0"/>
        <v>245</v>
      </c>
      <c r="F70" s="304">
        <f>5.117+1.05+0.91+0.474+0.158+67.999+6.12+30.012+8.356</f>
        <v>120.196</v>
      </c>
      <c r="G70" s="29">
        <f t="shared" si="1"/>
        <v>124.804</v>
      </c>
      <c r="H70" s="2022">
        <f t="shared" si="2"/>
        <v>0.50940408163265305</v>
      </c>
      <c r="I70" s="220"/>
      <c r="J70" s="140">
        <f t="shared" si="5"/>
        <v>52</v>
      </c>
      <c r="L70" s="103">
        <f t="shared" si="3"/>
        <v>0</v>
      </c>
      <c r="M70" s="1971">
        <v>120.196</v>
      </c>
      <c r="O70" s="1971">
        <v>120.196</v>
      </c>
      <c r="Q70" s="3433">
        <f t="shared" si="4"/>
        <v>0</v>
      </c>
    </row>
    <row r="71" spans="1:17" s="1971" customFormat="1" ht="45">
      <c r="A71" s="2580" t="s">
        <v>698</v>
      </c>
      <c r="B71" s="141" t="s">
        <v>593</v>
      </c>
      <c r="C71" s="120">
        <v>473</v>
      </c>
      <c r="D71" s="120"/>
      <c r="E71" s="120">
        <f t="shared" si="0"/>
        <v>473</v>
      </c>
      <c r="F71" s="304">
        <f>37.82+0.21+0.681+1.376+13.835+5.038</f>
        <v>58.959999999999994</v>
      </c>
      <c r="G71" s="29">
        <f t="shared" si="1"/>
        <v>414.04</v>
      </c>
      <c r="H71" s="2022">
        <f t="shared" si="2"/>
        <v>0.87534883720930234</v>
      </c>
      <c r="I71" s="220"/>
      <c r="J71" s="140">
        <f t="shared" si="5"/>
        <v>53</v>
      </c>
      <c r="L71" s="103">
        <f t="shared" si="3"/>
        <v>7.1054273576010019E-15</v>
      </c>
      <c r="M71" s="1971">
        <v>58.96</v>
      </c>
      <c r="O71" s="1971">
        <v>58.96</v>
      </c>
      <c r="Q71" s="3433">
        <f t="shared" si="4"/>
        <v>0</v>
      </c>
    </row>
    <row r="72" spans="1:17" s="1971" customFormat="1" ht="30">
      <c r="A72" s="2580" t="s">
        <v>699</v>
      </c>
      <c r="B72" s="141" t="s">
        <v>593</v>
      </c>
      <c r="C72" s="2078">
        <v>143</v>
      </c>
      <c r="D72" s="120"/>
      <c r="E72" s="120">
        <f t="shared" si="0"/>
        <v>143</v>
      </c>
      <c r="F72" s="304">
        <v>0.86</v>
      </c>
      <c r="G72" s="29">
        <f t="shared" si="1"/>
        <v>142.13999999999999</v>
      </c>
      <c r="H72" s="2022">
        <f t="shared" si="2"/>
        <v>0.99398601398601394</v>
      </c>
      <c r="I72" s="175"/>
      <c r="J72" s="140">
        <f t="shared" si="5"/>
        <v>54</v>
      </c>
      <c r="L72" s="103">
        <f t="shared" si="3"/>
        <v>0</v>
      </c>
      <c r="M72" s="1971">
        <v>0.86</v>
      </c>
      <c r="O72" s="1971">
        <v>0.86</v>
      </c>
      <c r="Q72" s="3433">
        <f t="shared" si="4"/>
        <v>0</v>
      </c>
    </row>
    <row r="73" spans="1:17" s="1415" customFormat="1" ht="30">
      <c r="A73" s="2580" t="s">
        <v>700</v>
      </c>
      <c r="B73" s="2389" t="s">
        <v>593</v>
      </c>
      <c r="C73" s="2390">
        <v>47</v>
      </c>
      <c r="D73" s="2390"/>
      <c r="E73" s="2390">
        <f t="shared" si="0"/>
        <v>47</v>
      </c>
      <c r="F73" s="2395">
        <f>2.71+0.001+0.239+1.002</f>
        <v>3.952</v>
      </c>
      <c r="G73" s="2392">
        <f t="shared" si="1"/>
        <v>43.048000000000002</v>
      </c>
      <c r="H73" s="2022">
        <f t="shared" si="2"/>
        <v>0.91591489361702128</v>
      </c>
      <c r="I73" s="2393"/>
      <c r="J73" s="2394">
        <f t="shared" si="5"/>
        <v>55</v>
      </c>
      <c r="L73" s="103">
        <f t="shared" si="3"/>
        <v>0</v>
      </c>
      <c r="M73" s="1415">
        <v>3.952</v>
      </c>
      <c r="O73" s="1415">
        <v>3.952</v>
      </c>
      <c r="Q73" s="3433">
        <f t="shared" si="4"/>
        <v>0</v>
      </c>
    </row>
    <row r="74" spans="1:17" s="1971" customFormat="1" ht="45">
      <c r="A74" s="2580" t="s">
        <v>701</v>
      </c>
      <c r="B74" s="141" t="s">
        <v>593</v>
      </c>
      <c r="C74" s="120">
        <v>1066</v>
      </c>
      <c r="D74" s="120"/>
      <c r="E74" s="120">
        <f t="shared" si="0"/>
        <v>1066</v>
      </c>
      <c r="F74" s="304">
        <f>168.608+8.6+56.58-0.001+3.41+4.959+14.275+14.225+21.669+11.534+0.275+5.643+8.051+53.02+1.876+2.467+10.318+12.65+1.899+6.156+2.643+74.02+40.705</f>
        <v>523.58199999999977</v>
      </c>
      <c r="G74" s="29">
        <f t="shared" si="1"/>
        <v>542.41800000000023</v>
      </c>
      <c r="H74" s="2022">
        <f t="shared" si="2"/>
        <v>0.50883489681050675</v>
      </c>
      <c r="I74" s="220"/>
      <c r="J74" s="140">
        <f t="shared" si="5"/>
        <v>56</v>
      </c>
      <c r="L74" s="103">
        <f t="shared" si="3"/>
        <v>2.2737367544323206E-13</v>
      </c>
      <c r="M74" s="1971">
        <v>523.58199999999999</v>
      </c>
      <c r="O74" s="1971">
        <v>523.58199999999999</v>
      </c>
      <c r="Q74" s="3433">
        <f t="shared" si="4"/>
        <v>0</v>
      </c>
    </row>
    <row r="75" spans="1:17" s="1971" customFormat="1" ht="45">
      <c r="A75" s="2580" t="s">
        <v>702</v>
      </c>
      <c r="B75" s="141" t="s">
        <v>593</v>
      </c>
      <c r="C75" s="120">
        <v>653</v>
      </c>
      <c r="D75" s="120"/>
      <c r="E75" s="120">
        <f t="shared" si="0"/>
        <v>653</v>
      </c>
      <c r="F75" s="304">
        <f>1.43+3.17-0.004+0.946+1.393+10.014+27.46+7.417+1.746+1.079+3.338+2.24+1.982+14.799+2.066</f>
        <v>79.076000000000008</v>
      </c>
      <c r="G75" s="29">
        <f t="shared" si="1"/>
        <v>573.92399999999998</v>
      </c>
      <c r="H75" s="2022">
        <f t="shared" si="2"/>
        <v>0.87890352220520673</v>
      </c>
      <c r="I75" s="220"/>
      <c r="J75" s="140">
        <f t="shared" si="5"/>
        <v>57</v>
      </c>
      <c r="L75" s="103">
        <f t="shared" si="3"/>
        <v>-1.4210854715202004E-14</v>
      </c>
      <c r="M75" s="1971">
        <v>79.075999999999993</v>
      </c>
      <c r="O75" s="1971">
        <v>79.075999999999993</v>
      </c>
      <c r="Q75" s="3433">
        <f t="shared" si="4"/>
        <v>0</v>
      </c>
    </row>
    <row r="76" spans="1:17" s="1415" customFormat="1" ht="30">
      <c r="A76" s="3367" t="s">
        <v>703</v>
      </c>
      <c r="B76" s="2389" t="s">
        <v>593</v>
      </c>
      <c r="C76" s="3368">
        <v>321.66500000000002</v>
      </c>
      <c r="D76" s="2390"/>
      <c r="E76" s="2390">
        <f t="shared" si="0"/>
        <v>321.66500000000002</v>
      </c>
      <c r="F76" s="2395">
        <f>21.913+2.63+0.002+42.784+26.527+2.35+0.09+1.443+0.728+6.005+0.122+5.974+4.69+1.587+1.128+7.826+69.866+2.077</f>
        <v>197.74199999999996</v>
      </c>
      <c r="G76" s="2392">
        <f t="shared" si="1"/>
        <v>123.92300000000006</v>
      </c>
      <c r="H76" s="2022">
        <f t="shared" si="2"/>
        <v>0.38525484588003062</v>
      </c>
      <c r="I76" s="2393"/>
      <c r="J76" s="2394">
        <f t="shared" si="5"/>
        <v>58</v>
      </c>
      <c r="L76" s="103">
        <f t="shared" si="3"/>
        <v>2.8421709430404007E-14</v>
      </c>
      <c r="M76" s="1415">
        <v>197.74199999999999</v>
      </c>
      <c r="O76" s="1415">
        <v>197.74199999999999</v>
      </c>
      <c r="Q76" s="3433">
        <f t="shared" si="4"/>
        <v>0</v>
      </c>
    </row>
    <row r="77" spans="1:17" s="1971" customFormat="1" ht="30">
      <c r="A77" s="2580" t="s">
        <v>704</v>
      </c>
      <c r="B77" s="141" t="s">
        <v>593</v>
      </c>
      <c r="C77" s="120">
        <v>61</v>
      </c>
      <c r="D77" s="120"/>
      <c r="E77" s="120">
        <f t="shared" si="0"/>
        <v>61</v>
      </c>
      <c r="F77" s="304"/>
      <c r="G77" s="29">
        <f t="shared" si="1"/>
        <v>61</v>
      </c>
      <c r="H77" s="2022">
        <f t="shared" si="2"/>
        <v>1</v>
      </c>
      <c r="I77" s="1460"/>
      <c r="J77" s="140">
        <f t="shared" si="5"/>
        <v>59</v>
      </c>
      <c r="L77" s="103">
        <f t="shared" si="3"/>
        <v>0</v>
      </c>
      <c r="M77" s="1971">
        <v>0</v>
      </c>
      <c r="O77" s="1971">
        <v>0</v>
      </c>
      <c r="Q77" s="3433">
        <f t="shared" si="4"/>
        <v>0</v>
      </c>
    </row>
    <row r="78" spans="1:17" s="1971" customFormat="1" ht="30">
      <c r="A78" s="2580" t="s">
        <v>705</v>
      </c>
      <c r="B78" s="141" t="s">
        <v>593</v>
      </c>
      <c r="C78" s="120">
        <v>0</v>
      </c>
      <c r="D78" s="229"/>
      <c r="E78" s="120">
        <f>+C78+D78</f>
        <v>0</v>
      </c>
      <c r="F78" s="304"/>
      <c r="G78" s="29">
        <f t="shared" si="1"/>
        <v>0</v>
      </c>
      <c r="H78" s="2022" t="e">
        <f t="shared" si="2"/>
        <v>#DIV/0!</v>
      </c>
      <c r="I78" s="175"/>
      <c r="J78" s="140">
        <f t="shared" si="5"/>
        <v>60</v>
      </c>
      <c r="L78" s="103">
        <f t="shared" si="3"/>
        <v>0</v>
      </c>
      <c r="M78" s="1971">
        <v>0</v>
      </c>
      <c r="O78" s="1971">
        <v>0</v>
      </c>
      <c r="Q78" s="3433">
        <f t="shared" si="4"/>
        <v>0</v>
      </c>
    </row>
    <row r="79" spans="1:17" s="1971" customFormat="1" ht="15" customHeight="1">
      <c r="A79" s="2580" t="s">
        <v>93</v>
      </c>
      <c r="B79" s="141" t="s">
        <v>593</v>
      </c>
      <c r="C79" s="2078">
        <v>64</v>
      </c>
      <c r="D79" s="2078"/>
      <c r="E79" s="2078">
        <f t="shared" si="0"/>
        <v>64</v>
      </c>
      <c r="F79" s="2614">
        <v>0.156</v>
      </c>
      <c r="G79" s="291">
        <f t="shared" si="1"/>
        <v>63.844000000000001</v>
      </c>
      <c r="H79" s="2022">
        <f t="shared" si="2"/>
        <v>0.99756250000000002</v>
      </c>
      <c r="I79" s="175"/>
      <c r="J79" s="140">
        <f t="shared" si="5"/>
        <v>61</v>
      </c>
      <c r="L79" s="103">
        <f t="shared" si="3"/>
        <v>0</v>
      </c>
      <c r="M79" s="1971">
        <v>0.156</v>
      </c>
      <c r="O79" s="1971">
        <v>0.156</v>
      </c>
      <c r="Q79" s="3433">
        <f t="shared" si="4"/>
        <v>0</v>
      </c>
    </row>
    <row r="80" spans="1:17" s="2117" customFormat="1" ht="15" customHeight="1" thickBot="1">
      <c r="A80" s="2580" t="s">
        <v>706</v>
      </c>
      <c r="B80" s="141" t="s">
        <v>593</v>
      </c>
      <c r="C80" s="290">
        <v>971</v>
      </c>
      <c r="D80" s="290"/>
      <c r="E80" s="290">
        <f t="shared" si="0"/>
        <v>971</v>
      </c>
      <c r="F80" s="2615">
        <f>5.288+3.88+8.985+1.2+2.54+1+2.5+2+0.162+1.954+5.889+2+1.794+1.941+0.107+2.5+18.487+0.884-0.436+0.519+1.474+0.436+6.097+12.582</f>
        <v>83.782999999999987</v>
      </c>
      <c r="G80" s="2616">
        <f t="shared" si="1"/>
        <v>887.21699999999998</v>
      </c>
      <c r="H80" s="2022">
        <f t="shared" si="2"/>
        <v>0.91371472708547885</v>
      </c>
      <c r="I80" s="175"/>
      <c r="J80" s="140"/>
      <c r="L80" s="103">
        <f t="shared" si="3"/>
        <v>1.4210854715202004E-14</v>
      </c>
      <c r="M80" s="2117">
        <v>83.783000000000001</v>
      </c>
      <c r="O80" s="2117">
        <v>83.783000000000001</v>
      </c>
      <c r="Q80" s="3433">
        <f t="shared" si="4"/>
        <v>0</v>
      </c>
    </row>
    <row r="81" spans="1:13" s="1971" customFormat="1" ht="15" customHeight="1" thickBot="1">
      <c r="A81" s="2087" t="s">
        <v>52</v>
      </c>
      <c r="B81" s="2121" t="s">
        <v>593</v>
      </c>
      <c r="C81" s="957">
        <f>SUM(C19:C80)</f>
        <v>24674.665000000001</v>
      </c>
      <c r="D81" s="957">
        <f>SUM(D19:D79)</f>
        <v>0</v>
      </c>
      <c r="E81" s="292">
        <f>SUM(E19:E80)</f>
        <v>24674.665000000001</v>
      </c>
      <c r="F81" s="959">
        <f>SUM(F19:F80)</f>
        <v>5253.8530000000001</v>
      </c>
      <c r="G81" s="958">
        <f>+E81-F81</f>
        <v>19420.812000000002</v>
      </c>
      <c r="H81" s="293">
        <f t="shared" ref="H81" si="6">+G81/E81</f>
        <v>0.78707500182879897</v>
      </c>
      <c r="I81" s="2093"/>
      <c r="J81" s="140">
        <f>+J79+1</f>
        <v>62</v>
      </c>
      <c r="M81" s="1415">
        <f>SUM(M19:M80)</f>
        <v>5253.853000000001</v>
      </c>
    </row>
    <row r="82" spans="1:13" s="1971" customFormat="1" ht="5.0999999999999996" customHeight="1">
      <c r="A82" s="22"/>
      <c r="B82" s="8"/>
      <c r="C82" s="23"/>
      <c r="D82" s="23"/>
      <c r="E82" s="23"/>
      <c r="F82" s="24"/>
      <c r="G82" s="24"/>
      <c r="H82" s="819"/>
      <c r="I82" s="255"/>
      <c r="J82" s="140"/>
    </row>
  </sheetData>
  <mergeCells count="2">
    <mergeCell ref="A16:B16"/>
    <mergeCell ref="G16:H16"/>
  </mergeCells>
  <conditionalFormatting sqref="H81">
    <cfRule type="cellIs" dxfId="6" priority="6" stopIfTrue="1" operator="lessThan">
      <formula>0</formula>
    </cfRule>
    <cfRule type="cellIs" dxfId="5" priority="7" stopIfTrue="1" operator="lessThan">
      <formula>0</formula>
    </cfRule>
  </conditionalFormatting>
  <conditionalFormatting sqref="H81">
    <cfRule type="cellIs" dxfId="4" priority="5" stopIfTrue="1" operator="lessThan">
      <formula>0.05</formula>
    </cfRule>
  </conditionalFormatting>
  <conditionalFormatting sqref="H19:H80">
    <cfRule type="cellIs" dxfId="3" priority="4" operator="lessThan">
      <formula>0.3</formula>
    </cfRule>
  </conditionalFormatting>
  <conditionalFormatting sqref="H19:H80">
    <cfRule type="cellIs" dxfId="2" priority="3" operator="lessThan">
      <formula>0.2</formula>
    </cfRule>
  </conditionalFormatting>
  <conditionalFormatting sqref="H19:H80">
    <cfRule type="cellIs" dxfId="1" priority="2" operator="lessThan">
      <formula>0.1</formula>
    </cfRule>
  </conditionalFormatting>
  <conditionalFormatting sqref="H19:H80">
    <cfRule type="cellIs" dxfId="0" priority="1" operator="lessThan">
      <formula>0.05</formula>
    </cfRule>
  </conditionalFormatting>
  <pageMargins left="0.7" right="0.7" top="0.75" bottom="0.75" header="0.3" footer="0.3"/>
  <pageSetup paperSize="130" orientation="portrait" r:id="rId1"/>
  <legacyDrawing r:id="rId2"/>
</worksheet>
</file>

<file path=xl/worksheets/sheet20.xml><?xml version="1.0" encoding="utf-8"?>
<worksheet xmlns="http://schemas.openxmlformats.org/spreadsheetml/2006/main" xmlns:r="http://schemas.openxmlformats.org/officeDocument/2006/relationships">
  <sheetPr>
    <tabColor theme="7" tint="0.39997558519241921"/>
  </sheetPr>
  <dimension ref="A1:O16"/>
  <sheetViews>
    <sheetView workbookViewId="0">
      <selection activeCell="K29" sqref="K29"/>
    </sheetView>
  </sheetViews>
  <sheetFormatPr baseColWidth="10" defaultRowHeight="12.75"/>
  <cols>
    <col min="1" max="1" width="18.7109375" style="1311" customWidth="1"/>
    <col min="2" max="2" width="12.42578125" style="1311" bestFit="1" customWidth="1"/>
    <col min="3" max="3" width="17.85546875" style="1311" customWidth="1"/>
    <col min="4" max="4" width="11.28515625" style="1311" customWidth="1"/>
    <col min="5" max="5" width="13.28515625" style="1311" customWidth="1"/>
    <col min="6" max="6" width="13" style="1311" customWidth="1"/>
    <col min="7" max="7" width="11.7109375" style="1311" customWidth="1"/>
    <col min="8" max="8" width="11.5703125" style="1311" customWidth="1"/>
    <col min="9" max="9" width="13.28515625" style="1311" customWidth="1"/>
    <col min="10" max="10" width="9.85546875" style="1311" customWidth="1"/>
    <col min="11" max="11" width="12.5703125" style="1311" customWidth="1"/>
    <col min="12" max="12" width="10.42578125" style="1311" customWidth="1"/>
    <col min="13" max="13" width="18.28515625" style="1311" bestFit="1" customWidth="1"/>
    <col min="14" max="14" width="11.140625" style="1311" customWidth="1"/>
    <col min="15" max="15" width="13" style="1311" customWidth="1"/>
    <col min="16" max="16384" width="11.42578125" style="1311"/>
  </cols>
  <sheetData>
    <row r="1" spans="1:15">
      <c r="H1" s="2157"/>
    </row>
    <row r="2" spans="1:15" ht="15">
      <c r="A2" s="3482" t="s">
        <v>558</v>
      </c>
      <c r="B2" s="3539"/>
      <c r="C2" s="3539"/>
      <c r="D2" s="3539"/>
      <c r="E2" s="3539"/>
      <c r="F2" s="3539"/>
      <c r="G2" s="3539"/>
      <c r="H2" s="3539"/>
      <c r="I2" s="3539"/>
      <c r="J2" s="3539"/>
      <c r="K2" s="3539"/>
      <c r="L2" s="3539"/>
      <c r="M2" s="3540"/>
    </row>
    <row r="3" spans="1:15" ht="15">
      <c r="A3" s="3768" t="s">
        <v>624</v>
      </c>
      <c r="B3" s="3480"/>
      <c r="C3" s="3480"/>
      <c r="D3" s="3480"/>
      <c r="E3" s="3480"/>
      <c r="F3" s="3480"/>
      <c r="G3" s="3480"/>
      <c r="H3" s="3480"/>
      <c r="I3" s="3480"/>
      <c r="J3" s="3480"/>
      <c r="K3" s="3480"/>
      <c r="L3" s="3480"/>
      <c r="M3" s="3481"/>
    </row>
    <row r="4" spans="1:15" ht="15">
      <c r="A4" s="1"/>
      <c r="B4" s="1"/>
      <c r="C4" s="6"/>
      <c r="D4" s="1"/>
      <c r="E4" s="7"/>
      <c r="F4" s="8"/>
      <c r="G4" s="9"/>
      <c r="H4" s="10"/>
      <c r="I4" s="9"/>
      <c r="J4" s="10"/>
      <c r="K4" s="3541"/>
      <c r="L4" s="3541"/>
      <c r="M4" s="11"/>
    </row>
    <row r="5" spans="1:15" ht="15">
      <c r="A5" s="12"/>
      <c r="B5" s="12"/>
      <c r="C5" s="13"/>
      <c r="D5" s="226"/>
      <c r="E5" s="3542" t="s">
        <v>19</v>
      </c>
      <c r="F5" s="3542"/>
      <c r="G5" s="3542" t="s">
        <v>20</v>
      </c>
      <c r="H5" s="3542"/>
      <c r="I5" s="3542" t="s">
        <v>21</v>
      </c>
      <c r="J5" s="3542"/>
      <c r="K5" s="3543" t="s">
        <v>22</v>
      </c>
      <c r="L5" s="3543"/>
      <c r="M5" s="3542" t="s">
        <v>23</v>
      </c>
    </row>
    <row r="6" spans="1:15" ht="30">
      <c r="A6" s="95" t="s">
        <v>0</v>
      </c>
      <c r="B6" s="95" t="s">
        <v>24</v>
      </c>
      <c r="C6" s="96" t="s">
        <v>2</v>
      </c>
      <c r="D6" s="2118" t="s">
        <v>25</v>
      </c>
      <c r="E6" s="96" t="s">
        <v>26</v>
      </c>
      <c r="F6" s="2156" t="s">
        <v>27</v>
      </c>
      <c r="G6" s="97" t="s">
        <v>25</v>
      </c>
      <c r="H6" s="2155" t="s">
        <v>28</v>
      </c>
      <c r="I6" s="97" t="s">
        <v>25</v>
      </c>
      <c r="J6" s="96" t="s">
        <v>28</v>
      </c>
      <c r="K6" s="2118" t="s">
        <v>25</v>
      </c>
      <c r="L6" s="2118" t="s">
        <v>28</v>
      </c>
      <c r="M6" s="3546"/>
    </row>
    <row r="7" spans="1:15" ht="15">
      <c r="A7" s="2357" t="s">
        <v>8</v>
      </c>
      <c r="B7" s="2358" t="s">
        <v>622</v>
      </c>
      <c r="C7" s="2359">
        <f>SUM(E7:E7)</f>
        <v>1000</v>
      </c>
      <c r="D7" s="2359" t="s">
        <v>508</v>
      </c>
      <c r="E7" s="2359">
        <v>1000</v>
      </c>
      <c r="F7" s="2359">
        <f t="shared" ref="F7:F15" si="0">+E7</f>
        <v>1000</v>
      </c>
      <c r="G7" s="2360">
        <f>+('Resumen Fauna Acompañante'!B53)</f>
        <v>0</v>
      </c>
      <c r="H7" s="2361">
        <f t="shared" ref="H7:H14" si="1">SUM(G7:G7)</f>
        <v>0</v>
      </c>
      <c r="I7" s="2362">
        <f t="shared" ref="I7:I15" si="2">+F7-G7</f>
        <v>1000</v>
      </c>
      <c r="J7" s="2363">
        <f>+C7-H7</f>
        <v>1000</v>
      </c>
      <c r="K7" s="2364">
        <f>1-G7/F7</f>
        <v>1</v>
      </c>
      <c r="L7" s="2365">
        <f>1-H7/C7</f>
        <v>1</v>
      </c>
      <c r="M7" s="2366"/>
    </row>
    <row r="8" spans="1:15" ht="15">
      <c r="A8" s="2357" t="s">
        <v>8</v>
      </c>
      <c r="B8" s="2358" t="s">
        <v>621</v>
      </c>
      <c r="C8" s="2359">
        <f>SUM(E8:E8)</f>
        <v>500</v>
      </c>
      <c r="D8" s="2359" t="s">
        <v>508</v>
      </c>
      <c r="E8" s="2359">
        <v>500</v>
      </c>
      <c r="F8" s="2359">
        <f t="shared" si="0"/>
        <v>500</v>
      </c>
      <c r="G8" s="2360">
        <f>+('Resumen Fauna Acompañante'!B69)</f>
        <v>0</v>
      </c>
      <c r="H8" s="2361">
        <f t="shared" si="1"/>
        <v>0</v>
      </c>
      <c r="I8" s="2362">
        <f t="shared" si="2"/>
        <v>500</v>
      </c>
      <c r="J8" s="2363">
        <f>+C8-H8</f>
        <v>500</v>
      </c>
      <c r="K8" s="2364">
        <f>1-G8/F8</f>
        <v>1</v>
      </c>
      <c r="L8" s="2365">
        <f>1-H8/C8</f>
        <v>1</v>
      </c>
      <c r="M8" s="2366"/>
    </row>
    <row r="9" spans="1:15" s="1393" customFormat="1" ht="15">
      <c r="A9" s="2367" t="s">
        <v>8</v>
      </c>
      <c r="B9" s="2368" t="s">
        <v>620</v>
      </c>
      <c r="C9" s="2369">
        <v>33</v>
      </c>
      <c r="D9" s="2369" t="s">
        <v>508</v>
      </c>
      <c r="E9" s="2369">
        <v>33</v>
      </c>
      <c r="F9" s="2369">
        <f t="shared" si="0"/>
        <v>33</v>
      </c>
      <c r="G9" s="2370">
        <f>+('Resumen Fauna Acompañante'!B85)</f>
        <v>26.256</v>
      </c>
      <c r="H9" s="2371">
        <f t="shared" si="1"/>
        <v>26.256</v>
      </c>
      <c r="I9" s="2372">
        <f t="shared" si="2"/>
        <v>6.7439999999999998</v>
      </c>
      <c r="J9" s="2373">
        <f>+C9-H9</f>
        <v>6.7439999999999998</v>
      </c>
      <c r="K9" s="2374">
        <f>1-G9/F9</f>
        <v>0.2043636363636363</v>
      </c>
      <c r="L9" s="2375">
        <f>1-H9/C9</f>
        <v>0.2043636363636363</v>
      </c>
      <c r="M9" s="2366"/>
      <c r="N9" s="1443" t="s">
        <v>901</v>
      </c>
      <c r="O9" s="1443"/>
    </row>
    <row r="10" spans="1:15" ht="15">
      <c r="A10" s="2376" t="s">
        <v>5</v>
      </c>
      <c r="B10" s="2377" t="s">
        <v>623</v>
      </c>
      <c r="C10" s="2378">
        <v>329</v>
      </c>
      <c r="D10" s="2379" t="s">
        <v>508</v>
      </c>
      <c r="E10" s="2378">
        <v>329</v>
      </c>
      <c r="F10" s="2378">
        <f t="shared" si="0"/>
        <v>329</v>
      </c>
      <c r="G10" s="2380">
        <f>+'Resumen Fauna Acompañante'!B105</f>
        <v>3.9819999999999998</v>
      </c>
      <c r="H10" s="2381">
        <f t="shared" si="1"/>
        <v>3.9819999999999998</v>
      </c>
      <c r="I10" s="2382">
        <f t="shared" si="2"/>
        <v>325.01799999999997</v>
      </c>
      <c r="J10" s="2383">
        <f>+C10-G10</f>
        <v>325.01799999999997</v>
      </c>
      <c r="K10" s="2384">
        <f>1-G10/E10</f>
        <v>0.9878966565349544</v>
      </c>
      <c r="L10" s="2385">
        <f>1-G10/C10</f>
        <v>0.9878966565349544</v>
      </c>
      <c r="M10" s="2386"/>
    </row>
    <row r="11" spans="1:15" ht="15">
      <c r="A11" s="2154" t="s">
        <v>14</v>
      </c>
      <c r="B11" s="2153" t="s">
        <v>622</v>
      </c>
      <c r="C11" s="2152">
        <f>+E11</f>
        <v>1000</v>
      </c>
      <c r="D11" s="2152" t="s">
        <v>508</v>
      </c>
      <c r="E11" s="2152">
        <v>1000</v>
      </c>
      <c r="F11" s="2152">
        <f t="shared" si="0"/>
        <v>1000</v>
      </c>
      <c r="G11" s="2151">
        <f>+'Resumen Fauna Acompañante'!B143</f>
        <v>0</v>
      </c>
      <c r="H11" s="2150">
        <f t="shared" si="1"/>
        <v>0</v>
      </c>
      <c r="I11" s="2149">
        <f t="shared" si="2"/>
        <v>1000</v>
      </c>
      <c r="J11" s="2148">
        <f>+C11-H11</f>
        <v>1000</v>
      </c>
      <c r="K11" s="2147">
        <f>1-G11/F11</f>
        <v>1</v>
      </c>
      <c r="L11" s="2146">
        <f>1-H11/C11</f>
        <v>1</v>
      </c>
      <c r="M11" s="2145"/>
    </row>
    <row r="12" spans="1:15" ht="15">
      <c r="A12" s="2154" t="s">
        <v>14</v>
      </c>
      <c r="B12" s="2153" t="s">
        <v>621</v>
      </c>
      <c r="C12" s="2152">
        <f>+E12</f>
        <v>1250</v>
      </c>
      <c r="D12" s="2152" t="s">
        <v>508</v>
      </c>
      <c r="E12" s="2152">
        <v>1250</v>
      </c>
      <c r="F12" s="2152">
        <f t="shared" si="0"/>
        <v>1250</v>
      </c>
      <c r="G12" s="2151">
        <f>+'Resumen Fauna Acompañante'!B162</f>
        <v>1.77</v>
      </c>
      <c r="H12" s="2150">
        <f t="shared" si="1"/>
        <v>1.77</v>
      </c>
      <c r="I12" s="2149">
        <f t="shared" si="2"/>
        <v>1248.23</v>
      </c>
      <c r="J12" s="2148">
        <f>+C12-H12</f>
        <v>1248.23</v>
      </c>
      <c r="K12" s="2147">
        <f>1-G12/F12</f>
        <v>0.99858400000000003</v>
      </c>
      <c r="L12" s="2146">
        <f>1-H12/C12</f>
        <v>0.99858400000000003</v>
      </c>
      <c r="M12" s="2145"/>
    </row>
    <row r="13" spans="1:15" ht="18" customHeight="1">
      <c r="A13" s="2313" t="s">
        <v>9</v>
      </c>
      <c r="B13" s="2352" t="s">
        <v>620</v>
      </c>
      <c r="C13" s="2314">
        <f>SUM(E13:E13)</f>
        <v>167</v>
      </c>
      <c r="D13" s="2315" t="s">
        <v>508</v>
      </c>
      <c r="E13" s="2314">
        <v>167</v>
      </c>
      <c r="F13" s="2314">
        <f t="shared" si="0"/>
        <v>167</v>
      </c>
      <c r="G13" s="2351">
        <f>+('Resumen Fauna Acompañante'!B18)</f>
        <v>183.43600000000001</v>
      </c>
      <c r="H13" s="2316">
        <f t="shared" si="1"/>
        <v>183.43600000000001</v>
      </c>
      <c r="I13" s="2353">
        <f t="shared" si="2"/>
        <v>-16.436000000000007</v>
      </c>
      <c r="J13" s="2317">
        <f>+C13-H13</f>
        <v>-16.436000000000007</v>
      </c>
      <c r="K13" s="2318">
        <f>1-G13/F13</f>
        <v>-9.8419161676646771E-2</v>
      </c>
      <c r="L13" s="2319">
        <f>1-H13/C13</f>
        <v>-9.8419161676646771E-2</v>
      </c>
      <c r="M13" s="2354"/>
    </row>
    <row r="14" spans="1:15" ht="15" hidden="1">
      <c r="A14" s="2144" t="s">
        <v>617</v>
      </c>
      <c r="B14" s="2143" t="s">
        <v>619</v>
      </c>
      <c r="C14" s="2142">
        <f>+E14</f>
        <v>0</v>
      </c>
      <c r="D14" s="2141" t="s">
        <v>618</v>
      </c>
      <c r="E14" s="2140"/>
      <c r="F14" s="2139">
        <f t="shared" si="0"/>
        <v>0</v>
      </c>
      <c r="G14" s="2138">
        <f>+'Resumen Fauna Acompañante'!B108</f>
        <v>0</v>
      </c>
      <c r="H14" s="2137">
        <f t="shared" si="1"/>
        <v>0</v>
      </c>
      <c r="I14" s="2136">
        <f t="shared" si="2"/>
        <v>0</v>
      </c>
      <c r="J14" s="2135">
        <f>+C14-H14</f>
        <v>0</v>
      </c>
      <c r="K14" s="2134" t="e">
        <f>1-G14/F14</f>
        <v>#DIV/0!</v>
      </c>
      <c r="L14" s="2133" t="e">
        <f>1-H14/C14</f>
        <v>#DIV/0!</v>
      </c>
      <c r="M14" s="2132"/>
    </row>
    <row r="15" spans="1:15" ht="15">
      <c r="A15" s="2131" t="s">
        <v>617</v>
      </c>
      <c r="B15" s="2128" t="s">
        <v>10</v>
      </c>
      <c r="C15" s="2130">
        <f>SUM(E15:E15)</f>
        <v>300</v>
      </c>
      <c r="D15" s="2128" t="s">
        <v>508</v>
      </c>
      <c r="E15" s="2128">
        <v>300</v>
      </c>
      <c r="F15" s="2128">
        <f t="shared" si="0"/>
        <v>300</v>
      </c>
      <c r="G15" s="3172">
        <f>+SUM('Resumen Fauna Acompañante'!B182)</f>
        <v>72.418000000000006</v>
      </c>
      <c r="H15" s="2129">
        <f>+G15</f>
        <v>72.418000000000006</v>
      </c>
      <c r="I15" s="2128">
        <f t="shared" si="2"/>
        <v>227.58199999999999</v>
      </c>
      <c r="J15" s="2128">
        <f>+C15-H15</f>
        <v>227.58199999999999</v>
      </c>
      <c r="K15" s="2127">
        <f>1-G15/F15</f>
        <v>0.75860666666666665</v>
      </c>
      <c r="L15" s="2126">
        <f>1-H15/C15</f>
        <v>0.75860666666666665</v>
      </c>
      <c r="M15" s="2125"/>
    </row>
    <row r="16" spans="1:15">
      <c r="G16" s="1348"/>
    </row>
  </sheetData>
  <mergeCells count="8">
    <mergeCell ref="A2:M2"/>
    <mergeCell ref="K4:L4"/>
    <mergeCell ref="E5:F5"/>
    <mergeCell ref="G5:H5"/>
    <mergeCell ref="I5:J5"/>
    <mergeCell ref="K5:L5"/>
    <mergeCell ref="A3:M3"/>
    <mergeCell ref="M5:M6"/>
  </mergeCells>
  <pageMargins left="0.75" right="0.75" top="1" bottom="1" header="0" footer="0"/>
  <pageSetup paperSize="5" scale="80" orientation="landscape" r:id="rId1"/>
  <headerFooter alignWithMargins="0"/>
  <legacyDrawing r:id="rId2"/>
</worksheet>
</file>

<file path=xl/worksheets/sheet21.xml><?xml version="1.0" encoding="utf-8"?>
<worksheet xmlns="http://schemas.openxmlformats.org/spreadsheetml/2006/main" xmlns:r="http://schemas.openxmlformats.org/officeDocument/2006/relationships">
  <sheetPr>
    <tabColor theme="7" tint="0.39997558519241921"/>
  </sheetPr>
  <dimension ref="A1:AH182"/>
  <sheetViews>
    <sheetView workbookViewId="0">
      <selection sqref="A1:T1"/>
    </sheetView>
  </sheetViews>
  <sheetFormatPr baseColWidth="10" defaultRowHeight="12.75"/>
  <cols>
    <col min="1" max="1" width="11.42578125" style="2120"/>
    <col min="2" max="2" width="17.42578125" style="2120" customWidth="1"/>
    <col min="3" max="3" width="9" style="2120" customWidth="1"/>
    <col min="4" max="4" width="9" style="2120" bestFit="1" customWidth="1"/>
    <col min="5" max="29" width="6.140625" style="2120" customWidth="1"/>
    <col min="30" max="30" width="7.5703125" style="2120" bestFit="1" customWidth="1"/>
    <col min="31" max="33" width="6.140625" style="2120" customWidth="1"/>
    <col min="34" max="34" width="7.7109375" style="2120" bestFit="1" customWidth="1"/>
    <col min="35" max="35" width="5.28515625" style="2120" customWidth="1"/>
    <col min="36" max="37" width="11.42578125" style="2120"/>
    <col min="38" max="69" width="6.5703125" style="2120" customWidth="1"/>
    <col min="70" max="70" width="4.42578125" style="2120" customWidth="1"/>
    <col min="71" max="72" width="11.42578125" style="2120"/>
    <col min="73" max="104" width="7" style="2120" customWidth="1"/>
    <col min="105" max="107" width="11.42578125" style="2120"/>
    <col min="108" max="139" width="6.5703125" style="2120" customWidth="1"/>
    <col min="140" max="142" width="11.42578125" style="2120"/>
    <col min="143" max="173" width="5.7109375" style="2120" customWidth="1"/>
    <col min="174" max="174" width="8.42578125" style="2120" customWidth="1"/>
    <col min="175" max="16384" width="11.42578125" style="2120"/>
  </cols>
  <sheetData>
    <row r="1" spans="1:34" ht="15">
      <c r="A1" s="3769" t="s">
        <v>632</v>
      </c>
      <c r="B1" s="3770"/>
      <c r="C1" s="3770"/>
      <c r="D1" s="3770"/>
      <c r="E1" s="3770"/>
      <c r="F1" s="3770"/>
      <c r="G1" s="3770"/>
      <c r="H1" s="3770"/>
      <c r="I1" s="3770"/>
      <c r="J1" s="3770"/>
      <c r="K1" s="3770"/>
      <c r="L1" s="3770"/>
      <c r="M1" s="3770"/>
      <c r="N1" s="3770"/>
      <c r="O1" s="3770"/>
      <c r="P1" s="3770"/>
      <c r="Q1" s="3770"/>
      <c r="R1" s="3770"/>
      <c r="S1" s="3770"/>
      <c r="T1" s="3771"/>
      <c r="U1" s="2205"/>
      <c r="V1" s="2205"/>
      <c r="W1" s="2205"/>
      <c r="X1" s="2205"/>
      <c r="Y1" s="2205"/>
      <c r="Z1" s="2205"/>
      <c r="AA1" s="2205"/>
      <c r="AB1" s="2205"/>
      <c r="AC1" s="2205"/>
      <c r="AD1" s="2205"/>
      <c r="AE1" s="2205"/>
      <c r="AF1" s="2205"/>
      <c r="AG1" s="2205"/>
      <c r="AH1" s="2205"/>
    </row>
    <row r="2" spans="1:34">
      <c r="A2" s="2205"/>
      <c r="B2" s="2205"/>
      <c r="C2" s="2205"/>
      <c r="D2" s="2205"/>
      <c r="E2" s="2205"/>
      <c r="F2" s="2205"/>
      <c r="G2" s="2205"/>
      <c r="H2" s="2205"/>
      <c r="I2" s="2205"/>
      <c r="J2" s="2205"/>
      <c r="K2" s="2205"/>
      <c r="L2" s="2205"/>
      <c r="M2" s="2205"/>
      <c r="N2" s="2205"/>
      <c r="O2" s="2205"/>
      <c r="P2" s="2205"/>
      <c r="Q2" s="2205"/>
      <c r="R2" s="2205"/>
      <c r="S2" s="2205"/>
      <c r="T2" s="2205"/>
      <c r="U2" s="2205"/>
      <c r="V2" s="2205"/>
      <c r="W2" s="2205"/>
      <c r="X2" s="2205"/>
      <c r="Y2" s="2205"/>
      <c r="Z2" s="2205"/>
      <c r="AA2" s="2205"/>
      <c r="AB2" s="2205"/>
      <c r="AC2" s="2205"/>
      <c r="AD2" s="2205"/>
      <c r="AE2" s="2205"/>
      <c r="AF2" s="2205"/>
      <c r="AG2" s="2205"/>
      <c r="AH2" s="2205"/>
    </row>
    <row r="3" spans="1:34">
      <c r="A3" s="2205"/>
      <c r="B3" s="2205"/>
      <c r="C3" s="2205"/>
      <c r="D3" s="2205"/>
      <c r="E3" s="2205"/>
      <c r="F3" s="2205"/>
      <c r="G3" s="2205"/>
      <c r="H3" s="2205"/>
      <c r="I3" s="2205"/>
      <c r="J3" s="2205"/>
      <c r="K3" s="2205"/>
      <c r="L3" s="2205"/>
      <c r="M3" s="2205"/>
      <c r="N3" s="2205"/>
      <c r="O3" s="2205"/>
      <c r="P3" s="2205"/>
      <c r="Q3" s="2205"/>
      <c r="R3" s="2205"/>
      <c r="S3" s="2205"/>
      <c r="T3" s="2205"/>
      <c r="U3" s="2205"/>
      <c r="V3" s="2205"/>
      <c r="W3" s="2205"/>
      <c r="X3" s="2205"/>
      <c r="Y3" s="2205"/>
      <c r="Z3" s="2205"/>
      <c r="AA3" s="2205"/>
      <c r="AB3" s="2205"/>
      <c r="AC3" s="2205"/>
      <c r="AD3" s="2205"/>
      <c r="AE3" s="2205"/>
      <c r="AF3" s="2205"/>
      <c r="AG3" s="2205"/>
      <c r="AH3" s="2205"/>
    </row>
    <row r="4" spans="1:34" ht="15">
      <c r="A4" s="3769" t="s">
        <v>631</v>
      </c>
      <c r="B4" s="3770"/>
      <c r="C4" s="3771"/>
      <c r="D4" s="2203"/>
      <c r="E4" s="2203"/>
      <c r="F4" s="2203"/>
      <c r="G4" s="2203"/>
      <c r="H4" s="2203"/>
      <c r="I4" s="2203"/>
      <c r="J4" s="2203"/>
      <c r="K4" s="2203"/>
      <c r="L4" s="2203"/>
      <c r="M4" s="2204"/>
      <c r="N4" s="2203"/>
      <c r="O4" s="2203"/>
      <c r="P4" s="2203"/>
      <c r="Q4" s="2203"/>
      <c r="R4" s="2203"/>
      <c r="S4" s="2203"/>
      <c r="T4" s="2203"/>
      <c r="U4" s="2203"/>
      <c r="V4" s="2203"/>
      <c r="W4" s="2203"/>
      <c r="X4" s="2203"/>
      <c r="Y4" s="2203"/>
      <c r="Z4" s="2203"/>
      <c r="AA4" s="2203"/>
      <c r="AB4" s="2203"/>
      <c r="AC4" s="2203"/>
      <c r="AD4" s="2203"/>
      <c r="AE4" s="2203"/>
      <c r="AF4" s="2203"/>
      <c r="AG4" s="2203"/>
      <c r="AH4" s="2203"/>
    </row>
    <row r="5" spans="1:34" ht="15">
      <c r="A5" s="2201" t="s">
        <v>644</v>
      </c>
      <c r="B5" s="2201" t="s">
        <v>73</v>
      </c>
      <c r="C5" s="2201">
        <v>1</v>
      </c>
      <c r="D5" s="2201">
        <v>2</v>
      </c>
      <c r="E5" s="2201">
        <v>3</v>
      </c>
      <c r="F5" s="2201">
        <v>4</v>
      </c>
      <c r="G5" s="2201">
        <v>5</v>
      </c>
      <c r="H5" s="2201">
        <v>6</v>
      </c>
      <c r="I5" s="2201">
        <v>7</v>
      </c>
      <c r="J5" s="2201">
        <v>8</v>
      </c>
      <c r="K5" s="2201">
        <v>9</v>
      </c>
      <c r="L5" s="2201">
        <v>10</v>
      </c>
      <c r="M5" s="2201">
        <v>11</v>
      </c>
      <c r="N5" s="2201">
        <v>12</v>
      </c>
      <c r="O5" s="2201">
        <v>13</v>
      </c>
      <c r="P5" s="2201">
        <v>14</v>
      </c>
      <c r="Q5" s="2201">
        <v>15</v>
      </c>
      <c r="R5" s="2201">
        <v>16</v>
      </c>
      <c r="S5" s="2201">
        <v>17</v>
      </c>
      <c r="T5" s="2201">
        <v>18</v>
      </c>
      <c r="U5" s="2201">
        <v>19</v>
      </c>
      <c r="V5" s="2201">
        <v>20</v>
      </c>
      <c r="W5" s="2201">
        <v>21</v>
      </c>
      <c r="X5" s="2201">
        <v>22</v>
      </c>
      <c r="Y5" s="2201">
        <v>23</v>
      </c>
      <c r="Z5" s="2201">
        <v>24</v>
      </c>
      <c r="AA5" s="2201">
        <v>25</v>
      </c>
      <c r="AB5" s="2201">
        <v>26</v>
      </c>
      <c r="AC5" s="2201">
        <v>27</v>
      </c>
      <c r="AD5" s="2201">
        <v>28</v>
      </c>
      <c r="AE5" s="2201">
        <v>29</v>
      </c>
      <c r="AF5" s="2201">
        <v>30</v>
      </c>
      <c r="AG5" s="2201">
        <v>31</v>
      </c>
      <c r="AH5" s="2202" t="s">
        <v>74</v>
      </c>
    </row>
    <row r="6" spans="1:34" ht="15">
      <c r="A6" s="2201" t="s">
        <v>75</v>
      </c>
      <c r="B6" s="2200">
        <f t="shared" ref="B6:B17" si="0">+AH6</f>
        <v>0</v>
      </c>
      <c r="C6" s="2197">
        <f>+'Fauna Acompañante'!C197</f>
        <v>0</v>
      </c>
      <c r="D6" s="2197">
        <f>+'Fauna Acompañante'!D197</f>
        <v>0</v>
      </c>
      <c r="E6" s="2197">
        <f>+'Fauna Acompañante'!E197</f>
        <v>0</v>
      </c>
      <c r="F6" s="2197">
        <f>+'Fauna Acompañante'!F197</f>
        <v>0</v>
      </c>
      <c r="G6" s="2197">
        <f>+'Fauna Acompañante'!G197</f>
        <v>0</v>
      </c>
      <c r="H6" s="2197">
        <f>+'Fauna Acompañante'!H197</f>
        <v>0</v>
      </c>
      <c r="I6" s="2197">
        <f>+'Fauna Acompañante'!I197</f>
        <v>0</v>
      </c>
      <c r="J6" s="2197">
        <f>+'Fauna Acompañante'!J197</f>
        <v>0</v>
      </c>
      <c r="K6" s="2197">
        <f>+'Fauna Acompañante'!K197</f>
        <v>0</v>
      </c>
      <c r="L6" s="2197">
        <f>+'Fauna Acompañante'!L197</f>
        <v>0</v>
      </c>
      <c r="M6" s="2197">
        <f>+'Fauna Acompañante'!M197</f>
        <v>0</v>
      </c>
      <c r="N6" s="2197">
        <f>+'Fauna Acompañante'!N197</f>
        <v>0</v>
      </c>
      <c r="O6" s="2197">
        <f>+'Fauna Acompañante'!O197</f>
        <v>0</v>
      </c>
      <c r="P6" s="2197">
        <f>+'Fauna Acompañante'!P197</f>
        <v>0</v>
      </c>
      <c r="Q6" s="2197">
        <f>+'Fauna Acompañante'!Q197</f>
        <v>0</v>
      </c>
      <c r="R6" s="2197">
        <f>+'Fauna Acompañante'!R197</f>
        <v>0</v>
      </c>
      <c r="S6" s="2197">
        <f>+'Fauna Acompañante'!S197</f>
        <v>0</v>
      </c>
      <c r="T6" s="2197">
        <f>+'Fauna Acompañante'!T197</f>
        <v>0</v>
      </c>
      <c r="U6" s="2197">
        <f>+'Fauna Acompañante'!U197</f>
        <v>0</v>
      </c>
      <c r="V6" s="2197">
        <f>+'Fauna Acompañante'!V197</f>
        <v>0</v>
      </c>
      <c r="W6" s="2197">
        <f>+'Fauna Acompañante'!W197</f>
        <v>0</v>
      </c>
      <c r="X6" s="2197">
        <f>+'Fauna Acompañante'!X197</f>
        <v>0</v>
      </c>
      <c r="Y6" s="2197">
        <f>+'Fauna Acompañante'!Y197</f>
        <v>0</v>
      </c>
      <c r="Z6" s="2197">
        <f>+'Fauna Acompañante'!Z197</f>
        <v>0</v>
      </c>
      <c r="AA6" s="2197">
        <f>+'Fauna Acompañante'!AA197</f>
        <v>0</v>
      </c>
      <c r="AB6" s="2197">
        <f>+'Fauna Acompañante'!AB197</f>
        <v>0</v>
      </c>
      <c r="AC6" s="2197">
        <f>+'Fauna Acompañante'!AC197</f>
        <v>0</v>
      </c>
      <c r="AD6" s="2197">
        <f>+'Fauna Acompañante'!AD197</f>
        <v>0</v>
      </c>
      <c r="AE6" s="2197">
        <f>+'Fauna Acompañante'!AE197</f>
        <v>0</v>
      </c>
      <c r="AF6" s="2197">
        <f>+'Fauna Acompañante'!AF197</f>
        <v>0</v>
      </c>
      <c r="AG6" s="2197">
        <f>+'Fauna Acompañante'!AG197</f>
        <v>0</v>
      </c>
      <c r="AH6" s="2196">
        <f t="shared" ref="AH6:AH17" si="1">SUM(C6:AG6)</f>
        <v>0</v>
      </c>
    </row>
    <row r="7" spans="1:34" ht="15">
      <c r="A7" s="2201" t="s">
        <v>76</v>
      </c>
      <c r="B7" s="2200">
        <f t="shared" si="0"/>
        <v>47.123999999999995</v>
      </c>
      <c r="C7" s="2197">
        <f>+'Fauna Acompañante'!C198</f>
        <v>0</v>
      </c>
      <c r="D7" s="2197">
        <f>+'Fauna Acompañante'!D198</f>
        <v>0</v>
      </c>
      <c r="E7" s="2197">
        <f>+'Fauna Acompañante'!E198</f>
        <v>0</v>
      </c>
      <c r="F7" s="2197">
        <f>+'Fauna Acompañante'!F198</f>
        <v>0</v>
      </c>
      <c r="G7" s="2197">
        <f>+'Fauna Acompañante'!G198</f>
        <v>1.004</v>
      </c>
      <c r="H7" s="2197">
        <f>+'Fauna Acompañante'!H198</f>
        <v>5.8050000000000006</v>
      </c>
      <c r="I7" s="2197">
        <f>+'Fauna Acompañante'!I198</f>
        <v>1.349</v>
      </c>
      <c r="J7" s="2197">
        <f>+'Fauna Acompañante'!J198</f>
        <v>5.0329999999999995</v>
      </c>
      <c r="K7" s="2197">
        <f>+'Fauna Acompañante'!K198</f>
        <v>2.754</v>
      </c>
      <c r="L7" s="2197">
        <f>+'Fauna Acompañante'!L198</f>
        <v>3.1619999999999999</v>
      </c>
      <c r="M7" s="2197">
        <f>+'Fauna Acompañante'!M198</f>
        <v>2.99</v>
      </c>
      <c r="N7" s="2197">
        <f>+'Fauna Acompañante'!N198</f>
        <v>0</v>
      </c>
      <c r="O7" s="2197">
        <f>+'Fauna Acompañante'!O198</f>
        <v>0</v>
      </c>
      <c r="P7" s="2197">
        <f>+'Fauna Acompañante'!P198</f>
        <v>0</v>
      </c>
      <c r="Q7" s="2197">
        <f>+'Fauna Acompañante'!Q198</f>
        <v>12.814000000000002</v>
      </c>
      <c r="R7" s="2197">
        <f>+'Fauna Acompañante'!R198</f>
        <v>2.891</v>
      </c>
      <c r="S7" s="2197">
        <f>+'Fauna Acompañante'!S198</f>
        <v>0</v>
      </c>
      <c r="T7" s="2197">
        <f>+'Fauna Acompañante'!T198</f>
        <v>5.2260000000000009</v>
      </c>
      <c r="U7" s="2197">
        <f>+'Fauna Acompañante'!U198</f>
        <v>0</v>
      </c>
      <c r="V7" s="2197">
        <f>+'Fauna Acompañante'!V198</f>
        <v>1.18</v>
      </c>
      <c r="W7" s="2197">
        <f>+'Fauna Acompañante'!W198</f>
        <v>0</v>
      </c>
      <c r="X7" s="2197">
        <f>+'Fauna Acompañante'!X198</f>
        <v>2.9159999999999999</v>
      </c>
      <c r="Y7" s="2197">
        <f>+'Fauna Acompañante'!Y198</f>
        <v>0</v>
      </c>
      <c r="Z7" s="2197">
        <f>+'Fauna Acompañante'!Z198</f>
        <v>0</v>
      </c>
      <c r="AA7" s="2197">
        <f>+'Fauna Acompañante'!AA198</f>
        <v>0</v>
      </c>
      <c r="AB7" s="2197">
        <f>+'Fauna Acompañante'!AB198</f>
        <v>0</v>
      </c>
      <c r="AC7" s="2197">
        <f>+'Fauna Acompañante'!AC198</f>
        <v>0</v>
      </c>
      <c r="AD7" s="2197">
        <f>+'Fauna Acompañante'!AD198</f>
        <v>0</v>
      </c>
      <c r="AE7" s="2197">
        <f>+'Fauna Acompañante'!AE198</f>
        <v>0</v>
      </c>
      <c r="AF7" s="2197">
        <f>+'Fauna Acompañante'!AF198</f>
        <v>0</v>
      </c>
      <c r="AG7" s="2197">
        <f>+'Fauna Acompañante'!AG198</f>
        <v>0</v>
      </c>
      <c r="AH7" s="2196">
        <f t="shared" si="1"/>
        <v>47.123999999999995</v>
      </c>
    </row>
    <row r="8" spans="1:34" ht="15">
      <c r="A8" s="2201" t="s">
        <v>77</v>
      </c>
      <c r="B8" s="2200">
        <f t="shared" si="0"/>
        <v>59.347000000000001</v>
      </c>
      <c r="C8" s="2197">
        <f>+'Fauna Acompañante'!C199</f>
        <v>0</v>
      </c>
      <c r="D8" s="2197">
        <f>+'Fauna Acompañante'!D199</f>
        <v>0</v>
      </c>
      <c r="E8" s="2197">
        <f>+'Fauna Acompañante'!E199</f>
        <v>0</v>
      </c>
      <c r="F8" s="2197">
        <f>+'Fauna Acompañante'!F199</f>
        <v>0</v>
      </c>
      <c r="G8" s="2197">
        <f>+'Fauna Acompañante'!G199</f>
        <v>1.2989999999999999</v>
      </c>
      <c r="H8" s="2197">
        <f>+'Fauna Acompañante'!H199</f>
        <v>10.365</v>
      </c>
      <c r="I8" s="2197">
        <f>+'Fauna Acompañante'!I199</f>
        <v>2.835</v>
      </c>
      <c r="J8" s="2197">
        <f>+'Fauna Acompañante'!J199</f>
        <v>0</v>
      </c>
      <c r="K8" s="2197">
        <f>+'Fauna Acompañante'!K199</f>
        <v>5.9609999999999994</v>
      </c>
      <c r="L8" s="2197">
        <f>+'Fauna Acompañante'!L199</f>
        <v>0</v>
      </c>
      <c r="M8" s="2197">
        <f>+'Fauna Acompañante'!M199</f>
        <v>5.9029999999999996</v>
      </c>
      <c r="N8" s="2197">
        <f>+'Fauna Acompañante'!N199</f>
        <v>0</v>
      </c>
      <c r="O8" s="2197">
        <f>+'Fauna Acompañante'!O199</f>
        <v>5.7710000000000008</v>
      </c>
      <c r="P8" s="2197">
        <f>+'Fauna Acompañante'!P199</f>
        <v>9.1630000000000003</v>
      </c>
      <c r="Q8" s="2197">
        <f>+'Fauna Acompañante'!Q199</f>
        <v>2.2210000000000001</v>
      </c>
      <c r="R8" s="2197">
        <f>+'Fauna Acompañante'!R199</f>
        <v>4.8750000000000009</v>
      </c>
      <c r="S8" s="2197">
        <f>+'Fauna Acompañante'!S199</f>
        <v>0</v>
      </c>
      <c r="T8" s="2197">
        <f>+'Fauna Acompañante'!T199</f>
        <v>0</v>
      </c>
      <c r="U8" s="2197">
        <f>+'Fauna Acompañante'!U199</f>
        <v>0</v>
      </c>
      <c r="V8" s="2197">
        <f>+'Fauna Acompañante'!V199</f>
        <v>2.1360000000000001</v>
      </c>
      <c r="W8" s="2197">
        <f>+'Fauna Acompañante'!W199</f>
        <v>0.77200000000000002</v>
      </c>
      <c r="X8" s="2197">
        <f>+'Fauna Acompañante'!X199</f>
        <v>2.1890000000000001</v>
      </c>
      <c r="Y8" s="2197">
        <f>+'Fauna Acompañante'!Y199</f>
        <v>0.23899999999999999</v>
      </c>
      <c r="Z8" s="2197">
        <f>+'Fauna Acompañante'!Z199</f>
        <v>0</v>
      </c>
      <c r="AA8" s="2197">
        <f>+'Fauna Acompañante'!AA199</f>
        <v>0.62</v>
      </c>
      <c r="AB8" s="2197">
        <f>+'Fauna Acompañante'!AB199</f>
        <v>3.9009999999999998</v>
      </c>
      <c r="AC8" s="2197">
        <f>+'Fauna Acompañante'!AC199</f>
        <v>0</v>
      </c>
      <c r="AD8" s="2197">
        <f>+'Fauna Acompañante'!AD199</f>
        <v>1.097</v>
      </c>
      <c r="AE8" s="2197">
        <f>+'Fauna Acompañante'!AE199</f>
        <v>0</v>
      </c>
      <c r="AF8" s="2197">
        <f>+'Fauna Acompañante'!AF199</f>
        <v>0</v>
      </c>
      <c r="AG8" s="2197">
        <f>+'Fauna Acompañante'!AG199</f>
        <v>0</v>
      </c>
      <c r="AH8" s="2196">
        <f t="shared" si="1"/>
        <v>59.347000000000001</v>
      </c>
    </row>
    <row r="9" spans="1:34" ht="15">
      <c r="A9" s="2201" t="s">
        <v>78</v>
      </c>
      <c r="B9" s="2200">
        <f t="shared" si="0"/>
        <v>19.810999999999996</v>
      </c>
      <c r="C9" s="2197">
        <f>+'Fauna Acompañante'!C200</f>
        <v>0.44500000000000001</v>
      </c>
      <c r="D9" s="2197">
        <f>+'Fauna Acompañante'!D200</f>
        <v>0</v>
      </c>
      <c r="E9" s="2197">
        <f>+'Fauna Acompañante'!E200</f>
        <v>1.536</v>
      </c>
      <c r="F9" s="2197">
        <f>+'Fauna Acompañante'!F200</f>
        <v>1.4889999999999999</v>
      </c>
      <c r="G9" s="2197">
        <f>+'Fauna Acompañante'!G200</f>
        <v>0.745</v>
      </c>
      <c r="H9" s="2197">
        <f>+'Fauna Acompañante'!H200</f>
        <v>0</v>
      </c>
      <c r="I9" s="2197">
        <f>+'Fauna Acompañante'!I200</f>
        <v>0</v>
      </c>
      <c r="J9" s="2197">
        <f>+'Fauna Acompañante'!J200</f>
        <v>7.7929999999999993</v>
      </c>
      <c r="K9" s="2197">
        <f>+'Fauna Acompañante'!K200</f>
        <v>2.677</v>
      </c>
      <c r="L9" s="2197">
        <f>+'Fauna Acompañante'!L200</f>
        <v>0</v>
      </c>
      <c r="M9" s="2197">
        <f>+'Fauna Acompañante'!M200</f>
        <v>0.50600000000000001</v>
      </c>
      <c r="N9" s="2197">
        <f>+'Fauna Acompañante'!N200</f>
        <v>0.2</v>
      </c>
      <c r="O9" s="2197">
        <f>+'Fauna Acompañante'!O200</f>
        <v>3.63</v>
      </c>
      <c r="P9" s="2197">
        <f>+'Fauna Acompañante'!P200</f>
        <v>0</v>
      </c>
      <c r="Q9" s="2197">
        <f>+'Fauna Acompañante'!Q200</f>
        <v>0.79</v>
      </c>
      <c r="R9" s="2197">
        <f>+'Fauna Acompañante'!R200</f>
        <v>0</v>
      </c>
      <c r="S9" s="2197">
        <f>+'Fauna Acompañante'!S200</f>
        <v>0</v>
      </c>
      <c r="T9" s="2197">
        <f>+'Fauna Acompañante'!T200</f>
        <v>0</v>
      </c>
      <c r="U9" s="2197">
        <f>+'Fauna Acompañante'!U200</f>
        <v>0</v>
      </c>
      <c r="V9" s="2197">
        <f>+'Fauna Acompañante'!V200</f>
        <v>0</v>
      </c>
      <c r="W9" s="2197">
        <f>+'Fauna Acompañante'!W200</f>
        <v>0</v>
      </c>
      <c r="X9" s="2197">
        <f>+'Fauna Acompañante'!X200</f>
        <v>0</v>
      </c>
      <c r="Y9" s="2197">
        <f>+'Fauna Acompañante'!Y200</f>
        <v>0</v>
      </c>
      <c r="Z9" s="2197">
        <f>+'Fauna Acompañante'!Z200</f>
        <v>0</v>
      </c>
      <c r="AA9" s="2197">
        <f>+'Fauna Acompañante'!AA200</f>
        <v>0</v>
      </c>
      <c r="AB9" s="2197">
        <f>+'Fauna Acompañante'!AB200</f>
        <v>0</v>
      </c>
      <c r="AC9" s="2197">
        <f>+'Fauna Acompañante'!AC200</f>
        <v>0</v>
      </c>
      <c r="AD9" s="2197">
        <f>+'Fauna Acompañante'!AD200</f>
        <v>0</v>
      </c>
      <c r="AE9" s="2197">
        <f>+'Fauna Acompañante'!AE200</f>
        <v>0</v>
      </c>
      <c r="AF9" s="2197">
        <f>+'Fauna Acompañante'!AF200</f>
        <v>0</v>
      </c>
      <c r="AG9" s="2197">
        <f>+'Fauna Acompañante'!AG200</f>
        <v>0</v>
      </c>
      <c r="AH9" s="2196">
        <f t="shared" si="1"/>
        <v>19.810999999999996</v>
      </c>
    </row>
    <row r="10" spans="1:34" ht="15">
      <c r="A10" s="2201" t="s">
        <v>79</v>
      </c>
      <c r="B10" s="2200">
        <f t="shared" si="0"/>
        <v>1.5289999999999999</v>
      </c>
      <c r="C10" s="2197">
        <f>+'Fauna Acompañante'!C201</f>
        <v>0</v>
      </c>
      <c r="D10" s="2197">
        <f>+'Fauna Acompañante'!D201</f>
        <v>0</v>
      </c>
      <c r="E10" s="2197">
        <f>+'Fauna Acompañante'!E201</f>
        <v>0</v>
      </c>
      <c r="F10" s="2197">
        <f>+'Fauna Acompañante'!F201</f>
        <v>0</v>
      </c>
      <c r="G10" s="2197">
        <f>+'Fauna Acompañante'!G201</f>
        <v>0</v>
      </c>
      <c r="H10" s="2197">
        <f>+'Fauna Acompañante'!H201</f>
        <v>0</v>
      </c>
      <c r="I10" s="2197">
        <f>+'Fauna Acompañante'!I201</f>
        <v>0.49</v>
      </c>
      <c r="J10" s="2197">
        <f>+'Fauna Acompañante'!J201</f>
        <v>0</v>
      </c>
      <c r="K10" s="2197">
        <f>+'Fauna Acompañante'!K201</f>
        <v>0</v>
      </c>
      <c r="L10" s="2197">
        <f>+'Fauna Acompañante'!L201</f>
        <v>0</v>
      </c>
      <c r="M10" s="2197">
        <f>+'Fauna Acompañante'!M201</f>
        <v>0</v>
      </c>
      <c r="N10" s="2197">
        <f>+'Fauna Acompañante'!N201</f>
        <v>0</v>
      </c>
      <c r="O10" s="2197">
        <f>+'Fauna Acompañante'!O201</f>
        <v>0</v>
      </c>
      <c r="P10" s="2197">
        <f>+'Fauna Acompañante'!P201</f>
        <v>0</v>
      </c>
      <c r="Q10" s="2197">
        <f>+'Fauna Acompañante'!Q201</f>
        <v>0</v>
      </c>
      <c r="R10" s="2197">
        <f>+'Fauna Acompañante'!R201</f>
        <v>0</v>
      </c>
      <c r="S10" s="2197">
        <f>+'Fauna Acompañante'!S201</f>
        <v>0</v>
      </c>
      <c r="T10" s="2197">
        <f>+'Fauna Acompañante'!T201</f>
        <v>0</v>
      </c>
      <c r="U10" s="2197">
        <f>+'Fauna Acompañante'!U201</f>
        <v>0</v>
      </c>
      <c r="V10" s="2197">
        <f>+'Fauna Acompañante'!V201</f>
        <v>1.0389999999999999</v>
      </c>
      <c r="W10" s="2197">
        <f>+'Fauna Acompañante'!W201</f>
        <v>0</v>
      </c>
      <c r="X10" s="2197">
        <f>+'Fauna Acompañante'!X201</f>
        <v>0</v>
      </c>
      <c r="Y10" s="2197">
        <f>+'Fauna Acompañante'!Y201</f>
        <v>0</v>
      </c>
      <c r="Z10" s="2197">
        <f>+'Fauna Acompañante'!Z201</f>
        <v>0</v>
      </c>
      <c r="AA10" s="2197">
        <f>+'Fauna Acompañante'!AA201</f>
        <v>0</v>
      </c>
      <c r="AB10" s="2197">
        <f>+'Fauna Acompañante'!AB201</f>
        <v>0</v>
      </c>
      <c r="AC10" s="2197">
        <f>+'Fauna Acompañante'!AC201</f>
        <v>0</v>
      </c>
      <c r="AD10" s="2197">
        <f>+'Fauna Acompañante'!AD201</f>
        <v>0</v>
      </c>
      <c r="AE10" s="2197">
        <f>+'Fauna Acompañante'!AE201</f>
        <v>0</v>
      </c>
      <c r="AF10" s="2197">
        <f>+'Fauna Acompañante'!AF201</f>
        <v>0</v>
      </c>
      <c r="AG10" s="2197">
        <f>+'Fauna Acompañante'!AG201</f>
        <v>0</v>
      </c>
      <c r="AH10" s="2196">
        <f t="shared" si="1"/>
        <v>1.5289999999999999</v>
      </c>
    </row>
    <row r="11" spans="1:34" ht="15">
      <c r="A11" s="2201" t="s">
        <v>80</v>
      </c>
      <c r="B11" s="2200">
        <f t="shared" si="0"/>
        <v>7.020999999999999</v>
      </c>
      <c r="C11" s="2197">
        <f>+'Fauna Acompañante'!C202</f>
        <v>0</v>
      </c>
      <c r="D11" s="2197">
        <f>+'Fauna Acompañante'!D202</f>
        <v>0</v>
      </c>
      <c r="E11" s="2197">
        <f>+'Fauna Acompañante'!E202</f>
        <v>0</v>
      </c>
      <c r="F11" s="2197">
        <f>+'Fauna Acompañante'!F202</f>
        <v>0</v>
      </c>
      <c r="G11" s="2197">
        <f>+'Fauna Acompañante'!G202</f>
        <v>0</v>
      </c>
      <c r="H11" s="2197">
        <f>+'Fauna Acompañante'!H202</f>
        <v>0.316</v>
      </c>
      <c r="I11" s="2197">
        <f>+'Fauna Acompañante'!I202</f>
        <v>7.0000000000000007E-2</v>
      </c>
      <c r="J11" s="2197">
        <f>+'Fauna Acompañante'!J202</f>
        <v>0.20399999999999999</v>
      </c>
      <c r="K11" s="2197">
        <f>+'Fauna Acompañante'!K202</f>
        <v>0</v>
      </c>
      <c r="L11" s="2197">
        <f>+'Fauna Acompañante'!L202</f>
        <v>1.272</v>
      </c>
      <c r="M11" s="2197">
        <f>+'Fauna Acompañante'!M202</f>
        <v>0</v>
      </c>
      <c r="N11" s="2197">
        <f>+'Fauna Acompañante'!N202</f>
        <v>0.39600000000000002</v>
      </c>
      <c r="O11" s="2197">
        <f>+'Fauna Acompañante'!O202</f>
        <v>0.57699999999999996</v>
      </c>
      <c r="P11" s="2197">
        <f>+'Fauna Acompañante'!P202</f>
        <v>1.383</v>
      </c>
      <c r="Q11" s="2197">
        <f>+'Fauna Acompañante'!Q202</f>
        <v>0</v>
      </c>
      <c r="R11" s="2197">
        <f>+'Fauna Acompañante'!R202</f>
        <v>0</v>
      </c>
      <c r="S11" s="2197">
        <f>+'Fauna Acompañante'!S202</f>
        <v>0.50800000000000001</v>
      </c>
      <c r="T11" s="2197">
        <f>+'Fauna Acompañante'!T202</f>
        <v>0</v>
      </c>
      <c r="U11" s="2197">
        <f>+'Fauna Acompañante'!U202</f>
        <v>0</v>
      </c>
      <c r="V11" s="2197">
        <f>+'Fauna Acompañante'!V202</f>
        <v>1.6719999999999999</v>
      </c>
      <c r="W11" s="2197">
        <f>+'Fauna Acompañante'!W202</f>
        <v>0.217</v>
      </c>
      <c r="X11" s="2197">
        <f>+'Fauna Acompañante'!X202</f>
        <v>0.40600000000000003</v>
      </c>
      <c r="Y11" s="2197">
        <f>+'Fauna Acompañante'!Y202</f>
        <v>0</v>
      </c>
      <c r="Z11" s="2197">
        <f>+'Fauna Acompañante'!Z202</f>
        <v>0</v>
      </c>
      <c r="AA11" s="2197">
        <f>+'Fauna Acompañante'!AA202</f>
        <v>0</v>
      </c>
      <c r="AB11" s="2197">
        <f>+'Fauna Acompañante'!AB202</f>
        <v>0</v>
      </c>
      <c r="AC11" s="2197">
        <f>+'Fauna Acompañante'!AC202</f>
        <v>0</v>
      </c>
      <c r="AD11" s="2197">
        <f>+'Fauna Acompañante'!AD202</f>
        <v>0</v>
      </c>
      <c r="AE11" s="2197">
        <f>+'Fauna Acompañante'!AE202</f>
        <v>0</v>
      </c>
      <c r="AF11" s="2197">
        <f>+'Fauna Acompañante'!AF202</f>
        <v>0</v>
      </c>
      <c r="AG11" s="2197">
        <f>+'Fauna Acompañante'!AG202</f>
        <v>0</v>
      </c>
      <c r="AH11" s="2196">
        <f t="shared" si="1"/>
        <v>7.020999999999999</v>
      </c>
    </row>
    <row r="12" spans="1:34" ht="15">
      <c r="A12" s="2201" t="s">
        <v>81</v>
      </c>
      <c r="B12" s="2200">
        <f t="shared" si="0"/>
        <v>7.8E-2</v>
      </c>
      <c r="C12" s="2197">
        <f>+'Fauna Acompañante'!C203</f>
        <v>0</v>
      </c>
      <c r="D12" s="2197">
        <f>+'Fauna Acompañante'!D203</f>
        <v>0</v>
      </c>
      <c r="E12" s="2197">
        <f>+'Fauna Acompañante'!E203</f>
        <v>0</v>
      </c>
      <c r="F12" s="2197">
        <f>+'Fauna Acompañante'!F203</f>
        <v>0</v>
      </c>
      <c r="G12" s="2197">
        <f>+'Fauna Acompañante'!G203</f>
        <v>7.8E-2</v>
      </c>
      <c r="H12" s="2197">
        <f>+'Fauna Acompañante'!H203</f>
        <v>0</v>
      </c>
      <c r="I12" s="2197">
        <f>+'Fauna Acompañante'!I203</f>
        <v>0</v>
      </c>
      <c r="J12" s="2197">
        <f>+'Fauna Acompañante'!J203</f>
        <v>0</v>
      </c>
      <c r="K12" s="2197">
        <f>+'Fauna Acompañante'!K203</f>
        <v>0</v>
      </c>
      <c r="L12" s="2197">
        <f>+'Fauna Acompañante'!L203</f>
        <v>0</v>
      </c>
      <c r="M12" s="2197">
        <f>+'Fauna Acompañante'!M203</f>
        <v>0</v>
      </c>
      <c r="N12" s="2197">
        <f>+'Fauna Acompañante'!N203</f>
        <v>0</v>
      </c>
      <c r="O12" s="2197">
        <f>+'Fauna Acompañante'!O203</f>
        <v>0</v>
      </c>
      <c r="P12" s="2197">
        <f>+'Fauna Acompañante'!P203</f>
        <v>0</v>
      </c>
      <c r="Q12" s="2197">
        <f>+'Fauna Acompañante'!Q203</f>
        <v>0</v>
      </c>
      <c r="R12" s="2197">
        <f>+'Fauna Acompañante'!R203</f>
        <v>0</v>
      </c>
      <c r="S12" s="2197">
        <f>+'Fauna Acompañante'!S203</f>
        <v>0</v>
      </c>
      <c r="T12" s="2197">
        <f>+'Fauna Acompañante'!T203</f>
        <v>0</v>
      </c>
      <c r="U12" s="2197">
        <f>+'Fauna Acompañante'!U203</f>
        <v>0</v>
      </c>
      <c r="V12" s="2197">
        <f>+'Fauna Acompañante'!V203</f>
        <v>0</v>
      </c>
      <c r="W12" s="2197">
        <f>+'Fauna Acompañante'!W203</f>
        <v>0</v>
      </c>
      <c r="X12" s="2197">
        <f>+'Fauna Acompañante'!X203</f>
        <v>0</v>
      </c>
      <c r="Y12" s="2197">
        <f>+'Fauna Acompañante'!Y203</f>
        <v>0</v>
      </c>
      <c r="Z12" s="2197">
        <f>+'Fauna Acompañante'!Z203</f>
        <v>0</v>
      </c>
      <c r="AA12" s="2197">
        <f>+'Fauna Acompañante'!AA203</f>
        <v>0</v>
      </c>
      <c r="AB12" s="2197">
        <f>+'Fauna Acompañante'!AB203</f>
        <v>0</v>
      </c>
      <c r="AC12" s="2197">
        <f>+'Fauna Acompañante'!AC203</f>
        <v>0</v>
      </c>
      <c r="AD12" s="2197">
        <f>+'Fauna Acompañante'!AD203</f>
        <v>0</v>
      </c>
      <c r="AE12" s="2197">
        <f>+'Fauna Acompañante'!AE203</f>
        <v>0</v>
      </c>
      <c r="AF12" s="2197">
        <f>+'Fauna Acompañante'!AF203</f>
        <v>0</v>
      </c>
      <c r="AG12" s="2197">
        <f>+'Fauna Acompañante'!AG203</f>
        <v>0</v>
      </c>
      <c r="AH12" s="2196">
        <f t="shared" si="1"/>
        <v>7.8E-2</v>
      </c>
    </row>
    <row r="13" spans="1:34" ht="15">
      <c r="A13" s="2201" t="s">
        <v>82</v>
      </c>
      <c r="B13" s="2200">
        <f t="shared" si="0"/>
        <v>5.5919999999999996</v>
      </c>
      <c r="C13" s="2197">
        <f>+'Fauna Acompañante'!C204</f>
        <v>4.718</v>
      </c>
      <c r="D13" s="2197">
        <f>+'Fauna Acompañante'!D204</f>
        <v>0</v>
      </c>
      <c r="E13" s="2197">
        <f>+'Fauna Acompañante'!E204</f>
        <v>0.156</v>
      </c>
      <c r="F13" s="2197">
        <f>+'Fauna Acompañante'!F204</f>
        <v>0</v>
      </c>
      <c r="G13" s="2197">
        <f>+'Fauna Acompañante'!G204</f>
        <v>0</v>
      </c>
      <c r="H13" s="2197">
        <f>+'Fauna Acompañante'!H204</f>
        <v>0</v>
      </c>
      <c r="I13" s="2197">
        <f>+'Fauna Acompañante'!I204</f>
        <v>0</v>
      </c>
      <c r="J13" s="2197">
        <f>+'Fauna Acompañante'!J204</f>
        <v>0</v>
      </c>
      <c r="K13" s="2197">
        <f>+'Fauna Acompañante'!K204</f>
        <v>0</v>
      </c>
      <c r="L13" s="2197">
        <f>+'Fauna Acompañante'!L204</f>
        <v>0</v>
      </c>
      <c r="M13" s="2197">
        <f>+'Fauna Acompañante'!M204</f>
        <v>0</v>
      </c>
      <c r="N13" s="2197">
        <f>+'Fauna Acompañante'!N204</f>
        <v>0</v>
      </c>
      <c r="O13" s="2197">
        <f>+'Fauna Acompañante'!O204</f>
        <v>0</v>
      </c>
      <c r="P13" s="2197">
        <f>+'Fauna Acompañante'!P204</f>
        <v>0.48199999999999998</v>
      </c>
      <c r="Q13" s="2197">
        <f>+'Fauna Acompañante'!Q204</f>
        <v>0</v>
      </c>
      <c r="R13" s="2197">
        <f>+'Fauna Acompañante'!R204</f>
        <v>0</v>
      </c>
      <c r="S13" s="2197">
        <f>+'Fauna Acompañante'!S204</f>
        <v>0.23599999999999999</v>
      </c>
      <c r="T13" s="2197">
        <f>+'Fauna Acompañante'!T204</f>
        <v>0</v>
      </c>
      <c r="U13" s="2197">
        <f>+'Fauna Acompañante'!U204</f>
        <v>0</v>
      </c>
      <c r="V13" s="2197">
        <f>+'Fauna Acompañante'!V204</f>
        <v>0</v>
      </c>
      <c r="W13" s="2197">
        <f>+'Fauna Acompañante'!W204</f>
        <v>0</v>
      </c>
      <c r="X13" s="2197">
        <f>+'Fauna Acompañante'!X204</f>
        <v>0</v>
      </c>
      <c r="Y13" s="2197">
        <f>+'Fauna Acompañante'!Y204</f>
        <v>0</v>
      </c>
      <c r="Z13" s="2197">
        <f>+'Fauna Acompañante'!Z204</f>
        <v>0</v>
      </c>
      <c r="AA13" s="2197">
        <f>+'Fauna Acompañante'!AA204</f>
        <v>0</v>
      </c>
      <c r="AB13" s="2197">
        <f>+'Fauna Acompañante'!AB204</f>
        <v>0</v>
      </c>
      <c r="AC13" s="2197">
        <f>+'Fauna Acompañante'!AC204</f>
        <v>0</v>
      </c>
      <c r="AD13" s="2197">
        <f>+'Fauna Acompañante'!AD204</f>
        <v>0</v>
      </c>
      <c r="AE13" s="2197">
        <f>+'Fauna Acompañante'!AE204</f>
        <v>0</v>
      </c>
      <c r="AF13" s="2197">
        <f>+'Fauna Acompañante'!AF204</f>
        <v>0</v>
      </c>
      <c r="AG13" s="2197">
        <f>+'Fauna Acompañante'!AG204</f>
        <v>0</v>
      </c>
      <c r="AH13" s="2196">
        <f t="shared" si="1"/>
        <v>5.5919999999999996</v>
      </c>
    </row>
    <row r="14" spans="1:34" ht="15">
      <c r="A14" s="2201" t="s">
        <v>83</v>
      </c>
      <c r="B14" s="2200">
        <f t="shared" si="0"/>
        <v>5.2409999999999997</v>
      </c>
      <c r="C14" s="2197">
        <f>+'Fauna Acompañante'!C205</f>
        <v>0</v>
      </c>
      <c r="D14" s="2197">
        <f>+'Fauna Acompañante'!D205</f>
        <v>0</v>
      </c>
      <c r="E14" s="2197">
        <f>+'Fauna Acompañante'!E205</f>
        <v>1.2839999999999998</v>
      </c>
      <c r="F14" s="2197">
        <f>+'Fauna Acompañante'!F205</f>
        <v>0.111</v>
      </c>
      <c r="G14" s="2197">
        <f>+'Fauna Acompañante'!G205</f>
        <v>0</v>
      </c>
      <c r="H14" s="2197">
        <f>+'Fauna Acompañante'!H205</f>
        <v>0</v>
      </c>
      <c r="I14" s="2197">
        <f>+'Fauna Acompañante'!I205</f>
        <v>0</v>
      </c>
      <c r="J14" s="2197">
        <f>+'Fauna Acompañante'!J205</f>
        <v>0</v>
      </c>
      <c r="K14" s="2197">
        <f>+'Fauna Acompañante'!K205</f>
        <v>0</v>
      </c>
      <c r="L14" s="2197">
        <f>+'Fauna Acompañante'!L205</f>
        <v>0</v>
      </c>
      <c r="M14" s="2197">
        <f>+'Fauna Acompañante'!M205</f>
        <v>1.9490000000000001</v>
      </c>
      <c r="N14" s="2197">
        <f>+'Fauna Acompañante'!N205</f>
        <v>0</v>
      </c>
      <c r="O14" s="2197">
        <f>+'Fauna Acompañante'!O205</f>
        <v>0</v>
      </c>
      <c r="P14" s="2197">
        <f>+'Fauna Acompañante'!P205</f>
        <v>1.897</v>
      </c>
      <c r="Q14" s="2197">
        <f>+'Fauna Acompañante'!Q205</f>
        <v>0</v>
      </c>
      <c r="R14" s="2197">
        <f>+'Fauna Acompañante'!R205</f>
        <v>0</v>
      </c>
      <c r="S14" s="2197">
        <f>+'Fauna Acompañante'!S205</f>
        <v>0</v>
      </c>
      <c r="T14" s="2197">
        <f>+'Fauna Acompañante'!T205</f>
        <v>0</v>
      </c>
      <c r="U14" s="2197">
        <f>+'Fauna Acompañante'!U205</f>
        <v>0</v>
      </c>
      <c r="V14" s="2197">
        <f>+'Fauna Acompañante'!V205</f>
        <v>0</v>
      </c>
      <c r="W14" s="2197">
        <f>+'Fauna Acompañante'!W205</f>
        <v>0</v>
      </c>
      <c r="X14" s="2197">
        <f>+'Fauna Acompañante'!X205</f>
        <v>0</v>
      </c>
      <c r="Y14" s="2197">
        <f>+'Fauna Acompañante'!Y205</f>
        <v>0</v>
      </c>
      <c r="Z14" s="2197">
        <f>+'Fauna Acompañante'!Z205</f>
        <v>0</v>
      </c>
      <c r="AA14" s="2197">
        <f>+'Fauna Acompañante'!AA205</f>
        <v>0</v>
      </c>
      <c r="AB14" s="2197">
        <f>+'Fauna Acompañante'!AB205</f>
        <v>0</v>
      </c>
      <c r="AC14" s="2197">
        <f>+'Fauna Acompañante'!AC205</f>
        <v>0</v>
      </c>
      <c r="AD14" s="2197">
        <f>+'Fauna Acompañante'!AD205</f>
        <v>0</v>
      </c>
      <c r="AE14" s="2197">
        <f>+'Fauna Acompañante'!AE205</f>
        <v>0</v>
      </c>
      <c r="AF14" s="2197">
        <f>+'Fauna Acompañante'!AF205</f>
        <v>0</v>
      </c>
      <c r="AG14" s="2197">
        <f>+'Fauna Acompañante'!AG205</f>
        <v>0</v>
      </c>
      <c r="AH14" s="2196">
        <f t="shared" si="1"/>
        <v>5.2409999999999997</v>
      </c>
    </row>
    <row r="15" spans="1:34" ht="15">
      <c r="A15" s="2201" t="s">
        <v>84</v>
      </c>
      <c r="B15" s="2200">
        <f t="shared" si="0"/>
        <v>3.8</v>
      </c>
      <c r="C15" s="2197">
        <f>+'Fauna Acompañante'!C206</f>
        <v>0</v>
      </c>
      <c r="D15" s="2197">
        <f>+'Fauna Acompañante'!D206</f>
        <v>0</v>
      </c>
      <c r="E15" s="2197">
        <f>+'Fauna Acompañante'!E206</f>
        <v>0</v>
      </c>
      <c r="F15" s="2197">
        <f>+'Fauna Acompañante'!F206</f>
        <v>0</v>
      </c>
      <c r="G15" s="2197">
        <f>+'Fauna Acompañante'!G206</f>
        <v>0</v>
      </c>
      <c r="H15" s="2197">
        <f>+'Fauna Acompañante'!H206</f>
        <v>0</v>
      </c>
      <c r="I15" s="2197">
        <f>+'Fauna Acompañante'!I206</f>
        <v>0</v>
      </c>
      <c r="J15" s="2197">
        <f>+'Fauna Acompañante'!J206</f>
        <v>0</v>
      </c>
      <c r="K15" s="2197">
        <f>+'Fauna Acompañante'!K206</f>
        <v>0</v>
      </c>
      <c r="L15" s="2197">
        <f>+'Fauna Acompañante'!L206</f>
        <v>0</v>
      </c>
      <c r="M15" s="2197">
        <f>+'Fauna Acompañante'!M206</f>
        <v>0</v>
      </c>
      <c r="N15" s="2197">
        <f>+'Fauna Acompañante'!N206</f>
        <v>0</v>
      </c>
      <c r="O15" s="2197">
        <f>+'Fauna Acompañante'!O206</f>
        <v>0</v>
      </c>
      <c r="P15" s="2197">
        <f>+'Fauna Acompañante'!P206</f>
        <v>0</v>
      </c>
      <c r="Q15" s="2197">
        <f>+'Fauna Acompañante'!Q206</f>
        <v>0</v>
      </c>
      <c r="R15" s="2197">
        <f>+'Fauna Acompañante'!R206</f>
        <v>0</v>
      </c>
      <c r="S15" s="2197">
        <f>+'Fauna Acompañante'!S206</f>
        <v>0</v>
      </c>
      <c r="T15" s="2197">
        <f>+'Fauna Acompañante'!T206</f>
        <v>0</v>
      </c>
      <c r="U15" s="2197">
        <f>+'Fauna Acompañante'!U206</f>
        <v>0</v>
      </c>
      <c r="V15" s="2197">
        <f>+'Fauna Acompañante'!V206</f>
        <v>0</v>
      </c>
      <c r="W15" s="2197">
        <f>+'Fauna Acompañante'!W206</f>
        <v>0</v>
      </c>
      <c r="X15" s="2197">
        <f>+'Fauna Acompañante'!X206</f>
        <v>0</v>
      </c>
      <c r="Y15" s="2197">
        <f>+'Fauna Acompañante'!Y206</f>
        <v>0</v>
      </c>
      <c r="Z15" s="2197">
        <f>+'Fauna Acompañante'!Z206</f>
        <v>0</v>
      </c>
      <c r="AA15" s="2197">
        <f>+'Fauna Acompañante'!AA206</f>
        <v>0</v>
      </c>
      <c r="AB15" s="2197">
        <f>+'Fauna Acompañante'!AB206</f>
        <v>0</v>
      </c>
      <c r="AC15" s="2197">
        <f>+'Fauna Acompañante'!AC206</f>
        <v>0</v>
      </c>
      <c r="AD15" s="2197">
        <f>+'Fauna Acompañante'!AD206</f>
        <v>0</v>
      </c>
      <c r="AE15" s="2197">
        <f>+'Fauna Acompañante'!AE206</f>
        <v>2</v>
      </c>
      <c r="AF15" s="2197">
        <f>+'Fauna Acompañante'!AF206</f>
        <v>1.8</v>
      </c>
      <c r="AG15" s="2197">
        <f>+'Fauna Acompañante'!AG206</f>
        <v>0</v>
      </c>
      <c r="AH15" s="2196">
        <f t="shared" si="1"/>
        <v>3.8</v>
      </c>
    </row>
    <row r="16" spans="1:34" ht="15">
      <c r="A16" s="2201" t="s">
        <v>85</v>
      </c>
      <c r="B16" s="2200">
        <f t="shared" si="0"/>
        <v>19.692</v>
      </c>
      <c r="C16" s="2197">
        <f>+'Fauna Acompañante'!C207</f>
        <v>0</v>
      </c>
      <c r="D16" s="2197">
        <f>+'Fauna Acompañante'!D207</f>
        <v>0</v>
      </c>
      <c r="E16" s="2197">
        <f>+'Fauna Acompañante'!E207</f>
        <v>0</v>
      </c>
      <c r="F16" s="2197">
        <f>+'Fauna Acompañante'!F207</f>
        <v>2.5</v>
      </c>
      <c r="G16" s="2197">
        <f>+'Fauna Acompañante'!G207</f>
        <v>0</v>
      </c>
      <c r="H16" s="2197">
        <f>+'Fauna Acompañante'!H207</f>
        <v>2.1</v>
      </c>
      <c r="I16" s="2197">
        <f>+'Fauna Acompañante'!I207</f>
        <v>0</v>
      </c>
      <c r="J16" s="2197">
        <f>+'Fauna Acompañante'!J207</f>
        <v>0</v>
      </c>
      <c r="K16" s="2197">
        <f>+'Fauna Acompañante'!K207</f>
        <v>0</v>
      </c>
      <c r="L16" s="2197">
        <f>+'Fauna Acompañante'!L207</f>
        <v>0</v>
      </c>
      <c r="M16" s="2197">
        <f>+'Fauna Acompañante'!M207</f>
        <v>0</v>
      </c>
      <c r="N16" s="2197">
        <f>+'Fauna Acompañante'!N207</f>
        <v>0</v>
      </c>
      <c r="O16" s="2197">
        <f>+'Fauna Acompañante'!O207</f>
        <v>0</v>
      </c>
      <c r="P16" s="2197">
        <f>+'Fauna Acompañante'!P207</f>
        <v>0</v>
      </c>
      <c r="Q16" s="2197">
        <f>+'Fauna Acompañante'!Q207</f>
        <v>0</v>
      </c>
      <c r="R16" s="2197">
        <f>+'Fauna Acompañante'!R207</f>
        <v>0.56999999999999995</v>
      </c>
      <c r="S16" s="2197">
        <f>+'Fauna Acompañante'!S207</f>
        <v>0</v>
      </c>
      <c r="T16" s="2197">
        <f>+'Fauna Acompañante'!T207</f>
        <v>0</v>
      </c>
      <c r="U16" s="2197">
        <f>+'Fauna Acompañante'!U207</f>
        <v>0</v>
      </c>
      <c r="V16" s="2197">
        <f>+'Fauna Acompañante'!V207</f>
        <v>0</v>
      </c>
      <c r="W16" s="2197">
        <f>+'Fauna Acompañante'!W207</f>
        <v>0</v>
      </c>
      <c r="X16" s="2197">
        <f>+'Fauna Acompañante'!X207</f>
        <v>4.4130000000000003</v>
      </c>
      <c r="Y16" s="2197">
        <f>+'Fauna Acompañante'!Y207</f>
        <v>0</v>
      </c>
      <c r="Z16" s="2197">
        <f>+'Fauna Acompañante'!Z207</f>
        <v>0</v>
      </c>
      <c r="AA16" s="2197">
        <f>+'Fauna Acompañante'!AA207</f>
        <v>0</v>
      </c>
      <c r="AB16" s="2197">
        <f>+'Fauna Acompañante'!AB207</f>
        <v>0</v>
      </c>
      <c r="AC16" s="2197">
        <f>+'Fauna Acompañante'!AC207</f>
        <v>0</v>
      </c>
      <c r="AD16" s="2197">
        <f>+'Fauna Acompañante'!AD207</f>
        <v>3.6269999999999998</v>
      </c>
      <c r="AE16" s="2197">
        <f>+'Fauna Acompañante'!AE207</f>
        <v>5.3330000000000002</v>
      </c>
      <c r="AF16" s="2197">
        <f>+'Fauna Acompañante'!AF207</f>
        <v>1.149</v>
      </c>
      <c r="AG16" s="2197">
        <f>+'Fauna Acompañante'!AG207</f>
        <v>0</v>
      </c>
      <c r="AH16" s="2196">
        <f t="shared" si="1"/>
        <v>19.692</v>
      </c>
    </row>
    <row r="17" spans="1:34" ht="15">
      <c r="A17" s="2201" t="s">
        <v>86</v>
      </c>
      <c r="B17" s="2200">
        <f t="shared" si="0"/>
        <v>14.201000000000002</v>
      </c>
      <c r="C17" s="2197">
        <f>+'Fauna Acompañante'!C208</f>
        <v>0</v>
      </c>
      <c r="D17" s="2197">
        <f>+'Fauna Acompañante'!D208</f>
        <v>0</v>
      </c>
      <c r="E17" s="2197">
        <f>+'Fauna Acompañante'!E208</f>
        <v>3.867</v>
      </c>
      <c r="F17" s="2197">
        <f>+'Fauna Acompañante'!F208</f>
        <v>2.673</v>
      </c>
      <c r="G17" s="2197">
        <f>+'Fauna Acompañante'!G208</f>
        <v>6.6590000000000007</v>
      </c>
      <c r="H17" s="2197">
        <f>+'Fauna Acompañante'!H208</f>
        <v>0.76900000000000002</v>
      </c>
      <c r="I17" s="2197">
        <f>+'Fauna Acompañante'!I208</f>
        <v>0</v>
      </c>
      <c r="J17" s="2197">
        <f>+'Fauna Acompañante'!J208</f>
        <v>0</v>
      </c>
      <c r="K17" s="2197">
        <f>+'Fauna Acompañante'!K208</f>
        <v>0</v>
      </c>
      <c r="L17" s="2197">
        <f>+'Fauna Acompañante'!L208</f>
        <v>0</v>
      </c>
      <c r="M17" s="2197">
        <f>+'Fauna Acompañante'!M208</f>
        <v>8.2000000000000003E-2</v>
      </c>
      <c r="N17" s="2197">
        <f>+'Fauna Acompañante'!N208</f>
        <v>0</v>
      </c>
      <c r="O17" s="2197">
        <f>+'Fauna Acompañante'!O208</f>
        <v>0</v>
      </c>
      <c r="P17" s="2197">
        <f>+'Fauna Acompañante'!P208</f>
        <v>0</v>
      </c>
      <c r="Q17" s="2197">
        <f>+'Fauna Acompañante'!Q208</f>
        <v>0</v>
      </c>
      <c r="R17" s="2197">
        <f>+'Fauna Acompañante'!R208</f>
        <v>0</v>
      </c>
      <c r="S17" s="2197">
        <f>+'Fauna Acompañante'!S208</f>
        <v>0</v>
      </c>
      <c r="T17" s="2197">
        <f>+'Fauna Acompañante'!T208</f>
        <v>0</v>
      </c>
      <c r="U17" s="2197">
        <f>+'Fauna Acompañante'!U208</f>
        <v>0</v>
      </c>
      <c r="V17" s="2197">
        <f>+'Fauna Acompañante'!V208</f>
        <v>0</v>
      </c>
      <c r="W17" s="2197">
        <f>+'Fauna Acompañante'!W208</f>
        <v>0</v>
      </c>
      <c r="X17" s="2197">
        <f>+'Fauna Acompañante'!X208</f>
        <v>0</v>
      </c>
      <c r="Y17" s="2197">
        <f>+'Fauna Acompañante'!Y208</f>
        <v>0</v>
      </c>
      <c r="Z17" s="2197">
        <f>+'Fauna Acompañante'!Z208</f>
        <v>0</v>
      </c>
      <c r="AA17" s="2197">
        <f>+'Fauna Acompañante'!AA208</f>
        <v>0</v>
      </c>
      <c r="AB17" s="2197">
        <f>+'Fauna Acompañante'!AB208</f>
        <v>0</v>
      </c>
      <c r="AC17" s="2197">
        <f>+'Fauna Acompañante'!AC208</f>
        <v>0.151</v>
      </c>
      <c r="AD17" s="2197">
        <f>+'Fauna Acompañante'!AD208</f>
        <v>0</v>
      </c>
      <c r="AE17" s="2197">
        <f>+'Fauna Acompañante'!AE208</f>
        <v>0</v>
      </c>
      <c r="AF17" s="2197">
        <f>+'Fauna Acompañante'!AF208</f>
        <v>0</v>
      </c>
      <c r="AG17" s="2197">
        <f>+'Fauna Acompañante'!AG208</f>
        <v>0</v>
      </c>
      <c r="AH17" s="2196">
        <f t="shared" si="1"/>
        <v>14.201000000000002</v>
      </c>
    </row>
    <row r="18" spans="1:34" ht="15">
      <c r="A18" s="2199" t="s">
        <v>74</v>
      </c>
      <c r="B18" s="2198">
        <f t="shared" ref="B18:AH18" si="2">SUM(B6:B17)</f>
        <v>183.43600000000001</v>
      </c>
      <c r="C18" s="2197">
        <f t="shared" si="2"/>
        <v>5.1630000000000003</v>
      </c>
      <c r="D18" s="2197">
        <f t="shared" si="2"/>
        <v>0</v>
      </c>
      <c r="E18" s="2197">
        <f t="shared" si="2"/>
        <v>6.843</v>
      </c>
      <c r="F18" s="2197">
        <f t="shared" si="2"/>
        <v>6.7729999999999997</v>
      </c>
      <c r="G18" s="2197">
        <f t="shared" si="2"/>
        <v>9.7850000000000001</v>
      </c>
      <c r="H18" s="2197">
        <f t="shared" si="2"/>
        <v>19.355</v>
      </c>
      <c r="I18" s="2197">
        <f t="shared" si="2"/>
        <v>4.7440000000000007</v>
      </c>
      <c r="J18" s="2197">
        <f t="shared" si="2"/>
        <v>13.03</v>
      </c>
      <c r="K18" s="2197">
        <f t="shared" si="2"/>
        <v>11.391999999999999</v>
      </c>
      <c r="L18" s="2197">
        <f t="shared" si="2"/>
        <v>4.4340000000000002</v>
      </c>
      <c r="M18" s="2197">
        <f t="shared" si="2"/>
        <v>11.430000000000001</v>
      </c>
      <c r="N18" s="2197">
        <f t="shared" si="2"/>
        <v>0.59600000000000009</v>
      </c>
      <c r="O18" s="2197">
        <f t="shared" si="2"/>
        <v>9.9779999999999998</v>
      </c>
      <c r="P18" s="2197">
        <f t="shared" si="2"/>
        <v>12.924999999999999</v>
      </c>
      <c r="Q18" s="2197">
        <f t="shared" si="2"/>
        <v>15.825000000000003</v>
      </c>
      <c r="R18" s="2197">
        <f t="shared" si="2"/>
        <v>8.3360000000000003</v>
      </c>
      <c r="S18" s="2197">
        <f t="shared" si="2"/>
        <v>0.74399999999999999</v>
      </c>
      <c r="T18" s="2197">
        <f t="shared" si="2"/>
        <v>5.2260000000000009</v>
      </c>
      <c r="U18" s="2197">
        <f t="shared" si="2"/>
        <v>0</v>
      </c>
      <c r="V18" s="2197">
        <f t="shared" si="2"/>
        <v>6.0269999999999992</v>
      </c>
      <c r="W18" s="2197">
        <f t="shared" si="2"/>
        <v>0.98899999999999999</v>
      </c>
      <c r="X18" s="2197">
        <f t="shared" si="2"/>
        <v>9.9239999999999995</v>
      </c>
      <c r="Y18" s="2197">
        <f t="shared" si="2"/>
        <v>0.23899999999999999</v>
      </c>
      <c r="Z18" s="2197">
        <f t="shared" si="2"/>
        <v>0</v>
      </c>
      <c r="AA18" s="2197">
        <f t="shared" si="2"/>
        <v>0.62</v>
      </c>
      <c r="AB18" s="2197">
        <f t="shared" si="2"/>
        <v>3.9009999999999998</v>
      </c>
      <c r="AC18" s="2197">
        <f t="shared" si="2"/>
        <v>0.151</v>
      </c>
      <c r="AD18" s="2197">
        <f t="shared" si="2"/>
        <v>4.7240000000000002</v>
      </c>
      <c r="AE18" s="2197">
        <f t="shared" si="2"/>
        <v>7.3330000000000002</v>
      </c>
      <c r="AF18" s="2197">
        <f t="shared" si="2"/>
        <v>2.9489999999999998</v>
      </c>
      <c r="AG18" s="2197">
        <f t="shared" si="2"/>
        <v>0</v>
      </c>
      <c r="AH18" s="2196">
        <f t="shared" si="2"/>
        <v>183.43600000000001</v>
      </c>
    </row>
    <row r="20" spans="1:34" ht="15">
      <c r="A20" s="3585" t="s">
        <v>563</v>
      </c>
      <c r="B20" s="3586"/>
      <c r="C20" s="3586"/>
      <c r="D20" s="3586"/>
      <c r="E20" s="3586"/>
      <c r="F20" s="3586"/>
      <c r="G20" s="3586"/>
      <c r="H20" s="3586"/>
      <c r="I20" s="3586"/>
      <c r="J20" s="3586"/>
      <c r="K20" s="3586"/>
      <c r="L20" s="3586"/>
      <c r="M20" s="3586"/>
      <c r="N20" s="3586"/>
      <c r="O20" s="3586"/>
      <c r="P20" s="3586"/>
      <c r="Q20" s="3586"/>
      <c r="R20" s="3586"/>
      <c r="S20" s="3586"/>
      <c r="T20" s="3587"/>
      <c r="U20" s="2195"/>
      <c r="V20" s="2195"/>
      <c r="W20" s="2195"/>
      <c r="X20" s="2195"/>
      <c r="Y20" s="2195"/>
      <c r="Z20" s="2195"/>
      <c r="AA20" s="2195"/>
      <c r="AB20" s="2195"/>
      <c r="AC20" s="2195"/>
      <c r="AD20" s="2195"/>
      <c r="AE20" s="2195"/>
      <c r="AF20" s="2195"/>
      <c r="AG20" s="2195"/>
      <c r="AH20" s="2195"/>
    </row>
    <row r="21" spans="1:34">
      <c r="A21" s="2195"/>
      <c r="B21" s="2195"/>
      <c r="C21" s="2195"/>
      <c r="D21" s="2195"/>
      <c r="E21" s="2195"/>
      <c r="F21" s="2195"/>
      <c r="G21" s="2195"/>
      <c r="H21" s="2195"/>
      <c r="I21" s="2195"/>
      <c r="J21" s="2195"/>
      <c r="K21" s="2195"/>
      <c r="L21" s="2195"/>
      <c r="M21" s="2195"/>
      <c r="N21" s="2195"/>
      <c r="O21" s="2195"/>
      <c r="P21" s="2195"/>
      <c r="Q21" s="2195"/>
      <c r="R21" s="2195"/>
      <c r="S21" s="2195"/>
      <c r="T21" s="2195"/>
      <c r="U21" s="2195"/>
      <c r="V21" s="2195"/>
      <c r="W21" s="2195"/>
      <c r="X21" s="2195"/>
      <c r="Y21" s="2195"/>
      <c r="Z21" s="2195"/>
      <c r="AA21" s="2195"/>
      <c r="AB21" s="2195"/>
      <c r="AC21" s="2195"/>
      <c r="AD21" s="2195"/>
      <c r="AE21" s="2195"/>
      <c r="AF21" s="2195"/>
      <c r="AG21" s="2195"/>
      <c r="AH21" s="2195"/>
    </row>
    <row r="22" spans="1:34">
      <c r="A22" s="2195"/>
      <c r="B22" s="2195"/>
      <c r="C22" s="2195"/>
      <c r="D22" s="2195"/>
      <c r="E22" s="2195"/>
      <c r="F22" s="2195"/>
      <c r="G22" s="2195"/>
      <c r="H22" s="2195"/>
      <c r="I22" s="2195"/>
      <c r="J22" s="2195"/>
      <c r="K22" s="2195"/>
      <c r="L22" s="2195"/>
      <c r="M22" s="2195"/>
      <c r="N22" s="2195"/>
      <c r="O22" s="2195"/>
      <c r="P22" s="2195"/>
      <c r="Q22" s="2195"/>
      <c r="R22" s="2195"/>
      <c r="S22" s="2195"/>
      <c r="T22" s="2195"/>
      <c r="U22" s="2195"/>
      <c r="V22" s="2195"/>
      <c r="W22" s="2195"/>
      <c r="X22" s="2195"/>
      <c r="Y22" s="2195"/>
      <c r="Z22" s="2195"/>
      <c r="AA22" s="2195"/>
      <c r="AB22" s="2195"/>
      <c r="AC22" s="2195"/>
      <c r="AD22" s="2195"/>
      <c r="AE22" s="2195"/>
      <c r="AF22" s="2195"/>
      <c r="AG22" s="2195"/>
      <c r="AH22" s="2195"/>
    </row>
    <row r="23" spans="1:34" ht="15">
      <c r="A23" s="3585" t="s">
        <v>630</v>
      </c>
      <c r="B23" s="3586"/>
      <c r="C23" s="3587"/>
      <c r="D23" s="2193"/>
      <c r="E23" s="2193"/>
      <c r="F23" s="2193"/>
      <c r="G23" s="2193"/>
      <c r="H23" s="2193"/>
      <c r="I23" s="2193"/>
      <c r="J23" s="2193"/>
      <c r="K23" s="2193"/>
      <c r="L23" s="2193"/>
      <c r="M23" s="2194"/>
      <c r="N23" s="2193"/>
      <c r="O23" s="2193"/>
      <c r="P23" s="2193"/>
      <c r="Q23" s="2193"/>
      <c r="R23" s="2193"/>
      <c r="S23" s="2193"/>
      <c r="T23" s="2193"/>
      <c r="U23" s="2193"/>
      <c r="V23" s="2193"/>
      <c r="W23" s="2193"/>
      <c r="X23" s="2193"/>
      <c r="Y23" s="2193"/>
      <c r="Z23" s="2193"/>
      <c r="AA23" s="2193"/>
      <c r="AB23" s="2193"/>
      <c r="AC23" s="2193"/>
      <c r="AD23" s="2193"/>
      <c r="AE23" s="2193"/>
      <c r="AF23" s="2193"/>
      <c r="AG23" s="2193"/>
      <c r="AH23" s="2193"/>
    </row>
    <row r="24" spans="1:34" ht="15">
      <c r="A24" s="1746" t="s">
        <v>72</v>
      </c>
      <c r="B24" s="1746" t="s">
        <v>73</v>
      </c>
      <c r="C24" s="1746">
        <v>1</v>
      </c>
      <c r="D24" s="1746">
        <v>2</v>
      </c>
      <c r="E24" s="1746">
        <v>3</v>
      </c>
      <c r="F24" s="1746">
        <v>4</v>
      </c>
      <c r="G24" s="1746">
        <v>5</v>
      </c>
      <c r="H24" s="1746">
        <v>6</v>
      </c>
      <c r="I24" s="1746">
        <v>7</v>
      </c>
      <c r="J24" s="1746">
        <v>8</v>
      </c>
      <c r="K24" s="1746">
        <v>9</v>
      </c>
      <c r="L24" s="1746">
        <v>10</v>
      </c>
      <c r="M24" s="1746">
        <v>11</v>
      </c>
      <c r="N24" s="1746">
        <v>12</v>
      </c>
      <c r="O24" s="1746">
        <v>13</v>
      </c>
      <c r="P24" s="1746">
        <v>14</v>
      </c>
      <c r="Q24" s="1746">
        <v>15</v>
      </c>
      <c r="R24" s="1746">
        <v>16</v>
      </c>
      <c r="S24" s="1746">
        <v>17</v>
      </c>
      <c r="T24" s="1746">
        <v>18</v>
      </c>
      <c r="U24" s="1746">
        <v>19</v>
      </c>
      <c r="V24" s="1746">
        <v>20</v>
      </c>
      <c r="W24" s="1746">
        <v>21</v>
      </c>
      <c r="X24" s="1746">
        <v>22</v>
      </c>
      <c r="Y24" s="1746">
        <v>23</v>
      </c>
      <c r="Z24" s="1746">
        <v>24</v>
      </c>
      <c r="AA24" s="1746">
        <v>25</v>
      </c>
      <c r="AB24" s="1746">
        <v>26</v>
      </c>
      <c r="AC24" s="1746">
        <v>27</v>
      </c>
      <c r="AD24" s="1746">
        <v>28</v>
      </c>
      <c r="AE24" s="1746">
        <v>29</v>
      </c>
      <c r="AF24" s="1746">
        <v>30</v>
      </c>
      <c r="AG24" s="1746">
        <v>31</v>
      </c>
      <c r="AH24" s="2192" t="s">
        <v>74</v>
      </c>
    </row>
    <row r="25" spans="1:34" ht="15">
      <c r="A25" s="1746" t="s">
        <v>75</v>
      </c>
      <c r="B25" s="1749">
        <f t="shared" ref="B25:B36" si="3">+AH25</f>
        <v>0</v>
      </c>
      <c r="C25" s="2189"/>
      <c r="D25" s="2189"/>
      <c r="E25" s="2189"/>
      <c r="F25" s="2189"/>
      <c r="G25" s="2189"/>
      <c r="H25" s="2189"/>
      <c r="I25" s="2189"/>
      <c r="J25" s="2189"/>
      <c r="K25" s="2189"/>
      <c r="L25" s="2189"/>
      <c r="M25" s="2189"/>
      <c r="N25" s="2189"/>
      <c r="O25" s="2189"/>
      <c r="P25" s="2189"/>
      <c r="Q25" s="2189"/>
      <c r="R25" s="2189"/>
      <c r="S25" s="2189"/>
      <c r="T25" s="2189"/>
      <c r="U25" s="2189"/>
      <c r="V25" s="2189"/>
      <c r="W25" s="2189"/>
      <c r="X25" s="2189"/>
      <c r="Y25" s="2189"/>
      <c r="Z25" s="2189"/>
      <c r="AA25" s="2189"/>
      <c r="AB25" s="2189"/>
      <c r="AC25" s="2189"/>
      <c r="AD25" s="2189"/>
      <c r="AE25" s="2189"/>
      <c r="AF25" s="2189"/>
      <c r="AG25" s="2189"/>
      <c r="AH25" s="2188">
        <f t="shared" ref="AH25:AH36" si="4">SUM(C25:AG25)</f>
        <v>0</v>
      </c>
    </row>
    <row r="26" spans="1:34" ht="15">
      <c r="A26" s="1746" t="s">
        <v>76</v>
      </c>
      <c r="B26" s="1749">
        <f t="shared" si="3"/>
        <v>0</v>
      </c>
      <c r="C26" s="2189"/>
      <c r="D26" s="2189"/>
      <c r="E26" s="2189"/>
      <c r="F26" s="2189"/>
      <c r="G26" s="2189"/>
      <c r="H26" s="2189"/>
      <c r="I26" s="2189"/>
      <c r="J26" s="2189"/>
      <c r="K26" s="2189"/>
      <c r="L26" s="2189"/>
      <c r="M26" s="2189"/>
      <c r="N26" s="2189"/>
      <c r="O26" s="2189"/>
      <c r="P26" s="2189"/>
      <c r="Q26" s="2189"/>
      <c r="R26" s="2189"/>
      <c r="S26" s="2189"/>
      <c r="T26" s="2189"/>
      <c r="U26" s="2189"/>
      <c r="V26" s="2189"/>
      <c r="W26" s="2189"/>
      <c r="X26" s="2189"/>
      <c r="Y26" s="2189"/>
      <c r="Z26" s="2189"/>
      <c r="AA26" s="2189"/>
      <c r="AB26" s="2189"/>
      <c r="AC26" s="2189"/>
      <c r="AD26" s="2189"/>
      <c r="AE26" s="2189"/>
      <c r="AF26" s="2189"/>
      <c r="AG26" s="2189"/>
      <c r="AH26" s="2188">
        <f t="shared" si="4"/>
        <v>0</v>
      </c>
    </row>
    <row r="27" spans="1:34" ht="15">
      <c r="A27" s="1746" t="s">
        <v>77</v>
      </c>
      <c r="B27" s="1749">
        <f t="shared" si="3"/>
        <v>0</v>
      </c>
      <c r="C27" s="2189"/>
      <c r="D27" s="2189"/>
      <c r="E27" s="2189"/>
      <c r="F27" s="2189"/>
      <c r="G27" s="2189"/>
      <c r="H27" s="2189"/>
      <c r="I27" s="2189"/>
      <c r="J27" s="2189"/>
      <c r="K27" s="2189"/>
      <c r="L27" s="2189"/>
      <c r="M27" s="2189"/>
      <c r="N27" s="2189"/>
      <c r="O27" s="2189"/>
      <c r="P27" s="2189"/>
      <c r="Q27" s="2189"/>
      <c r="R27" s="2189"/>
      <c r="S27" s="2189"/>
      <c r="T27" s="2189"/>
      <c r="U27" s="2189"/>
      <c r="V27" s="2189"/>
      <c r="W27" s="2189"/>
      <c r="X27" s="2189"/>
      <c r="Y27" s="2189"/>
      <c r="Z27" s="2189"/>
      <c r="AA27" s="2189"/>
      <c r="AB27" s="2189"/>
      <c r="AC27" s="2189"/>
      <c r="AD27" s="2189"/>
      <c r="AE27" s="2189"/>
      <c r="AF27" s="2189"/>
      <c r="AG27" s="2189"/>
      <c r="AH27" s="2188">
        <f t="shared" si="4"/>
        <v>0</v>
      </c>
    </row>
    <row r="28" spans="1:34" ht="15">
      <c r="A28" s="1746" t="s">
        <v>78</v>
      </c>
      <c r="B28" s="1749">
        <f t="shared" si="3"/>
        <v>0</v>
      </c>
      <c r="C28" s="2189"/>
      <c r="D28" s="2189"/>
      <c r="E28" s="2189"/>
      <c r="F28" s="2189"/>
      <c r="G28" s="2189"/>
      <c r="H28" s="2189"/>
      <c r="I28" s="2189"/>
      <c r="J28" s="2189"/>
      <c r="K28" s="2189"/>
      <c r="L28" s="2189"/>
      <c r="M28" s="2189"/>
      <c r="N28" s="2189"/>
      <c r="O28" s="2189"/>
      <c r="P28" s="2189"/>
      <c r="Q28" s="2189"/>
      <c r="R28" s="2189"/>
      <c r="S28" s="2189"/>
      <c r="T28" s="2189"/>
      <c r="U28" s="2189"/>
      <c r="V28" s="2189"/>
      <c r="W28" s="2189"/>
      <c r="X28" s="2189"/>
      <c r="Y28" s="2189"/>
      <c r="Z28" s="2189"/>
      <c r="AA28" s="2189"/>
      <c r="AB28" s="2189"/>
      <c r="AC28" s="2189"/>
      <c r="AD28" s="2189"/>
      <c r="AE28" s="2189"/>
      <c r="AF28" s="2189"/>
      <c r="AG28" s="2189"/>
      <c r="AH28" s="2188">
        <f t="shared" si="4"/>
        <v>0</v>
      </c>
    </row>
    <row r="29" spans="1:34" ht="15">
      <c r="A29" s="1746" t="s">
        <v>79</v>
      </c>
      <c r="B29" s="1749">
        <f t="shared" si="3"/>
        <v>0</v>
      </c>
      <c r="C29" s="2189"/>
      <c r="D29" s="2189"/>
      <c r="E29" s="2189"/>
      <c r="F29" s="2189"/>
      <c r="G29" s="2189"/>
      <c r="H29" s="2189"/>
      <c r="I29" s="2189"/>
      <c r="J29" s="2189"/>
      <c r="K29" s="2189"/>
      <c r="L29" s="2189"/>
      <c r="M29" s="2189"/>
      <c r="N29" s="2189"/>
      <c r="O29" s="2189"/>
      <c r="P29" s="2189"/>
      <c r="Q29" s="2189"/>
      <c r="R29" s="2189"/>
      <c r="S29" s="2189"/>
      <c r="T29" s="2189"/>
      <c r="U29" s="2189"/>
      <c r="V29" s="2189"/>
      <c r="W29" s="2189"/>
      <c r="X29" s="2189"/>
      <c r="Y29" s="2189"/>
      <c r="Z29" s="2189"/>
      <c r="AA29" s="2189"/>
      <c r="AB29" s="2189"/>
      <c r="AC29" s="2189"/>
      <c r="AD29" s="2189"/>
      <c r="AE29" s="2189"/>
      <c r="AF29" s="2189"/>
      <c r="AG29" s="2189"/>
      <c r="AH29" s="2188">
        <f t="shared" si="4"/>
        <v>0</v>
      </c>
    </row>
    <row r="30" spans="1:34" ht="15">
      <c r="A30" s="1746" t="s">
        <v>80</v>
      </c>
      <c r="B30" s="1749">
        <f t="shared" si="3"/>
        <v>0</v>
      </c>
      <c r="C30" s="2189"/>
      <c r="D30" s="2189"/>
      <c r="E30" s="2189"/>
      <c r="F30" s="2189"/>
      <c r="G30" s="2189"/>
      <c r="H30" s="2189"/>
      <c r="I30" s="2189"/>
      <c r="J30" s="2189"/>
      <c r="K30" s="2189"/>
      <c r="L30" s="2189"/>
      <c r="M30" s="2189"/>
      <c r="N30" s="2189"/>
      <c r="O30" s="2189"/>
      <c r="P30" s="2189"/>
      <c r="Q30" s="2189"/>
      <c r="R30" s="2189"/>
      <c r="S30" s="2189"/>
      <c r="T30" s="2189"/>
      <c r="U30" s="2189"/>
      <c r="V30" s="2189"/>
      <c r="W30" s="2189"/>
      <c r="X30" s="2189"/>
      <c r="Y30" s="2189"/>
      <c r="Z30" s="2189"/>
      <c r="AA30" s="2189"/>
      <c r="AB30" s="2189"/>
      <c r="AC30" s="2189"/>
      <c r="AD30" s="2189"/>
      <c r="AE30" s="2189"/>
      <c r="AF30" s="2189"/>
      <c r="AG30" s="2189"/>
      <c r="AH30" s="2188">
        <f t="shared" si="4"/>
        <v>0</v>
      </c>
    </row>
    <row r="31" spans="1:34" ht="15">
      <c r="A31" s="1746" t="s">
        <v>81</v>
      </c>
      <c r="B31" s="1749">
        <f t="shared" si="3"/>
        <v>0</v>
      </c>
      <c r="C31" s="2189"/>
      <c r="D31" s="2189"/>
      <c r="E31" s="2189"/>
      <c r="F31" s="2189"/>
      <c r="G31" s="2189"/>
      <c r="H31" s="2189"/>
      <c r="I31" s="2189"/>
      <c r="J31" s="2189"/>
      <c r="K31" s="2189"/>
      <c r="L31" s="2189"/>
      <c r="M31" s="2189"/>
      <c r="N31" s="2189"/>
      <c r="O31" s="2189"/>
      <c r="P31" s="2189"/>
      <c r="Q31" s="2189"/>
      <c r="R31" s="2189"/>
      <c r="S31" s="2189"/>
      <c r="T31" s="2189"/>
      <c r="U31" s="2189"/>
      <c r="V31" s="2189"/>
      <c r="W31" s="2189"/>
      <c r="X31" s="2189"/>
      <c r="Y31" s="2189"/>
      <c r="Z31" s="2189"/>
      <c r="AA31" s="2189"/>
      <c r="AB31" s="2189"/>
      <c r="AC31" s="2189"/>
      <c r="AD31" s="2189"/>
      <c r="AE31" s="2189"/>
      <c r="AF31" s="2189"/>
      <c r="AG31" s="2189"/>
      <c r="AH31" s="2188">
        <f t="shared" si="4"/>
        <v>0</v>
      </c>
    </row>
    <row r="32" spans="1:34" ht="15">
      <c r="A32" s="1746" t="s">
        <v>82</v>
      </c>
      <c r="B32" s="1749">
        <f t="shared" si="3"/>
        <v>0</v>
      </c>
      <c r="C32" s="2189"/>
      <c r="D32" s="2189"/>
      <c r="E32" s="2189"/>
      <c r="F32" s="2189"/>
      <c r="G32" s="2189"/>
      <c r="H32" s="2189"/>
      <c r="I32" s="2189"/>
      <c r="J32" s="2189"/>
      <c r="K32" s="2189"/>
      <c r="L32" s="2189"/>
      <c r="M32" s="2189"/>
      <c r="N32" s="2189"/>
      <c r="O32" s="2189"/>
      <c r="P32" s="2189"/>
      <c r="Q32" s="2189"/>
      <c r="R32" s="2189"/>
      <c r="S32" s="2189"/>
      <c r="T32" s="2189"/>
      <c r="U32" s="2189"/>
      <c r="V32" s="2189"/>
      <c r="W32" s="2189"/>
      <c r="X32" s="2189"/>
      <c r="Y32" s="2189"/>
      <c r="Z32" s="2189"/>
      <c r="AA32" s="2189"/>
      <c r="AB32" s="2189"/>
      <c r="AC32" s="2189"/>
      <c r="AD32" s="2189"/>
      <c r="AE32" s="2189"/>
      <c r="AF32" s="2189"/>
      <c r="AG32" s="2189"/>
      <c r="AH32" s="2188">
        <f t="shared" si="4"/>
        <v>0</v>
      </c>
    </row>
    <row r="33" spans="1:34" ht="15">
      <c r="A33" s="1746" t="s">
        <v>83</v>
      </c>
      <c r="B33" s="1749">
        <f t="shared" si="3"/>
        <v>0</v>
      </c>
      <c r="C33" s="2189"/>
      <c r="D33" s="2189"/>
      <c r="E33" s="2189"/>
      <c r="F33" s="2189"/>
      <c r="G33" s="2189"/>
      <c r="H33" s="2189"/>
      <c r="I33" s="2189"/>
      <c r="J33" s="2189"/>
      <c r="K33" s="2189"/>
      <c r="L33" s="2189"/>
      <c r="M33" s="2189"/>
      <c r="N33" s="2189"/>
      <c r="O33" s="2189"/>
      <c r="P33" s="2189"/>
      <c r="Q33" s="2189"/>
      <c r="R33" s="2189"/>
      <c r="S33" s="2189"/>
      <c r="T33" s="2189"/>
      <c r="U33" s="2189"/>
      <c r="V33" s="2189"/>
      <c r="W33" s="2189"/>
      <c r="X33" s="2189"/>
      <c r="Y33" s="2189"/>
      <c r="Z33" s="2189"/>
      <c r="AA33" s="2189"/>
      <c r="AB33" s="2189"/>
      <c r="AC33" s="2189"/>
      <c r="AD33" s="2189"/>
      <c r="AE33" s="2189"/>
      <c r="AF33" s="2189"/>
      <c r="AG33" s="2189"/>
      <c r="AH33" s="2188">
        <f t="shared" si="4"/>
        <v>0</v>
      </c>
    </row>
    <row r="34" spans="1:34" ht="15">
      <c r="A34" s="1746" t="s">
        <v>84</v>
      </c>
      <c r="B34" s="1749">
        <f t="shared" si="3"/>
        <v>0</v>
      </c>
      <c r="C34" s="2189"/>
      <c r="D34" s="2189"/>
      <c r="E34" s="2189"/>
      <c r="F34" s="2189"/>
      <c r="G34" s="2189"/>
      <c r="H34" s="2189"/>
      <c r="I34" s="2189"/>
      <c r="J34" s="2189"/>
      <c r="K34" s="2189"/>
      <c r="L34" s="2189"/>
      <c r="M34" s="2189"/>
      <c r="N34" s="2189"/>
      <c r="O34" s="2189"/>
      <c r="P34" s="2189"/>
      <c r="Q34" s="2189"/>
      <c r="R34" s="2189"/>
      <c r="S34" s="2189"/>
      <c r="T34" s="2189"/>
      <c r="U34" s="2189"/>
      <c r="V34" s="2189"/>
      <c r="W34" s="2189"/>
      <c r="X34" s="2189"/>
      <c r="Y34" s="2189"/>
      <c r="Z34" s="2189"/>
      <c r="AA34" s="2189"/>
      <c r="AB34" s="2189"/>
      <c r="AC34" s="2189"/>
      <c r="AD34" s="2189"/>
      <c r="AE34" s="2189"/>
      <c r="AF34" s="2189"/>
      <c r="AG34" s="2189"/>
      <c r="AH34" s="2188">
        <f t="shared" si="4"/>
        <v>0</v>
      </c>
    </row>
    <row r="35" spans="1:34" ht="15">
      <c r="A35" s="1746" t="s">
        <v>85</v>
      </c>
      <c r="B35" s="1749">
        <f t="shared" si="3"/>
        <v>0</v>
      </c>
      <c r="C35" s="2189"/>
      <c r="D35" s="2189"/>
      <c r="E35" s="2189"/>
      <c r="F35" s="2189"/>
      <c r="G35" s="2189"/>
      <c r="H35" s="2189"/>
      <c r="I35" s="2189"/>
      <c r="J35" s="2189"/>
      <c r="K35" s="2189"/>
      <c r="L35" s="2189"/>
      <c r="M35" s="2189"/>
      <c r="N35" s="2189"/>
      <c r="O35" s="2189"/>
      <c r="P35" s="2189"/>
      <c r="Q35" s="2189"/>
      <c r="R35" s="2189"/>
      <c r="S35" s="2189"/>
      <c r="T35" s="2189"/>
      <c r="U35" s="2189"/>
      <c r="V35" s="2189"/>
      <c r="W35" s="2189"/>
      <c r="X35" s="2189"/>
      <c r="Y35" s="2189"/>
      <c r="Z35" s="2189"/>
      <c r="AA35" s="2189"/>
      <c r="AB35" s="2189"/>
      <c r="AC35" s="2189"/>
      <c r="AD35" s="2189"/>
      <c r="AE35" s="2189"/>
      <c r="AF35" s="2189"/>
      <c r="AG35" s="2189"/>
      <c r="AH35" s="2188">
        <f t="shared" si="4"/>
        <v>0</v>
      </c>
    </row>
    <row r="36" spans="1:34" ht="15">
      <c r="A36" s="1746" t="s">
        <v>86</v>
      </c>
      <c r="B36" s="1749">
        <f t="shared" si="3"/>
        <v>0</v>
      </c>
      <c r="C36" s="2189"/>
      <c r="D36" s="2189"/>
      <c r="E36" s="2189"/>
      <c r="F36" s="2189"/>
      <c r="G36" s="2189"/>
      <c r="H36" s="2189"/>
      <c r="I36" s="2189"/>
      <c r="J36" s="2189"/>
      <c r="K36" s="2189"/>
      <c r="L36" s="2189"/>
      <c r="M36" s="2189"/>
      <c r="N36" s="2189"/>
      <c r="O36" s="2189"/>
      <c r="P36" s="2189"/>
      <c r="Q36" s="2189"/>
      <c r="R36" s="2189"/>
      <c r="S36" s="2189"/>
      <c r="T36" s="2189"/>
      <c r="U36" s="2189"/>
      <c r="V36" s="2189"/>
      <c r="W36" s="2189"/>
      <c r="X36" s="2189"/>
      <c r="Y36" s="2189"/>
      <c r="Z36" s="2189"/>
      <c r="AA36" s="2189"/>
      <c r="AB36" s="2189"/>
      <c r="AC36" s="2189"/>
      <c r="AD36" s="2189"/>
      <c r="AE36" s="2189"/>
      <c r="AF36" s="2189"/>
      <c r="AG36" s="2189"/>
      <c r="AH36" s="2188">
        <f t="shared" si="4"/>
        <v>0</v>
      </c>
    </row>
    <row r="37" spans="1:34" ht="15">
      <c r="A37" s="2191" t="s">
        <v>74</v>
      </c>
      <c r="B37" s="2190">
        <f t="shared" ref="B37:AH37" si="5">SUM(B25:B36)</f>
        <v>0</v>
      </c>
      <c r="C37" s="2189">
        <f t="shared" si="5"/>
        <v>0</v>
      </c>
      <c r="D37" s="2189">
        <f t="shared" si="5"/>
        <v>0</v>
      </c>
      <c r="E37" s="2189">
        <f t="shared" si="5"/>
        <v>0</v>
      </c>
      <c r="F37" s="2189">
        <f t="shared" si="5"/>
        <v>0</v>
      </c>
      <c r="G37" s="2189">
        <f t="shared" si="5"/>
        <v>0</v>
      </c>
      <c r="H37" s="2189">
        <f t="shared" si="5"/>
        <v>0</v>
      </c>
      <c r="I37" s="2189">
        <f t="shared" si="5"/>
        <v>0</v>
      </c>
      <c r="J37" s="2189">
        <f t="shared" si="5"/>
        <v>0</v>
      </c>
      <c r="K37" s="2189">
        <f t="shared" si="5"/>
        <v>0</v>
      </c>
      <c r="L37" s="2189">
        <f t="shared" si="5"/>
        <v>0</v>
      </c>
      <c r="M37" s="2189">
        <f t="shared" si="5"/>
        <v>0</v>
      </c>
      <c r="N37" s="2189">
        <f t="shared" si="5"/>
        <v>0</v>
      </c>
      <c r="O37" s="2189">
        <f t="shared" si="5"/>
        <v>0</v>
      </c>
      <c r="P37" s="2189">
        <f t="shared" si="5"/>
        <v>0</v>
      </c>
      <c r="Q37" s="2189">
        <f t="shared" si="5"/>
        <v>0</v>
      </c>
      <c r="R37" s="2189">
        <f t="shared" si="5"/>
        <v>0</v>
      </c>
      <c r="S37" s="2189">
        <f t="shared" si="5"/>
        <v>0</v>
      </c>
      <c r="T37" s="2189">
        <f t="shared" si="5"/>
        <v>0</v>
      </c>
      <c r="U37" s="2189">
        <f t="shared" si="5"/>
        <v>0</v>
      </c>
      <c r="V37" s="2189">
        <f t="shared" si="5"/>
        <v>0</v>
      </c>
      <c r="W37" s="2189">
        <f t="shared" si="5"/>
        <v>0</v>
      </c>
      <c r="X37" s="2189">
        <f t="shared" si="5"/>
        <v>0</v>
      </c>
      <c r="Y37" s="2189">
        <f t="shared" si="5"/>
        <v>0</v>
      </c>
      <c r="Z37" s="2189">
        <f t="shared" si="5"/>
        <v>0</v>
      </c>
      <c r="AA37" s="2189">
        <f t="shared" si="5"/>
        <v>0</v>
      </c>
      <c r="AB37" s="2189">
        <f t="shared" si="5"/>
        <v>0</v>
      </c>
      <c r="AC37" s="2189">
        <f t="shared" si="5"/>
        <v>0</v>
      </c>
      <c r="AD37" s="2189">
        <f t="shared" si="5"/>
        <v>0</v>
      </c>
      <c r="AE37" s="2189">
        <f t="shared" si="5"/>
        <v>0</v>
      </c>
      <c r="AF37" s="2189">
        <f t="shared" si="5"/>
        <v>0</v>
      </c>
      <c r="AG37" s="2189">
        <f t="shared" si="5"/>
        <v>0</v>
      </c>
      <c r="AH37" s="2188">
        <f t="shared" si="5"/>
        <v>0</v>
      </c>
    </row>
    <row r="39" spans="1:34" ht="15">
      <c r="A39" s="3585" t="s">
        <v>629</v>
      </c>
      <c r="B39" s="3586"/>
      <c r="C39" s="3587"/>
      <c r="D39" s="2193"/>
      <c r="E39" s="2193"/>
      <c r="F39" s="2193"/>
      <c r="G39" s="2193"/>
      <c r="H39" s="2193"/>
      <c r="I39" s="2193"/>
      <c r="J39" s="2193"/>
      <c r="K39" s="2193"/>
      <c r="L39" s="2193"/>
      <c r="M39" s="2194"/>
      <c r="N39" s="2193"/>
      <c r="O39" s="2193"/>
      <c r="P39" s="2193"/>
      <c r="Q39" s="2193"/>
      <c r="R39" s="2193"/>
      <c r="S39" s="2193"/>
      <c r="T39" s="2193"/>
      <c r="U39" s="2193"/>
      <c r="V39" s="2193"/>
      <c r="W39" s="2193"/>
      <c r="X39" s="2193"/>
      <c r="Y39" s="2193"/>
      <c r="Z39" s="2193"/>
      <c r="AA39" s="2193"/>
      <c r="AB39" s="2193"/>
      <c r="AC39" s="2193"/>
      <c r="AD39" s="2193"/>
      <c r="AE39" s="2193"/>
      <c r="AF39" s="2193"/>
      <c r="AG39" s="2193"/>
      <c r="AH39" s="2193"/>
    </row>
    <row r="40" spans="1:34" ht="15">
      <c r="A40" s="1746" t="s">
        <v>72</v>
      </c>
      <c r="B40" s="1746" t="s">
        <v>73</v>
      </c>
      <c r="C40" s="1746">
        <v>1</v>
      </c>
      <c r="D40" s="1746">
        <v>2</v>
      </c>
      <c r="E40" s="1746">
        <v>3</v>
      </c>
      <c r="F40" s="1746">
        <v>4</v>
      </c>
      <c r="G40" s="1746">
        <v>5</v>
      </c>
      <c r="H40" s="1746">
        <v>6</v>
      </c>
      <c r="I40" s="1746">
        <v>7</v>
      </c>
      <c r="J40" s="1746">
        <v>8</v>
      </c>
      <c r="K40" s="1746">
        <v>9</v>
      </c>
      <c r="L40" s="1746">
        <v>10</v>
      </c>
      <c r="M40" s="1746">
        <v>11</v>
      </c>
      <c r="N40" s="1746">
        <v>12</v>
      </c>
      <c r="O40" s="1746">
        <v>13</v>
      </c>
      <c r="P40" s="1746">
        <v>14</v>
      </c>
      <c r="Q40" s="1746">
        <v>15</v>
      </c>
      <c r="R40" s="1746">
        <v>16</v>
      </c>
      <c r="S40" s="1746">
        <v>17</v>
      </c>
      <c r="T40" s="1746">
        <v>18</v>
      </c>
      <c r="U40" s="1746">
        <v>19</v>
      </c>
      <c r="V40" s="1746">
        <v>20</v>
      </c>
      <c r="W40" s="1746">
        <v>21</v>
      </c>
      <c r="X40" s="1746">
        <v>22</v>
      </c>
      <c r="Y40" s="1746">
        <v>23</v>
      </c>
      <c r="Z40" s="1746">
        <v>24</v>
      </c>
      <c r="AA40" s="1746">
        <v>25</v>
      </c>
      <c r="AB40" s="1746">
        <v>26</v>
      </c>
      <c r="AC40" s="1746">
        <v>27</v>
      </c>
      <c r="AD40" s="1746">
        <v>28</v>
      </c>
      <c r="AE40" s="1746">
        <v>29</v>
      </c>
      <c r="AF40" s="1746">
        <v>30</v>
      </c>
      <c r="AG40" s="1746">
        <v>31</v>
      </c>
      <c r="AH40" s="2192" t="s">
        <v>74</v>
      </c>
    </row>
    <row r="41" spans="1:34" ht="15">
      <c r="A41" s="1746" t="s">
        <v>75</v>
      </c>
      <c r="B41" s="1749">
        <f t="shared" ref="B41:B52" si="6">+AH41</f>
        <v>0</v>
      </c>
      <c r="C41" s="2189">
        <f>+'Fauna Acompañante'!AL213</f>
        <v>0</v>
      </c>
      <c r="D41" s="2189">
        <f>+'Fauna Acompañante'!AM213</f>
        <v>0</v>
      </c>
      <c r="E41" s="2189">
        <f>+'Fauna Acompañante'!AN213</f>
        <v>0</v>
      </c>
      <c r="F41" s="2189">
        <f>+'Fauna Acompañante'!AO213</f>
        <v>0</v>
      </c>
      <c r="G41" s="2189">
        <f>+'Fauna Acompañante'!AP213</f>
        <v>0</v>
      </c>
      <c r="H41" s="2189">
        <f>+'Fauna Acompañante'!AQ213</f>
        <v>0</v>
      </c>
      <c r="I41" s="2189">
        <f>+'Fauna Acompañante'!AR213</f>
        <v>0</v>
      </c>
      <c r="J41" s="2189">
        <f>+'Fauna Acompañante'!AS213</f>
        <v>0</v>
      </c>
      <c r="K41" s="2189">
        <f>+'Fauna Acompañante'!AT213</f>
        <v>0</v>
      </c>
      <c r="L41" s="2189">
        <f>+'Fauna Acompañante'!AU213</f>
        <v>0</v>
      </c>
      <c r="M41" s="2189">
        <f>+'Fauna Acompañante'!AV213</f>
        <v>0</v>
      </c>
      <c r="N41" s="2189">
        <f>+'Fauna Acompañante'!AW213</f>
        <v>0</v>
      </c>
      <c r="O41" s="2189">
        <f>+'Fauna Acompañante'!AX213</f>
        <v>0</v>
      </c>
      <c r="P41" s="2189">
        <f>+'Fauna Acompañante'!AY213</f>
        <v>0</v>
      </c>
      <c r="Q41" s="2189">
        <f>+'Fauna Acompañante'!AZ213</f>
        <v>0</v>
      </c>
      <c r="R41" s="2189">
        <f>+'Fauna Acompañante'!BA213</f>
        <v>0</v>
      </c>
      <c r="S41" s="2189">
        <f>+'Fauna Acompañante'!BB213</f>
        <v>0</v>
      </c>
      <c r="T41" s="2189">
        <f>+'Fauna Acompañante'!BC213</f>
        <v>0</v>
      </c>
      <c r="U41" s="2189">
        <f>+'Fauna Acompañante'!BD213</f>
        <v>0</v>
      </c>
      <c r="V41" s="2189">
        <f>+'Fauna Acompañante'!BE213</f>
        <v>0</v>
      </c>
      <c r="W41" s="2189">
        <f>+'Fauna Acompañante'!BF213</f>
        <v>0</v>
      </c>
      <c r="X41" s="2189">
        <f>+'Fauna Acompañante'!BG213</f>
        <v>0</v>
      </c>
      <c r="Y41" s="2189">
        <f>+'Fauna Acompañante'!BH213</f>
        <v>0</v>
      </c>
      <c r="Z41" s="2189">
        <f>+'Fauna Acompañante'!BI213</f>
        <v>0</v>
      </c>
      <c r="AA41" s="2189">
        <f>+'Fauna Acompañante'!BJ213</f>
        <v>0</v>
      </c>
      <c r="AB41" s="2189">
        <f>+'Fauna Acompañante'!BK213</f>
        <v>0</v>
      </c>
      <c r="AC41" s="2189">
        <f>+'Fauna Acompañante'!BL213</f>
        <v>0</v>
      </c>
      <c r="AD41" s="2189">
        <f>+'Fauna Acompañante'!BM213</f>
        <v>0</v>
      </c>
      <c r="AE41" s="2189">
        <f>+'Fauna Acompañante'!BN213</f>
        <v>0</v>
      </c>
      <c r="AF41" s="2189">
        <f>+'Fauna Acompañante'!BO213</f>
        <v>0</v>
      </c>
      <c r="AG41" s="2189">
        <f>+'Fauna Acompañante'!BP213</f>
        <v>0</v>
      </c>
      <c r="AH41" s="2188">
        <f t="shared" ref="AH41:AH52" si="7">SUM(C41:AG41)</f>
        <v>0</v>
      </c>
    </row>
    <row r="42" spans="1:34" ht="15">
      <c r="A42" s="1746" t="s">
        <v>76</v>
      </c>
      <c r="B42" s="1749">
        <f t="shared" si="6"/>
        <v>0</v>
      </c>
      <c r="C42" s="2189">
        <f>+'Fauna Acompañante'!AL214</f>
        <v>0</v>
      </c>
      <c r="D42" s="2189">
        <f>+'Fauna Acompañante'!AM214</f>
        <v>0</v>
      </c>
      <c r="E42" s="2189">
        <f>+'Fauna Acompañante'!AN214</f>
        <v>0</v>
      </c>
      <c r="F42" s="2189">
        <f>+'Fauna Acompañante'!AO214</f>
        <v>0</v>
      </c>
      <c r="G42" s="2189">
        <f>+'Fauna Acompañante'!AP214</f>
        <v>0</v>
      </c>
      <c r="H42" s="2189">
        <f>+'Fauna Acompañante'!AQ214</f>
        <v>0</v>
      </c>
      <c r="I42" s="2189">
        <f>+'Fauna Acompañante'!AR214</f>
        <v>0</v>
      </c>
      <c r="J42" s="2189">
        <f>+'Fauna Acompañante'!AS214</f>
        <v>0</v>
      </c>
      <c r="K42" s="2189">
        <f>+'Fauna Acompañante'!AT214</f>
        <v>0</v>
      </c>
      <c r="L42" s="2189">
        <f>+'Fauna Acompañante'!AU214</f>
        <v>0</v>
      </c>
      <c r="M42" s="2189">
        <f>+'Fauna Acompañante'!AV214</f>
        <v>0</v>
      </c>
      <c r="N42" s="2189">
        <f>+'Fauna Acompañante'!AW214</f>
        <v>0</v>
      </c>
      <c r="O42" s="2189">
        <f>+'Fauna Acompañante'!AX214</f>
        <v>0</v>
      </c>
      <c r="P42" s="2189">
        <f>+'Fauna Acompañante'!AY214</f>
        <v>0</v>
      </c>
      <c r="Q42" s="2189">
        <f>+'Fauna Acompañante'!AZ214</f>
        <v>0</v>
      </c>
      <c r="R42" s="2189">
        <f>+'Fauna Acompañante'!BA214</f>
        <v>0</v>
      </c>
      <c r="S42" s="2189">
        <f>+'Fauna Acompañante'!BB214</f>
        <v>0</v>
      </c>
      <c r="T42" s="2189">
        <f>+'Fauna Acompañante'!BC214</f>
        <v>0</v>
      </c>
      <c r="U42" s="2189">
        <f>+'Fauna Acompañante'!BD214</f>
        <v>0</v>
      </c>
      <c r="V42" s="2189">
        <f>+'Fauna Acompañante'!BE214</f>
        <v>0</v>
      </c>
      <c r="W42" s="2189">
        <f>+'Fauna Acompañante'!BF214</f>
        <v>0</v>
      </c>
      <c r="X42" s="2189">
        <f>+'Fauna Acompañante'!BG214</f>
        <v>0</v>
      </c>
      <c r="Y42" s="2189">
        <f>+'Fauna Acompañante'!BH214</f>
        <v>0</v>
      </c>
      <c r="Z42" s="2189">
        <f>+'Fauna Acompañante'!BI214</f>
        <v>0</v>
      </c>
      <c r="AA42" s="2189">
        <f>+'Fauna Acompañante'!BJ214</f>
        <v>0</v>
      </c>
      <c r="AB42" s="2189">
        <f>+'Fauna Acompañante'!BK214</f>
        <v>0</v>
      </c>
      <c r="AC42" s="2189">
        <f>+'Fauna Acompañante'!BL214</f>
        <v>0</v>
      </c>
      <c r="AD42" s="2189">
        <f>+'Fauna Acompañante'!BM214</f>
        <v>0</v>
      </c>
      <c r="AE42" s="2189">
        <f>+'Fauna Acompañante'!BN214</f>
        <v>0</v>
      </c>
      <c r="AF42" s="2189">
        <f>+'Fauna Acompañante'!BO214</f>
        <v>0</v>
      </c>
      <c r="AG42" s="2189">
        <f>+'Fauna Acompañante'!BP214</f>
        <v>0</v>
      </c>
      <c r="AH42" s="2188">
        <f t="shared" si="7"/>
        <v>0</v>
      </c>
    </row>
    <row r="43" spans="1:34" ht="15">
      <c r="A43" s="1746" t="s">
        <v>77</v>
      </c>
      <c r="B43" s="1749">
        <f t="shared" si="6"/>
        <v>0</v>
      </c>
      <c r="C43" s="2189">
        <f>+'Fauna Acompañante'!AL215</f>
        <v>0</v>
      </c>
      <c r="D43" s="2189">
        <f>+'Fauna Acompañante'!AM215</f>
        <v>0</v>
      </c>
      <c r="E43" s="2189">
        <f>+'Fauna Acompañante'!AN215</f>
        <v>0</v>
      </c>
      <c r="F43" s="2189">
        <f>+'Fauna Acompañante'!AO215</f>
        <v>0</v>
      </c>
      <c r="G43" s="2189">
        <f>+'Fauna Acompañante'!AP215</f>
        <v>0</v>
      </c>
      <c r="H43" s="2189">
        <f>+'Fauna Acompañante'!AQ215</f>
        <v>0</v>
      </c>
      <c r="I43" s="2189">
        <f>+'Fauna Acompañante'!AR215</f>
        <v>0</v>
      </c>
      <c r="J43" s="2189">
        <f>+'Fauna Acompañante'!AS215</f>
        <v>0</v>
      </c>
      <c r="K43" s="2189">
        <f>+'Fauna Acompañante'!AT215</f>
        <v>0</v>
      </c>
      <c r="L43" s="2189">
        <f>+'Fauna Acompañante'!AU215</f>
        <v>0</v>
      </c>
      <c r="M43" s="2189">
        <f>+'Fauna Acompañante'!AV215</f>
        <v>0</v>
      </c>
      <c r="N43" s="2189">
        <f>+'Fauna Acompañante'!AW215</f>
        <v>0</v>
      </c>
      <c r="O43" s="2189">
        <f>+'Fauna Acompañante'!AX215</f>
        <v>0</v>
      </c>
      <c r="P43" s="2189">
        <f>+'Fauna Acompañante'!AY215</f>
        <v>0</v>
      </c>
      <c r="Q43" s="2189">
        <f>+'Fauna Acompañante'!AZ215</f>
        <v>0</v>
      </c>
      <c r="R43" s="2189">
        <f>+'Fauna Acompañante'!BA215</f>
        <v>0</v>
      </c>
      <c r="S43" s="2189">
        <f>+'Fauna Acompañante'!BB215</f>
        <v>0</v>
      </c>
      <c r="T43" s="2189">
        <f>+'Fauna Acompañante'!BC215</f>
        <v>0</v>
      </c>
      <c r="U43" s="2189">
        <f>+'Fauna Acompañante'!BD215</f>
        <v>0</v>
      </c>
      <c r="V43" s="2189">
        <f>+'Fauna Acompañante'!BE215</f>
        <v>0</v>
      </c>
      <c r="W43" s="2189">
        <f>+'Fauna Acompañante'!BF215</f>
        <v>0</v>
      </c>
      <c r="X43" s="2189">
        <f>+'Fauna Acompañante'!BG215</f>
        <v>0</v>
      </c>
      <c r="Y43" s="2189">
        <f>+'Fauna Acompañante'!BH215</f>
        <v>0</v>
      </c>
      <c r="Z43" s="2189">
        <f>+'Fauna Acompañante'!BI215</f>
        <v>0</v>
      </c>
      <c r="AA43" s="2189">
        <f>+'Fauna Acompañante'!BJ215</f>
        <v>0</v>
      </c>
      <c r="AB43" s="2189">
        <f>+'Fauna Acompañante'!BK215</f>
        <v>0</v>
      </c>
      <c r="AC43" s="2189">
        <f>+'Fauna Acompañante'!BL215</f>
        <v>0</v>
      </c>
      <c r="AD43" s="2189">
        <f>+'Fauna Acompañante'!BM215</f>
        <v>0</v>
      </c>
      <c r="AE43" s="2189">
        <f>+'Fauna Acompañante'!BN215</f>
        <v>0</v>
      </c>
      <c r="AF43" s="2189">
        <f>+'Fauna Acompañante'!BO215</f>
        <v>0</v>
      </c>
      <c r="AG43" s="2189">
        <f>+'Fauna Acompañante'!BP215</f>
        <v>0</v>
      </c>
      <c r="AH43" s="2188">
        <f t="shared" si="7"/>
        <v>0</v>
      </c>
    </row>
    <row r="44" spans="1:34" ht="15">
      <c r="A44" s="1746" t="s">
        <v>78</v>
      </c>
      <c r="B44" s="1749">
        <f t="shared" si="6"/>
        <v>0</v>
      </c>
      <c r="C44" s="2189">
        <f>+'Fauna Acompañante'!AL216</f>
        <v>0</v>
      </c>
      <c r="D44" s="2189">
        <f>+'Fauna Acompañante'!AM216</f>
        <v>0</v>
      </c>
      <c r="E44" s="2189">
        <f>+'Fauna Acompañante'!AN216</f>
        <v>0</v>
      </c>
      <c r="F44" s="2189">
        <f>+'Fauna Acompañante'!AO216</f>
        <v>0</v>
      </c>
      <c r="G44" s="2189">
        <f>+'Fauna Acompañante'!AP216</f>
        <v>0</v>
      </c>
      <c r="H44" s="2189">
        <f>+'Fauna Acompañante'!AQ216</f>
        <v>0</v>
      </c>
      <c r="I44" s="2189">
        <f>+'Fauna Acompañante'!AR216</f>
        <v>0</v>
      </c>
      <c r="J44" s="2189">
        <f>+'Fauna Acompañante'!AS216</f>
        <v>0</v>
      </c>
      <c r="K44" s="2189">
        <f>+'Fauna Acompañante'!AT216</f>
        <v>0</v>
      </c>
      <c r="L44" s="2189">
        <f>+'Fauna Acompañante'!AU216</f>
        <v>0</v>
      </c>
      <c r="M44" s="2189">
        <f>+'Fauna Acompañante'!AV216</f>
        <v>0</v>
      </c>
      <c r="N44" s="2189">
        <f>+'Fauna Acompañante'!AW216</f>
        <v>0</v>
      </c>
      <c r="O44" s="2189">
        <f>+'Fauna Acompañante'!AX216</f>
        <v>0</v>
      </c>
      <c r="P44" s="2189">
        <f>+'Fauna Acompañante'!AY216</f>
        <v>0</v>
      </c>
      <c r="Q44" s="2189">
        <f>+'Fauna Acompañante'!AZ216</f>
        <v>0</v>
      </c>
      <c r="R44" s="2189">
        <f>+'Fauna Acompañante'!BA216</f>
        <v>0</v>
      </c>
      <c r="S44" s="2189">
        <f>+'Fauna Acompañante'!BB216</f>
        <v>0</v>
      </c>
      <c r="T44" s="2189">
        <f>+'Fauna Acompañante'!BC216</f>
        <v>0</v>
      </c>
      <c r="U44" s="2189">
        <f>+'Fauna Acompañante'!BD216</f>
        <v>0</v>
      </c>
      <c r="V44" s="2189">
        <f>+'Fauna Acompañante'!BE216</f>
        <v>0</v>
      </c>
      <c r="W44" s="2189">
        <f>+'Fauna Acompañante'!BF216</f>
        <v>0</v>
      </c>
      <c r="X44" s="2189">
        <f>+'Fauna Acompañante'!BG216</f>
        <v>0</v>
      </c>
      <c r="Y44" s="2189">
        <f>+'Fauna Acompañante'!BH216</f>
        <v>0</v>
      </c>
      <c r="Z44" s="2189">
        <f>+'Fauna Acompañante'!BI216</f>
        <v>0</v>
      </c>
      <c r="AA44" s="2189">
        <f>+'Fauna Acompañante'!BJ216</f>
        <v>0</v>
      </c>
      <c r="AB44" s="2189">
        <f>+'Fauna Acompañante'!BK216</f>
        <v>0</v>
      </c>
      <c r="AC44" s="2189">
        <f>+'Fauna Acompañante'!BL216</f>
        <v>0</v>
      </c>
      <c r="AD44" s="2189">
        <f>+'Fauna Acompañante'!BM216</f>
        <v>0</v>
      </c>
      <c r="AE44" s="2189">
        <f>+'Fauna Acompañante'!BN216</f>
        <v>0</v>
      </c>
      <c r="AF44" s="2189">
        <f>+'Fauna Acompañante'!BO216</f>
        <v>0</v>
      </c>
      <c r="AG44" s="2189">
        <f>+'Fauna Acompañante'!BP216</f>
        <v>0</v>
      </c>
      <c r="AH44" s="2188">
        <f t="shared" si="7"/>
        <v>0</v>
      </c>
    </row>
    <row r="45" spans="1:34" ht="15">
      <c r="A45" s="1746" t="s">
        <v>79</v>
      </c>
      <c r="B45" s="1749">
        <f t="shared" si="6"/>
        <v>0</v>
      </c>
      <c r="C45" s="2189">
        <f>+'Fauna Acompañante'!AL217</f>
        <v>0</v>
      </c>
      <c r="D45" s="2189">
        <f>+'Fauna Acompañante'!AM217</f>
        <v>0</v>
      </c>
      <c r="E45" s="2189">
        <f>+'Fauna Acompañante'!AN217</f>
        <v>0</v>
      </c>
      <c r="F45" s="2189">
        <f>+'Fauna Acompañante'!AO217</f>
        <v>0</v>
      </c>
      <c r="G45" s="2189">
        <f>+'Fauna Acompañante'!AP217</f>
        <v>0</v>
      </c>
      <c r="H45" s="2189">
        <f>+'Fauna Acompañante'!AQ217</f>
        <v>0</v>
      </c>
      <c r="I45" s="2189">
        <f>+'Fauna Acompañante'!AR217</f>
        <v>0</v>
      </c>
      <c r="J45" s="2189">
        <f>+'Fauna Acompañante'!AS217</f>
        <v>0</v>
      </c>
      <c r="K45" s="2189">
        <f>+'Fauna Acompañante'!AT217</f>
        <v>0</v>
      </c>
      <c r="L45" s="2189">
        <f>+'Fauna Acompañante'!AU217</f>
        <v>0</v>
      </c>
      <c r="M45" s="2189">
        <f>+'Fauna Acompañante'!AV217</f>
        <v>0</v>
      </c>
      <c r="N45" s="2189">
        <f>+'Fauna Acompañante'!AW217</f>
        <v>0</v>
      </c>
      <c r="O45" s="2189">
        <f>+'Fauna Acompañante'!AX217</f>
        <v>0</v>
      </c>
      <c r="P45" s="2189">
        <f>+'Fauna Acompañante'!AY217</f>
        <v>0</v>
      </c>
      <c r="Q45" s="2189">
        <f>+'Fauna Acompañante'!AZ217</f>
        <v>0</v>
      </c>
      <c r="R45" s="2189">
        <f>+'Fauna Acompañante'!BA217</f>
        <v>0</v>
      </c>
      <c r="S45" s="2189">
        <f>+'Fauna Acompañante'!BB217</f>
        <v>0</v>
      </c>
      <c r="T45" s="2189">
        <f>+'Fauna Acompañante'!BC217</f>
        <v>0</v>
      </c>
      <c r="U45" s="2189">
        <f>+'Fauna Acompañante'!BD217</f>
        <v>0</v>
      </c>
      <c r="V45" s="2189">
        <f>+'Fauna Acompañante'!BE217</f>
        <v>0</v>
      </c>
      <c r="W45" s="2189">
        <f>+'Fauna Acompañante'!BF217</f>
        <v>0</v>
      </c>
      <c r="X45" s="2189">
        <f>+'Fauna Acompañante'!BG217</f>
        <v>0</v>
      </c>
      <c r="Y45" s="2189">
        <f>+'Fauna Acompañante'!BH217</f>
        <v>0</v>
      </c>
      <c r="Z45" s="2189">
        <f>+'Fauna Acompañante'!BI217</f>
        <v>0</v>
      </c>
      <c r="AA45" s="2189">
        <f>+'Fauna Acompañante'!BJ217</f>
        <v>0</v>
      </c>
      <c r="AB45" s="2189">
        <f>+'Fauna Acompañante'!BK217</f>
        <v>0</v>
      </c>
      <c r="AC45" s="2189">
        <f>+'Fauna Acompañante'!BL217</f>
        <v>0</v>
      </c>
      <c r="AD45" s="2189">
        <f>+'Fauna Acompañante'!BM217</f>
        <v>0</v>
      </c>
      <c r="AE45" s="2189">
        <f>+'Fauna Acompañante'!BN217</f>
        <v>0</v>
      </c>
      <c r="AF45" s="2189">
        <f>+'Fauna Acompañante'!BO217</f>
        <v>0</v>
      </c>
      <c r="AG45" s="2189">
        <f>+'Fauna Acompañante'!BP217</f>
        <v>0</v>
      </c>
      <c r="AH45" s="2188">
        <f t="shared" si="7"/>
        <v>0</v>
      </c>
    </row>
    <row r="46" spans="1:34" ht="15">
      <c r="A46" s="1746" t="s">
        <v>80</v>
      </c>
      <c r="B46" s="1749">
        <f t="shared" si="6"/>
        <v>0</v>
      </c>
      <c r="C46" s="2189">
        <f>+'Fauna Acompañante'!AL218</f>
        <v>0</v>
      </c>
      <c r="D46" s="2189">
        <f>+'Fauna Acompañante'!AM218</f>
        <v>0</v>
      </c>
      <c r="E46" s="2189">
        <f>+'Fauna Acompañante'!AN218</f>
        <v>0</v>
      </c>
      <c r="F46" s="2189">
        <f>+'Fauna Acompañante'!AO218</f>
        <v>0</v>
      </c>
      <c r="G46" s="2189">
        <f>+'Fauna Acompañante'!AP218</f>
        <v>0</v>
      </c>
      <c r="H46" s="2189">
        <f>+'Fauna Acompañante'!AQ218</f>
        <v>0</v>
      </c>
      <c r="I46" s="2189">
        <f>+'Fauna Acompañante'!AR218</f>
        <v>0</v>
      </c>
      <c r="J46" s="2189">
        <f>+'Fauna Acompañante'!AS218</f>
        <v>0</v>
      </c>
      <c r="K46" s="2189">
        <f>+'Fauna Acompañante'!AT218</f>
        <v>0</v>
      </c>
      <c r="L46" s="2189">
        <f>+'Fauna Acompañante'!AU218</f>
        <v>0</v>
      </c>
      <c r="M46" s="2189">
        <f>+'Fauna Acompañante'!AV218</f>
        <v>0</v>
      </c>
      <c r="N46" s="2189">
        <f>+'Fauna Acompañante'!AW218</f>
        <v>0</v>
      </c>
      <c r="O46" s="2189">
        <f>+'Fauna Acompañante'!AX218</f>
        <v>0</v>
      </c>
      <c r="P46" s="2189">
        <f>+'Fauna Acompañante'!AY218</f>
        <v>0</v>
      </c>
      <c r="Q46" s="2189">
        <f>+'Fauna Acompañante'!AZ218</f>
        <v>0</v>
      </c>
      <c r="R46" s="2189">
        <f>+'Fauna Acompañante'!BA218</f>
        <v>0</v>
      </c>
      <c r="S46" s="2189">
        <f>+'Fauna Acompañante'!BB218</f>
        <v>0</v>
      </c>
      <c r="T46" s="2189">
        <f>+'Fauna Acompañante'!BC218</f>
        <v>0</v>
      </c>
      <c r="U46" s="2189">
        <f>+'Fauna Acompañante'!BD218</f>
        <v>0</v>
      </c>
      <c r="V46" s="2189">
        <f>+'Fauna Acompañante'!BE218</f>
        <v>0</v>
      </c>
      <c r="W46" s="2189">
        <f>+'Fauna Acompañante'!BF218</f>
        <v>0</v>
      </c>
      <c r="X46" s="2189">
        <f>+'Fauna Acompañante'!BG218</f>
        <v>0</v>
      </c>
      <c r="Y46" s="2189">
        <f>+'Fauna Acompañante'!BH218</f>
        <v>0</v>
      </c>
      <c r="Z46" s="2189">
        <f>+'Fauna Acompañante'!BI218</f>
        <v>0</v>
      </c>
      <c r="AA46" s="2189">
        <f>+'Fauna Acompañante'!BJ218</f>
        <v>0</v>
      </c>
      <c r="AB46" s="2189">
        <f>+'Fauna Acompañante'!BK218</f>
        <v>0</v>
      </c>
      <c r="AC46" s="2189">
        <f>+'Fauna Acompañante'!BL218</f>
        <v>0</v>
      </c>
      <c r="AD46" s="2189">
        <f>+'Fauna Acompañante'!BM218</f>
        <v>0</v>
      </c>
      <c r="AE46" s="2189">
        <f>+'Fauna Acompañante'!BN218</f>
        <v>0</v>
      </c>
      <c r="AF46" s="2189">
        <f>+'Fauna Acompañante'!BO218</f>
        <v>0</v>
      </c>
      <c r="AG46" s="2189">
        <f>+'Fauna Acompañante'!BP218</f>
        <v>0</v>
      </c>
      <c r="AH46" s="2188">
        <f t="shared" si="7"/>
        <v>0</v>
      </c>
    </row>
    <row r="47" spans="1:34" ht="15">
      <c r="A47" s="1746" t="s">
        <v>81</v>
      </c>
      <c r="B47" s="1749">
        <f t="shared" si="6"/>
        <v>0</v>
      </c>
      <c r="C47" s="2189">
        <f>+'Fauna Acompañante'!AL219</f>
        <v>0</v>
      </c>
      <c r="D47" s="2189">
        <f>+'Fauna Acompañante'!AM219</f>
        <v>0</v>
      </c>
      <c r="E47" s="2189">
        <f>+'Fauna Acompañante'!AN219</f>
        <v>0</v>
      </c>
      <c r="F47" s="2189">
        <f>+'Fauna Acompañante'!AO219</f>
        <v>0</v>
      </c>
      <c r="G47" s="2189">
        <f>+'Fauna Acompañante'!AP219</f>
        <v>0</v>
      </c>
      <c r="H47" s="2189">
        <f>+'Fauna Acompañante'!AQ219</f>
        <v>0</v>
      </c>
      <c r="I47" s="2189">
        <f>+'Fauna Acompañante'!AR219</f>
        <v>0</v>
      </c>
      <c r="J47" s="2189">
        <f>+'Fauna Acompañante'!AS219</f>
        <v>0</v>
      </c>
      <c r="K47" s="2189">
        <f>+'Fauna Acompañante'!AT219</f>
        <v>0</v>
      </c>
      <c r="L47" s="2189">
        <f>+'Fauna Acompañante'!AU219</f>
        <v>0</v>
      </c>
      <c r="M47" s="2189">
        <f>+'Fauna Acompañante'!AV219</f>
        <v>0</v>
      </c>
      <c r="N47" s="2189">
        <f>+'Fauna Acompañante'!AW219</f>
        <v>0</v>
      </c>
      <c r="O47" s="2189">
        <f>+'Fauna Acompañante'!AX219</f>
        <v>0</v>
      </c>
      <c r="P47" s="2189">
        <f>+'Fauna Acompañante'!AY219</f>
        <v>0</v>
      </c>
      <c r="Q47" s="2189">
        <f>+'Fauna Acompañante'!AZ219</f>
        <v>0</v>
      </c>
      <c r="R47" s="2189">
        <f>+'Fauna Acompañante'!BA219</f>
        <v>0</v>
      </c>
      <c r="S47" s="2189">
        <f>+'Fauna Acompañante'!BB219</f>
        <v>0</v>
      </c>
      <c r="T47" s="2189">
        <f>+'Fauna Acompañante'!BC219</f>
        <v>0</v>
      </c>
      <c r="U47" s="2189">
        <f>+'Fauna Acompañante'!BD219</f>
        <v>0</v>
      </c>
      <c r="V47" s="2189">
        <f>+'Fauna Acompañante'!BE219</f>
        <v>0</v>
      </c>
      <c r="W47" s="2189">
        <f>+'Fauna Acompañante'!BF219</f>
        <v>0</v>
      </c>
      <c r="X47" s="2189">
        <f>+'Fauna Acompañante'!BG219</f>
        <v>0</v>
      </c>
      <c r="Y47" s="2189">
        <f>+'Fauna Acompañante'!BH219</f>
        <v>0</v>
      </c>
      <c r="Z47" s="2189">
        <f>+'Fauna Acompañante'!BI219</f>
        <v>0</v>
      </c>
      <c r="AA47" s="2189">
        <f>+'Fauna Acompañante'!BJ219</f>
        <v>0</v>
      </c>
      <c r="AB47" s="2189">
        <f>+'Fauna Acompañante'!BK219</f>
        <v>0</v>
      </c>
      <c r="AC47" s="2189">
        <f>+'Fauna Acompañante'!BL219</f>
        <v>0</v>
      </c>
      <c r="AD47" s="2189">
        <f>+'Fauna Acompañante'!BM219</f>
        <v>0</v>
      </c>
      <c r="AE47" s="2189">
        <f>+'Fauna Acompañante'!BN219</f>
        <v>0</v>
      </c>
      <c r="AF47" s="2189">
        <f>+'Fauna Acompañante'!BO219</f>
        <v>0</v>
      </c>
      <c r="AG47" s="2189">
        <f>+'Fauna Acompañante'!BP219</f>
        <v>0</v>
      </c>
      <c r="AH47" s="2188">
        <f t="shared" si="7"/>
        <v>0</v>
      </c>
    </row>
    <row r="48" spans="1:34" ht="15">
      <c r="A48" s="1746" t="s">
        <v>82</v>
      </c>
      <c r="B48" s="1749">
        <f t="shared" si="6"/>
        <v>0</v>
      </c>
      <c r="C48" s="2189">
        <f>+'Fauna Acompañante'!AL220</f>
        <v>0</v>
      </c>
      <c r="D48" s="2189">
        <f>+'Fauna Acompañante'!AM220</f>
        <v>0</v>
      </c>
      <c r="E48" s="2189">
        <f>+'Fauna Acompañante'!AN220</f>
        <v>0</v>
      </c>
      <c r="F48" s="2189">
        <f>+'Fauna Acompañante'!AO220</f>
        <v>0</v>
      </c>
      <c r="G48" s="2189">
        <f>+'Fauna Acompañante'!AP220</f>
        <v>0</v>
      </c>
      <c r="H48" s="2189">
        <f>+'Fauna Acompañante'!AQ220</f>
        <v>0</v>
      </c>
      <c r="I48" s="2189">
        <f>+'Fauna Acompañante'!AR220</f>
        <v>0</v>
      </c>
      <c r="J48" s="2189">
        <f>+'Fauna Acompañante'!AS220</f>
        <v>0</v>
      </c>
      <c r="K48" s="2189">
        <f>+'Fauna Acompañante'!AT220</f>
        <v>0</v>
      </c>
      <c r="L48" s="2189">
        <f>+'Fauna Acompañante'!AU220</f>
        <v>0</v>
      </c>
      <c r="M48" s="2189">
        <f>+'Fauna Acompañante'!AV220</f>
        <v>0</v>
      </c>
      <c r="N48" s="2189">
        <f>+'Fauna Acompañante'!AW220</f>
        <v>0</v>
      </c>
      <c r="O48" s="2189">
        <f>+'Fauna Acompañante'!AX220</f>
        <v>0</v>
      </c>
      <c r="P48" s="2189">
        <f>+'Fauna Acompañante'!AY220</f>
        <v>0</v>
      </c>
      <c r="Q48" s="2189">
        <f>+'Fauna Acompañante'!AZ220</f>
        <v>0</v>
      </c>
      <c r="R48" s="2189">
        <f>+'Fauna Acompañante'!BA220</f>
        <v>0</v>
      </c>
      <c r="S48" s="2189">
        <f>+'Fauna Acompañante'!BB220</f>
        <v>0</v>
      </c>
      <c r="T48" s="2189">
        <f>+'Fauna Acompañante'!BC220</f>
        <v>0</v>
      </c>
      <c r="U48" s="2189">
        <f>+'Fauna Acompañante'!BD220</f>
        <v>0</v>
      </c>
      <c r="V48" s="2189">
        <f>+'Fauna Acompañante'!BE220</f>
        <v>0</v>
      </c>
      <c r="W48" s="2189">
        <f>+'Fauna Acompañante'!BF220</f>
        <v>0</v>
      </c>
      <c r="X48" s="2189">
        <f>+'Fauna Acompañante'!BG220</f>
        <v>0</v>
      </c>
      <c r="Y48" s="2189">
        <f>+'Fauna Acompañante'!BH220</f>
        <v>0</v>
      </c>
      <c r="Z48" s="2189">
        <f>+'Fauna Acompañante'!BI220</f>
        <v>0</v>
      </c>
      <c r="AA48" s="2189">
        <f>+'Fauna Acompañante'!BJ220</f>
        <v>0</v>
      </c>
      <c r="AB48" s="2189">
        <f>+'Fauna Acompañante'!BK220</f>
        <v>0</v>
      </c>
      <c r="AC48" s="2189">
        <f>+'Fauna Acompañante'!BL220</f>
        <v>0</v>
      </c>
      <c r="AD48" s="2189">
        <f>+'Fauna Acompañante'!BM220</f>
        <v>0</v>
      </c>
      <c r="AE48" s="2189">
        <f>+'Fauna Acompañante'!BN220</f>
        <v>0</v>
      </c>
      <c r="AF48" s="2189">
        <f>+'Fauna Acompañante'!BO220</f>
        <v>0</v>
      </c>
      <c r="AG48" s="2189">
        <f>+'Fauna Acompañante'!BP220</f>
        <v>0</v>
      </c>
      <c r="AH48" s="2188">
        <f t="shared" si="7"/>
        <v>0</v>
      </c>
    </row>
    <row r="49" spans="1:34" ht="15">
      <c r="A49" s="1746" t="s">
        <v>83</v>
      </c>
      <c r="B49" s="1749">
        <f t="shared" si="6"/>
        <v>0</v>
      </c>
      <c r="C49" s="2189">
        <f>+'Fauna Acompañante'!AL221</f>
        <v>0</v>
      </c>
      <c r="D49" s="2189">
        <f>+'Fauna Acompañante'!AM221</f>
        <v>0</v>
      </c>
      <c r="E49" s="2189">
        <f>+'Fauna Acompañante'!AN221</f>
        <v>0</v>
      </c>
      <c r="F49" s="2189">
        <f>+'Fauna Acompañante'!AO221</f>
        <v>0</v>
      </c>
      <c r="G49" s="2189">
        <f>+'Fauna Acompañante'!AP221</f>
        <v>0</v>
      </c>
      <c r="H49" s="2189">
        <f>+'Fauna Acompañante'!AQ221</f>
        <v>0</v>
      </c>
      <c r="I49" s="2189">
        <f>+'Fauna Acompañante'!AR221</f>
        <v>0</v>
      </c>
      <c r="J49" s="2189">
        <f>+'Fauna Acompañante'!AS221</f>
        <v>0</v>
      </c>
      <c r="K49" s="2189">
        <f>+'Fauna Acompañante'!AT221</f>
        <v>0</v>
      </c>
      <c r="L49" s="2189">
        <f>+'Fauna Acompañante'!AU221</f>
        <v>0</v>
      </c>
      <c r="M49" s="2189">
        <f>+'Fauna Acompañante'!AV221</f>
        <v>0</v>
      </c>
      <c r="N49" s="2189">
        <f>+'Fauna Acompañante'!AW221</f>
        <v>0</v>
      </c>
      <c r="O49" s="2189">
        <f>+'Fauna Acompañante'!AX221</f>
        <v>0</v>
      </c>
      <c r="P49" s="2189">
        <f>+'Fauna Acompañante'!AY221</f>
        <v>0</v>
      </c>
      <c r="Q49" s="2189">
        <f>+'Fauna Acompañante'!AZ221</f>
        <v>0</v>
      </c>
      <c r="R49" s="2189">
        <f>+'Fauna Acompañante'!BA221</f>
        <v>0</v>
      </c>
      <c r="S49" s="2189">
        <f>+'Fauna Acompañante'!BB221</f>
        <v>0</v>
      </c>
      <c r="T49" s="2189">
        <f>+'Fauna Acompañante'!BC221</f>
        <v>0</v>
      </c>
      <c r="U49" s="2189">
        <f>+'Fauna Acompañante'!BD221</f>
        <v>0</v>
      </c>
      <c r="V49" s="2189">
        <f>+'Fauna Acompañante'!BE221</f>
        <v>0</v>
      </c>
      <c r="W49" s="2189">
        <f>+'Fauna Acompañante'!BF221</f>
        <v>0</v>
      </c>
      <c r="X49" s="2189">
        <f>+'Fauna Acompañante'!BG221</f>
        <v>0</v>
      </c>
      <c r="Y49" s="2189">
        <f>+'Fauna Acompañante'!BH221</f>
        <v>0</v>
      </c>
      <c r="Z49" s="2189">
        <f>+'Fauna Acompañante'!BI221</f>
        <v>0</v>
      </c>
      <c r="AA49" s="2189">
        <f>+'Fauna Acompañante'!BJ221</f>
        <v>0</v>
      </c>
      <c r="AB49" s="2189">
        <f>+'Fauna Acompañante'!BK221</f>
        <v>0</v>
      </c>
      <c r="AC49" s="2189">
        <f>+'Fauna Acompañante'!BL221</f>
        <v>0</v>
      </c>
      <c r="AD49" s="2189">
        <f>+'Fauna Acompañante'!BM221</f>
        <v>0</v>
      </c>
      <c r="AE49" s="2189">
        <f>+'Fauna Acompañante'!BN221</f>
        <v>0</v>
      </c>
      <c r="AF49" s="2189">
        <f>+'Fauna Acompañante'!BO221</f>
        <v>0</v>
      </c>
      <c r="AG49" s="2189">
        <f>+'Fauna Acompañante'!BP221</f>
        <v>0</v>
      </c>
      <c r="AH49" s="2188">
        <f t="shared" si="7"/>
        <v>0</v>
      </c>
    </row>
    <row r="50" spans="1:34" ht="15">
      <c r="A50" s="1746" t="s">
        <v>84</v>
      </c>
      <c r="B50" s="1749">
        <f t="shared" si="6"/>
        <v>0</v>
      </c>
      <c r="C50" s="2189">
        <f>+'Fauna Acompañante'!AL222</f>
        <v>0</v>
      </c>
      <c r="D50" s="2189">
        <f>+'Fauna Acompañante'!AM222</f>
        <v>0</v>
      </c>
      <c r="E50" s="2189">
        <f>+'Fauna Acompañante'!AN222</f>
        <v>0</v>
      </c>
      <c r="F50" s="2189">
        <f>+'Fauna Acompañante'!AO222</f>
        <v>0</v>
      </c>
      <c r="G50" s="2189">
        <f>+'Fauna Acompañante'!AP222</f>
        <v>0</v>
      </c>
      <c r="H50" s="2189">
        <f>+'Fauna Acompañante'!AQ222</f>
        <v>0</v>
      </c>
      <c r="I50" s="2189">
        <f>+'Fauna Acompañante'!AR222</f>
        <v>0</v>
      </c>
      <c r="J50" s="2189">
        <f>+'Fauna Acompañante'!AS222</f>
        <v>0</v>
      </c>
      <c r="K50" s="2189">
        <f>+'Fauna Acompañante'!AT222</f>
        <v>0</v>
      </c>
      <c r="L50" s="2189">
        <f>+'Fauna Acompañante'!AU222</f>
        <v>0</v>
      </c>
      <c r="M50" s="2189">
        <f>+'Fauna Acompañante'!AV222</f>
        <v>0</v>
      </c>
      <c r="N50" s="2189">
        <f>+'Fauna Acompañante'!AW222</f>
        <v>0</v>
      </c>
      <c r="O50" s="2189">
        <f>+'Fauna Acompañante'!AX222</f>
        <v>0</v>
      </c>
      <c r="P50" s="2189">
        <f>+'Fauna Acompañante'!AY222</f>
        <v>0</v>
      </c>
      <c r="Q50" s="2189">
        <f>+'Fauna Acompañante'!AZ222</f>
        <v>0</v>
      </c>
      <c r="R50" s="2189">
        <f>+'Fauna Acompañante'!BA222</f>
        <v>0</v>
      </c>
      <c r="S50" s="2189">
        <f>+'Fauna Acompañante'!BB222</f>
        <v>0</v>
      </c>
      <c r="T50" s="2189">
        <f>+'Fauna Acompañante'!BC222</f>
        <v>0</v>
      </c>
      <c r="U50" s="2189">
        <f>+'Fauna Acompañante'!BD222</f>
        <v>0</v>
      </c>
      <c r="V50" s="2189">
        <f>+'Fauna Acompañante'!BE222</f>
        <v>0</v>
      </c>
      <c r="W50" s="2189">
        <f>+'Fauna Acompañante'!BF222</f>
        <v>0</v>
      </c>
      <c r="X50" s="2189">
        <f>+'Fauna Acompañante'!BG222</f>
        <v>0</v>
      </c>
      <c r="Y50" s="2189">
        <f>+'Fauna Acompañante'!BH222</f>
        <v>0</v>
      </c>
      <c r="Z50" s="2189">
        <f>+'Fauna Acompañante'!BI222</f>
        <v>0</v>
      </c>
      <c r="AA50" s="2189">
        <f>+'Fauna Acompañante'!BJ222</f>
        <v>0</v>
      </c>
      <c r="AB50" s="2189">
        <f>+'Fauna Acompañante'!BK222</f>
        <v>0</v>
      </c>
      <c r="AC50" s="2189">
        <f>+'Fauna Acompañante'!BL222</f>
        <v>0</v>
      </c>
      <c r="AD50" s="2189">
        <f>+'Fauna Acompañante'!BM222</f>
        <v>0</v>
      </c>
      <c r="AE50" s="2189">
        <f>+'Fauna Acompañante'!BN222</f>
        <v>0</v>
      </c>
      <c r="AF50" s="2189">
        <f>+'Fauna Acompañante'!BO222</f>
        <v>0</v>
      </c>
      <c r="AG50" s="2189">
        <f>+'Fauna Acompañante'!BP222</f>
        <v>0</v>
      </c>
      <c r="AH50" s="2188">
        <f t="shared" si="7"/>
        <v>0</v>
      </c>
    </row>
    <row r="51" spans="1:34" ht="15">
      <c r="A51" s="1746" t="s">
        <v>85</v>
      </c>
      <c r="B51" s="1749">
        <f t="shared" si="6"/>
        <v>0</v>
      </c>
      <c r="C51" s="2189">
        <f>+'Fauna Acompañante'!AL223</f>
        <v>0</v>
      </c>
      <c r="D51" s="2189">
        <f>+'Fauna Acompañante'!AM223</f>
        <v>0</v>
      </c>
      <c r="E51" s="2189">
        <f>+'Fauna Acompañante'!AN223</f>
        <v>0</v>
      </c>
      <c r="F51" s="2189">
        <f>+'Fauna Acompañante'!AO223</f>
        <v>0</v>
      </c>
      <c r="G51" s="2189">
        <f>+'Fauna Acompañante'!AP223</f>
        <v>0</v>
      </c>
      <c r="H51" s="2189">
        <f>+'Fauna Acompañante'!AQ223</f>
        <v>0</v>
      </c>
      <c r="I51" s="2189">
        <f>+'Fauna Acompañante'!AR223</f>
        <v>0</v>
      </c>
      <c r="J51" s="2189">
        <f>+'Fauna Acompañante'!AS223</f>
        <v>0</v>
      </c>
      <c r="K51" s="2189">
        <f>+'Fauna Acompañante'!AT223</f>
        <v>0</v>
      </c>
      <c r="L51" s="2189">
        <f>+'Fauna Acompañante'!AU223</f>
        <v>0</v>
      </c>
      <c r="M51" s="2189">
        <f>+'Fauna Acompañante'!AV223</f>
        <v>0</v>
      </c>
      <c r="N51" s="2189">
        <f>+'Fauna Acompañante'!AW223</f>
        <v>0</v>
      </c>
      <c r="O51" s="2189">
        <f>+'Fauna Acompañante'!AX223</f>
        <v>0</v>
      </c>
      <c r="P51" s="2189">
        <f>+'Fauna Acompañante'!AY223</f>
        <v>0</v>
      </c>
      <c r="Q51" s="2189">
        <f>+'Fauna Acompañante'!AZ223</f>
        <v>0</v>
      </c>
      <c r="R51" s="2189">
        <f>+'Fauna Acompañante'!BA223</f>
        <v>0</v>
      </c>
      <c r="S51" s="2189">
        <f>+'Fauna Acompañante'!BB223</f>
        <v>0</v>
      </c>
      <c r="T51" s="2189">
        <f>+'Fauna Acompañante'!BC223</f>
        <v>0</v>
      </c>
      <c r="U51" s="2189">
        <f>+'Fauna Acompañante'!BD223</f>
        <v>0</v>
      </c>
      <c r="V51" s="2189">
        <f>+'Fauna Acompañante'!BE223</f>
        <v>0</v>
      </c>
      <c r="W51" s="2189">
        <f>+'Fauna Acompañante'!BF223</f>
        <v>0</v>
      </c>
      <c r="X51" s="2189">
        <f>+'Fauna Acompañante'!BG223</f>
        <v>0</v>
      </c>
      <c r="Y51" s="2189">
        <f>+'Fauna Acompañante'!BH223</f>
        <v>0</v>
      </c>
      <c r="Z51" s="2189">
        <f>+'Fauna Acompañante'!BI223</f>
        <v>0</v>
      </c>
      <c r="AA51" s="2189">
        <f>+'Fauna Acompañante'!BJ223</f>
        <v>0</v>
      </c>
      <c r="AB51" s="2189">
        <f>+'Fauna Acompañante'!BK223</f>
        <v>0</v>
      </c>
      <c r="AC51" s="2189">
        <f>+'Fauna Acompañante'!BL223</f>
        <v>0</v>
      </c>
      <c r="AD51" s="2189">
        <f>+'Fauna Acompañante'!BM223</f>
        <v>0</v>
      </c>
      <c r="AE51" s="2189">
        <f>+'Fauna Acompañante'!BN223</f>
        <v>0</v>
      </c>
      <c r="AF51" s="2189">
        <f>+'Fauna Acompañante'!BO223</f>
        <v>0</v>
      </c>
      <c r="AG51" s="2189">
        <f>+'Fauna Acompañante'!BP223</f>
        <v>0</v>
      </c>
      <c r="AH51" s="2188">
        <f t="shared" si="7"/>
        <v>0</v>
      </c>
    </row>
    <row r="52" spans="1:34" ht="15">
      <c r="A52" s="1746" t="s">
        <v>86</v>
      </c>
      <c r="B52" s="1749">
        <f t="shared" si="6"/>
        <v>0</v>
      </c>
      <c r="C52" s="2189">
        <f>+'Fauna Acompañante'!AL224</f>
        <v>0</v>
      </c>
      <c r="D52" s="2189">
        <f>+'Fauna Acompañante'!AM224</f>
        <v>0</v>
      </c>
      <c r="E52" s="2189">
        <f>+'Fauna Acompañante'!AN224</f>
        <v>0</v>
      </c>
      <c r="F52" s="2189">
        <f>+'Fauna Acompañante'!AO224</f>
        <v>0</v>
      </c>
      <c r="G52" s="2189">
        <f>+'Fauna Acompañante'!AP224</f>
        <v>0</v>
      </c>
      <c r="H52" s="2189">
        <f>+'Fauna Acompañante'!AQ224</f>
        <v>0</v>
      </c>
      <c r="I52" s="2189">
        <f>+'Fauna Acompañante'!AR224</f>
        <v>0</v>
      </c>
      <c r="J52" s="2189">
        <f>+'Fauna Acompañante'!AS224</f>
        <v>0</v>
      </c>
      <c r="K52" s="2189">
        <f>+'Fauna Acompañante'!AT224</f>
        <v>0</v>
      </c>
      <c r="L52" s="2189">
        <f>+'Fauna Acompañante'!AU224</f>
        <v>0</v>
      </c>
      <c r="M52" s="2189">
        <f>+'Fauna Acompañante'!AV224</f>
        <v>0</v>
      </c>
      <c r="N52" s="2189">
        <f>+'Fauna Acompañante'!AW224</f>
        <v>0</v>
      </c>
      <c r="O52" s="2189">
        <f>+'Fauna Acompañante'!AX224</f>
        <v>0</v>
      </c>
      <c r="P52" s="2189">
        <f>+'Fauna Acompañante'!AY224</f>
        <v>0</v>
      </c>
      <c r="Q52" s="2189">
        <f>+'Fauna Acompañante'!AZ224</f>
        <v>0</v>
      </c>
      <c r="R52" s="2189">
        <f>+'Fauna Acompañante'!BA224</f>
        <v>0</v>
      </c>
      <c r="S52" s="2189">
        <f>+'Fauna Acompañante'!BB224</f>
        <v>0</v>
      </c>
      <c r="T52" s="2189">
        <f>+'Fauna Acompañante'!BC224</f>
        <v>0</v>
      </c>
      <c r="U52" s="2189">
        <f>+'Fauna Acompañante'!BD224</f>
        <v>0</v>
      </c>
      <c r="V52" s="2189">
        <f>+'Fauna Acompañante'!BE224</f>
        <v>0</v>
      </c>
      <c r="W52" s="2189">
        <f>+'Fauna Acompañante'!BF224</f>
        <v>0</v>
      </c>
      <c r="X52" s="2189">
        <f>+'Fauna Acompañante'!BG224</f>
        <v>0</v>
      </c>
      <c r="Y52" s="2189">
        <f>+'Fauna Acompañante'!BH224</f>
        <v>0</v>
      </c>
      <c r="Z52" s="2189">
        <f>+'Fauna Acompañante'!BI224</f>
        <v>0</v>
      </c>
      <c r="AA52" s="2189">
        <f>+'Fauna Acompañante'!BJ224</f>
        <v>0</v>
      </c>
      <c r="AB52" s="2189">
        <f>+'Fauna Acompañante'!BK224</f>
        <v>0</v>
      </c>
      <c r="AC52" s="2189">
        <f>+'Fauna Acompañante'!BL224</f>
        <v>0</v>
      </c>
      <c r="AD52" s="2189">
        <f>+'Fauna Acompañante'!BM224</f>
        <v>0</v>
      </c>
      <c r="AE52" s="2189">
        <f>+'Fauna Acompañante'!BN224</f>
        <v>0</v>
      </c>
      <c r="AF52" s="2189">
        <f>+'Fauna Acompañante'!BO224</f>
        <v>0</v>
      </c>
      <c r="AG52" s="2189">
        <f>+'Fauna Acompañante'!BP224</f>
        <v>0</v>
      </c>
      <c r="AH52" s="2188">
        <f t="shared" si="7"/>
        <v>0</v>
      </c>
    </row>
    <row r="53" spans="1:34" ht="15">
      <c r="A53" s="2191" t="s">
        <v>74</v>
      </c>
      <c r="B53" s="2190">
        <f t="shared" ref="B53:AH53" si="8">SUM(B41:B52)</f>
        <v>0</v>
      </c>
      <c r="C53" s="2189">
        <f t="shared" si="8"/>
        <v>0</v>
      </c>
      <c r="D53" s="2189">
        <f t="shared" si="8"/>
        <v>0</v>
      </c>
      <c r="E53" s="2189">
        <f t="shared" si="8"/>
        <v>0</v>
      </c>
      <c r="F53" s="2189">
        <f t="shared" si="8"/>
        <v>0</v>
      </c>
      <c r="G53" s="2189">
        <f t="shared" si="8"/>
        <v>0</v>
      </c>
      <c r="H53" s="2189">
        <f t="shared" si="8"/>
        <v>0</v>
      </c>
      <c r="I53" s="2189">
        <f t="shared" si="8"/>
        <v>0</v>
      </c>
      <c r="J53" s="2189">
        <f t="shared" si="8"/>
        <v>0</v>
      </c>
      <c r="K53" s="2189">
        <f t="shared" si="8"/>
        <v>0</v>
      </c>
      <c r="L53" s="2189">
        <f t="shared" si="8"/>
        <v>0</v>
      </c>
      <c r="M53" s="2189">
        <f t="shared" si="8"/>
        <v>0</v>
      </c>
      <c r="N53" s="2189">
        <f t="shared" si="8"/>
        <v>0</v>
      </c>
      <c r="O53" s="2189">
        <f t="shared" si="8"/>
        <v>0</v>
      </c>
      <c r="P53" s="2189">
        <f t="shared" si="8"/>
        <v>0</v>
      </c>
      <c r="Q53" s="2189">
        <f t="shared" si="8"/>
        <v>0</v>
      </c>
      <c r="R53" s="2189">
        <f t="shared" si="8"/>
        <v>0</v>
      </c>
      <c r="S53" s="2189">
        <f t="shared" si="8"/>
        <v>0</v>
      </c>
      <c r="T53" s="2189">
        <f t="shared" si="8"/>
        <v>0</v>
      </c>
      <c r="U53" s="2189">
        <f t="shared" si="8"/>
        <v>0</v>
      </c>
      <c r="V53" s="2189">
        <f t="shared" si="8"/>
        <v>0</v>
      </c>
      <c r="W53" s="2189">
        <f t="shared" si="8"/>
        <v>0</v>
      </c>
      <c r="X53" s="2189">
        <f t="shared" si="8"/>
        <v>0</v>
      </c>
      <c r="Y53" s="2189">
        <f t="shared" si="8"/>
        <v>0</v>
      </c>
      <c r="Z53" s="2189">
        <f t="shared" si="8"/>
        <v>0</v>
      </c>
      <c r="AA53" s="2189">
        <f t="shared" si="8"/>
        <v>0</v>
      </c>
      <c r="AB53" s="2189">
        <f t="shared" si="8"/>
        <v>0</v>
      </c>
      <c r="AC53" s="2189">
        <f t="shared" si="8"/>
        <v>0</v>
      </c>
      <c r="AD53" s="2189">
        <f t="shared" si="8"/>
        <v>0</v>
      </c>
      <c r="AE53" s="2189">
        <f t="shared" si="8"/>
        <v>0</v>
      </c>
      <c r="AF53" s="2189">
        <f t="shared" si="8"/>
        <v>0</v>
      </c>
      <c r="AG53" s="2189">
        <f t="shared" si="8"/>
        <v>0</v>
      </c>
      <c r="AH53" s="2188">
        <f t="shared" si="8"/>
        <v>0</v>
      </c>
    </row>
    <row r="55" spans="1:34" ht="15">
      <c r="A55" s="3585" t="s">
        <v>627</v>
      </c>
      <c r="B55" s="3586"/>
      <c r="C55" s="3587"/>
      <c r="D55" s="2193"/>
      <c r="E55" s="2193"/>
      <c r="F55" s="2193"/>
      <c r="G55" s="2193"/>
      <c r="H55" s="2193"/>
      <c r="I55" s="2193"/>
      <c r="J55" s="2193"/>
      <c r="K55" s="2193"/>
      <c r="L55" s="2193"/>
      <c r="M55" s="2194"/>
      <c r="N55" s="2193"/>
      <c r="O55" s="2193"/>
      <c r="P55" s="2193"/>
      <c r="Q55" s="2193"/>
      <c r="R55" s="2193"/>
      <c r="S55" s="2193"/>
      <c r="T55" s="2193"/>
      <c r="U55" s="2193"/>
      <c r="V55" s="2193"/>
      <c r="W55" s="2193"/>
      <c r="X55" s="2193"/>
      <c r="Y55" s="2193"/>
      <c r="Z55" s="2193"/>
      <c r="AA55" s="2193"/>
      <c r="AB55" s="2193"/>
      <c r="AC55" s="2193"/>
      <c r="AD55" s="2193"/>
      <c r="AE55" s="2193"/>
      <c r="AF55" s="2193"/>
      <c r="AG55" s="2193"/>
      <c r="AH55" s="2193"/>
    </row>
    <row r="56" spans="1:34" ht="15">
      <c r="A56" s="1746" t="s">
        <v>72</v>
      </c>
      <c r="B56" s="1746" t="s">
        <v>73</v>
      </c>
      <c r="C56" s="1746">
        <v>1</v>
      </c>
      <c r="D56" s="1746">
        <v>2</v>
      </c>
      <c r="E56" s="1746">
        <v>3</v>
      </c>
      <c r="F56" s="1746">
        <v>4</v>
      </c>
      <c r="G56" s="1746">
        <v>5</v>
      </c>
      <c r="H56" s="1746">
        <v>6</v>
      </c>
      <c r="I56" s="1746">
        <v>7</v>
      </c>
      <c r="J56" s="1746">
        <v>8</v>
      </c>
      <c r="K56" s="1746">
        <v>9</v>
      </c>
      <c r="L56" s="1746">
        <v>10</v>
      </c>
      <c r="M56" s="1746">
        <v>11</v>
      </c>
      <c r="N56" s="1746">
        <v>12</v>
      </c>
      <c r="O56" s="1746">
        <v>13</v>
      </c>
      <c r="P56" s="1746">
        <v>14</v>
      </c>
      <c r="Q56" s="1746">
        <v>15</v>
      </c>
      <c r="R56" s="1746">
        <v>16</v>
      </c>
      <c r="S56" s="1746">
        <v>17</v>
      </c>
      <c r="T56" s="1746">
        <v>18</v>
      </c>
      <c r="U56" s="1746">
        <v>19</v>
      </c>
      <c r="V56" s="1746">
        <v>20</v>
      </c>
      <c r="W56" s="1746">
        <v>21</v>
      </c>
      <c r="X56" s="1746">
        <v>22</v>
      </c>
      <c r="Y56" s="1746">
        <v>23</v>
      </c>
      <c r="Z56" s="1746">
        <v>24</v>
      </c>
      <c r="AA56" s="1746">
        <v>25</v>
      </c>
      <c r="AB56" s="1746">
        <v>26</v>
      </c>
      <c r="AC56" s="1746">
        <v>27</v>
      </c>
      <c r="AD56" s="1746">
        <v>28</v>
      </c>
      <c r="AE56" s="1746">
        <v>29</v>
      </c>
      <c r="AF56" s="1746">
        <v>30</v>
      </c>
      <c r="AG56" s="1746">
        <v>31</v>
      </c>
      <c r="AH56" s="2192" t="s">
        <v>74</v>
      </c>
    </row>
    <row r="57" spans="1:34" ht="15">
      <c r="A57" s="1746" t="s">
        <v>75</v>
      </c>
      <c r="B57" s="1749">
        <f t="shared" ref="B57:B68" si="9">+AH57</f>
        <v>0</v>
      </c>
      <c r="C57" s="2189">
        <f>+('Fauna Acompañante'!AL229)</f>
        <v>0</v>
      </c>
      <c r="D57" s="2189">
        <f>+('Fauna Acompañante'!AM229)</f>
        <v>0</v>
      </c>
      <c r="E57" s="2189">
        <f>+('Fauna Acompañante'!AN229)</f>
        <v>0</v>
      </c>
      <c r="F57" s="2189">
        <f>+('Fauna Acompañante'!AO229)</f>
        <v>0</v>
      </c>
      <c r="G57" s="2189">
        <f>+('Fauna Acompañante'!AP229)</f>
        <v>0</v>
      </c>
      <c r="H57" s="2189">
        <f>+('Fauna Acompañante'!AQ229)</f>
        <v>0</v>
      </c>
      <c r="I57" s="2189">
        <f>+('Fauna Acompañante'!AR229)</f>
        <v>0</v>
      </c>
      <c r="J57" s="2189">
        <f>+('Fauna Acompañante'!AS229)</f>
        <v>0</v>
      </c>
      <c r="K57" s="2189">
        <f>+('Fauna Acompañante'!AT229)</f>
        <v>0</v>
      </c>
      <c r="L57" s="2189">
        <f>+('Fauna Acompañante'!AU229)</f>
        <v>0</v>
      </c>
      <c r="M57" s="2189">
        <f>+('Fauna Acompañante'!AV229)</f>
        <v>0</v>
      </c>
      <c r="N57" s="2189">
        <f>+('Fauna Acompañante'!AW229)</f>
        <v>0</v>
      </c>
      <c r="O57" s="2189">
        <f>+('Fauna Acompañante'!AX229)</f>
        <v>0</v>
      </c>
      <c r="P57" s="2189">
        <f>+('Fauna Acompañante'!AY229)</f>
        <v>0</v>
      </c>
      <c r="Q57" s="2189">
        <f>+('Fauna Acompañante'!AZ229)</f>
        <v>0</v>
      </c>
      <c r="R57" s="2189">
        <f>+('Fauna Acompañante'!BA229)</f>
        <v>0</v>
      </c>
      <c r="S57" s="2189">
        <f>+('Fauna Acompañante'!BB229)</f>
        <v>0</v>
      </c>
      <c r="T57" s="2189">
        <f>+('Fauna Acompañante'!BC229)</f>
        <v>0</v>
      </c>
      <c r="U57" s="2189">
        <f>+('Fauna Acompañante'!BD229)</f>
        <v>0</v>
      </c>
      <c r="V57" s="2189">
        <f>+('Fauna Acompañante'!BE229)</f>
        <v>0</v>
      </c>
      <c r="W57" s="2189">
        <f>+('Fauna Acompañante'!BF229)</f>
        <v>0</v>
      </c>
      <c r="X57" s="2189">
        <f>+('Fauna Acompañante'!BG229)</f>
        <v>0</v>
      </c>
      <c r="Y57" s="2189">
        <f>+('Fauna Acompañante'!BH229)</f>
        <v>0</v>
      </c>
      <c r="Z57" s="2189">
        <f>+('Fauna Acompañante'!BI229)</f>
        <v>0</v>
      </c>
      <c r="AA57" s="2189">
        <f>+('Fauna Acompañante'!BJ229)</f>
        <v>0</v>
      </c>
      <c r="AB57" s="2189">
        <f>+('Fauna Acompañante'!BK229)</f>
        <v>0</v>
      </c>
      <c r="AC57" s="2189">
        <f>+('Fauna Acompañante'!BL229)</f>
        <v>0</v>
      </c>
      <c r="AD57" s="2189">
        <f>+('Fauna Acompañante'!BM229)</f>
        <v>0</v>
      </c>
      <c r="AE57" s="2189">
        <f>+('Fauna Acompañante'!BN229)</f>
        <v>0</v>
      </c>
      <c r="AF57" s="2189">
        <f>+('Fauna Acompañante'!BO229)</f>
        <v>0</v>
      </c>
      <c r="AG57" s="2189">
        <f>+('Fauna Acompañante'!BP229)</f>
        <v>0</v>
      </c>
      <c r="AH57" s="2188">
        <f t="shared" ref="AH57:AH68" si="10">SUM(C57:AG57)</f>
        <v>0</v>
      </c>
    </row>
    <row r="58" spans="1:34" ht="15">
      <c r="A58" s="1746" t="s">
        <v>76</v>
      </c>
      <c r="B58" s="1749">
        <f t="shared" si="9"/>
        <v>0</v>
      </c>
      <c r="C58" s="2189">
        <f>+('Fauna Acompañante'!AL230)</f>
        <v>0</v>
      </c>
      <c r="D58" s="2189">
        <f>+('Fauna Acompañante'!AM230)</f>
        <v>0</v>
      </c>
      <c r="E58" s="2189">
        <f>+('Fauna Acompañante'!AN230)</f>
        <v>0</v>
      </c>
      <c r="F58" s="2189">
        <f>+('Fauna Acompañante'!AO230)</f>
        <v>0</v>
      </c>
      <c r="G58" s="2189">
        <f>+('Fauna Acompañante'!AP230)</f>
        <v>0</v>
      </c>
      <c r="H58" s="2189">
        <f>+('Fauna Acompañante'!AQ230)</f>
        <v>0</v>
      </c>
      <c r="I58" s="2189">
        <f>+('Fauna Acompañante'!AR230)</f>
        <v>0</v>
      </c>
      <c r="J58" s="2189">
        <f>+('Fauna Acompañante'!AS230)</f>
        <v>0</v>
      </c>
      <c r="K58" s="2189">
        <f>+('Fauna Acompañante'!AT230)</f>
        <v>0</v>
      </c>
      <c r="L58" s="2189">
        <f>+('Fauna Acompañante'!AU230)</f>
        <v>0</v>
      </c>
      <c r="M58" s="2189">
        <f>+('Fauna Acompañante'!AV230)</f>
        <v>0</v>
      </c>
      <c r="N58" s="2189">
        <f>+('Fauna Acompañante'!AW230)</f>
        <v>0</v>
      </c>
      <c r="O58" s="2189">
        <f>+('Fauna Acompañante'!AX230)</f>
        <v>0</v>
      </c>
      <c r="P58" s="2189">
        <f>+('Fauna Acompañante'!AY230)</f>
        <v>0</v>
      </c>
      <c r="Q58" s="2189">
        <f>+('Fauna Acompañante'!AZ230)</f>
        <v>0</v>
      </c>
      <c r="R58" s="2189">
        <f>+('Fauna Acompañante'!BA230)</f>
        <v>0</v>
      </c>
      <c r="S58" s="2189">
        <f>+('Fauna Acompañante'!BB230)</f>
        <v>0</v>
      </c>
      <c r="T58" s="2189">
        <f>+('Fauna Acompañante'!BC230)</f>
        <v>0</v>
      </c>
      <c r="U58" s="2189">
        <f>+('Fauna Acompañante'!BD230)</f>
        <v>0</v>
      </c>
      <c r="V58" s="2189">
        <f>+('Fauna Acompañante'!BE230)</f>
        <v>0</v>
      </c>
      <c r="W58" s="2189">
        <f>+('Fauna Acompañante'!BF230)</f>
        <v>0</v>
      </c>
      <c r="X58" s="2189">
        <f>+('Fauna Acompañante'!BG230)</f>
        <v>0</v>
      </c>
      <c r="Y58" s="2189">
        <f>+('Fauna Acompañante'!BH230)</f>
        <v>0</v>
      </c>
      <c r="Z58" s="2189">
        <f>+('Fauna Acompañante'!BI230)</f>
        <v>0</v>
      </c>
      <c r="AA58" s="2189">
        <f>+('Fauna Acompañante'!BJ230)</f>
        <v>0</v>
      </c>
      <c r="AB58" s="2189">
        <f>+('Fauna Acompañante'!BK230)</f>
        <v>0</v>
      </c>
      <c r="AC58" s="2189">
        <f>+('Fauna Acompañante'!BL230)</f>
        <v>0</v>
      </c>
      <c r="AD58" s="2189">
        <f>+('Fauna Acompañante'!BM230)</f>
        <v>0</v>
      </c>
      <c r="AE58" s="2189">
        <f>+('Fauna Acompañante'!BN230)</f>
        <v>0</v>
      </c>
      <c r="AF58" s="2189">
        <f>+('Fauna Acompañante'!BO230)</f>
        <v>0</v>
      </c>
      <c r="AG58" s="2189">
        <f>+('Fauna Acompañante'!BP230)</f>
        <v>0</v>
      </c>
      <c r="AH58" s="2188">
        <f t="shared" si="10"/>
        <v>0</v>
      </c>
    </row>
    <row r="59" spans="1:34" ht="15">
      <c r="A59" s="1746" t="s">
        <v>77</v>
      </c>
      <c r="B59" s="1749">
        <f t="shared" si="9"/>
        <v>0</v>
      </c>
      <c r="C59" s="2189">
        <f>+('Fauna Acompañante'!AL231)</f>
        <v>0</v>
      </c>
      <c r="D59" s="2189">
        <f>+('Fauna Acompañante'!AM231)</f>
        <v>0</v>
      </c>
      <c r="E59" s="2189">
        <f>+('Fauna Acompañante'!AN231)</f>
        <v>0</v>
      </c>
      <c r="F59" s="2189">
        <f>+('Fauna Acompañante'!AO231)</f>
        <v>0</v>
      </c>
      <c r="G59" s="2189">
        <f>+('Fauna Acompañante'!AP231)</f>
        <v>0</v>
      </c>
      <c r="H59" s="2189">
        <f>+('Fauna Acompañante'!AQ231)</f>
        <v>0</v>
      </c>
      <c r="I59" s="2189">
        <f>+('Fauna Acompañante'!AR231)</f>
        <v>0</v>
      </c>
      <c r="J59" s="2189">
        <f>+('Fauna Acompañante'!AS231)</f>
        <v>0</v>
      </c>
      <c r="K59" s="2189">
        <f>+('Fauna Acompañante'!AT231)</f>
        <v>0</v>
      </c>
      <c r="L59" s="2189">
        <f>+('Fauna Acompañante'!AU231)</f>
        <v>0</v>
      </c>
      <c r="M59" s="2189">
        <f>+('Fauna Acompañante'!AV231)</f>
        <v>0</v>
      </c>
      <c r="N59" s="2189">
        <f>+('Fauna Acompañante'!AW231)</f>
        <v>0</v>
      </c>
      <c r="O59" s="2189">
        <f>+('Fauna Acompañante'!AX231)</f>
        <v>0</v>
      </c>
      <c r="P59" s="2189">
        <f>+('Fauna Acompañante'!AY231)</f>
        <v>0</v>
      </c>
      <c r="Q59" s="2189">
        <f>+('Fauna Acompañante'!AZ231)</f>
        <v>0</v>
      </c>
      <c r="R59" s="2189">
        <f>+('Fauna Acompañante'!BA231)</f>
        <v>0</v>
      </c>
      <c r="S59" s="2189">
        <f>+('Fauna Acompañante'!BB231)</f>
        <v>0</v>
      </c>
      <c r="T59" s="2189">
        <f>+('Fauna Acompañante'!BC231)</f>
        <v>0</v>
      </c>
      <c r="U59" s="2189">
        <f>+('Fauna Acompañante'!BD231)</f>
        <v>0</v>
      </c>
      <c r="V59" s="2189">
        <f>+('Fauna Acompañante'!BE231)</f>
        <v>0</v>
      </c>
      <c r="W59" s="2189">
        <f>+('Fauna Acompañante'!BF231)</f>
        <v>0</v>
      </c>
      <c r="X59" s="2189">
        <f>+('Fauna Acompañante'!BG231)</f>
        <v>0</v>
      </c>
      <c r="Y59" s="2189">
        <f>+('Fauna Acompañante'!BH231)</f>
        <v>0</v>
      </c>
      <c r="Z59" s="2189">
        <f>+('Fauna Acompañante'!BI231)</f>
        <v>0</v>
      </c>
      <c r="AA59" s="2189">
        <f>+('Fauna Acompañante'!BJ231)</f>
        <v>0</v>
      </c>
      <c r="AB59" s="2189">
        <f>+('Fauna Acompañante'!BK231)</f>
        <v>0</v>
      </c>
      <c r="AC59" s="2189">
        <f>+('Fauna Acompañante'!BL231)</f>
        <v>0</v>
      </c>
      <c r="AD59" s="2189">
        <f>+('Fauna Acompañante'!BM231)</f>
        <v>0</v>
      </c>
      <c r="AE59" s="2189">
        <f>+('Fauna Acompañante'!BN231)</f>
        <v>0</v>
      </c>
      <c r="AF59" s="2189">
        <f>+('Fauna Acompañante'!BO231)</f>
        <v>0</v>
      </c>
      <c r="AG59" s="2189">
        <f>+('Fauna Acompañante'!BP231)</f>
        <v>0</v>
      </c>
      <c r="AH59" s="2188">
        <f t="shared" si="10"/>
        <v>0</v>
      </c>
    </row>
    <row r="60" spans="1:34" ht="15">
      <c r="A60" s="1746" t="s">
        <v>78</v>
      </c>
      <c r="B60" s="1749">
        <f t="shared" si="9"/>
        <v>0</v>
      </c>
      <c r="C60" s="2189">
        <f>+('Fauna Acompañante'!AL232)</f>
        <v>0</v>
      </c>
      <c r="D60" s="2189">
        <f>+('Fauna Acompañante'!AM232)</f>
        <v>0</v>
      </c>
      <c r="E60" s="2189">
        <f>+('Fauna Acompañante'!AN232)</f>
        <v>0</v>
      </c>
      <c r="F60" s="2189">
        <f>+('Fauna Acompañante'!AO232)</f>
        <v>0</v>
      </c>
      <c r="G60" s="2189">
        <f>+('Fauna Acompañante'!AP232)</f>
        <v>0</v>
      </c>
      <c r="H60" s="2189">
        <f>+('Fauna Acompañante'!AQ232)</f>
        <v>0</v>
      </c>
      <c r="I60" s="2189">
        <f>+('Fauna Acompañante'!AR232)</f>
        <v>0</v>
      </c>
      <c r="J60" s="2189">
        <f>+('Fauna Acompañante'!AS232)</f>
        <v>0</v>
      </c>
      <c r="K60" s="2189">
        <f>+('Fauna Acompañante'!AT232)</f>
        <v>0</v>
      </c>
      <c r="L60" s="2189">
        <f>+('Fauna Acompañante'!AU232)</f>
        <v>0</v>
      </c>
      <c r="M60" s="2189">
        <f>+('Fauna Acompañante'!AV232)</f>
        <v>0</v>
      </c>
      <c r="N60" s="2189">
        <f>+('Fauna Acompañante'!AW232)</f>
        <v>0</v>
      </c>
      <c r="O60" s="2189">
        <f>+('Fauna Acompañante'!AX232)</f>
        <v>0</v>
      </c>
      <c r="P60" s="2189">
        <f>+('Fauna Acompañante'!AY232)</f>
        <v>0</v>
      </c>
      <c r="Q60" s="2189">
        <f>+('Fauna Acompañante'!AZ232)</f>
        <v>0</v>
      </c>
      <c r="R60" s="2189">
        <f>+('Fauna Acompañante'!BA232)</f>
        <v>0</v>
      </c>
      <c r="S60" s="2189">
        <f>+('Fauna Acompañante'!BB232)</f>
        <v>0</v>
      </c>
      <c r="T60" s="2189">
        <f>+('Fauna Acompañante'!BC232)</f>
        <v>0</v>
      </c>
      <c r="U60" s="2189">
        <f>+('Fauna Acompañante'!BD232)</f>
        <v>0</v>
      </c>
      <c r="V60" s="2189">
        <f>+('Fauna Acompañante'!BE232)</f>
        <v>0</v>
      </c>
      <c r="W60" s="2189">
        <f>+('Fauna Acompañante'!BF232)</f>
        <v>0</v>
      </c>
      <c r="X60" s="2189">
        <f>+('Fauna Acompañante'!BG232)</f>
        <v>0</v>
      </c>
      <c r="Y60" s="2189">
        <f>+('Fauna Acompañante'!BH232)</f>
        <v>0</v>
      </c>
      <c r="Z60" s="2189">
        <f>+('Fauna Acompañante'!BI232)</f>
        <v>0</v>
      </c>
      <c r="AA60" s="2189">
        <f>+('Fauna Acompañante'!BJ232)</f>
        <v>0</v>
      </c>
      <c r="AB60" s="2189">
        <f>+('Fauna Acompañante'!BK232)</f>
        <v>0</v>
      </c>
      <c r="AC60" s="2189">
        <f>+('Fauna Acompañante'!BL232)</f>
        <v>0</v>
      </c>
      <c r="AD60" s="2189">
        <f>+('Fauna Acompañante'!BM232)</f>
        <v>0</v>
      </c>
      <c r="AE60" s="2189">
        <f>+('Fauna Acompañante'!BN232)</f>
        <v>0</v>
      </c>
      <c r="AF60" s="2189">
        <f>+('Fauna Acompañante'!BO232)</f>
        <v>0</v>
      </c>
      <c r="AG60" s="2189">
        <f>+('Fauna Acompañante'!BP232)</f>
        <v>0</v>
      </c>
      <c r="AH60" s="2188">
        <f t="shared" si="10"/>
        <v>0</v>
      </c>
    </row>
    <row r="61" spans="1:34" ht="15">
      <c r="A61" s="1746" t="s">
        <v>79</v>
      </c>
      <c r="B61" s="1749">
        <f t="shared" si="9"/>
        <v>0</v>
      </c>
      <c r="C61" s="2189">
        <f>+('Fauna Acompañante'!AL233)</f>
        <v>0</v>
      </c>
      <c r="D61" s="2189">
        <f>+('Fauna Acompañante'!AM233)</f>
        <v>0</v>
      </c>
      <c r="E61" s="2189">
        <f>+('Fauna Acompañante'!AN233)</f>
        <v>0</v>
      </c>
      <c r="F61" s="2189">
        <f>+('Fauna Acompañante'!AO233)</f>
        <v>0</v>
      </c>
      <c r="G61" s="2189">
        <f>+('Fauna Acompañante'!AP233)</f>
        <v>0</v>
      </c>
      <c r="H61" s="2189">
        <f>+('Fauna Acompañante'!AQ233)</f>
        <v>0</v>
      </c>
      <c r="I61" s="2189">
        <f>+('Fauna Acompañante'!AR233)</f>
        <v>0</v>
      </c>
      <c r="J61" s="2189">
        <f>+('Fauna Acompañante'!AS233)</f>
        <v>0</v>
      </c>
      <c r="K61" s="2189">
        <f>+('Fauna Acompañante'!AT233)</f>
        <v>0</v>
      </c>
      <c r="L61" s="2189">
        <f>+('Fauna Acompañante'!AU233)</f>
        <v>0</v>
      </c>
      <c r="M61" s="2189">
        <f>+('Fauna Acompañante'!AV233)</f>
        <v>0</v>
      </c>
      <c r="N61" s="2189">
        <f>+('Fauna Acompañante'!AW233)</f>
        <v>0</v>
      </c>
      <c r="O61" s="2189">
        <f>+('Fauna Acompañante'!AX233)</f>
        <v>0</v>
      </c>
      <c r="P61" s="2189">
        <f>+('Fauna Acompañante'!AY233)</f>
        <v>0</v>
      </c>
      <c r="Q61" s="2189">
        <f>+('Fauna Acompañante'!AZ233)</f>
        <v>0</v>
      </c>
      <c r="R61" s="2189">
        <f>+('Fauna Acompañante'!BA233)</f>
        <v>0</v>
      </c>
      <c r="S61" s="2189">
        <f>+('Fauna Acompañante'!BB233)</f>
        <v>0</v>
      </c>
      <c r="T61" s="2189">
        <f>+('Fauna Acompañante'!BC233)</f>
        <v>0</v>
      </c>
      <c r="U61" s="2189">
        <f>+('Fauna Acompañante'!BD233)</f>
        <v>0</v>
      </c>
      <c r="V61" s="2189">
        <f>+('Fauna Acompañante'!BE233)</f>
        <v>0</v>
      </c>
      <c r="W61" s="2189">
        <f>+('Fauna Acompañante'!BF233)</f>
        <v>0</v>
      </c>
      <c r="X61" s="2189">
        <f>+('Fauna Acompañante'!BG233)</f>
        <v>0</v>
      </c>
      <c r="Y61" s="2189">
        <f>+('Fauna Acompañante'!BH233)</f>
        <v>0</v>
      </c>
      <c r="Z61" s="2189">
        <f>+('Fauna Acompañante'!BI233)</f>
        <v>0</v>
      </c>
      <c r="AA61" s="2189">
        <f>+('Fauna Acompañante'!BJ233)</f>
        <v>0</v>
      </c>
      <c r="AB61" s="2189">
        <f>+('Fauna Acompañante'!BK233)</f>
        <v>0</v>
      </c>
      <c r="AC61" s="2189">
        <f>+('Fauna Acompañante'!BL233)</f>
        <v>0</v>
      </c>
      <c r="AD61" s="2189">
        <f>+('Fauna Acompañante'!BM233)</f>
        <v>0</v>
      </c>
      <c r="AE61" s="2189">
        <f>+('Fauna Acompañante'!BN233)</f>
        <v>0</v>
      </c>
      <c r="AF61" s="2189">
        <f>+('Fauna Acompañante'!BO233)</f>
        <v>0</v>
      </c>
      <c r="AG61" s="2189">
        <f>+('Fauna Acompañante'!BP233)</f>
        <v>0</v>
      </c>
      <c r="AH61" s="2188">
        <f t="shared" si="10"/>
        <v>0</v>
      </c>
    </row>
    <row r="62" spans="1:34" ht="15">
      <c r="A62" s="1746" t="s">
        <v>80</v>
      </c>
      <c r="B62" s="1749">
        <f t="shared" si="9"/>
        <v>0</v>
      </c>
      <c r="C62" s="2189">
        <f>+('Fauna Acompañante'!AL234)</f>
        <v>0</v>
      </c>
      <c r="D62" s="2189">
        <f>+('Fauna Acompañante'!AM234)</f>
        <v>0</v>
      </c>
      <c r="E62" s="2189">
        <f>+('Fauna Acompañante'!AN234)</f>
        <v>0</v>
      </c>
      <c r="F62" s="2189">
        <f>+('Fauna Acompañante'!AO234)</f>
        <v>0</v>
      </c>
      <c r="G62" s="2189">
        <f>+('Fauna Acompañante'!AP234)</f>
        <v>0</v>
      </c>
      <c r="H62" s="2189">
        <f>+('Fauna Acompañante'!AQ234)</f>
        <v>0</v>
      </c>
      <c r="I62" s="2189">
        <f>+('Fauna Acompañante'!AR234)</f>
        <v>0</v>
      </c>
      <c r="J62" s="2189">
        <f>+('Fauna Acompañante'!AS234)</f>
        <v>0</v>
      </c>
      <c r="K62" s="2189">
        <f>+('Fauna Acompañante'!AT234)</f>
        <v>0</v>
      </c>
      <c r="L62" s="2189">
        <f>+('Fauna Acompañante'!AU234)</f>
        <v>0</v>
      </c>
      <c r="M62" s="2189">
        <f>+('Fauna Acompañante'!AV234)</f>
        <v>0</v>
      </c>
      <c r="N62" s="2189">
        <f>+('Fauna Acompañante'!AW234)</f>
        <v>0</v>
      </c>
      <c r="O62" s="2189">
        <f>+('Fauna Acompañante'!AX234)</f>
        <v>0</v>
      </c>
      <c r="P62" s="2189">
        <f>+('Fauna Acompañante'!AY234)</f>
        <v>0</v>
      </c>
      <c r="Q62" s="2189">
        <f>+('Fauna Acompañante'!AZ234)</f>
        <v>0</v>
      </c>
      <c r="R62" s="2189">
        <f>+('Fauna Acompañante'!BA234)</f>
        <v>0</v>
      </c>
      <c r="S62" s="2189">
        <f>+('Fauna Acompañante'!BB234)</f>
        <v>0</v>
      </c>
      <c r="T62" s="2189">
        <f>+('Fauna Acompañante'!BC234)</f>
        <v>0</v>
      </c>
      <c r="U62" s="2189">
        <f>+('Fauna Acompañante'!BD234)</f>
        <v>0</v>
      </c>
      <c r="V62" s="2189">
        <f>+('Fauna Acompañante'!BE234)</f>
        <v>0</v>
      </c>
      <c r="W62" s="2189">
        <f>+('Fauna Acompañante'!BF234)</f>
        <v>0</v>
      </c>
      <c r="X62" s="2189">
        <f>+('Fauna Acompañante'!BG234)</f>
        <v>0</v>
      </c>
      <c r="Y62" s="2189">
        <f>+('Fauna Acompañante'!BH234)</f>
        <v>0</v>
      </c>
      <c r="Z62" s="2189">
        <f>+('Fauna Acompañante'!BI234)</f>
        <v>0</v>
      </c>
      <c r="AA62" s="2189">
        <f>+('Fauna Acompañante'!BJ234)</f>
        <v>0</v>
      </c>
      <c r="AB62" s="2189">
        <f>+('Fauna Acompañante'!BK234)</f>
        <v>0</v>
      </c>
      <c r="AC62" s="2189">
        <f>+('Fauna Acompañante'!BL234)</f>
        <v>0</v>
      </c>
      <c r="AD62" s="2189">
        <f>+('Fauna Acompañante'!BM234)</f>
        <v>0</v>
      </c>
      <c r="AE62" s="2189">
        <f>+('Fauna Acompañante'!BN234)</f>
        <v>0</v>
      </c>
      <c r="AF62" s="2189">
        <f>+('Fauna Acompañante'!BO234)</f>
        <v>0</v>
      </c>
      <c r="AG62" s="2189">
        <f>+('Fauna Acompañante'!BP234)</f>
        <v>0</v>
      </c>
      <c r="AH62" s="2188">
        <f t="shared" si="10"/>
        <v>0</v>
      </c>
    </row>
    <row r="63" spans="1:34" ht="15">
      <c r="A63" s="1746" t="s">
        <v>81</v>
      </c>
      <c r="B63" s="1749">
        <f t="shared" si="9"/>
        <v>0</v>
      </c>
      <c r="C63" s="2189">
        <f>+('Fauna Acompañante'!AL235)</f>
        <v>0</v>
      </c>
      <c r="D63" s="2189">
        <f>+('Fauna Acompañante'!AM235)</f>
        <v>0</v>
      </c>
      <c r="E63" s="2189">
        <f>+('Fauna Acompañante'!AN235)</f>
        <v>0</v>
      </c>
      <c r="F63" s="2189">
        <f>+('Fauna Acompañante'!AO235)</f>
        <v>0</v>
      </c>
      <c r="G63" s="2189">
        <f>+('Fauna Acompañante'!AP235)</f>
        <v>0</v>
      </c>
      <c r="H63" s="2189">
        <f>+('Fauna Acompañante'!AQ235)</f>
        <v>0</v>
      </c>
      <c r="I63" s="2189">
        <f>+('Fauna Acompañante'!AR235)</f>
        <v>0</v>
      </c>
      <c r="J63" s="2189">
        <f>+('Fauna Acompañante'!AS235)</f>
        <v>0</v>
      </c>
      <c r="K63" s="2189">
        <f>+('Fauna Acompañante'!AT235)</f>
        <v>0</v>
      </c>
      <c r="L63" s="2189">
        <f>+('Fauna Acompañante'!AU235)</f>
        <v>0</v>
      </c>
      <c r="M63" s="2189">
        <f>+('Fauna Acompañante'!AV235)</f>
        <v>0</v>
      </c>
      <c r="N63" s="2189">
        <f>+('Fauna Acompañante'!AW235)</f>
        <v>0</v>
      </c>
      <c r="O63" s="2189">
        <f>+('Fauna Acompañante'!AX235)</f>
        <v>0</v>
      </c>
      <c r="P63" s="2189">
        <f>+('Fauna Acompañante'!AY235)</f>
        <v>0</v>
      </c>
      <c r="Q63" s="2189">
        <f>+('Fauna Acompañante'!AZ235)</f>
        <v>0</v>
      </c>
      <c r="R63" s="2189">
        <f>+('Fauna Acompañante'!BA235)</f>
        <v>0</v>
      </c>
      <c r="S63" s="2189">
        <f>+('Fauna Acompañante'!BB235)</f>
        <v>0</v>
      </c>
      <c r="T63" s="2189">
        <f>+('Fauna Acompañante'!BC235)</f>
        <v>0</v>
      </c>
      <c r="U63" s="2189">
        <f>+('Fauna Acompañante'!BD235)</f>
        <v>0</v>
      </c>
      <c r="V63" s="2189">
        <f>+('Fauna Acompañante'!BE235)</f>
        <v>0</v>
      </c>
      <c r="W63" s="2189">
        <f>+('Fauna Acompañante'!BF235)</f>
        <v>0</v>
      </c>
      <c r="X63" s="2189">
        <f>+('Fauna Acompañante'!BG235)</f>
        <v>0</v>
      </c>
      <c r="Y63" s="2189">
        <f>+('Fauna Acompañante'!BH235)</f>
        <v>0</v>
      </c>
      <c r="Z63" s="2189">
        <f>+('Fauna Acompañante'!BI235)</f>
        <v>0</v>
      </c>
      <c r="AA63" s="2189">
        <f>+('Fauna Acompañante'!BJ235)</f>
        <v>0</v>
      </c>
      <c r="AB63" s="2189">
        <f>+('Fauna Acompañante'!BK235)</f>
        <v>0</v>
      </c>
      <c r="AC63" s="2189">
        <f>+('Fauna Acompañante'!BL235)</f>
        <v>0</v>
      </c>
      <c r="AD63" s="2189">
        <f>+('Fauna Acompañante'!BM235)</f>
        <v>0</v>
      </c>
      <c r="AE63" s="2189">
        <f>+('Fauna Acompañante'!BN235)</f>
        <v>0</v>
      </c>
      <c r="AF63" s="2189">
        <f>+('Fauna Acompañante'!BO235)</f>
        <v>0</v>
      </c>
      <c r="AG63" s="2189">
        <f>+('Fauna Acompañante'!BP235)</f>
        <v>0</v>
      </c>
      <c r="AH63" s="2188">
        <f t="shared" si="10"/>
        <v>0</v>
      </c>
    </row>
    <row r="64" spans="1:34" ht="15">
      <c r="A64" s="1746" t="s">
        <v>82</v>
      </c>
      <c r="B64" s="1749">
        <f t="shared" si="9"/>
        <v>0</v>
      </c>
      <c r="C64" s="2189">
        <f>+('Fauna Acompañante'!AL236)</f>
        <v>0</v>
      </c>
      <c r="D64" s="2189">
        <f>+('Fauna Acompañante'!AM236)</f>
        <v>0</v>
      </c>
      <c r="E64" s="2189">
        <f>+('Fauna Acompañante'!AN236)</f>
        <v>0</v>
      </c>
      <c r="F64" s="2189">
        <f>+('Fauna Acompañante'!AO236)</f>
        <v>0</v>
      </c>
      <c r="G64" s="2189">
        <f>+('Fauna Acompañante'!AP236)</f>
        <v>0</v>
      </c>
      <c r="H64" s="2189">
        <f>+('Fauna Acompañante'!AQ236)</f>
        <v>0</v>
      </c>
      <c r="I64" s="2189">
        <f>+('Fauna Acompañante'!AR236)</f>
        <v>0</v>
      </c>
      <c r="J64" s="2189">
        <f>+('Fauna Acompañante'!AS236)</f>
        <v>0</v>
      </c>
      <c r="K64" s="2189">
        <f>+('Fauna Acompañante'!AT236)</f>
        <v>0</v>
      </c>
      <c r="L64" s="2189">
        <f>+('Fauna Acompañante'!AU236)</f>
        <v>0</v>
      </c>
      <c r="M64" s="2189">
        <f>+('Fauna Acompañante'!AV236)</f>
        <v>0</v>
      </c>
      <c r="N64" s="2189">
        <f>+('Fauna Acompañante'!AW236)</f>
        <v>0</v>
      </c>
      <c r="O64" s="2189">
        <f>+('Fauna Acompañante'!AX236)</f>
        <v>0</v>
      </c>
      <c r="P64" s="2189">
        <f>+('Fauna Acompañante'!AY236)</f>
        <v>0</v>
      </c>
      <c r="Q64" s="2189">
        <f>+('Fauna Acompañante'!AZ236)</f>
        <v>0</v>
      </c>
      <c r="R64" s="2189">
        <f>+('Fauna Acompañante'!BA236)</f>
        <v>0</v>
      </c>
      <c r="S64" s="2189">
        <f>+('Fauna Acompañante'!BB236)</f>
        <v>0</v>
      </c>
      <c r="T64" s="2189">
        <f>+('Fauna Acompañante'!BC236)</f>
        <v>0</v>
      </c>
      <c r="U64" s="2189">
        <f>+('Fauna Acompañante'!BD236)</f>
        <v>0</v>
      </c>
      <c r="V64" s="2189">
        <f>+('Fauna Acompañante'!BE236)</f>
        <v>0</v>
      </c>
      <c r="W64" s="2189">
        <f>+('Fauna Acompañante'!BF236)</f>
        <v>0</v>
      </c>
      <c r="X64" s="2189">
        <f>+('Fauna Acompañante'!BG236)</f>
        <v>0</v>
      </c>
      <c r="Y64" s="2189">
        <f>+('Fauna Acompañante'!BH236)</f>
        <v>0</v>
      </c>
      <c r="Z64" s="2189">
        <f>+('Fauna Acompañante'!BI236)</f>
        <v>0</v>
      </c>
      <c r="AA64" s="2189">
        <f>+('Fauna Acompañante'!BJ236)</f>
        <v>0</v>
      </c>
      <c r="AB64" s="2189">
        <f>+('Fauna Acompañante'!BK236)</f>
        <v>0</v>
      </c>
      <c r="AC64" s="2189">
        <f>+('Fauna Acompañante'!BL236)</f>
        <v>0</v>
      </c>
      <c r="AD64" s="2189">
        <f>+('Fauna Acompañante'!BM236)</f>
        <v>0</v>
      </c>
      <c r="AE64" s="2189">
        <f>+('Fauna Acompañante'!BN236)</f>
        <v>0</v>
      </c>
      <c r="AF64" s="2189">
        <f>+('Fauna Acompañante'!BO236)</f>
        <v>0</v>
      </c>
      <c r="AG64" s="2189">
        <f>+('Fauna Acompañante'!BP236)</f>
        <v>0</v>
      </c>
      <c r="AH64" s="2188">
        <f t="shared" si="10"/>
        <v>0</v>
      </c>
    </row>
    <row r="65" spans="1:34" ht="15">
      <c r="A65" s="1746" t="s">
        <v>83</v>
      </c>
      <c r="B65" s="1749">
        <f t="shared" si="9"/>
        <v>0</v>
      </c>
      <c r="C65" s="2189">
        <f>+('Fauna Acompañante'!AL237)</f>
        <v>0</v>
      </c>
      <c r="D65" s="2189">
        <f>+('Fauna Acompañante'!AM237)</f>
        <v>0</v>
      </c>
      <c r="E65" s="2189">
        <f>+('Fauna Acompañante'!AN237)</f>
        <v>0</v>
      </c>
      <c r="F65" s="2189">
        <f>+('Fauna Acompañante'!AO237)</f>
        <v>0</v>
      </c>
      <c r="G65" s="2189">
        <f>+('Fauna Acompañante'!AP237)</f>
        <v>0</v>
      </c>
      <c r="H65" s="2189">
        <f>+('Fauna Acompañante'!AQ237)</f>
        <v>0</v>
      </c>
      <c r="I65" s="2189">
        <f>+('Fauna Acompañante'!AR237)</f>
        <v>0</v>
      </c>
      <c r="J65" s="2189">
        <f>+('Fauna Acompañante'!AS237)</f>
        <v>0</v>
      </c>
      <c r="K65" s="2189">
        <f>+('Fauna Acompañante'!AT237)</f>
        <v>0</v>
      </c>
      <c r="L65" s="2189">
        <f>+('Fauna Acompañante'!AU237)</f>
        <v>0</v>
      </c>
      <c r="M65" s="2189">
        <f>+('Fauna Acompañante'!AV237)</f>
        <v>0</v>
      </c>
      <c r="N65" s="2189">
        <f>+('Fauna Acompañante'!AW237)</f>
        <v>0</v>
      </c>
      <c r="O65" s="2189">
        <f>+('Fauna Acompañante'!AX237)</f>
        <v>0</v>
      </c>
      <c r="P65" s="2189">
        <f>+('Fauna Acompañante'!AY237)</f>
        <v>0</v>
      </c>
      <c r="Q65" s="2189">
        <f>+('Fauna Acompañante'!AZ237)</f>
        <v>0</v>
      </c>
      <c r="R65" s="2189">
        <f>+('Fauna Acompañante'!BA237)</f>
        <v>0</v>
      </c>
      <c r="S65" s="2189">
        <f>+('Fauna Acompañante'!BB237)</f>
        <v>0</v>
      </c>
      <c r="T65" s="2189">
        <f>+('Fauna Acompañante'!BC237)</f>
        <v>0</v>
      </c>
      <c r="U65" s="2189">
        <f>+('Fauna Acompañante'!BD237)</f>
        <v>0</v>
      </c>
      <c r="V65" s="2189">
        <f>+('Fauna Acompañante'!BE237)</f>
        <v>0</v>
      </c>
      <c r="W65" s="2189">
        <f>+('Fauna Acompañante'!BF237)</f>
        <v>0</v>
      </c>
      <c r="X65" s="2189">
        <f>+('Fauna Acompañante'!BG237)</f>
        <v>0</v>
      </c>
      <c r="Y65" s="2189">
        <f>+('Fauna Acompañante'!BH237)</f>
        <v>0</v>
      </c>
      <c r="Z65" s="2189">
        <f>+('Fauna Acompañante'!BI237)</f>
        <v>0</v>
      </c>
      <c r="AA65" s="2189">
        <f>+('Fauna Acompañante'!BJ237)</f>
        <v>0</v>
      </c>
      <c r="AB65" s="2189">
        <f>+('Fauna Acompañante'!BK237)</f>
        <v>0</v>
      </c>
      <c r="AC65" s="2189">
        <f>+('Fauna Acompañante'!BL237)</f>
        <v>0</v>
      </c>
      <c r="AD65" s="2189">
        <f>+('Fauna Acompañante'!BM237)</f>
        <v>0</v>
      </c>
      <c r="AE65" s="2189">
        <f>+('Fauna Acompañante'!BN237)</f>
        <v>0</v>
      </c>
      <c r="AF65" s="2189">
        <f>+('Fauna Acompañante'!BO237)</f>
        <v>0</v>
      </c>
      <c r="AG65" s="2189">
        <f>+('Fauna Acompañante'!BP237)</f>
        <v>0</v>
      </c>
      <c r="AH65" s="2188">
        <f t="shared" si="10"/>
        <v>0</v>
      </c>
    </row>
    <row r="66" spans="1:34" ht="15">
      <c r="A66" s="1746" t="s">
        <v>84</v>
      </c>
      <c r="B66" s="1749">
        <f t="shared" si="9"/>
        <v>0</v>
      </c>
      <c r="C66" s="2189">
        <f>+('Fauna Acompañante'!AL238)</f>
        <v>0</v>
      </c>
      <c r="D66" s="2189">
        <f>+('Fauna Acompañante'!AM238)</f>
        <v>0</v>
      </c>
      <c r="E66" s="2189">
        <f>+('Fauna Acompañante'!AN238)</f>
        <v>0</v>
      </c>
      <c r="F66" s="2189">
        <f>+('Fauna Acompañante'!AO238)</f>
        <v>0</v>
      </c>
      <c r="G66" s="2189">
        <f>+('Fauna Acompañante'!AP238)</f>
        <v>0</v>
      </c>
      <c r="H66" s="2189">
        <f>+('Fauna Acompañante'!AQ238)</f>
        <v>0</v>
      </c>
      <c r="I66" s="2189">
        <f>+('Fauna Acompañante'!AR238)</f>
        <v>0</v>
      </c>
      <c r="J66" s="2189">
        <f>+('Fauna Acompañante'!AS238)</f>
        <v>0</v>
      </c>
      <c r="K66" s="2189">
        <f>+('Fauna Acompañante'!AT238)</f>
        <v>0</v>
      </c>
      <c r="L66" s="2189">
        <f>+('Fauna Acompañante'!AU238)</f>
        <v>0</v>
      </c>
      <c r="M66" s="2189">
        <f>+('Fauna Acompañante'!AV238)</f>
        <v>0</v>
      </c>
      <c r="N66" s="2189">
        <f>+('Fauna Acompañante'!AW238)</f>
        <v>0</v>
      </c>
      <c r="O66" s="2189">
        <f>+('Fauna Acompañante'!AX238)</f>
        <v>0</v>
      </c>
      <c r="P66" s="2189">
        <f>+('Fauna Acompañante'!AY238)</f>
        <v>0</v>
      </c>
      <c r="Q66" s="2189">
        <f>+('Fauna Acompañante'!AZ238)</f>
        <v>0</v>
      </c>
      <c r="R66" s="2189">
        <f>+('Fauna Acompañante'!BA238)</f>
        <v>0</v>
      </c>
      <c r="S66" s="2189">
        <f>+('Fauna Acompañante'!BB238)</f>
        <v>0</v>
      </c>
      <c r="T66" s="2189">
        <f>+('Fauna Acompañante'!BC238)</f>
        <v>0</v>
      </c>
      <c r="U66" s="2189">
        <f>+('Fauna Acompañante'!BD238)</f>
        <v>0</v>
      </c>
      <c r="V66" s="2189">
        <f>+('Fauna Acompañante'!BE238)</f>
        <v>0</v>
      </c>
      <c r="W66" s="2189">
        <f>+('Fauna Acompañante'!BF238)</f>
        <v>0</v>
      </c>
      <c r="X66" s="2189">
        <f>+('Fauna Acompañante'!BG238)</f>
        <v>0</v>
      </c>
      <c r="Y66" s="2189">
        <f>+('Fauna Acompañante'!BH238)</f>
        <v>0</v>
      </c>
      <c r="Z66" s="2189">
        <f>+('Fauna Acompañante'!BI238)</f>
        <v>0</v>
      </c>
      <c r="AA66" s="2189">
        <f>+('Fauna Acompañante'!BJ238)</f>
        <v>0</v>
      </c>
      <c r="AB66" s="2189">
        <f>+('Fauna Acompañante'!BK238)</f>
        <v>0</v>
      </c>
      <c r="AC66" s="2189">
        <f>+('Fauna Acompañante'!BL238)</f>
        <v>0</v>
      </c>
      <c r="AD66" s="2189">
        <f>+('Fauna Acompañante'!BM238)</f>
        <v>0</v>
      </c>
      <c r="AE66" s="2189">
        <f>+('Fauna Acompañante'!BN238)</f>
        <v>0</v>
      </c>
      <c r="AF66" s="2189">
        <f>+('Fauna Acompañante'!BO238)</f>
        <v>0</v>
      </c>
      <c r="AG66" s="2189">
        <f>+('Fauna Acompañante'!BP238)</f>
        <v>0</v>
      </c>
      <c r="AH66" s="2188">
        <f t="shared" si="10"/>
        <v>0</v>
      </c>
    </row>
    <row r="67" spans="1:34" ht="15">
      <c r="A67" s="1746" t="s">
        <v>85</v>
      </c>
      <c r="B67" s="1749">
        <f t="shared" si="9"/>
        <v>0</v>
      </c>
      <c r="C67" s="2189">
        <f>+('Fauna Acompañante'!AL239)</f>
        <v>0</v>
      </c>
      <c r="D67" s="2189">
        <f>+('Fauna Acompañante'!AM239)</f>
        <v>0</v>
      </c>
      <c r="E67" s="2189">
        <f>+('Fauna Acompañante'!AN239)</f>
        <v>0</v>
      </c>
      <c r="F67" s="2189">
        <f>+('Fauna Acompañante'!AO239)</f>
        <v>0</v>
      </c>
      <c r="G67" s="2189">
        <f>+('Fauna Acompañante'!AP239)</f>
        <v>0</v>
      </c>
      <c r="H67" s="2189">
        <f>+('Fauna Acompañante'!AQ239)</f>
        <v>0</v>
      </c>
      <c r="I67" s="2189">
        <f>+('Fauna Acompañante'!AR239)</f>
        <v>0</v>
      </c>
      <c r="J67" s="2189">
        <f>+('Fauna Acompañante'!AS239)</f>
        <v>0</v>
      </c>
      <c r="K67" s="2189">
        <f>+('Fauna Acompañante'!AT239)</f>
        <v>0</v>
      </c>
      <c r="L67" s="2189">
        <f>+('Fauna Acompañante'!AU239)</f>
        <v>0</v>
      </c>
      <c r="M67" s="2189">
        <f>+('Fauna Acompañante'!AV239)</f>
        <v>0</v>
      </c>
      <c r="N67" s="2189">
        <f>+('Fauna Acompañante'!AW239)</f>
        <v>0</v>
      </c>
      <c r="O67" s="2189">
        <f>+('Fauna Acompañante'!AX239)</f>
        <v>0</v>
      </c>
      <c r="P67" s="2189">
        <f>+('Fauna Acompañante'!AY239)</f>
        <v>0</v>
      </c>
      <c r="Q67" s="2189">
        <f>+('Fauna Acompañante'!AZ239)</f>
        <v>0</v>
      </c>
      <c r="R67" s="2189">
        <f>+('Fauna Acompañante'!BA239)</f>
        <v>0</v>
      </c>
      <c r="S67" s="2189">
        <f>+('Fauna Acompañante'!BB239)</f>
        <v>0</v>
      </c>
      <c r="T67" s="2189">
        <f>+('Fauna Acompañante'!BC239)</f>
        <v>0</v>
      </c>
      <c r="U67" s="2189">
        <f>+('Fauna Acompañante'!BD239)</f>
        <v>0</v>
      </c>
      <c r="V67" s="2189">
        <f>+('Fauna Acompañante'!BE239)</f>
        <v>0</v>
      </c>
      <c r="W67" s="2189">
        <f>+('Fauna Acompañante'!BF239)</f>
        <v>0</v>
      </c>
      <c r="X67" s="2189">
        <f>+('Fauna Acompañante'!BG239)</f>
        <v>0</v>
      </c>
      <c r="Y67" s="2189">
        <f>+('Fauna Acompañante'!BH239)</f>
        <v>0</v>
      </c>
      <c r="Z67" s="2189">
        <f>+('Fauna Acompañante'!BI239)</f>
        <v>0</v>
      </c>
      <c r="AA67" s="2189">
        <f>+('Fauna Acompañante'!BJ239)</f>
        <v>0</v>
      </c>
      <c r="AB67" s="2189">
        <f>+('Fauna Acompañante'!BK239)</f>
        <v>0</v>
      </c>
      <c r="AC67" s="2189">
        <f>+('Fauna Acompañante'!BL239)</f>
        <v>0</v>
      </c>
      <c r="AD67" s="2189">
        <f>+('Fauna Acompañante'!BM239)</f>
        <v>0</v>
      </c>
      <c r="AE67" s="2189">
        <f>+('Fauna Acompañante'!BN239)</f>
        <v>0</v>
      </c>
      <c r="AF67" s="2189">
        <f>+('Fauna Acompañante'!BO239)</f>
        <v>0</v>
      </c>
      <c r="AG67" s="2189">
        <f>+('Fauna Acompañante'!BP239)</f>
        <v>0</v>
      </c>
      <c r="AH67" s="2188">
        <f t="shared" si="10"/>
        <v>0</v>
      </c>
    </row>
    <row r="68" spans="1:34" ht="15">
      <c r="A68" s="1746" t="s">
        <v>86</v>
      </c>
      <c r="B68" s="1749">
        <f t="shared" si="9"/>
        <v>0</v>
      </c>
      <c r="C68" s="2189">
        <f>+('Fauna Acompañante'!AL240)</f>
        <v>0</v>
      </c>
      <c r="D68" s="2189">
        <f>+('Fauna Acompañante'!AM240)</f>
        <v>0</v>
      </c>
      <c r="E68" s="2189">
        <f>+('Fauna Acompañante'!AN240)</f>
        <v>0</v>
      </c>
      <c r="F68" s="2189">
        <f>+('Fauna Acompañante'!AO240)</f>
        <v>0</v>
      </c>
      <c r="G68" s="2189">
        <f>+('Fauna Acompañante'!AP240)</f>
        <v>0</v>
      </c>
      <c r="H68" s="2189">
        <f>+('Fauna Acompañante'!AQ240)</f>
        <v>0</v>
      </c>
      <c r="I68" s="2189">
        <f>+('Fauna Acompañante'!AR240)</f>
        <v>0</v>
      </c>
      <c r="J68" s="2189">
        <f>+('Fauna Acompañante'!AS240)</f>
        <v>0</v>
      </c>
      <c r="K68" s="2189">
        <f>+('Fauna Acompañante'!AT240)</f>
        <v>0</v>
      </c>
      <c r="L68" s="2189">
        <f>+('Fauna Acompañante'!AU240)</f>
        <v>0</v>
      </c>
      <c r="M68" s="2189">
        <f>+('Fauna Acompañante'!AV240)</f>
        <v>0</v>
      </c>
      <c r="N68" s="2189">
        <f>+('Fauna Acompañante'!AW240)</f>
        <v>0</v>
      </c>
      <c r="O68" s="2189">
        <f>+('Fauna Acompañante'!AX240)</f>
        <v>0</v>
      </c>
      <c r="P68" s="2189">
        <f>+('Fauna Acompañante'!AY240)</f>
        <v>0</v>
      </c>
      <c r="Q68" s="2189">
        <f>+('Fauna Acompañante'!AZ240)</f>
        <v>0</v>
      </c>
      <c r="R68" s="2189">
        <f>+('Fauna Acompañante'!BA240)</f>
        <v>0</v>
      </c>
      <c r="S68" s="2189">
        <f>+('Fauna Acompañante'!BB240)</f>
        <v>0</v>
      </c>
      <c r="T68" s="2189">
        <f>+('Fauna Acompañante'!BC240)</f>
        <v>0</v>
      </c>
      <c r="U68" s="2189">
        <f>+('Fauna Acompañante'!BD240)</f>
        <v>0</v>
      </c>
      <c r="V68" s="2189">
        <f>+('Fauna Acompañante'!BE240)</f>
        <v>0</v>
      </c>
      <c r="W68" s="2189">
        <f>+('Fauna Acompañante'!BF240)</f>
        <v>0</v>
      </c>
      <c r="X68" s="2189">
        <f>+('Fauna Acompañante'!BG240)</f>
        <v>0</v>
      </c>
      <c r="Y68" s="2189">
        <f>+('Fauna Acompañante'!BH240)</f>
        <v>0</v>
      </c>
      <c r="Z68" s="2189">
        <f>+('Fauna Acompañante'!BI240)</f>
        <v>0</v>
      </c>
      <c r="AA68" s="2189">
        <f>+('Fauna Acompañante'!BJ240)</f>
        <v>0</v>
      </c>
      <c r="AB68" s="2189">
        <f>+('Fauna Acompañante'!BK240)</f>
        <v>0</v>
      </c>
      <c r="AC68" s="2189">
        <f>+('Fauna Acompañante'!BL240)</f>
        <v>0</v>
      </c>
      <c r="AD68" s="2189">
        <f>+('Fauna Acompañante'!BM240)</f>
        <v>0</v>
      </c>
      <c r="AE68" s="2189">
        <f>+('Fauna Acompañante'!BN240)</f>
        <v>0</v>
      </c>
      <c r="AF68" s="2189">
        <f>+('Fauna Acompañante'!BO240)</f>
        <v>0</v>
      </c>
      <c r="AG68" s="2189">
        <f>+('Fauna Acompañante'!BP240)</f>
        <v>0</v>
      </c>
      <c r="AH68" s="2188">
        <f t="shared" si="10"/>
        <v>0</v>
      </c>
    </row>
    <row r="69" spans="1:34" ht="15">
      <c r="A69" s="2191" t="s">
        <v>74</v>
      </c>
      <c r="B69" s="2190">
        <f t="shared" ref="B69:AH69" si="11">SUM(B57:B68)</f>
        <v>0</v>
      </c>
      <c r="C69" s="2189">
        <f t="shared" si="11"/>
        <v>0</v>
      </c>
      <c r="D69" s="2189">
        <f t="shared" si="11"/>
        <v>0</v>
      </c>
      <c r="E69" s="2189">
        <f t="shared" si="11"/>
        <v>0</v>
      </c>
      <c r="F69" s="2189">
        <f t="shared" si="11"/>
        <v>0</v>
      </c>
      <c r="G69" s="2189">
        <f t="shared" si="11"/>
        <v>0</v>
      </c>
      <c r="H69" s="2189">
        <f t="shared" si="11"/>
        <v>0</v>
      </c>
      <c r="I69" s="2189">
        <f t="shared" si="11"/>
        <v>0</v>
      </c>
      <c r="J69" s="2189">
        <f t="shared" si="11"/>
        <v>0</v>
      </c>
      <c r="K69" s="2189">
        <f t="shared" si="11"/>
        <v>0</v>
      </c>
      <c r="L69" s="2189">
        <f t="shared" si="11"/>
        <v>0</v>
      </c>
      <c r="M69" s="2189">
        <f t="shared" si="11"/>
        <v>0</v>
      </c>
      <c r="N69" s="2189">
        <f t="shared" si="11"/>
        <v>0</v>
      </c>
      <c r="O69" s="2189">
        <f t="shared" si="11"/>
        <v>0</v>
      </c>
      <c r="P69" s="2189">
        <f t="shared" si="11"/>
        <v>0</v>
      </c>
      <c r="Q69" s="2189">
        <f t="shared" si="11"/>
        <v>0</v>
      </c>
      <c r="R69" s="2189">
        <f t="shared" si="11"/>
        <v>0</v>
      </c>
      <c r="S69" s="2189">
        <f t="shared" si="11"/>
        <v>0</v>
      </c>
      <c r="T69" s="2189">
        <f t="shared" si="11"/>
        <v>0</v>
      </c>
      <c r="U69" s="2189">
        <f t="shared" si="11"/>
        <v>0</v>
      </c>
      <c r="V69" s="2189">
        <f t="shared" si="11"/>
        <v>0</v>
      </c>
      <c r="W69" s="2189">
        <f t="shared" si="11"/>
        <v>0</v>
      </c>
      <c r="X69" s="2189">
        <f t="shared" si="11"/>
        <v>0</v>
      </c>
      <c r="Y69" s="2189">
        <f t="shared" si="11"/>
        <v>0</v>
      </c>
      <c r="Z69" s="2189">
        <f t="shared" si="11"/>
        <v>0</v>
      </c>
      <c r="AA69" s="2189">
        <f t="shared" si="11"/>
        <v>0</v>
      </c>
      <c r="AB69" s="2189">
        <f t="shared" si="11"/>
        <v>0</v>
      </c>
      <c r="AC69" s="2189">
        <f t="shared" si="11"/>
        <v>0</v>
      </c>
      <c r="AD69" s="2189">
        <f t="shared" si="11"/>
        <v>0</v>
      </c>
      <c r="AE69" s="2189">
        <f t="shared" si="11"/>
        <v>0</v>
      </c>
      <c r="AF69" s="2189">
        <f t="shared" si="11"/>
        <v>0</v>
      </c>
      <c r="AG69" s="2189">
        <f t="shared" si="11"/>
        <v>0</v>
      </c>
      <c r="AH69" s="2188">
        <f t="shared" si="11"/>
        <v>0</v>
      </c>
    </row>
    <row r="71" spans="1:34" ht="15">
      <c r="A71" s="3585" t="s">
        <v>631</v>
      </c>
      <c r="B71" s="3586"/>
      <c r="C71" s="3587"/>
      <c r="D71" s="2193"/>
      <c r="E71" s="2193"/>
      <c r="F71" s="2193"/>
      <c r="G71" s="2193"/>
      <c r="H71" s="2193"/>
      <c r="I71" s="2193"/>
      <c r="J71" s="2193"/>
      <c r="K71" s="2193"/>
      <c r="L71" s="2193"/>
      <c r="M71" s="2194"/>
      <c r="N71" s="2193"/>
      <c r="O71" s="2193"/>
      <c r="P71" s="2193"/>
      <c r="Q71" s="2193"/>
      <c r="R71" s="2193"/>
      <c r="S71" s="2193"/>
      <c r="T71" s="2193"/>
      <c r="U71" s="2193"/>
      <c r="V71" s="2193"/>
      <c r="W71" s="2193"/>
      <c r="X71" s="2193"/>
      <c r="Y71" s="2193"/>
      <c r="Z71" s="2193"/>
      <c r="AA71" s="2193"/>
      <c r="AB71" s="2193"/>
      <c r="AC71" s="2193"/>
      <c r="AD71" s="2193"/>
      <c r="AE71" s="2193"/>
      <c r="AF71" s="2193"/>
      <c r="AG71" s="2193"/>
      <c r="AH71" s="2193"/>
    </row>
    <row r="72" spans="1:34" ht="15">
      <c r="A72" s="1746" t="s">
        <v>72</v>
      </c>
      <c r="B72" s="1746" t="s">
        <v>73</v>
      </c>
      <c r="C72" s="1746">
        <v>1</v>
      </c>
      <c r="D72" s="1746">
        <v>2</v>
      </c>
      <c r="E72" s="1746">
        <v>3</v>
      </c>
      <c r="F72" s="1746">
        <v>4</v>
      </c>
      <c r="G72" s="1746">
        <v>5</v>
      </c>
      <c r="H72" s="1746">
        <v>6</v>
      </c>
      <c r="I72" s="1746">
        <v>7</v>
      </c>
      <c r="J72" s="1746">
        <v>8</v>
      </c>
      <c r="K72" s="1746">
        <v>9</v>
      </c>
      <c r="L72" s="1746">
        <v>10</v>
      </c>
      <c r="M72" s="1746">
        <v>11</v>
      </c>
      <c r="N72" s="1746">
        <v>12</v>
      </c>
      <c r="O72" s="1746">
        <v>13</v>
      </c>
      <c r="P72" s="1746">
        <v>14</v>
      </c>
      <c r="Q72" s="1746">
        <v>15</v>
      </c>
      <c r="R72" s="1746">
        <v>16</v>
      </c>
      <c r="S72" s="1746">
        <v>17</v>
      </c>
      <c r="T72" s="1746">
        <v>18</v>
      </c>
      <c r="U72" s="1746">
        <v>19</v>
      </c>
      <c r="V72" s="1746">
        <v>20</v>
      </c>
      <c r="W72" s="1746">
        <v>21</v>
      </c>
      <c r="X72" s="1746">
        <v>22</v>
      </c>
      <c r="Y72" s="1746">
        <v>23</v>
      </c>
      <c r="Z72" s="1746">
        <v>24</v>
      </c>
      <c r="AA72" s="1746">
        <v>25</v>
      </c>
      <c r="AB72" s="1746">
        <v>26</v>
      </c>
      <c r="AC72" s="1746">
        <v>27</v>
      </c>
      <c r="AD72" s="1746">
        <v>28</v>
      </c>
      <c r="AE72" s="1746">
        <v>29</v>
      </c>
      <c r="AF72" s="1746">
        <v>30</v>
      </c>
      <c r="AG72" s="1746">
        <v>31</v>
      </c>
      <c r="AH72" s="2192" t="s">
        <v>74</v>
      </c>
    </row>
    <row r="73" spans="1:34" ht="15">
      <c r="A73" s="1746" t="s">
        <v>75</v>
      </c>
      <c r="B73" s="1749">
        <f t="shared" ref="B73:B84" si="12">+AH73</f>
        <v>0</v>
      </c>
      <c r="C73" s="2189">
        <f>+('Fauna Acompañante'!AL245)</f>
        <v>0</v>
      </c>
      <c r="D73" s="2189">
        <f>+('Fauna Acompañante'!AM245)</f>
        <v>0</v>
      </c>
      <c r="E73" s="2189">
        <f>+('Fauna Acompañante'!AN245)</f>
        <v>0</v>
      </c>
      <c r="F73" s="2189">
        <f>+('Fauna Acompañante'!AO245)</f>
        <v>0</v>
      </c>
      <c r="G73" s="2189">
        <f>+('Fauna Acompañante'!AP245)</f>
        <v>0</v>
      </c>
      <c r="H73" s="2189">
        <f>+('Fauna Acompañante'!AQ245)</f>
        <v>0</v>
      </c>
      <c r="I73" s="2189">
        <f>+('Fauna Acompañante'!AR245)</f>
        <v>0</v>
      </c>
      <c r="J73" s="2189">
        <f>+('Fauna Acompañante'!AS245)</f>
        <v>0</v>
      </c>
      <c r="K73" s="2189">
        <f>+('Fauna Acompañante'!AT245)</f>
        <v>0</v>
      </c>
      <c r="L73" s="2189">
        <f>+('Fauna Acompañante'!AU245)</f>
        <v>0</v>
      </c>
      <c r="M73" s="2189">
        <f>+('Fauna Acompañante'!AV245)</f>
        <v>0</v>
      </c>
      <c r="N73" s="2189">
        <f>+('Fauna Acompañante'!AW245)</f>
        <v>0</v>
      </c>
      <c r="O73" s="2189">
        <f>+('Fauna Acompañante'!AX245)</f>
        <v>0</v>
      </c>
      <c r="P73" s="2189">
        <f>+('Fauna Acompañante'!AY245)</f>
        <v>0</v>
      </c>
      <c r="Q73" s="2189">
        <f>+('Fauna Acompañante'!AZ245)</f>
        <v>0</v>
      </c>
      <c r="R73" s="2189">
        <f>+('Fauna Acompañante'!BA245)</f>
        <v>0</v>
      </c>
      <c r="S73" s="2189">
        <f>+('Fauna Acompañante'!BB245)</f>
        <v>0</v>
      </c>
      <c r="T73" s="2189">
        <f>+('Fauna Acompañante'!BC245)</f>
        <v>0</v>
      </c>
      <c r="U73" s="2189">
        <f>+('Fauna Acompañante'!BD245)</f>
        <v>0</v>
      </c>
      <c r="V73" s="2189">
        <f>+('Fauna Acompañante'!BE245)</f>
        <v>0</v>
      </c>
      <c r="W73" s="2189">
        <f>+('Fauna Acompañante'!BF245)</f>
        <v>0</v>
      </c>
      <c r="X73" s="2189">
        <f>+('Fauna Acompañante'!BG245)</f>
        <v>0</v>
      </c>
      <c r="Y73" s="2189">
        <f>+('Fauna Acompañante'!BH245)</f>
        <v>0</v>
      </c>
      <c r="Z73" s="2189">
        <f>+('Fauna Acompañante'!BI245)</f>
        <v>0</v>
      </c>
      <c r="AA73" s="2189">
        <f>+('Fauna Acompañante'!BJ245)</f>
        <v>0</v>
      </c>
      <c r="AB73" s="2189">
        <f>+('Fauna Acompañante'!BK245)</f>
        <v>0</v>
      </c>
      <c r="AC73" s="2189">
        <f>+('Fauna Acompañante'!BL245)</f>
        <v>0</v>
      </c>
      <c r="AD73" s="2189">
        <f>+('Fauna Acompañante'!BM245)</f>
        <v>0</v>
      </c>
      <c r="AE73" s="2189">
        <f>+('Fauna Acompañante'!BN245)</f>
        <v>0</v>
      </c>
      <c r="AF73" s="2189">
        <f>+('Fauna Acompañante'!BO245)</f>
        <v>0</v>
      </c>
      <c r="AG73" s="2189">
        <f>+('Fauna Acompañante'!BP245)</f>
        <v>0</v>
      </c>
      <c r="AH73" s="2188">
        <f t="shared" ref="AH73:AH84" si="13">SUM(C73:AG73)</f>
        <v>0</v>
      </c>
    </row>
    <row r="74" spans="1:34" ht="15">
      <c r="A74" s="1746" t="s">
        <v>76</v>
      </c>
      <c r="B74" s="1749">
        <f t="shared" si="12"/>
        <v>3.3139999999999996</v>
      </c>
      <c r="C74" s="2189">
        <f>+('Fauna Acompañante'!AL246)</f>
        <v>0</v>
      </c>
      <c r="D74" s="2189">
        <f>+('Fauna Acompañante'!AM246)</f>
        <v>0</v>
      </c>
      <c r="E74" s="2189">
        <f>+('Fauna Acompañante'!AN246)</f>
        <v>0</v>
      </c>
      <c r="F74" s="2189">
        <f>+('Fauna Acompañante'!AO246)</f>
        <v>0</v>
      </c>
      <c r="G74" s="2189">
        <f>+('Fauna Acompañante'!AP246)</f>
        <v>0</v>
      </c>
      <c r="H74" s="2189">
        <f>+('Fauna Acompañante'!AQ246)</f>
        <v>0</v>
      </c>
      <c r="I74" s="2189">
        <f>+('Fauna Acompañante'!AR246)</f>
        <v>0</v>
      </c>
      <c r="J74" s="2189">
        <f>+('Fauna Acompañante'!AS246)</f>
        <v>0</v>
      </c>
      <c r="K74" s="2189">
        <f>+('Fauna Acompañante'!AT246)</f>
        <v>0</v>
      </c>
      <c r="L74" s="2189">
        <f>+('Fauna Acompañante'!AU246)</f>
        <v>0</v>
      </c>
      <c r="M74" s="2189">
        <f>+('Fauna Acompañante'!AV246)</f>
        <v>0</v>
      </c>
      <c r="N74" s="2189">
        <f>+('Fauna Acompañante'!AW246)</f>
        <v>0</v>
      </c>
      <c r="O74" s="2189">
        <f>+('Fauna Acompañante'!AX246)</f>
        <v>0</v>
      </c>
      <c r="P74" s="2189">
        <f>+('Fauna Acompañante'!AY246)</f>
        <v>0</v>
      </c>
      <c r="Q74" s="2189">
        <f>+('Fauna Acompañante'!AZ246)</f>
        <v>2.5939999999999999</v>
      </c>
      <c r="R74" s="2189">
        <f>+('Fauna Acompañante'!BA246)</f>
        <v>0</v>
      </c>
      <c r="S74" s="2189">
        <f>+('Fauna Acompañante'!BB246)</f>
        <v>0</v>
      </c>
      <c r="T74" s="2189">
        <f>+('Fauna Acompañante'!BC246)</f>
        <v>0.40899999999999997</v>
      </c>
      <c r="U74" s="2189">
        <f>+('Fauna Acompañante'!BD246)</f>
        <v>0</v>
      </c>
      <c r="V74" s="2189">
        <f>+('Fauna Acompañante'!BE246)</f>
        <v>0</v>
      </c>
      <c r="W74" s="2189">
        <f>+('Fauna Acompañante'!BF246)</f>
        <v>0</v>
      </c>
      <c r="X74" s="2189">
        <f>+('Fauna Acompañante'!BG246)</f>
        <v>0</v>
      </c>
      <c r="Y74" s="2189">
        <f>+('Fauna Acompañante'!BH246)</f>
        <v>0.311</v>
      </c>
      <c r="Z74" s="2189">
        <f>+('Fauna Acompañante'!BI246)</f>
        <v>0</v>
      </c>
      <c r="AA74" s="2189">
        <f>+('Fauna Acompañante'!BJ246)</f>
        <v>0</v>
      </c>
      <c r="AB74" s="2189">
        <f>+('Fauna Acompañante'!BK246)</f>
        <v>0</v>
      </c>
      <c r="AC74" s="2189">
        <f>+('Fauna Acompañante'!BL246)</f>
        <v>0</v>
      </c>
      <c r="AD74" s="2189">
        <f>+('Fauna Acompañante'!BM246)</f>
        <v>0</v>
      </c>
      <c r="AE74" s="2189">
        <f>+('Fauna Acompañante'!BN246)</f>
        <v>0</v>
      </c>
      <c r="AF74" s="2189">
        <f>+('Fauna Acompañante'!BO246)</f>
        <v>0</v>
      </c>
      <c r="AG74" s="2189">
        <f>+('Fauna Acompañante'!BP246)</f>
        <v>0</v>
      </c>
      <c r="AH74" s="2188">
        <f t="shared" si="13"/>
        <v>3.3139999999999996</v>
      </c>
    </row>
    <row r="75" spans="1:34" ht="15">
      <c r="A75" s="1746" t="s">
        <v>77</v>
      </c>
      <c r="B75" s="1749">
        <f t="shared" si="12"/>
        <v>2.669</v>
      </c>
      <c r="C75" s="2189">
        <f>+('Fauna Acompañante'!AL247)</f>
        <v>0</v>
      </c>
      <c r="D75" s="2189">
        <f>+('Fauna Acompañante'!AM247)</f>
        <v>0</v>
      </c>
      <c r="E75" s="2189">
        <f>+('Fauna Acompañante'!AN247)</f>
        <v>0</v>
      </c>
      <c r="F75" s="2189">
        <f>+('Fauna Acompañante'!AO247)</f>
        <v>0</v>
      </c>
      <c r="G75" s="2189">
        <f>+('Fauna Acompañante'!AP247)</f>
        <v>0</v>
      </c>
      <c r="H75" s="2189">
        <f>+('Fauna Acompañante'!AQ247)</f>
        <v>0</v>
      </c>
      <c r="I75" s="2189">
        <f>+('Fauna Acompañante'!AR247)</f>
        <v>1.4810000000000001</v>
      </c>
      <c r="J75" s="2189">
        <f>+('Fauna Acompañante'!AS247)</f>
        <v>0</v>
      </c>
      <c r="K75" s="2189">
        <f>+('Fauna Acompañante'!AT247)</f>
        <v>0</v>
      </c>
      <c r="L75" s="2189">
        <f>+('Fauna Acompañante'!AU247)</f>
        <v>0</v>
      </c>
      <c r="M75" s="2189">
        <f>+('Fauna Acompañante'!AV247)</f>
        <v>0</v>
      </c>
      <c r="N75" s="2189">
        <f>+('Fauna Acompañante'!AW247)</f>
        <v>0</v>
      </c>
      <c r="O75" s="2189">
        <f>+('Fauna Acompañante'!AX247)</f>
        <v>0</v>
      </c>
      <c r="P75" s="2189">
        <f>+('Fauna Acompañante'!AY247)</f>
        <v>0</v>
      </c>
      <c r="Q75" s="2189">
        <f>+('Fauna Acompañante'!AZ247)</f>
        <v>0</v>
      </c>
      <c r="R75" s="2189">
        <f>+('Fauna Acompañante'!BA247)</f>
        <v>0</v>
      </c>
      <c r="S75" s="2189">
        <f>+('Fauna Acompañante'!BB247)</f>
        <v>0</v>
      </c>
      <c r="T75" s="2189">
        <f>+('Fauna Acompañante'!BC247)</f>
        <v>0</v>
      </c>
      <c r="U75" s="2189">
        <f>+('Fauna Acompañante'!BD247)</f>
        <v>0</v>
      </c>
      <c r="V75" s="2189">
        <f>+('Fauna Acompañante'!BE247)</f>
        <v>0</v>
      </c>
      <c r="W75" s="2189">
        <f>+('Fauna Acompañante'!BF247)</f>
        <v>1.1879999999999999</v>
      </c>
      <c r="X75" s="2189">
        <f>+('Fauna Acompañante'!BG247)</f>
        <v>0</v>
      </c>
      <c r="Y75" s="2189">
        <f>+('Fauna Acompañante'!BH247)</f>
        <v>0</v>
      </c>
      <c r="Z75" s="2189">
        <f>+('Fauna Acompañante'!BI247)</f>
        <v>0</v>
      </c>
      <c r="AA75" s="2189">
        <f>+('Fauna Acompañante'!BJ247)</f>
        <v>0</v>
      </c>
      <c r="AB75" s="2189">
        <f>+('Fauna Acompañante'!BK247)</f>
        <v>0</v>
      </c>
      <c r="AC75" s="2189">
        <f>+('Fauna Acompañante'!BL247)</f>
        <v>0</v>
      </c>
      <c r="AD75" s="2189">
        <f>+('Fauna Acompañante'!BM247)</f>
        <v>0</v>
      </c>
      <c r="AE75" s="2189">
        <f>+('Fauna Acompañante'!BN247)</f>
        <v>0</v>
      </c>
      <c r="AF75" s="2189">
        <f>+('Fauna Acompañante'!BO247)</f>
        <v>0</v>
      </c>
      <c r="AG75" s="2189">
        <f>+('Fauna Acompañante'!BP247)</f>
        <v>0</v>
      </c>
      <c r="AH75" s="2188">
        <f t="shared" si="13"/>
        <v>2.669</v>
      </c>
    </row>
    <row r="76" spans="1:34" ht="15">
      <c r="A76" s="1746" t="s">
        <v>78</v>
      </c>
      <c r="B76" s="1749">
        <f t="shared" si="12"/>
        <v>0</v>
      </c>
      <c r="C76" s="2189">
        <f>+('Fauna Acompañante'!AL248)</f>
        <v>0</v>
      </c>
      <c r="D76" s="2189">
        <f>+('Fauna Acompañante'!AM248)</f>
        <v>0</v>
      </c>
      <c r="E76" s="2189">
        <f>+('Fauna Acompañante'!AN248)</f>
        <v>0</v>
      </c>
      <c r="F76" s="2189">
        <f>+('Fauna Acompañante'!AO248)</f>
        <v>0</v>
      </c>
      <c r="G76" s="2189">
        <f>+('Fauna Acompañante'!AP248)</f>
        <v>0</v>
      </c>
      <c r="H76" s="2189">
        <f>+('Fauna Acompañante'!AQ248)</f>
        <v>0</v>
      </c>
      <c r="I76" s="2189">
        <f>+('Fauna Acompañante'!AR248)</f>
        <v>0</v>
      </c>
      <c r="J76" s="2189">
        <f>+('Fauna Acompañante'!AS248)</f>
        <v>0</v>
      </c>
      <c r="K76" s="2189">
        <f>+('Fauna Acompañante'!AT248)</f>
        <v>0</v>
      </c>
      <c r="L76" s="2189">
        <f>+('Fauna Acompañante'!AU248)</f>
        <v>0</v>
      </c>
      <c r="M76" s="2189">
        <f>+('Fauna Acompañante'!AV248)</f>
        <v>0</v>
      </c>
      <c r="N76" s="2189">
        <f>+('Fauna Acompañante'!AW248)</f>
        <v>0</v>
      </c>
      <c r="O76" s="2189">
        <f>+('Fauna Acompañante'!AX248)</f>
        <v>0</v>
      </c>
      <c r="P76" s="2189">
        <f>+('Fauna Acompañante'!AY248)</f>
        <v>0</v>
      </c>
      <c r="Q76" s="2189">
        <f>+('Fauna Acompañante'!AZ248)</f>
        <v>0</v>
      </c>
      <c r="R76" s="2189">
        <f>+('Fauna Acompañante'!BA248)</f>
        <v>0</v>
      </c>
      <c r="S76" s="2189">
        <f>+('Fauna Acompañante'!BB248)</f>
        <v>0</v>
      </c>
      <c r="T76" s="2189">
        <f>+('Fauna Acompañante'!BC248)</f>
        <v>0</v>
      </c>
      <c r="U76" s="2189">
        <f>+('Fauna Acompañante'!BD248)</f>
        <v>0</v>
      </c>
      <c r="V76" s="2189">
        <f>+('Fauna Acompañante'!BE248)</f>
        <v>0</v>
      </c>
      <c r="W76" s="2189">
        <f>+('Fauna Acompañante'!BF248)</f>
        <v>0</v>
      </c>
      <c r="X76" s="2189">
        <f>+('Fauna Acompañante'!BG248)</f>
        <v>0</v>
      </c>
      <c r="Y76" s="2189">
        <f>+('Fauna Acompañante'!BH248)</f>
        <v>0</v>
      </c>
      <c r="Z76" s="2189">
        <f>+('Fauna Acompañante'!BI248)</f>
        <v>0</v>
      </c>
      <c r="AA76" s="2189">
        <f>+('Fauna Acompañante'!BJ248)</f>
        <v>0</v>
      </c>
      <c r="AB76" s="2189">
        <f>+('Fauna Acompañante'!BK248)</f>
        <v>0</v>
      </c>
      <c r="AC76" s="2189">
        <f>+('Fauna Acompañante'!BL248)</f>
        <v>0</v>
      </c>
      <c r="AD76" s="2189">
        <f>+('Fauna Acompañante'!BM248)</f>
        <v>0</v>
      </c>
      <c r="AE76" s="2189">
        <f>+('Fauna Acompañante'!BN248)</f>
        <v>0</v>
      </c>
      <c r="AF76" s="2189">
        <f>+('Fauna Acompañante'!BO248)</f>
        <v>0</v>
      </c>
      <c r="AG76" s="2189">
        <f>+('Fauna Acompañante'!BP248)</f>
        <v>0</v>
      </c>
      <c r="AH76" s="2188">
        <f t="shared" si="13"/>
        <v>0</v>
      </c>
    </row>
    <row r="77" spans="1:34" ht="15">
      <c r="A77" s="1746" t="s">
        <v>79</v>
      </c>
      <c r="B77" s="1749">
        <f t="shared" si="12"/>
        <v>0</v>
      </c>
      <c r="C77" s="2189">
        <f>+('Fauna Acompañante'!AL249)</f>
        <v>0</v>
      </c>
      <c r="D77" s="2189">
        <f>+('Fauna Acompañante'!AM249)</f>
        <v>0</v>
      </c>
      <c r="E77" s="2189">
        <f>+('Fauna Acompañante'!AN249)</f>
        <v>0</v>
      </c>
      <c r="F77" s="2189">
        <f>+('Fauna Acompañante'!AO249)</f>
        <v>0</v>
      </c>
      <c r="G77" s="2189">
        <f>+('Fauna Acompañante'!AP249)</f>
        <v>0</v>
      </c>
      <c r="H77" s="2189">
        <f>+('Fauna Acompañante'!AQ249)</f>
        <v>0</v>
      </c>
      <c r="I77" s="2189">
        <f>+('Fauna Acompañante'!AR249)</f>
        <v>0</v>
      </c>
      <c r="J77" s="2189">
        <f>+('Fauna Acompañante'!AS249)</f>
        <v>0</v>
      </c>
      <c r="K77" s="2189">
        <f>+('Fauna Acompañante'!AT249)</f>
        <v>0</v>
      </c>
      <c r="L77" s="2189">
        <f>+('Fauna Acompañante'!AU249)</f>
        <v>0</v>
      </c>
      <c r="M77" s="2189">
        <f>+('Fauna Acompañante'!AV249)</f>
        <v>0</v>
      </c>
      <c r="N77" s="2189">
        <f>+('Fauna Acompañante'!AW249)</f>
        <v>0</v>
      </c>
      <c r="O77" s="2189">
        <f>+('Fauna Acompañante'!AX249)</f>
        <v>0</v>
      </c>
      <c r="P77" s="2189">
        <f>+('Fauna Acompañante'!AY249)</f>
        <v>0</v>
      </c>
      <c r="Q77" s="2189">
        <f>+('Fauna Acompañante'!AZ249)</f>
        <v>0</v>
      </c>
      <c r="R77" s="2189">
        <f>+('Fauna Acompañante'!BA249)</f>
        <v>0</v>
      </c>
      <c r="S77" s="2189">
        <f>+('Fauna Acompañante'!BB249)</f>
        <v>0</v>
      </c>
      <c r="T77" s="2189">
        <f>+('Fauna Acompañante'!BC249)</f>
        <v>0</v>
      </c>
      <c r="U77" s="2189">
        <f>+('Fauna Acompañante'!BD249)</f>
        <v>0</v>
      </c>
      <c r="V77" s="2189">
        <f>+('Fauna Acompañante'!BE249)</f>
        <v>0</v>
      </c>
      <c r="W77" s="2189">
        <f>+('Fauna Acompañante'!BF249)</f>
        <v>0</v>
      </c>
      <c r="X77" s="2189">
        <f>+('Fauna Acompañante'!BG249)</f>
        <v>0</v>
      </c>
      <c r="Y77" s="2189">
        <f>+('Fauna Acompañante'!BH249)</f>
        <v>0</v>
      </c>
      <c r="Z77" s="2189">
        <f>+('Fauna Acompañante'!BI249)</f>
        <v>0</v>
      </c>
      <c r="AA77" s="2189">
        <f>+('Fauna Acompañante'!BJ249)</f>
        <v>0</v>
      </c>
      <c r="AB77" s="2189">
        <f>+('Fauna Acompañante'!BK249)</f>
        <v>0</v>
      </c>
      <c r="AC77" s="2189">
        <f>+('Fauna Acompañante'!BL249)</f>
        <v>0</v>
      </c>
      <c r="AD77" s="2189">
        <f>+('Fauna Acompañante'!BM249)</f>
        <v>0</v>
      </c>
      <c r="AE77" s="2189">
        <f>+('Fauna Acompañante'!BN249)</f>
        <v>0</v>
      </c>
      <c r="AF77" s="2189">
        <f>+('Fauna Acompañante'!BO249)</f>
        <v>0</v>
      </c>
      <c r="AG77" s="2189">
        <f>+('Fauna Acompañante'!BP249)</f>
        <v>0</v>
      </c>
      <c r="AH77" s="2188">
        <f t="shared" si="13"/>
        <v>0</v>
      </c>
    </row>
    <row r="78" spans="1:34" ht="15">
      <c r="A78" s="1746" t="s">
        <v>80</v>
      </c>
      <c r="B78" s="1749">
        <f t="shared" si="12"/>
        <v>0</v>
      </c>
      <c r="C78" s="2189">
        <f>+('Fauna Acompañante'!AL250)</f>
        <v>0</v>
      </c>
      <c r="D78" s="2189">
        <f>+('Fauna Acompañante'!AM250)</f>
        <v>0</v>
      </c>
      <c r="E78" s="2189">
        <f>+('Fauna Acompañante'!AN250)</f>
        <v>0</v>
      </c>
      <c r="F78" s="2189">
        <f>+('Fauna Acompañante'!AO250)</f>
        <v>0</v>
      </c>
      <c r="G78" s="2189">
        <f>+('Fauna Acompañante'!AP250)</f>
        <v>0</v>
      </c>
      <c r="H78" s="2189">
        <f>+('Fauna Acompañante'!AQ250)</f>
        <v>0</v>
      </c>
      <c r="I78" s="2189">
        <f>+('Fauna Acompañante'!AR250)</f>
        <v>0</v>
      </c>
      <c r="J78" s="2189">
        <f>+('Fauna Acompañante'!AS250)</f>
        <v>0</v>
      </c>
      <c r="K78" s="2189">
        <f>+('Fauna Acompañante'!AT250)</f>
        <v>0</v>
      </c>
      <c r="L78" s="2189">
        <f>+('Fauna Acompañante'!AU250)</f>
        <v>0</v>
      </c>
      <c r="M78" s="2189">
        <f>+('Fauna Acompañante'!AV250)</f>
        <v>0</v>
      </c>
      <c r="N78" s="2189">
        <f>+('Fauna Acompañante'!AW250)</f>
        <v>0</v>
      </c>
      <c r="O78" s="2189">
        <f>+('Fauna Acompañante'!AX250)</f>
        <v>0</v>
      </c>
      <c r="P78" s="2189">
        <f>+('Fauna Acompañante'!AY250)</f>
        <v>0</v>
      </c>
      <c r="Q78" s="2189">
        <f>+('Fauna Acompañante'!AZ250)</f>
        <v>0</v>
      </c>
      <c r="R78" s="2189">
        <f>+('Fauna Acompañante'!BA250)</f>
        <v>0</v>
      </c>
      <c r="S78" s="2189">
        <f>+('Fauna Acompañante'!BB250)</f>
        <v>0</v>
      </c>
      <c r="T78" s="2189">
        <f>+('Fauna Acompañante'!BC250)</f>
        <v>0</v>
      </c>
      <c r="U78" s="2189">
        <f>+('Fauna Acompañante'!BD250)</f>
        <v>0</v>
      </c>
      <c r="V78" s="2189">
        <f>+('Fauna Acompañante'!BE250)</f>
        <v>0</v>
      </c>
      <c r="W78" s="2189">
        <f>+('Fauna Acompañante'!BF250)</f>
        <v>0</v>
      </c>
      <c r="X78" s="2189">
        <f>+('Fauna Acompañante'!BG250)</f>
        <v>0</v>
      </c>
      <c r="Y78" s="2189">
        <f>+('Fauna Acompañante'!BH250)</f>
        <v>0</v>
      </c>
      <c r="Z78" s="2189">
        <f>+('Fauna Acompañante'!BI250)</f>
        <v>0</v>
      </c>
      <c r="AA78" s="2189">
        <f>+('Fauna Acompañante'!BJ250)</f>
        <v>0</v>
      </c>
      <c r="AB78" s="2189">
        <f>+('Fauna Acompañante'!BK250)</f>
        <v>0</v>
      </c>
      <c r="AC78" s="2189">
        <f>+('Fauna Acompañante'!BL250)</f>
        <v>0</v>
      </c>
      <c r="AD78" s="2189">
        <f>+('Fauna Acompañante'!BM250)</f>
        <v>0</v>
      </c>
      <c r="AE78" s="2189">
        <f>+('Fauna Acompañante'!BN250)</f>
        <v>0</v>
      </c>
      <c r="AF78" s="2189">
        <f>+('Fauna Acompañante'!BO250)</f>
        <v>0</v>
      </c>
      <c r="AG78" s="2189">
        <f>+('Fauna Acompañante'!BP250)</f>
        <v>0</v>
      </c>
      <c r="AH78" s="2188">
        <f t="shared" si="13"/>
        <v>0</v>
      </c>
    </row>
    <row r="79" spans="1:34" ht="15">
      <c r="A79" s="1746" t="s">
        <v>81</v>
      </c>
      <c r="B79" s="1749">
        <f t="shared" si="12"/>
        <v>0</v>
      </c>
      <c r="C79" s="2189">
        <f>+('Fauna Acompañante'!AL251)</f>
        <v>0</v>
      </c>
      <c r="D79" s="2189">
        <f>+('Fauna Acompañante'!AM251)</f>
        <v>0</v>
      </c>
      <c r="E79" s="2189">
        <f>+('Fauna Acompañante'!AN251)</f>
        <v>0</v>
      </c>
      <c r="F79" s="2189">
        <f>+('Fauna Acompañante'!AO251)</f>
        <v>0</v>
      </c>
      <c r="G79" s="2189">
        <f>+('Fauna Acompañante'!AP251)</f>
        <v>0</v>
      </c>
      <c r="H79" s="2189">
        <f>+('Fauna Acompañante'!AQ251)</f>
        <v>0</v>
      </c>
      <c r="I79" s="2189">
        <f>+('Fauna Acompañante'!AR251)</f>
        <v>0</v>
      </c>
      <c r="J79" s="2189">
        <f>+('Fauna Acompañante'!AS251)</f>
        <v>0</v>
      </c>
      <c r="K79" s="2189">
        <f>+('Fauna Acompañante'!AT251)</f>
        <v>0</v>
      </c>
      <c r="L79" s="2189">
        <f>+('Fauna Acompañante'!AU251)</f>
        <v>0</v>
      </c>
      <c r="M79" s="2189">
        <f>+('Fauna Acompañante'!AV251)</f>
        <v>0</v>
      </c>
      <c r="N79" s="2189">
        <f>+('Fauna Acompañante'!AW251)</f>
        <v>0</v>
      </c>
      <c r="O79" s="2189">
        <f>+('Fauna Acompañante'!AX251)</f>
        <v>0</v>
      </c>
      <c r="P79" s="2189">
        <f>+('Fauna Acompañante'!AY251)</f>
        <v>0</v>
      </c>
      <c r="Q79" s="2189">
        <f>+('Fauna Acompañante'!AZ251)</f>
        <v>0</v>
      </c>
      <c r="R79" s="2189">
        <f>+('Fauna Acompañante'!BA251)</f>
        <v>0</v>
      </c>
      <c r="S79" s="2189">
        <f>+('Fauna Acompañante'!BB251)</f>
        <v>0</v>
      </c>
      <c r="T79" s="2189">
        <f>+('Fauna Acompañante'!BC251)</f>
        <v>0</v>
      </c>
      <c r="U79" s="2189">
        <f>+('Fauna Acompañante'!BD251)</f>
        <v>0</v>
      </c>
      <c r="V79" s="2189">
        <f>+('Fauna Acompañante'!BE251)</f>
        <v>0</v>
      </c>
      <c r="W79" s="2189">
        <f>+('Fauna Acompañante'!BF251)</f>
        <v>0</v>
      </c>
      <c r="X79" s="2189">
        <f>+('Fauna Acompañante'!BG251)</f>
        <v>0</v>
      </c>
      <c r="Y79" s="2189">
        <f>+('Fauna Acompañante'!BH251)</f>
        <v>0</v>
      </c>
      <c r="Z79" s="2189">
        <f>+('Fauna Acompañante'!BI251)</f>
        <v>0</v>
      </c>
      <c r="AA79" s="2189">
        <f>+('Fauna Acompañante'!BJ251)</f>
        <v>0</v>
      </c>
      <c r="AB79" s="2189">
        <f>+('Fauna Acompañante'!BK251)</f>
        <v>0</v>
      </c>
      <c r="AC79" s="2189">
        <f>+('Fauna Acompañante'!BL251)</f>
        <v>0</v>
      </c>
      <c r="AD79" s="2189">
        <f>+('Fauna Acompañante'!BM251)</f>
        <v>0</v>
      </c>
      <c r="AE79" s="2189">
        <f>+('Fauna Acompañante'!BN251)</f>
        <v>0</v>
      </c>
      <c r="AF79" s="2189">
        <f>+('Fauna Acompañante'!BO251)</f>
        <v>0</v>
      </c>
      <c r="AG79" s="2189">
        <f>+('Fauna Acompañante'!BP251)</f>
        <v>0</v>
      </c>
      <c r="AH79" s="2188">
        <f t="shared" si="13"/>
        <v>0</v>
      </c>
    </row>
    <row r="80" spans="1:34" ht="15">
      <c r="A80" s="1746" t="s">
        <v>82</v>
      </c>
      <c r="B80" s="1749">
        <f t="shared" si="12"/>
        <v>0</v>
      </c>
      <c r="C80" s="2189">
        <f>+('Fauna Acompañante'!AL252)</f>
        <v>0</v>
      </c>
      <c r="D80" s="2189">
        <f>+('Fauna Acompañante'!AM252)</f>
        <v>0</v>
      </c>
      <c r="E80" s="2189">
        <f>+('Fauna Acompañante'!AN252)</f>
        <v>0</v>
      </c>
      <c r="F80" s="2189">
        <f>+('Fauna Acompañante'!AO252)</f>
        <v>0</v>
      </c>
      <c r="G80" s="2189">
        <f>+('Fauna Acompañante'!AP252)</f>
        <v>0</v>
      </c>
      <c r="H80" s="2189">
        <f>+('Fauna Acompañante'!AQ252)</f>
        <v>0</v>
      </c>
      <c r="I80" s="2189">
        <f>+('Fauna Acompañante'!AR252)</f>
        <v>0</v>
      </c>
      <c r="J80" s="2189">
        <f>+('Fauna Acompañante'!AS252)</f>
        <v>0</v>
      </c>
      <c r="K80" s="2189">
        <f>+('Fauna Acompañante'!AT252)</f>
        <v>0</v>
      </c>
      <c r="L80" s="2189">
        <f>+('Fauna Acompañante'!AU252)</f>
        <v>0</v>
      </c>
      <c r="M80" s="2189">
        <f>+('Fauna Acompañante'!AV252)</f>
        <v>0</v>
      </c>
      <c r="N80" s="2189">
        <f>+('Fauna Acompañante'!AW252)</f>
        <v>0</v>
      </c>
      <c r="O80" s="2189">
        <f>+('Fauna Acompañante'!AX252)</f>
        <v>0</v>
      </c>
      <c r="P80" s="2189">
        <f>+('Fauna Acompañante'!AY252)</f>
        <v>0</v>
      </c>
      <c r="Q80" s="2189">
        <f>+('Fauna Acompañante'!AZ252)</f>
        <v>0</v>
      </c>
      <c r="R80" s="2189">
        <f>+('Fauna Acompañante'!BA252)</f>
        <v>0</v>
      </c>
      <c r="S80" s="2189">
        <f>+('Fauna Acompañante'!BB252)</f>
        <v>0</v>
      </c>
      <c r="T80" s="2189">
        <f>+('Fauna Acompañante'!BC252)</f>
        <v>0</v>
      </c>
      <c r="U80" s="2189">
        <f>+('Fauna Acompañante'!BD252)</f>
        <v>0</v>
      </c>
      <c r="V80" s="2189">
        <f>+('Fauna Acompañante'!BE252)</f>
        <v>0</v>
      </c>
      <c r="W80" s="2189">
        <f>+('Fauna Acompañante'!BF252)</f>
        <v>0</v>
      </c>
      <c r="X80" s="2189">
        <f>+('Fauna Acompañante'!BG252)</f>
        <v>0</v>
      </c>
      <c r="Y80" s="2189">
        <f>+('Fauna Acompañante'!BH252)</f>
        <v>0</v>
      </c>
      <c r="Z80" s="2189">
        <f>+('Fauna Acompañante'!BI252)</f>
        <v>0</v>
      </c>
      <c r="AA80" s="2189">
        <f>+('Fauna Acompañante'!BJ252)</f>
        <v>0</v>
      </c>
      <c r="AB80" s="2189">
        <f>+('Fauna Acompañante'!BK252)</f>
        <v>0</v>
      </c>
      <c r="AC80" s="2189">
        <f>+('Fauna Acompañante'!BL252)</f>
        <v>0</v>
      </c>
      <c r="AD80" s="2189">
        <f>+('Fauna Acompañante'!BM252)</f>
        <v>0</v>
      </c>
      <c r="AE80" s="2189">
        <f>+('Fauna Acompañante'!BN252)</f>
        <v>0</v>
      </c>
      <c r="AF80" s="2189">
        <f>+('Fauna Acompañante'!BO252)</f>
        <v>0</v>
      </c>
      <c r="AG80" s="2189">
        <f>+('Fauna Acompañante'!BP252)</f>
        <v>0</v>
      </c>
      <c r="AH80" s="2188">
        <f t="shared" si="13"/>
        <v>0</v>
      </c>
    </row>
    <row r="81" spans="1:34" ht="15">
      <c r="A81" s="1746" t="s">
        <v>83</v>
      </c>
      <c r="B81" s="1749">
        <f t="shared" si="12"/>
        <v>1.954</v>
      </c>
      <c r="C81" s="2189">
        <f>+('Fauna Acompañante'!AL253)</f>
        <v>0</v>
      </c>
      <c r="D81" s="2189">
        <f>+('Fauna Acompañante'!AM253)</f>
        <v>0</v>
      </c>
      <c r="E81" s="2189">
        <f>+('Fauna Acompañante'!AN253)</f>
        <v>0</v>
      </c>
      <c r="F81" s="2189">
        <f>+('Fauna Acompañante'!AO253)</f>
        <v>0</v>
      </c>
      <c r="G81" s="2189">
        <f>+('Fauna Acompañante'!AP253)</f>
        <v>0</v>
      </c>
      <c r="H81" s="2189">
        <f>+('Fauna Acompañante'!AQ253)</f>
        <v>0.47499999999999998</v>
      </c>
      <c r="I81" s="2189">
        <f>+('Fauna Acompañante'!AR253)</f>
        <v>0</v>
      </c>
      <c r="J81" s="2189">
        <f>+('Fauna Acompañante'!AS253)</f>
        <v>0</v>
      </c>
      <c r="K81" s="2189">
        <f>+('Fauna Acompañante'!AT253)</f>
        <v>0</v>
      </c>
      <c r="L81" s="2189">
        <f>+('Fauna Acompañante'!AU253)</f>
        <v>0</v>
      </c>
      <c r="M81" s="2189">
        <f>+('Fauna Acompañante'!AV253)</f>
        <v>0.39</v>
      </c>
      <c r="N81" s="2189">
        <f>+('Fauna Acompañante'!AW253)</f>
        <v>0</v>
      </c>
      <c r="O81" s="2189">
        <f>+('Fauna Acompañante'!AX253)</f>
        <v>0.52</v>
      </c>
      <c r="P81" s="2189">
        <f>+('Fauna Acompañante'!AY253)</f>
        <v>0.56899999999999995</v>
      </c>
      <c r="Q81" s="2189">
        <f>+('Fauna Acompañante'!AZ253)</f>
        <v>0</v>
      </c>
      <c r="R81" s="2189">
        <f>+('Fauna Acompañante'!BA253)</f>
        <v>0</v>
      </c>
      <c r="S81" s="2189">
        <f>+('Fauna Acompañante'!BB253)</f>
        <v>0</v>
      </c>
      <c r="T81" s="2189">
        <f>+('Fauna Acompañante'!BC253)</f>
        <v>0</v>
      </c>
      <c r="U81" s="2189">
        <f>+('Fauna Acompañante'!BD253)</f>
        <v>0</v>
      </c>
      <c r="V81" s="2189">
        <f>+('Fauna Acompañante'!BE253)</f>
        <v>0</v>
      </c>
      <c r="W81" s="2189">
        <f>+('Fauna Acompañante'!BF253)</f>
        <v>0</v>
      </c>
      <c r="X81" s="2189">
        <f>+('Fauna Acompañante'!BG253)</f>
        <v>0</v>
      </c>
      <c r="Y81" s="2189">
        <f>+('Fauna Acompañante'!BH253)</f>
        <v>0</v>
      </c>
      <c r="Z81" s="2189">
        <f>+('Fauna Acompañante'!BI253)</f>
        <v>0</v>
      </c>
      <c r="AA81" s="2189">
        <f>+('Fauna Acompañante'!BJ253)</f>
        <v>0</v>
      </c>
      <c r="AB81" s="2189">
        <f>+('Fauna Acompañante'!BK253)</f>
        <v>0</v>
      </c>
      <c r="AC81" s="2189">
        <f>+('Fauna Acompañante'!BL253)</f>
        <v>0</v>
      </c>
      <c r="AD81" s="2189">
        <f>+('Fauna Acompañante'!BM253)</f>
        <v>0</v>
      </c>
      <c r="AE81" s="2189">
        <f>+('Fauna Acompañante'!BN253)</f>
        <v>0</v>
      </c>
      <c r="AF81" s="2189">
        <f>+('Fauna Acompañante'!BO253)</f>
        <v>0</v>
      </c>
      <c r="AG81" s="2189">
        <f>+('Fauna Acompañante'!BP253)</f>
        <v>0</v>
      </c>
      <c r="AH81" s="2188">
        <f t="shared" si="13"/>
        <v>1.954</v>
      </c>
    </row>
    <row r="82" spans="1:34" ht="15">
      <c r="A82" s="1746" t="s">
        <v>84</v>
      </c>
      <c r="B82" s="1749">
        <f t="shared" si="12"/>
        <v>0.45</v>
      </c>
      <c r="C82" s="2189">
        <f>+('Fauna Acompañante'!AL254)</f>
        <v>0</v>
      </c>
      <c r="D82" s="2189">
        <f>+('Fauna Acompañante'!AM254)</f>
        <v>0</v>
      </c>
      <c r="E82" s="2189">
        <f>+('Fauna Acompañante'!AN254)</f>
        <v>0</v>
      </c>
      <c r="F82" s="2189">
        <f>+('Fauna Acompañante'!AO254)</f>
        <v>0</v>
      </c>
      <c r="G82" s="2189">
        <f>+('Fauna Acompañante'!AP254)</f>
        <v>0</v>
      </c>
      <c r="H82" s="2189">
        <f>+('Fauna Acompañante'!AQ254)</f>
        <v>0</v>
      </c>
      <c r="I82" s="2189">
        <f>+('Fauna Acompañante'!AR254)</f>
        <v>0</v>
      </c>
      <c r="J82" s="2189">
        <f>+('Fauna Acompañante'!AS254)</f>
        <v>0</v>
      </c>
      <c r="K82" s="2189">
        <f>+('Fauna Acompañante'!AT254)</f>
        <v>0</v>
      </c>
      <c r="L82" s="2189">
        <f>+('Fauna Acompañante'!AU254)</f>
        <v>0</v>
      </c>
      <c r="M82" s="2189">
        <f>+('Fauna Acompañante'!AV254)</f>
        <v>0</v>
      </c>
      <c r="N82" s="2189">
        <f>+('Fauna Acompañante'!AW254)</f>
        <v>0</v>
      </c>
      <c r="O82" s="2189">
        <f>+('Fauna Acompañante'!AX254)</f>
        <v>0</v>
      </c>
      <c r="P82" s="2189">
        <f>+('Fauna Acompañante'!AY254)</f>
        <v>0</v>
      </c>
      <c r="Q82" s="2189">
        <f>+('Fauna Acompañante'!AZ254)</f>
        <v>0</v>
      </c>
      <c r="R82" s="2189">
        <f>+('Fauna Acompañante'!BA254)</f>
        <v>0.45</v>
      </c>
      <c r="S82" s="2189">
        <f>+('Fauna Acompañante'!BB254)</f>
        <v>0</v>
      </c>
      <c r="T82" s="2189">
        <f>+('Fauna Acompañante'!BC254)</f>
        <v>0</v>
      </c>
      <c r="U82" s="2189">
        <f>+('Fauna Acompañante'!BD254)</f>
        <v>0</v>
      </c>
      <c r="V82" s="2189">
        <f>+('Fauna Acompañante'!BE254)</f>
        <v>0</v>
      </c>
      <c r="W82" s="2189">
        <f>+('Fauna Acompañante'!BF254)</f>
        <v>0</v>
      </c>
      <c r="X82" s="2189">
        <f>+('Fauna Acompañante'!BG254)</f>
        <v>0</v>
      </c>
      <c r="Y82" s="2189">
        <f>+('Fauna Acompañante'!BH254)</f>
        <v>0</v>
      </c>
      <c r="Z82" s="2189">
        <f>+('Fauna Acompañante'!BI254)</f>
        <v>0</v>
      </c>
      <c r="AA82" s="2189">
        <f>+('Fauna Acompañante'!BJ254)</f>
        <v>0</v>
      </c>
      <c r="AB82" s="2189">
        <f>+('Fauna Acompañante'!BK254)</f>
        <v>0</v>
      </c>
      <c r="AC82" s="2189">
        <f>+('Fauna Acompañante'!BL254)</f>
        <v>0</v>
      </c>
      <c r="AD82" s="2189">
        <f>+('Fauna Acompañante'!BM254)</f>
        <v>0</v>
      </c>
      <c r="AE82" s="2189">
        <f>+('Fauna Acompañante'!BN254)</f>
        <v>0</v>
      </c>
      <c r="AF82" s="2189">
        <f>+('Fauna Acompañante'!BO254)</f>
        <v>0</v>
      </c>
      <c r="AG82" s="2189">
        <f>+('Fauna Acompañante'!BP254)</f>
        <v>0</v>
      </c>
      <c r="AH82" s="2188">
        <f t="shared" si="13"/>
        <v>0.45</v>
      </c>
    </row>
    <row r="83" spans="1:34" ht="15">
      <c r="A83" s="1746" t="s">
        <v>85</v>
      </c>
      <c r="B83" s="1749">
        <f t="shared" si="12"/>
        <v>2.2750000000000004</v>
      </c>
      <c r="C83" s="2189">
        <f>+('Fauna Acompañante'!AL255)</f>
        <v>0</v>
      </c>
      <c r="D83" s="2189">
        <f>+('Fauna Acompañante'!AM255)</f>
        <v>0</v>
      </c>
      <c r="E83" s="2189">
        <f>+('Fauna Acompañante'!AN255)</f>
        <v>0</v>
      </c>
      <c r="F83" s="2189">
        <f>+('Fauna Acompañante'!AO255)</f>
        <v>0</v>
      </c>
      <c r="G83" s="2189">
        <f>+('Fauna Acompañante'!AP255)</f>
        <v>0</v>
      </c>
      <c r="H83" s="2189">
        <f>+('Fauna Acompañante'!AQ255)</f>
        <v>0</v>
      </c>
      <c r="I83" s="2189">
        <f>+('Fauna Acompañante'!AR255)</f>
        <v>0</v>
      </c>
      <c r="J83" s="2189">
        <f>+('Fauna Acompañante'!AS255)</f>
        <v>0</v>
      </c>
      <c r="K83" s="2189">
        <f>+('Fauna Acompañante'!AT255)</f>
        <v>0</v>
      </c>
      <c r="L83" s="2189">
        <f>+('Fauna Acompañante'!AU255)</f>
        <v>0</v>
      </c>
      <c r="M83" s="2189">
        <f>+('Fauna Acompañante'!AV255)</f>
        <v>0</v>
      </c>
      <c r="N83" s="2189">
        <f>+('Fauna Acompañante'!AW255)</f>
        <v>0</v>
      </c>
      <c r="O83" s="2189">
        <f>+('Fauna Acompañante'!AX255)</f>
        <v>0</v>
      </c>
      <c r="P83" s="2189">
        <f>+('Fauna Acompañante'!AY255)</f>
        <v>0</v>
      </c>
      <c r="Q83" s="2189">
        <f>+('Fauna Acompañante'!AZ255)</f>
        <v>0</v>
      </c>
      <c r="R83" s="2189">
        <f>+('Fauna Acompañante'!BA255)</f>
        <v>0</v>
      </c>
      <c r="S83" s="2189">
        <f>+('Fauna Acompañante'!BB255)</f>
        <v>0</v>
      </c>
      <c r="T83" s="2189">
        <f>+('Fauna Acompañante'!BC255)</f>
        <v>0</v>
      </c>
      <c r="U83" s="2189">
        <f>+('Fauna Acompañante'!BD255)</f>
        <v>0</v>
      </c>
      <c r="V83" s="2189">
        <f>+('Fauna Acompañante'!BE255)</f>
        <v>0</v>
      </c>
      <c r="W83" s="2189">
        <f>+('Fauna Acompañante'!BF255)</f>
        <v>0</v>
      </c>
      <c r="X83" s="2189">
        <f>+('Fauna Acompañante'!BG255)</f>
        <v>0.55200000000000005</v>
      </c>
      <c r="Y83" s="2189">
        <f>+('Fauna Acompañante'!BH255)</f>
        <v>0</v>
      </c>
      <c r="Z83" s="2189">
        <f>+('Fauna Acompañante'!BI255)</f>
        <v>0</v>
      </c>
      <c r="AA83" s="2189">
        <f>+('Fauna Acompañante'!BJ255)</f>
        <v>0</v>
      </c>
      <c r="AB83" s="2189">
        <f>+('Fauna Acompañante'!BK255)</f>
        <v>0</v>
      </c>
      <c r="AC83" s="2189">
        <f>+('Fauna Acompañante'!BL255)</f>
        <v>0</v>
      </c>
      <c r="AD83" s="2189">
        <f>+('Fauna Acompañante'!BM255)</f>
        <v>0</v>
      </c>
      <c r="AE83" s="2189">
        <f>+('Fauna Acompañante'!BN255)</f>
        <v>0</v>
      </c>
      <c r="AF83" s="2189">
        <f>+('Fauna Acompañante'!BO255)</f>
        <v>1.7230000000000001</v>
      </c>
      <c r="AG83" s="2189">
        <f>+('Fauna Acompañante'!BP255)</f>
        <v>0</v>
      </c>
      <c r="AH83" s="2188">
        <f t="shared" si="13"/>
        <v>2.2750000000000004</v>
      </c>
    </row>
    <row r="84" spans="1:34" ht="15">
      <c r="A84" s="1746" t="s">
        <v>86</v>
      </c>
      <c r="B84" s="1749">
        <f t="shared" si="12"/>
        <v>15.594000000000001</v>
      </c>
      <c r="C84" s="2189">
        <f>+('Fauna Acompañante'!AL256)</f>
        <v>0</v>
      </c>
      <c r="D84" s="2189">
        <f>+('Fauna Acompañante'!AM256)</f>
        <v>0</v>
      </c>
      <c r="E84" s="2189">
        <f>+('Fauna Acompañante'!AN256)</f>
        <v>5.601</v>
      </c>
      <c r="F84" s="2189">
        <f>+('Fauna Acompañante'!AO256)</f>
        <v>0.247</v>
      </c>
      <c r="G84" s="2189">
        <f>+('Fauna Acompañante'!AP256)</f>
        <v>7.9640000000000004</v>
      </c>
      <c r="H84" s="2189">
        <f>+('Fauna Acompañante'!AQ256)</f>
        <v>0.38400000000000001</v>
      </c>
      <c r="I84" s="2189">
        <f>+('Fauna Acompañante'!AR256)</f>
        <v>0</v>
      </c>
      <c r="J84" s="2189">
        <f>+('Fauna Acompañante'!AS256)</f>
        <v>0</v>
      </c>
      <c r="K84" s="2189">
        <f>+('Fauna Acompañante'!AT256)</f>
        <v>1.3979999999999999</v>
      </c>
      <c r="L84" s="2189">
        <f>+('Fauna Acompañante'!AU256)</f>
        <v>0</v>
      </c>
      <c r="M84" s="2189">
        <f>+('Fauna Acompañante'!AV256)</f>
        <v>0</v>
      </c>
      <c r="N84" s="2189">
        <f>+('Fauna Acompañante'!AW256)</f>
        <v>0</v>
      </c>
      <c r="O84" s="2189">
        <f>+('Fauna Acompañante'!AX256)</f>
        <v>0</v>
      </c>
      <c r="P84" s="2189">
        <f>+('Fauna Acompañante'!AY256)</f>
        <v>0</v>
      </c>
      <c r="Q84" s="2189">
        <f>+('Fauna Acompañante'!AZ256)</f>
        <v>0</v>
      </c>
      <c r="R84" s="2189">
        <f>+('Fauna Acompañante'!BA256)</f>
        <v>0</v>
      </c>
      <c r="S84" s="2189">
        <f>+('Fauna Acompañante'!BB256)</f>
        <v>0</v>
      </c>
      <c r="T84" s="2189">
        <f>+('Fauna Acompañante'!BC256)</f>
        <v>0</v>
      </c>
      <c r="U84" s="2189">
        <f>+('Fauna Acompañante'!BD256)</f>
        <v>0</v>
      </c>
      <c r="V84" s="2189">
        <f>+('Fauna Acompañante'!BE256)</f>
        <v>0</v>
      </c>
      <c r="W84" s="2189">
        <f>+('Fauna Acompañante'!BF256)</f>
        <v>0</v>
      </c>
      <c r="X84" s="2189">
        <f>+('Fauna Acompañante'!BG256)</f>
        <v>0</v>
      </c>
      <c r="Y84" s="2189">
        <f>+('Fauna Acompañante'!BH256)</f>
        <v>0</v>
      </c>
      <c r="Z84" s="2189">
        <f>+('Fauna Acompañante'!BI256)</f>
        <v>0</v>
      </c>
      <c r="AA84" s="2189">
        <f>+('Fauna Acompañante'!BJ256)</f>
        <v>0</v>
      </c>
      <c r="AB84" s="2189">
        <f>+('Fauna Acompañante'!BK256)</f>
        <v>0</v>
      </c>
      <c r="AC84" s="2189">
        <f>+('Fauna Acompañante'!BL256)</f>
        <v>0</v>
      </c>
      <c r="AD84" s="2189">
        <f>+('Fauna Acompañante'!BM256)</f>
        <v>0</v>
      </c>
      <c r="AE84" s="2189">
        <f>+('Fauna Acompañante'!BN256)</f>
        <v>0</v>
      </c>
      <c r="AF84" s="2189">
        <f>+('Fauna Acompañante'!BO256)</f>
        <v>0</v>
      </c>
      <c r="AG84" s="2189">
        <f>+('Fauna Acompañante'!BP256)</f>
        <v>0</v>
      </c>
      <c r="AH84" s="2188">
        <f t="shared" si="13"/>
        <v>15.594000000000001</v>
      </c>
    </row>
    <row r="85" spans="1:34" ht="15">
      <c r="A85" s="2191" t="s">
        <v>74</v>
      </c>
      <c r="B85" s="2190">
        <f t="shared" ref="B85:AH85" si="14">SUM(B73:B84)</f>
        <v>26.256</v>
      </c>
      <c r="C85" s="2189">
        <f t="shared" si="14"/>
        <v>0</v>
      </c>
      <c r="D85" s="2189">
        <f t="shared" si="14"/>
        <v>0</v>
      </c>
      <c r="E85" s="2189">
        <f t="shared" si="14"/>
        <v>5.601</v>
      </c>
      <c r="F85" s="2189">
        <f t="shared" si="14"/>
        <v>0.247</v>
      </c>
      <c r="G85" s="2189">
        <f t="shared" si="14"/>
        <v>7.9640000000000004</v>
      </c>
      <c r="H85" s="2189">
        <f t="shared" si="14"/>
        <v>0.85899999999999999</v>
      </c>
      <c r="I85" s="2189">
        <f t="shared" si="14"/>
        <v>1.4810000000000001</v>
      </c>
      <c r="J85" s="2189">
        <f t="shared" si="14"/>
        <v>0</v>
      </c>
      <c r="K85" s="2189">
        <f t="shared" si="14"/>
        <v>1.3979999999999999</v>
      </c>
      <c r="L85" s="2189">
        <f t="shared" si="14"/>
        <v>0</v>
      </c>
      <c r="M85" s="2189">
        <f t="shared" si="14"/>
        <v>0.39</v>
      </c>
      <c r="N85" s="2189">
        <f t="shared" si="14"/>
        <v>0</v>
      </c>
      <c r="O85" s="2189">
        <f t="shared" si="14"/>
        <v>0.52</v>
      </c>
      <c r="P85" s="2189">
        <f t="shared" si="14"/>
        <v>0.56899999999999995</v>
      </c>
      <c r="Q85" s="2189">
        <f t="shared" si="14"/>
        <v>2.5939999999999999</v>
      </c>
      <c r="R85" s="2189">
        <f t="shared" si="14"/>
        <v>0.45</v>
      </c>
      <c r="S85" s="2189">
        <f t="shared" si="14"/>
        <v>0</v>
      </c>
      <c r="T85" s="2189">
        <f t="shared" si="14"/>
        <v>0.40899999999999997</v>
      </c>
      <c r="U85" s="2189">
        <f t="shared" si="14"/>
        <v>0</v>
      </c>
      <c r="V85" s="2189">
        <f t="shared" si="14"/>
        <v>0</v>
      </c>
      <c r="W85" s="2189">
        <f t="shared" si="14"/>
        <v>1.1879999999999999</v>
      </c>
      <c r="X85" s="2189">
        <f t="shared" si="14"/>
        <v>0.55200000000000005</v>
      </c>
      <c r="Y85" s="2189">
        <f t="shared" si="14"/>
        <v>0.311</v>
      </c>
      <c r="Z85" s="2189">
        <f t="shared" si="14"/>
        <v>0</v>
      </c>
      <c r="AA85" s="2189">
        <f t="shared" si="14"/>
        <v>0</v>
      </c>
      <c r="AB85" s="2189">
        <f t="shared" si="14"/>
        <v>0</v>
      </c>
      <c r="AC85" s="2189">
        <f t="shared" si="14"/>
        <v>0</v>
      </c>
      <c r="AD85" s="2189">
        <f t="shared" si="14"/>
        <v>0</v>
      </c>
      <c r="AE85" s="2189">
        <f t="shared" si="14"/>
        <v>0</v>
      </c>
      <c r="AF85" s="2189">
        <f t="shared" si="14"/>
        <v>1.7230000000000001</v>
      </c>
      <c r="AG85" s="2189">
        <f t="shared" si="14"/>
        <v>0</v>
      </c>
      <c r="AH85" s="2188">
        <f t="shared" si="14"/>
        <v>26.256</v>
      </c>
    </row>
    <row r="88" spans="1:34" ht="15">
      <c r="A88" s="3772" t="s">
        <v>643</v>
      </c>
      <c r="B88" s="3773"/>
      <c r="C88" s="3773"/>
      <c r="D88" s="3773"/>
      <c r="E88" s="3773"/>
      <c r="F88" s="3773"/>
      <c r="G88" s="3773"/>
      <c r="H88" s="3773"/>
      <c r="I88" s="3773"/>
      <c r="J88" s="3773"/>
      <c r="K88" s="3773"/>
      <c r="L88" s="3773"/>
      <c r="M88" s="3773"/>
      <c r="N88" s="3773"/>
      <c r="O88" s="3773"/>
      <c r="P88" s="3773"/>
      <c r="Q88" s="3773"/>
      <c r="R88" s="3773"/>
      <c r="S88" s="3773"/>
      <c r="T88" s="3774"/>
      <c r="U88" s="2187"/>
      <c r="V88" s="2187"/>
      <c r="W88" s="2187"/>
      <c r="X88" s="2187"/>
      <c r="Y88" s="2187"/>
      <c r="Z88" s="2187"/>
      <c r="AA88" s="2187"/>
      <c r="AB88" s="2187"/>
      <c r="AC88" s="2187"/>
      <c r="AD88" s="2187"/>
      <c r="AE88" s="2187"/>
      <c r="AF88" s="2187"/>
      <c r="AG88" s="2187"/>
      <c r="AH88" s="2187"/>
    </row>
    <row r="89" spans="1:34">
      <c r="A89" s="2187"/>
      <c r="B89" s="2187"/>
      <c r="C89" s="2187"/>
      <c r="D89" s="2187"/>
      <c r="E89" s="2187"/>
      <c r="F89" s="2187"/>
      <c r="G89" s="2187"/>
      <c r="H89" s="2187"/>
      <c r="I89" s="2187"/>
      <c r="J89" s="2187"/>
      <c r="K89" s="2187"/>
      <c r="L89" s="2187"/>
      <c r="M89" s="2187"/>
      <c r="N89" s="2187"/>
      <c r="O89" s="2187"/>
      <c r="P89" s="2187"/>
      <c r="Q89" s="2187"/>
      <c r="R89" s="2187"/>
      <c r="S89" s="2187"/>
      <c r="T89" s="2187"/>
      <c r="U89" s="2187"/>
      <c r="V89" s="2187"/>
      <c r="W89" s="2187"/>
      <c r="X89" s="2187"/>
      <c r="Y89" s="2187"/>
      <c r="Z89" s="2187"/>
      <c r="AA89" s="2187"/>
      <c r="AB89" s="2187"/>
      <c r="AC89" s="2187"/>
      <c r="AD89" s="2187"/>
      <c r="AE89" s="2187"/>
      <c r="AF89" s="2187"/>
      <c r="AG89" s="2187"/>
      <c r="AH89" s="2187"/>
    </row>
    <row r="90" spans="1:34">
      <c r="A90" s="2187"/>
      <c r="B90" s="2187"/>
      <c r="C90" s="2187"/>
      <c r="D90" s="2187"/>
      <c r="E90" s="2187"/>
      <c r="F90" s="2187"/>
      <c r="G90" s="2187"/>
      <c r="H90" s="2187"/>
      <c r="I90" s="2187"/>
      <c r="J90" s="2187"/>
      <c r="K90" s="2187"/>
      <c r="L90" s="2187"/>
      <c r="M90" s="2187"/>
      <c r="N90" s="2187"/>
      <c r="O90" s="2187"/>
      <c r="P90" s="2187"/>
      <c r="Q90" s="2187"/>
      <c r="R90" s="2187"/>
      <c r="S90" s="2187"/>
      <c r="T90" s="2187"/>
      <c r="U90" s="2187"/>
      <c r="V90" s="2187"/>
      <c r="W90" s="2187"/>
      <c r="X90" s="2187"/>
      <c r="Y90" s="2187"/>
      <c r="Z90" s="2187"/>
      <c r="AA90" s="2187"/>
      <c r="AB90" s="2187"/>
      <c r="AC90" s="2187"/>
      <c r="AD90" s="2187"/>
      <c r="AE90" s="2187"/>
      <c r="AF90" s="2187"/>
      <c r="AG90" s="2187"/>
      <c r="AH90" s="2187"/>
    </row>
    <row r="91" spans="1:34" ht="15">
      <c r="A91" s="3772" t="s">
        <v>625</v>
      </c>
      <c r="B91" s="3773"/>
      <c r="C91" s="3774"/>
      <c r="D91" s="2185"/>
      <c r="E91" s="2185"/>
      <c r="F91" s="2185"/>
      <c r="G91" s="2185"/>
      <c r="H91" s="2185"/>
      <c r="I91" s="2185"/>
      <c r="J91" s="2185"/>
      <c r="K91" s="2185"/>
      <c r="L91" s="2185"/>
      <c r="M91" s="2186"/>
      <c r="N91" s="2185"/>
      <c r="O91" s="2185"/>
      <c r="P91" s="2185"/>
      <c r="Q91" s="2185"/>
      <c r="R91" s="2185"/>
      <c r="S91" s="2185"/>
      <c r="T91" s="2185"/>
      <c r="U91" s="2185"/>
      <c r="V91" s="2185"/>
      <c r="W91" s="2185"/>
      <c r="X91" s="2185"/>
      <c r="Y91" s="2185"/>
      <c r="Z91" s="2185"/>
      <c r="AA91" s="2185"/>
      <c r="AB91" s="2185"/>
      <c r="AC91" s="2185"/>
      <c r="AD91" s="2185"/>
      <c r="AE91" s="2185"/>
      <c r="AF91" s="2185"/>
      <c r="AG91" s="2185"/>
      <c r="AH91" s="2185"/>
    </row>
    <row r="92" spans="1:34" ht="15">
      <c r="A92" s="1845" t="s">
        <v>72</v>
      </c>
      <c r="B92" s="1845" t="s">
        <v>73</v>
      </c>
      <c r="C92" s="1845">
        <v>1</v>
      </c>
      <c r="D92" s="1845">
        <v>2</v>
      </c>
      <c r="E92" s="1845">
        <v>3</v>
      </c>
      <c r="F92" s="1845">
        <v>4</v>
      </c>
      <c r="G92" s="1845">
        <v>5</v>
      </c>
      <c r="H92" s="1845">
        <v>6</v>
      </c>
      <c r="I92" s="1845">
        <v>7</v>
      </c>
      <c r="J92" s="1845">
        <v>8</v>
      </c>
      <c r="K92" s="1845">
        <v>9</v>
      </c>
      <c r="L92" s="1845">
        <v>10</v>
      </c>
      <c r="M92" s="1845">
        <v>11</v>
      </c>
      <c r="N92" s="1845">
        <v>12</v>
      </c>
      <c r="O92" s="1845">
        <v>13</v>
      </c>
      <c r="P92" s="1845">
        <v>14</v>
      </c>
      <c r="Q92" s="1845">
        <v>15</v>
      </c>
      <c r="R92" s="1845">
        <v>16</v>
      </c>
      <c r="S92" s="1845">
        <v>17</v>
      </c>
      <c r="T92" s="1845">
        <v>18</v>
      </c>
      <c r="U92" s="1845">
        <v>19</v>
      </c>
      <c r="V92" s="1845">
        <v>20</v>
      </c>
      <c r="W92" s="1845">
        <v>21</v>
      </c>
      <c r="X92" s="1845">
        <v>22</v>
      </c>
      <c r="Y92" s="1845">
        <v>23</v>
      </c>
      <c r="Z92" s="1845">
        <v>24</v>
      </c>
      <c r="AA92" s="1845">
        <v>25</v>
      </c>
      <c r="AB92" s="1845">
        <v>26</v>
      </c>
      <c r="AC92" s="1845">
        <v>27</v>
      </c>
      <c r="AD92" s="1845">
        <v>28</v>
      </c>
      <c r="AE92" s="1845">
        <v>29</v>
      </c>
      <c r="AF92" s="1845">
        <v>30</v>
      </c>
      <c r="AG92" s="1845">
        <v>31</v>
      </c>
      <c r="AH92" s="2184" t="s">
        <v>74</v>
      </c>
    </row>
    <row r="93" spans="1:34" ht="15">
      <c r="A93" s="1845" t="s">
        <v>75</v>
      </c>
      <c r="B93" s="1846">
        <f t="shared" ref="B93:B104" si="15">+AH93</f>
        <v>0.93200000000000005</v>
      </c>
      <c r="C93" s="2181">
        <f>+'Fauna Acompañante'!BU197</f>
        <v>0</v>
      </c>
      <c r="D93" s="2181">
        <f>+'Fauna Acompañante'!BV197</f>
        <v>0</v>
      </c>
      <c r="E93" s="2181">
        <f>+'Fauna Acompañante'!BW197</f>
        <v>0</v>
      </c>
      <c r="F93" s="2181">
        <f>+'Fauna Acompañante'!BX197</f>
        <v>5.7000000000000002E-2</v>
      </c>
      <c r="G93" s="2181">
        <f>+'Fauna Acompañante'!BY197</f>
        <v>0.03</v>
      </c>
      <c r="H93" s="2181">
        <f>+'Fauna Acompañante'!BZ197</f>
        <v>8.6999999999999994E-2</v>
      </c>
      <c r="I93" s="2181">
        <f>+'Fauna Acompañante'!CA197</f>
        <v>4.0000000000000001E-3</v>
      </c>
      <c r="J93" s="2181">
        <f>+'Fauna Acompañante'!CB197</f>
        <v>0</v>
      </c>
      <c r="K93" s="2181">
        <f>+'Fauna Acompañante'!CC197</f>
        <v>5.5999999999999994E-2</v>
      </c>
      <c r="L93" s="2181">
        <f>+'Fauna Acompañante'!CD197</f>
        <v>1.9E-2</v>
      </c>
      <c r="M93" s="2181">
        <f>+'Fauna Acompañante'!CE197</f>
        <v>8.4999999999999992E-2</v>
      </c>
      <c r="N93" s="2181">
        <f>+'Fauna Acompañante'!CF197</f>
        <v>0.11600000000000001</v>
      </c>
      <c r="O93" s="2181">
        <f>+'Fauna Acompañante'!CG197</f>
        <v>0</v>
      </c>
      <c r="P93" s="2181">
        <f>+'Fauna Acompañante'!CH197</f>
        <v>0</v>
      </c>
      <c r="Q93" s="2181">
        <f>+'Fauna Acompañante'!CI197</f>
        <v>7.1999999999999995E-2</v>
      </c>
      <c r="R93" s="2181">
        <f>+'Fauna Acompañante'!CJ197</f>
        <v>7.1999999999999995E-2</v>
      </c>
      <c r="S93" s="2181">
        <f>+'Fauna Acompañante'!CK197</f>
        <v>0.01</v>
      </c>
      <c r="T93" s="2181">
        <f>+'Fauna Acompañante'!CL197</f>
        <v>0.05</v>
      </c>
      <c r="U93" s="2181">
        <f>+'Fauna Acompañante'!CM197</f>
        <v>0</v>
      </c>
      <c r="V93" s="2181">
        <f>+'Fauna Acompañante'!CN197</f>
        <v>0.04</v>
      </c>
      <c r="W93" s="2181">
        <f>+'Fauna Acompañante'!CO197</f>
        <v>0</v>
      </c>
      <c r="X93" s="2181">
        <f>+'Fauna Acompañante'!CP197</f>
        <v>0.04</v>
      </c>
      <c r="Y93" s="2181">
        <f>+'Fauna Acompañante'!CQ197</f>
        <v>0.13</v>
      </c>
      <c r="Z93" s="2181">
        <f>+'Fauna Acompañante'!CR197</f>
        <v>0</v>
      </c>
      <c r="AA93" s="2181">
        <f>+'Fauna Acompañante'!CS197</f>
        <v>0</v>
      </c>
      <c r="AB93" s="2181">
        <f>+'Fauna Acompañante'!CT197</f>
        <v>0</v>
      </c>
      <c r="AC93" s="2181">
        <f>+'Fauna Acompañante'!CU197</f>
        <v>5.3999999999999999E-2</v>
      </c>
      <c r="AD93" s="2181">
        <f>+'Fauna Acompañante'!CV197</f>
        <v>0</v>
      </c>
      <c r="AE93" s="2181">
        <f>+'Fauna Acompañante'!CW197</f>
        <v>0</v>
      </c>
      <c r="AF93" s="2181">
        <f>+'Fauna Acompañante'!CX197</f>
        <v>0.01</v>
      </c>
      <c r="AG93" s="2181">
        <f>+'Fauna Acompañante'!CY197</f>
        <v>0</v>
      </c>
      <c r="AH93" s="2180">
        <f t="shared" ref="AH93:AH104" si="16">SUM(C93:AG93)</f>
        <v>0.93200000000000005</v>
      </c>
    </row>
    <row r="94" spans="1:34" ht="15">
      <c r="A94" s="1845" t="s">
        <v>76</v>
      </c>
      <c r="B94" s="1846">
        <f t="shared" si="15"/>
        <v>0.11100000000000002</v>
      </c>
      <c r="C94" s="2181">
        <f>+'Fauna Acompañante'!BU198</f>
        <v>0</v>
      </c>
      <c r="D94" s="2181">
        <f>+'Fauna Acompañante'!BV198</f>
        <v>0.04</v>
      </c>
      <c r="E94" s="2181">
        <f>+'Fauna Acompañante'!BW198</f>
        <v>0</v>
      </c>
      <c r="F94" s="2181">
        <f>+'Fauna Acompañante'!BX198</f>
        <v>0</v>
      </c>
      <c r="G94" s="2181">
        <f>+'Fauna Acompañante'!BY198</f>
        <v>3.0000000000000001E-3</v>
      </c>
      <c r="H94" s="2181">
        <f>+'Fauna Acompañante'!BZ198</f>
        <v>0</v>
      </c>
      <c r="I94" s="2181">
        <f>+'Fauna Acompañante'!CA198</f>
        <v>3.3000000000000002E-2</v>
      </c>
      <c r="J94" s="2181">
        <f>+'Fauna Acompañante'!CB198</f>
        <v>0.01</v>
      </c>
      <c r="K94" s="2181">
        <f>+'Fauna Acompañante'!CC198</f>
        <v>1.4999999999999999E-2</v>
      </c>
      <c r="L94" s="2181">
        <f>+'Fauna Acompañante'!CD198</f>
        <v>0</v>
      </c>
      <c r="M94" s="2181">
        <f>+'Fauna Acompañante'!CE198</f>
        <v>5.0000000000000001E-3</v>
      </c>
      <c r="N94" s="2181">
        <f>+'Fauna Acompañante'!CF198</f>
        <v>0</v>
      </c>
      <c r="O94" s="2181">
        <f>+'Fauna Acompañante'!CG198</f>
        <v>0</v>
      </c>
      <c r="P94" s="2181">
        <f>+'Fauna Acompañante'!CH198</f>
        <v>0</v>
      </c>
      <c r="Q94" s="2181">
        <f>+'Fauna Acompañante'!CI198</f>
        <v>0</v>
      </c>
      <c r="R94" s="2181">
        <f>+'Fauna Acompañante'!CJ198</f>
        <v>0</v>
      </c>
      <c r="S94" s="2181">
        <f>+'Fauna Acompañante'!CK198</f>
        <v>0</v>
      </c>
      <c r="T94" s="2181">
        <f>+'Fauna Acompañante'!CL198</f>
        <v>3.0000000000000001E-3</v>
      </c>
      <c r="U94" s="2181">
        <f>+'Fauna Acompañante'!CM198</f>
        <v>0</v>
      </c>
      <c r="V94" s="2181">
        <f>+'Fauna Acompañante'!CN198</f>
        <v>0</v>
      </c>
      <c r="W94" s="2181">
        <f>+'Fauna Acompañante'!CO198</f>
        <v>2E-3</v>
      </c>
      <c r="X94" s="2181">
        <f>+'Fauna Acompañante'!CP198</f>
        <v>0</v>
      </c>
      <c r="Y94" s="2181">
        <f>+'Fauna Acompañante'!CQ198</f>
        <v>0</v>
      </c>
      <c r="Z94" s="2181">
        <f>+'Fauna Acompañante'!CR198</f>
        <v>0</v>
      </c>
      <c r="AA94" s="2181">
        <f>+'Fauna Acompañante'!CS198</f>
        <v>0</v>
      </c>
      <c r="AB94" s="2181">
        <f>+'Fauna Acompañante'!CT198</f>
        <v>0</v>
      </c>
      <c r="AC94" s="2181">
        <f>+'Fauna Acompañante'!CU198</f>
        <v>0</v>
      </c>
      <c r="AD94" s="2181">
        <f>+'Fauna Acompañante'!CV198</f>
        <v>0</v>
      </c>
      <c r="AE94" s="2181">
        <f>+'Fauna Acompañante'!CW198</f>
        <v>0</v>
      </c>
      <c r="AF94" s="2181">
        <f>+'Fauna Acompañante'!CX198</f>
        <v>0</v>
      </c>
      <c r="AG94" s="2181">
        <f>+'Fauna Acompañante'!CY198</f>
        <v>0</v>
      </c>
      <c r="AH94" s="2180">
        <f t="shared" si="16"/>
        <v>0.11100000000000002</v>
      </c>
    </row>
    <row r="95" spans="1:34" ht="15">
      <c r="A95" s="1845" t="s">
        <v>77</v>
      </c>
      <c r="B95" s="1846">
        <f t="shared" si="15"/>
        <v>8.6999999999999994E-2</v>
      </c>
      <c r="C95" s="2181">
        <f>+'Fauna Acompañante'!BU199</f>
        <v>0</v>
      </c>
      <c r="D95" s="2181">
        <f>+'Fauna Acompañante'!BV199</f>
        <v>0</v>
      </c>
      <c r="E95" s="2181">
        <f>+'Fauna Acompañante'!BW199</f>
        <v>0</v>
      </c>
      <c r="F95" s="2181">
        <f>+'Fauna Acompañante'!BX199</f>
        <v>0</v>
      </c>
      <c r="G95" s="2181">
        <f>+'Fauna Acompañante'!BY199</f>
        <v>0</v>
      </c>
      <c r="H95" s="2181">
        <f>+'Fauna Acompañante'!BZ199</f>
        <v>0</v>
      </c>
      <c r="I95" s="2181">
        <f>+'Fauna Acompañante'!CA199</f>
        <v>0</v>
      </c>
      <c r="J95" s="2181">
        <f>+'Fauna Acompañante'!CB199</f>
        <v>0</v>
      </c>
      <c r="K95" s="2181">
        <f>+'Fauna Acompañante'!CC199</f>
        <v>0</v>
      </c>
      <c r="L95" s="2181">
        <f>+'Fauna Acompañante'!CD199</f>
        <v>0</v>
      </c>
      <c r="M95" s="2181">
        <f>+'Fauna Acompañante'!CE199</f>
        <v>0</v>
      </c>
      <c r="N95" s="2181">
        <f>+'Fauna Acompañante'!CF199</f>
        <v>0</v>
      </c>
      <c r="O95" s="2181">
        <f>+'Fauna Acompañante'!CG199</f>
        <v>0</v>
      </c>
      <c r="P95" s="2181">
        <f>+'Fauna Acompañante'!CH199</f>
        <v>0</v>
      </c>
      <c r="Q95" s="2181">
        <f>+'Fauna Acompañante'!CI199</f>
        <v>0</v>
      </c>
      <c r="R95" s="2181">
        <f>+'Fauna Acompañante'!CJ199</f>
        <v>0.01</v>
      </c>
      <c r="S95" s="2181">
        <f>+'Fauna Acompañante'!CK199</f>
        <v>0</v>
      </c>
      <c r="T95" s="2181">
        <f>+'Fauna Acompañante'!CL199</f>
        <v>0</v>
      </c>
      <c r="U95" s="2181">
        <f>+'Fauna Acompañante'!CM199</f>
        <v>0.02</v>
      </c>
      <c r="V95" s="2181">
        <f>+'Fauna Acompañante'!CN199</f>
        <v>0</v>
      </c>
      <c r="W95" s="2181">
        <f>+'Fauna Acompañante'!CO199</f>
        <v>0.02</v>
      </c>
      <c r="X95" s="2181">
        <f>+'Fauna Acompañante'!CP199</f>
        <v>0</v>
      </c>
      <c r="Y95" s="2181">
        <f>+'Fauna Acompañante'!CQ199</f>
        <v>0</v>
      </c>
      <c r="Z95" s="2181">
        <f>+'Fauna Acompañante'!CR199</f>
        <v>0</v>
      </c>
      <c r="AA95" s="2181">
        <f>+'Fauna Acompañante'!CS199</f>
        <v>0</v>
      </c>
      <c r="AB95" s="2181">
        <f>+'Fauna Acompañante'!CT199</f>
        <v>0</v>
      </c>
      <c r="AC95" s="2181">
        <f>+'Fauna Acompañante'!CU199</f>
        <v>1.7000000000000001E-2</v>
      </c>
      <c r="AD95" s="2181">
        <f>+'Fauna Acompañante'!CV199</f>
        <v>0.01</v>
      </c>
      <c r="AE95" s="2181">
        <f>+'Fauna Acompañante'!CW199</f>
        <v>0.01</v>
      </c>
      <c r="AF95" s="2181">
        <f>+'Fauna Acompañante'!CX199</f>
        <v>0</v>
      </c>
      <c r="AG95" s="2181">
        <f>+'Fauna Acompañante'!CY199</f>
        <v>0</v>
      </c>
      <c r="AH95" s="2180">
        <f t="shared" si="16"/>
        <v>8.6999999999999994E-2</v>
      </c>
    </row>
    <row r="96" spans="1:34" ht="15">
      <c r="A96" s="1845" t="s">
        <v>78</v>
      </c>
      <c r="B96" s="1846">
        <f t="shared" si="15"/>
        <v>0</v>
      </c>
      <c r="C96" s="2181">
        <f>+'Fauna Acompañante'!BU200</f>
        <v>0</v>
      </c>
      <c r="D96" s="2181">
        <f>+'Fauna Acompañante'!BV200</f>
        <v>0</v>
      </c>
      <c r="E96" s="2181">
        <f>+'Fauna Acompañante'!BW200</f>
        <v>0</v>
      </c>
      <c r="F96" s="2181">
        <f>+'Fauna Acompañante'!BX200</f>
        <v>0</v>
      </c>
      <c r="G96" s="2181">
        <f>+'Fauna Acompañante'!BY200</f>
        <v>0</v>
      </c>
      <c r="H96" s="2181">
        <f>+'Fauna Acompañante'!BZ200</f>
        <v>0</v>
      </c>
      <c r="I96" s="2181">
        <f>+'Fauna Acompañante'!CA200</f>
        <v>0</v>
      </c>
      <c r="J96" s="2181">
        <f>+'Fauna Acompañante'!CB200</f>
        <v>0</v>
      </c>
      <c r="K96" s="2181">
        <f>+'Fauna Acompañante'!CC200</f>
        <v>0</v>
      </c>
      <c r="L96" s="2181">
        <f>+'Fauna Acompañante'!CD200</f>
        <v>0</v>
      </c>
      <c r="M96" s="2181">
        <f>+'Fauna Acompañante'!CE200</f>
        <v>0</v>
      </c>
      <c r="N96" s="2181">
        <f>+'Fauna Acompañante'!CF200</f>
        <v>0</v>
      </c>
      <c r="O96" s="2181">
        <f>+'Fauna Acompañante'!CG200</f>
        <v>0</v>
      </c>
      <c r="P96" s="2181">
        <f>+'Fauna Acompañante'!CH200</f>
        <v>0</v>
      </c>
      <c r="Q96" s="2181">
        <f>+'Fauna Acompañante'!CI200</f>
        <v>0</v>
      </c>
      <c r="R96" s="2181">
        <f>+'Fauna Acompañante'!CJ200</f>
        <v>0</v>
      </c>
      <c r="S96" s="2181">
        <f>+'Fauna Acompañante'!CK200</f>
        <v>0</v>
      </c>
      <c r="T96" s="2181">
        <f>+'Fauna Acompañante'!CL200</f>
        <v>0</v>
      </c>
      <c r="U96" s="2181">
        <f>+'Fauna Acompañante'!CM200</f>
        <v>0</v>
      </c>
      <c r="V96" s="2181">
        <f>+'Fauna Acompañante'!CN200</f>
        <v>0</v>
      </c>
      <c r="W96" s="2181">
        <f>+'Fauna Acompañante'!CO200</f>
        <v>0</v>
      </c>
      <c r="X96" s="2181">
        <f>+'Fauna Acompañante'!CP200</f>
        <v>0</v>
      </c>
      <c r="Y96" s="2181">
        <f>+'Fauna Acompañante'!CQ200</f>
        <v>0</v>
      </c>
      <c r="Z96" s="2181">
        <f>+'Fauna Acompañante'!CR200</f>
        <v>0</v>
      </c>
      <c r="AA96" s="2181">
        <f>+'Fauna Acompañante'!CS200</f>
        <v>0</v>
      </c>
      <c r="AB96" s="2181">
        <f>+'Fauna Acompañante'!CT200</f>
        <v>0</v>
      </c>
      <c r="AC96" s="2181">
        <f>+'Fauna Acompañante'!CU200</f>
        <v>0</v>
      </c>
      <c r="AD96" s="2181">
        <f>+'Fauna Acompañante'!CV200</f>
        <v>0</v>
      </c>
      <c r="AE96" s="2181">
        <f>+'Fauna Acompañante'!CW200</f>
        <v>0</v>
      </c>
      <c r="AF96" s="2181">
        <f>+'Fauna Acompañante'!CX200</f>
        <v>0</v>
      </c>
      <c r="AG96" s="2181">
        <f>+'Fauna Acompañante'!CY200</f>
        <v>0</v>
      </c>
      <c r="AH96" s="2180">
        <f t="shared" si="16"/>
        <v>0</v>
      </c>
    </row>
    <row r="97" spans="1:34" ht="15">
      <c r="A97" s="1845" t="s">
        <v>79</v>
      </c>
      <c r="B97" s="1846">
        <f t="shared" si="15"/>
        <v>0.03</v>
      </c>
      <c r="C97" s="2181">
        <f>+'Fauna Acompañante'!BU201</f>
        <v>0.02</v>
      </c>
      <c r="D97" s="2181">
        <f>+'Fauna Acompañante'!BV201</f>
        <v>0</v>
      </c>
      <c r="E97" s="2181">
        <f>+'Fauna Acompañante'!BW201</f>
        <v>0</v>
      </c>
      <c r="F97" s="2181">
        <f>+'Fauna Acompañante'!BX201</f>
        <v>0</v>
      </c>
      <c r="G97" s="2181">
        <f>+'Fauna Acompañante'!BY201</f>
        <v>0</v>
      </c>
      <c r="H97" s="2181">
        <f>+'Fauna Acompañante'!BZ201</f>
        <v>0</v>
      </c>
      <c r="I97" s="2181">
        <f>+'Fauna Acompañante'!CA201</f>
        <v>0</v>
      </c>
      <c r="J97" s="2181">
        <f>+'Fauna Acompañante'!CB201</f>
        <v>0</v>
      </c>
      <c r="K97" s="2181">
        <f>+'Fauna Acompañante'!CC201</f>
        <v>0</v>
      </c>
      <c r="L97" s="2181">
        <f>+'Fauna Acompañante'!CD201</f>
        <v>0</v>
      </c>
      <c r="M97" s="2181">
        <f>+'Fauna Acompañante'!CE201</f>
        <v>0</v>
      </c>
      <c r="N97" s="2181">
        <f>+'Fauna Acompañante'!CF201</f>
        <v>0</v>
      </c>
      <c r="O97" s="2181">
        <f>+'Fauna Acompañante'!CG201</f>
        <v>0</v>
      </c>
      <c r="P97" s="2181">
        <f>+'Fauna Acompañante'!CH201</f>
        <v>0</v>
      </c>
      <c r="Q97" s="2181">
        <f>+'Fauna Acompañante'!CI201</f>
        <v>0</v>
      </c>
      <c r="R97" s="2181">
        <f>+'Fauna Acompañante'!CJ201</f>
        <v>0</v>
      </c>
      <c r="S97" s="2181">
        <f>+'Fauna Acompañante'!CK201</f>
        <v>0</v>
      </c>
      <c r="T97" s="2181">
        <f>+'Fauna Acompañante'!CL201</f>
        <v>0</v>
      </c>
      <c r="U97" s="2181">
        <f>+'Fauna Acompañante'!CM201</f>
        <v>0</v>
      </c>
      <c r="V97" s="2181">
        <f>+'Fauna Acompañante'!CN201</f>
        <v>0.01</v>
      </c>
      <c r="W97" s="2181">
        <f>+'Fauna Acompañante'!CO201</f>
        <v>0</v>
      </c>
      <c r="X97" s="2181">
        <f>+'Fauna Acompañante'!CP201</f>
        <v>0</v>
      </c>
      <c r="Y97" s="2181">
        <f>+'Fauna Acompañante'!CQ201</f>
        <v>0</v>
      </c>
      <c r="Z97" s="2181">
        <f>+'Fauna Acompañante'!CR201</f>
        <v>0</v>
      </c>
      <c r="AA97" s="2181">
        <f>+'Fauna Acompañante'!CS201</f>
        <v>0</v>
      </c>
      <c r="AB97" s="2181">
        <f>+'Fauna Acompañante'!CT201</f>
        <v>0</v>
      </c>
      <c r="AC97" s="2181">
        <f>+'Fauna Acompañante'!CU201</f>
        <v>0</v>
      </c>
      <c r="AD97" s="2181">
        <f>+'Fauna Acompañante'!CV201</f>
        <v>0</v>
      </c>
      <c r="AE97" s="2181">
        <f>+'Fauna Acompañante'!CW201</f>
        <v>0</v>
      </c>
      <c r="AF97" s="2181">
        <f>+'Fauna Acompañante'!CX201</f>
        <v>0</v>
      </c>
      <c r="AG97" s="2181">
        <f>+'Fauna Acompañante'!CY201</f>
        <v>0</v>
      </c>
      <c r="AH97" s="2180">
        <f t="shared" si="16"/>
        <v>0.03</v>
      </c>
    </row>
    <row r="98" spans="1:34" ht="15">
      <c r="A98" s="1845" t="s">
        <v>80</v>
      </c>
      <c r="B98" s="1846">
        <f t="shared" si="15"/>
        <v>0.87999999999999989</v>
      </c>
      <c r="C98" s="2181">
        <f>+'Fauna Acompañante'!BU202</f>
        <v>0</v>
      </c>
      <c r="D98" s="2181">
        <f>+'Fauna Acompañante'!BV202</f>
        <v>0</v>
      </c>
      <c r="E98" s="2181">
        <f>+'Fauna Acompañante'!BW202</f>
        <v>0</v>
      </c>
      <c r="F98" s="2181">
        <f>+'Fauna Acompañante'!BX202</f>
        <v>0.15</v>
      </c>
      <c r="G98" s="2181">
        <f>+'Fauna Acompañante'!BY202</f>
        <v>0.08</v>
      </c>
      <c r="H98" s="2181">
        <f>+'Fauna Acompañante'!BZ202</f>
        <v>0.2</v>
      </c>
      <c r="I98" s="2181">
        <f>+'Fauna Acompañante'!CA202</f>
        <v>0.15</v>
      </c>
      <c r="J98" s="2181">
        <f>+'Fauna Acompañante'!CB202</f>
        <v>0.3</v>
      </c>
      <c r="K98" s="2181">
        <f>+'Fauna Acompañante'!CC202</f>
        <v>0</v>
      </c>
      <c r="L98" s="2181">
        <f>+'Fauna Acompañante'!CD202</f>
        <v>0</v>
      </c>
      <c r="M98" s="2181">
        <f>+'Fauna Acompañante'!CE202</f>
        <v>0</v>
      </c>
      <c r="N98" s="2181">
        <f>+'Fauna Acompañante'!CF202</f>
        <v>0</v>
      </c>
      <c r="O98" s="2181">
        <f>+'Fauna Acompañante'!CG202</f>
        <v>0</v>
      </c>
      <c r="P98" s="2181">
        <f>+'Fauna Acompañante'!CH202</f>
        <v>0</v>
      </c>
      <c r="Q98" s="2181">
        <f>+'Fauna Acompañante'!CI202</f>
        <v>0</v>
      </c>
      <c r="R98" s="2181">
        <f>+'Fauna Acompañante'!CJ202</f>
        <v>0</v>
      </c>
      <c r="S98" s="2181">
        <f>+'Fauna Acompañante'!CK202</f>
        <v>0</v>
      </c>
      <c r="T98" s="2181">
        <f>+'Fauna Acompañante'!CL202</f>
        <v>0</v>
      </c>
      <c r="U98" s="2181">
        <f>+'Fauna Acompañante'!CM202</f>
        <v>0</v>
      </c>
      <c r="V98" s="2181">
        <f>+'Fauna Acompañante'!CN202</f>
        <v>0</v>
      </c>
      <c r="W98" s="2181">
        <f>+'Fauna Acompañante'!CO202</f>
        <v>0</v>
      </c>
      <c r="X98" s="2181">
        <f>+'Fauna Acompañante'!CP202</f>
        <v>0</v>
      </c>
      <c r="Y98" s="2181">
        <f>+'Fauna Acompañante'!CQ202</f>
        <v>0</v>
      </c>
      <c r="Z98" s="2181">
        <f>+'Fauna Acompañante'!CR202</f>
        <v>0</v>
      </c>
      <c r="AA98" s="2181">
        <f>+'Fauna Acompañante'!CS202</f>
        <v>0</v>
      </c>
      <c r="AB98" s="2181">
        <f>+'Fauna Acompañante'!CT202</f>
        <v>0</v>
      </c>
      <c r="AC98" s="2181">
        <f>+'Fauna Acompañante'!CU202</f>
        <v>0</v>
      </c>
      <c r="AD98" s="2181">
        <f>+'Fauna Acompañante'!CV202</f>
        <v>0</v>
      </c>
      <c r="AE98" s="2181">
        <f>+'Fauna Acompañante'!CW202</f>
        <v>0</v>
      </c>
      <c r="AF98" s="2181">
        <f>+'Fauna Acompañante'!CX202</f>
        <v>0</v>
      </c>
      <c r="AG98" s="2181">
        <f>+'Fauna Acompañante'!CY202</f>
        <v>0</v>
      </c>
      <c r="AH98" s="2180">
        <f t="shared" si="16"/>
        <v>0.87999999999999989</v>
      </c>
    </row>
    <row r="99" spans="1:34" ht="15">
      <c r="A99" s="1845" t="s">
        <v>81</v>
      </c>
      <c r="B99" s="1846">
        <f t="shared" si="15"/>
        <v>0</v>
      </c>
      <c r="C99" s="2181">
        <f>+'Fauna Acompañante'!BU203</f>
        <v>0</v>
      </c>
      <c r="D99" s="2181">
        <f>+'Fauna Acompañante'!BV203</f>
        <v>0</v>
      </c>
      <c r="E99" s="2181">
        <f>+'Fauna Acompañante'!BW203</f>
        <v>0</v>
      </c>
      <c r="F99" s="2181">
        <f>+'Fauna Acompañante'!BX203</f>
        <v>0</v>
      </c>
      <c r="G99" s="2181">
        <f>+'Fauna Acompañante'!BY203</f>
        <v>0</v>
      </c>
      <c r="H99" s="2181">
        <f>+'Fauna Acompañante'!BZ203</f>
        <v>0</v>
      </c>
      <c r="I99" s="2181">
        <f>+'Fauna Acompañante'!CA203</f>
        <v>0</v>
      </c>
      <c r="J99" s="2181">
        <f>+'Fauna Acompañante'!CB203</f>
        <v>0</v>
      </c>
      <c r="K99" s="2181">
        <f>+'Fauna Acompañante'!CC203</f>
        <v>0</v>
      </c>
      <c r="L99" s="2181">
        <f>+'Fauna Acompañante'!CD203</f>
        <v>0</v>
      </c>
      <c r="M99" s="2181">
        <f>+'Fauna Acompañante'!CE203</f>
        <v>0</v>
      </c>
      <c r="N99" s="2181">
        <f>+'Fauna Acompañante'!CF203</f>
        <v>0</v>
      </c>
      <c r="O99" s="2181">
        <f>+'Fauna Acompañante'!CG203</f>
        <v>0</v>
      </c>
      <c r="P99" s="2181">
        <f>+'Fauna Acompañante'!CH203</f>
        <v>0</v>
      </c>
      <c r="Q99" s="2181">
        <f>+'Fauna Acompañante'!CI203</f>
        <v>0</v>
      </c>
      <c r="R99" s="2181">
        <f>+'Fauna Acompañante'!CJ203</f>
        <v>0</v>
      </c>
      <c r="S99" s="2181">
        <f>+'Fauna Acompañante'!CK203</f>
        <v>0</v>
      </c>
      <c r="T99" s="2181">
        <f>+'Fauna Acompañante'!CL203</f>
        <v>0</v>
      </c>
      <c r="U99" s="2181">
        <f>+'Fauna Acompañante'!CM203</f>
        <v>0</v>
      </c>
      <c r="V99" s="2181">
        <f>+'Fauna Acompañante'!CN203</f>
        <v>0</v>
      </c>
      <c r="W99" s="2181">
        <f>+'Fauna Acompañante'!CO203</f>
        <v>0</v>
      </c>
      <c r="X99" s="2181">
        <f>+'Fauna Acompañante'!CP203</f>
        <v>0</v>
      </c>
      <c r="Y99" s="2181">
        <f>+'Fauna Acompañante'!CQ203</f>
        <v>0</v>
      </c>
      <c r="Z99" s="2181">
        <f>+'Fauna Acompañante'!CR203</f>
        <v>0</v>
      </c>
      <c r="AA99" s="2181">
        <f>+'Fauna Acompañante'!CS203</f>
        <v>0</v>
      </c>
      <c r="AB99" s="2181">
        <f>+'Fauna Acompañante'!CT203</f>
        <v>0</v>
      </c>
      <c r="AC99" s="2181">
        <f>+'Fauna Acompañante'!CU203</f>
        <v>0</v>
      </c>
      <c r="AD99" s="2181">
        <f>+'Fauna Acompañante'!CV203</f>
        <v>0</v>
      </c>
      <c r="AE99" s="2181">
        <f>+'Fauna Acompañante'!CW203</f>
        <v>0</v>
      </c>
      <c r="AF99" s="2181">
        <f>+'Fauna Acompañante'!CX203</f>
        <v>0</v>
      </c>
      <c r="AG99" s="2181">
        <f>+'Fauna Acompañante'!CY203</f>
        <v>0</v>
      </c>
      <c r="AH99" s="2180">
        <f t="shared" si="16"/>
        <v>0</v>
      </c>
    </row>
    <row r="100" spans="1:34" ht="15">
      <c r="A100" s="1845" t="s">
        <v>82</v>
      </c>
      <c r="B100" s="1846">
        <f t="shared" si="15"/>
        <v>2.8000000000000001E-2</v>
      </c>
      <c r="C100" s="2181">
        <f>+'Fauna Acompañante'!BU204</f>
        <v>0</v>
      </c>
      <c r="D100" s="2181">
        <f>+'Fauna Acompañante'!BV204</f>
        <v>0</v>
      </c>
      <c r="E100" s="2181">
        <f>+'Fauna Acompañante'!BW204</f>
        <v>0</v>
      </c>
      <c r="F100" s="2181">
        <f>+'Fauna Acompañante'!BX204</f>
        <v>0</v>
      </c>
      <c r="G100" s="2181">
        <f>+'Fauna Acompañante'!BY204</f>
        <v>0</v>
      </c>
      <c r="H100" s="2181">
        <f>+'Fauna Acompañante'!BZ204</f>
        <v>0</v>
      </c>
      <c r="I100" s="2181">
        <f>+'Fauna Acompañante'!CA204</f>
        <v>0</v>
      </c>
      <c r="J100" s="2181">
        <f>+'Fauna Acompañante'!CB204</f>
        <v>0</v>
      </c>
      <c r="K100" s="2181">
        <f>+'Fauna Acompañante'!CC204</f>
        <v>0</v>
      </c>
      <c r="L100" s="2181">
        <f>+'Fauna Acompañante'!CD204</f>
        <v>0</v>
      </c>
      <c r="M100" s="2181">
        <f>+'Fauna Acompañante'!CE204</f>
        <v>0</v>
      </c>
      <c r="N100" s="2181">
        <f>+'Fauna Acompañante'!CF204</f>
        <v>0</v>
      </c>
      <c r="O100" s="2181">
        <f>+'Fauna Acompañante'!CG204</f>
        <v>0</v>
      </c>
      <c r="P100" s="2181">
        <f>+'Fauna Acompañante'!CH204</f>
        <v>0</v>
      </c>
      <c r="Q100" s="2181">
        <f>+'Fauna Acompañante'!CI204</f>
        <v>0</v>
      </c>
      <c r="R100" s="2181">
        <f>+'Fauna Acompañante'!CJ204</f>
        <v>0</v>
      </c>
      <c r="S100" s="2181">
        <f>+'Fauna Acompañante'!CK204</f>
        <v>0</v>
      </c>
      <c r="T100" s="2181">
        <f>+'Fauna Acompañante'!CL204</f>
        <v>0</v>
      </c>
      <c r="U100" s="2181">
        <f>+'Fauna Acompañante'!CM204</f>
        <v>0</v>
      </c>
      <c r="V100" s="2181">
        <f>+'Fauna Acompañante'!CN204</f>
        <v>0</v>
      </c>
      <c r="W100" s="2181">
        <f>+'Fauna Acompañante'!CO204</f>
        <v>0</v>
      </c>
      <c r="X100" s="2181">
        <f>+'Fauna Acompañante'!CP204</f>
        <v>2.8000000000000001E-2</v>
      </c>
      <c r="Y100" s="2181">
        <f>+'Fauna Acompañante'!CQ204</f>
        <v>0</v>
      </c>
      <c r="Z100" s="2181">
        <f>+'Fauna Acompañante'!CR204</f>
        <v>0</v>
      </c>
      <c r="AA100" s="2181">
        <f>+'Fauna Acompañante'!CS204</f>
        <v>0</v>
      </c>
      <c r="AB100" s="2181">
        <f>+'Fauna Acompañante'!CT204</f>
        <v>0</v>
      </c>
      <c r="AC100" s="2181">
        <f>+'Fauna Acompañante'!CU204</f>
        <v>0</v>
      </c>
      <c r="AD100" s="2181">
        <f>+'Fauna Acompañante'!CV204</f>
        <v>0</v>
      </c>
      <c r="AE100" s="2181">
        <f>+'Fauna Acompañante'!CW204</f>
        <v>0</v>
      </c>
      <c r="AF100" s="2181">
        <f>+'Fauna Acompañante'!CX204</f>
        <v>0</v>
      </c>
      <c r="AG100" s="2181">
        <f>+'Fauna Acompañante'!CY204</f>
        <v>0</v>
      </c>
      <c r="AH100" s="2180">
        <f t="shared" si="16"/>
        <v>2.8000000000000001E-2</v>
      </c>
    </row>
    <row r="101" spans="1:34" ht="15">
      <c r="A101" s="1845" t="s">
        <v>83</v>
      </c>
      <c r="B101" s="1846">
        <f t="shared" si="15"/>
        <v>1.8000000000000002E-2</v>
      </c>
      <c r="C101" s="2181">
        <f>+'Fauna Acompañante'!BU205</f>
        <v>0</v>
      </c>
      <c r="D101" s="2181">
        <f>+'Fauna Acompañante'!BV205</f>
        <v>0</v>
      </c>
      <c r="E101" s="2181">
        <f>+'Fauna Acompañante'!BW205</f>
        <v>0</v>
      </c>
      <c r="F101" s="2181">
        <f>+'Fauna Acompañante'!BX205</f>
        <v>0</v>
      </c>
      <c r="G101" s="2181">
        <f>+'Fauna Acompañante'!BY205</f>
        <v>0</v>
      </c>
      <c r="H101" s="2181">
        <f>+'Fauna Acompañante'!BZ205</f>
        <v>0</v>
      </c>
      <c r="I101" s="2181">
        <f>+'Fauna Acompañante'!CA205</f>
        <v>0</v>
      </c>
      <c r="J101" s="2181">
        <f>+'Fauna Acompañante'!CB205</f>
        <v>0</v>
      </c>
      <c r="K101" s="2181">
        <f>+'Fauna Acompañante'!CC205</f>
        <v>0</v>
      </c>
      <c r="L101" s="2181">
        <f>+'Fauna Acompañante'!CD205</f>
        <v>0</v>
      </c>
      <c r="M101" s="2181">
        <f>+'Fauna Acompañante'!CE205</f>
        <v>0</v>
      </c>
      <c r="N101" s="2181">
        <f>+'Fauna Acompañante'!CF205</f>
        <v>0</v>
      </c>
      <c r="O101" s="2181">
        <f>+'Fauna Acompañante'!CG205</f>
        <v>0</v>
      </c>
      <c r="P101" s="2181">
        <f>+'Fauna Acompañante'!CH205</f>
        <v>0</v>
      </c>
      <c r="Q101" s="2181">
        <f>+'Fauna Acompañante'!CI205</f>
        <v>0</v>
      </c>
      <c r="R101" s="2181">
        <f>+'Fauna Acompañante'!CJ205</f>
        <v>0</v>
      </c>
      <c r="S101" s="2181">
        <f>+'Fauna Acompañante'!CK205</f>
        <v>0</v>
      </c>
      <c r="T101" s="2181">
        <f>+'Fauna Acompañante'!CL205</f>
        <v>0</v>
      </c>
      <c r="U101" s="2181">
        <f>+'Fauna Acompañante'!CM205</f>
        <v>0</v>
      </c>
      <c r="V101" s="2181">
        <f>+'Fauna Acompañante'!CN205</f>
        <v>0</v>
      </c>
      <c r="W101" s="2181">
        <f>+'Fauna Acompañante'!CO205</f>
        <v>0</v>
      </c>
      <c r="X101" s="2181">
        <f>+'Fauna Acompañante'!CP205</f>
        <v>0</v>
      </c>
      <c r="Y101" s="2181">
        <f>+'Fauna Acompañante'!CQ205</f>
        <v>0</v>
      </c>
      <c r="Z101" s="2181">
        <f>+'Fauna Acompañante'!CR205</f>
        <v>0</v>
      </c>
      <c r="AA101" s="2181">
        <f>+'Fauna Acompañante'!CS205</f>
        <v>0</v>
      </c>
      <c r="AB101" s="2181">
        <f>+'Fauna Acompañante'!CT205</f>
        <v>0</v>
      </c>
      <c r="AC101" s="2181">
        <f>+'Fauna Acompañante'!CU205</f>
        <v>8.0000000000000002E-3</v>
      </c>
      <c r="AD101" s="2181">
        <f>+'Fauna Acompañante'!CV205</f>
        <v>0.01</v>
      </c>
      <c r="AE101" s="2181">
        <f>+'Fauna Acompañante'!CW205</f>
        <v>0</v>
      </c>
      <c r="AF101" s="2181">
        <f>+'Fauna Acompañante'!CX205</f>
        <v>0</v>
      </c>
      <c r="AG101" s="2181">
        <f>+'Fauna Acompañante'!CY205</f>
        <v>0</v>
      </c>
      <c r="AH101" s="2180">
        <f t="shared" si="16"/>
        <v>1.8000000000000002E-2</v>
      </c>
    </row>
    <row r="102" spans="1:34" ht="15">
      <c r="A102" s="1845" t="s">
        <v>84</v>
      </c>
      <c r="B102" s="1846">
        <f t="shared" si="15"/>
        <v>1.7999999999999999E-2</v>
      </c>
      <c r="C102" s="2181">
        <f>+'Fauna Acompañante'!BU206</f>
        <v>0</v>
      </c>
      <c r="D102" s="2181">
        <f>+'Fauna Acompañante'!BV206</f>
        <v>0</v>
      </c>
      <c r="E102" s="2181">
        <f>+'Fauna Acompañante'!BW206</f>
        <v>0</v>
      </c>
      <c r="F102" s="2181">
        <f>+'Fauna Acompañante'!BX206</f>
        <v>3.0000000000000001E-3</v>
      </c>
      <c r="G102" s="2181">
        <f>+'Fauna Acompañante'!BY206</f>
        <v>0</v>
      </c>
      <c r="H102" s="2181">
        <f>+'Fauna Acompañante'!BZ206</f>
        <v>0</v>
      </c>
      <c r="I102" s="2181">
        <f>+'Fauna Acompañante'!CA206</f>
        <v>0</v>
      </c>
      <c r="J102" s="2181">
        <f>+'Fauna Acompañante'!CB206</f>
        <v>0</v>
      </c>
      <c r="K102" s="2181">
        <f>+'Fauna Acompañante'!CC206</f>
        <v>0</v>
      </c>
      <c r="L102" s="2181">
        <f>+'Fauna Acompañante'!CD206</f>
        <v>0</v>
      </c>
      <c r="M102" s="2181">
        <f>+'Fauna Acompañante'!CE206</f>
        <v>0</v>
      </c>
      <c r="N102" s="2181">
        <f>+'Fauna Acompañante'!CF206</f>
        <v>0</v>
      </c>
      <c r="O102" s="2181">
        <f>+'Fauna Acompañante'!CG206</f>
        <v>0</v>
      </c>
      <c r="P102" s="2181">
        <f>+'Fauna Acompañante'!CH206</f>
        <v>0</v>
      </c>
      <c r="Q102" s="2181">
        <f>+'Fauna Acompañante'!CI206</f>
        <v>0</v>
      </c>
      <c r="R102" s="2181">
        <f>+'Fauna Acompañante'!CJ206</f>
        <v>1.4999999999999999E-2</v>
      </c>
      <c r="S102" s="2181">
        <f>+'Fauna Acompañante'!CK206</f>
        <v>0</v>
      </c>
      <c r="T102" s="2181">
        <f>+'Fauna Acompañante'!CL206</f>
        <v>0</v>
      </c>
      <c r="U102" s="2181">
        <f>+'Fauna Acompañante'!CM206</f>
        <v>0</v>
      </c>
      <c r="V102" s="2181">
        <f>+'Fauna Acompañante'!CN206</f>
        <v>0</v>
      </c>
      <c r="W102" s="2181">
        <f>+'Fauna Acompañante'!CO206</f>
        <v>0</v>
      </c>
      <c r="X102" s="2181">
        <f>+'Fauna Acompañante'!CP206</f>
        <v>0</v>
      </c>
      <c r="Y102" s="2181">
        <f>+'Fauna Acompañante'!CQ206</f>
        <v>0</v>
      </c>
      <c r="Z102" s="2181">
        <f>+'Fauna Acompañante'!CR206</f>
        <v>0</v>
      </c>
      <c r="AA102" s="2181">
        <f>+'Fauna Acompañante'!CS206</f>
        <v>0</v>
      </c>
      <c r="AB102" s="2181">
        <f>+'Fauna Acompañante'!CT206</f>
        <v>0</v>
      </c>
      <c r="AC102" s="2181">
        <f>+'Fauna Acompañante'!CU206</f>
        <v>0</v>
      </c>
      <c r="AD102" s="2181">
        <f>+'Fauna Acompañante'!CV206</f>
        <v>0</v>
      </c>
      <c r="AE102" s="2181">
        <f>+'Fauna Acompañante'!CW206</f>
        <v>0</v>
      </c>
      <c r="AF102" s="2181">
        <f>+'Fauna Acompañante'!CX206</f>
        <v>0</v>
      </c>
      <c r="AG102" s="2181">
        <f>+'Fauna Acompañante'!CY206</f>
        <v>0</v>
      </c>
      <c r="AH102" s="2180">
        <f t="shared" si="16"/>
        <v>1.7999999999999999E-2</v>
      </c>
    </row>
    <row r="103" spans="1:34" ht="15">
      <c r="A103" s="1845" t="s">
        <v>85</v>
      </c>
      <c r="B103" s="1846">
        <f t="shared" si="15"/>
        <v>1.2530000000000001</v>
      </c>
      <c r="C103" s="2181">
        <f>+'Fauna Acompañante'!BU207</f>
        <v>0</v>
      </c>
      <c r="D103" s="2181">
        <f>+'Fauna Acompañante'!BV207</f>
        <v>0</v>
      </c>
      <c r="E103" s="2181">
        <f>+'Fauna Acompañante'!BW207</f>
        <v>0.1</v>
      </c>
      <c r="F103" s="2181">
        <f>+'Fauna Acompañante'!BX207</f>
        <v>0</v>
      </c>
      <c r="G103" s="2181">
        <f>+'Fauna Acompañante'!BY207</f>
        <v>0</v>
      </c>
      <c r="H103" s="2181">
        <f>+'Fauna Acompañante'!BZ207</f>
        <v>0.2</v>
      </c>
      <c r="I103" s="2181">
        <f>+'Fauna Acompañante'!CA207</f>
        <v>0</v>
      </c>
      <c r="J103" s="2181">
        <f>+'Fauna Acompañante'!CB207</f>
        <v>0</v>
      </c>
      <c r="K103" s="2181">
        <f>+'Fauna Acompañante'!CC207</f>
        <v>0.25</v>
      </c>
      <c r="L103" s="2181">
        <f>+'Fauna Acompañante'!CD207</f>
        <v>0</v>
      </c>
      <c r="M103" s="2181">
        <f>+'Fauna Acompañante'!CE207</f>
        <v>0</v>
      </c>
      <c r="N103" s="2181">
        <f>+'Fauna Acompañante'!CF207</f>
        <v>1.4999999999999999E-2</v>
      </c>
      <c r="O103" s="2181">
        <f>+'Fauna Acompañante'!CG207</f>
        <v>0.03</v>
      </c>
      <c r="P103" s="2181">
        <f>+'Fauna Acompañante'!CH207</f>
        <v>1.6E-2</v>
      </c>
      <c r="Q103" s="2181">
        <f>+'Fauna Acompañante'!CI207</f>
        <v>0</v>
      </c>
      <c r="R103" s="2181">
        <f>+'Fauna Acompañante'!CJ207</f>
        <v>8.0000000000000002E-3</v>
      </c>
      <c r="S103" s="2181">
        <f>+'Fauna Acompañante'!CK207</f>
        <v>0</v>
      </c>
      <c r="T103" s="2181">
        <f>+'Fauna Acompañante'!CL207</f>
        <v>0</v>
      </c>
      <c r="U103" s="2181">
        <f>+'Fauna Acompañante'!CM207</f>
        <v>0</v>
      </c>
      <c r="V103" s="2181">
        <f>+'Fauna Acompañante'!CN207</f>
        <v>3.2000000000000001E-2</v>
      </c>
      <c r="W103" s="2181">
        <f>+'Fauna Acompañante'!CO207</f>
        <v>0.3</v>
      </c>
      <c r="X103" s="2181">
        <f>+'Fauna Acompañante'!CP207</f>
        <v>0</v>
      </c>
      <c r="Y103" s="2181">
        <f>+'Fauna Acompañante'!CQ207</f>
        <v>0.3</v>
      </c>
      <c r="Z103" s="2181">
        <f>+'Fauna Acompañante'!CR207</f>
        <v>0</v>
      </c>
      <c r="AA103" s="2181">
        <f>+'Fauna Acompañante'!CS207</f>
        <v>0</v>
      </c>
      <c r="AB103" s="2181">
        <f>+'Fauna Acompañante'!CT207</f>
        <v>0</v>
      </c>
      <c r="AC103" s="2181">
        <f>+'Fauna Acompañante'!CU207</f>
        <v>0</v>
      </c>
      <c r="AD103" s="2181">
        <f>+'Fauna Acompañante'!CV207</f>
        <v>0</v>
      </c>
      <c r="AE103" s="2181">
        <f>+'Fauna Acompañante'!CW207</f>
        <v>2E-3</v>
      </c>
      <c r="AF103" s="2181">
        <f>+'Fauna Acompañante'!CX207</f>
        <v>0</v>
      </c>
      <c r="AG103" s="2181">
        <f>+'Fauna Acompañante'!CY207</f>
        <v>0</v>
      </c>
      <c r="AH103" s="2180">
        <f t="shared" si="16"/>
        <v>1.2530000000000001</v>
      </c>
    </row>
    <row r="104" spans="1:34" ht="15">
      <c r="A104" s="1845" t="s">
        <v>86</v>
      </c>
      <c r="B104" s="1846">
        <f t="shared" si="15"/>
        <v>0.625</v>
      </c>
      <c r="C104" s="2181">
        <f>+'Fauna Acompañante'!BU208</f>
        <v>0</v>
      </c>
      <c r="D104" s="2181">
        <f>+'Fauna Acompañante'!BV208</f>
        <v>0</v>
      </c>
      <c r="E104" s="2181">
        <f>+'Fauna Acompañante'!BW208</f>
        <v>0</v>
      </c>
      <c r="F104" s="2181">
        <f>+'Fauna Acompañante'!BX208</f>
        <v>0</v>
      </c>
      <c r="G104" s="2181">
        <f>+'Fauna Acompañante'!BY208</f>
        <v>0</v>
      </c>
      <c r="H104" s="2181">
        <f>+'Fauna Acompañante'!BZ208</f>
        <v>0.02</v>
      </c>
      <c r="I104" s="2181">
        <f>+'Fauna Acompañante'!CA208</f>
        <v>0.02</v>
      </c>
      <c r="J104" s="2181">
        <f>+'Fauna Acompañante'!CB208</f>
        <v>0</v>
      </c>
      <c r="K104" s="2181">
        <f>+'Fauna Acompañante'!CC208</f>
        <v>0</v>
      </c>
      <c r="L104" s="2181">
        <f>+'Fauna Acompañante'!CD208</f>
        <v>0.03</v>
      </c>
      <c r="M104" s="2181">
        <f>+'Fauna Acompañante'!CE208</f>
        <v>0</v>
      </c>
      <c r="N104" s="2181">
        <f>+'Fauna Acompañante'!CF208</f>
        <v>1.4999999999999999E-2</v>
      </c>
      <c r="O104" s="2181">
        <f>+'Fauna Acompañante'!CG208</f>
        <v>0</v>
      </c>
      <c r="P104" s="2181">
        <f>+'Fauna Acompañante'!CH208</f>
        <v>0</v>
      </c>
      <c r="Q104" s="2181">
        <f>+'Fauna Acompañante'!CI208</f>
        <v>0</v>
      </c>
      <c r="R104" s="2181">
        <f>+'Fauna Acompañante'!CJ208</f>
        <v>0</v>
      </c>
      <c r="S104" s="2181">
        <f>+'Fauna Acompañante'!CK208</f>
        <v>0</v>
      </c>
      <c r="T104" s="2181">
        <f>+'Fauna Acompañante'!CL208</f>
        <v>0</v>
      </c>
      <c r="U104" s="2181">
        <f>+'Fauna Acompañante'!CM208</f>
        <v>0.02</v>
      </c>
      <c r="V104" s="2181">
        <f>+'Fauna Acompañante'!CN208</f>
        <v>0</v>
      </c>
      <c r="W104" s="2181">
        <f>+'Fauna Acompañante'!CO208</f>
        <v>0</v>
      </c>
      <c r="X104" s="2181">
        <f>+'Fauna Acompañante'!CP208</f>
        <v>0.2</v>
      </c>
      <c r="Y104" s="2181">
        <f>+'Fauna Acompañante'!CQ208</f>
        <v>0</v>
      </c>
      <c r="Z104" s="2181">
        <f>+'Fauna Acompañante'!CR208</f>
        <v>0</v>
      </c>
      <c r="AA104" s="2181">
        <f>+'Fauna Acompañante'!CS208</f>
        <v>0</v>
      </c>
      <c r="AB104" s="2181">
        <f>+'Fauna Acompañante'!CT208</f>
        <v>0</v>
      </c>
      <c r="AC104" s="2181">
        <f>+'Fauna Acompañante'!CU208</f>
        <v>0</v>
      </c>
      <c r="AD104" s="2181">
        <f>+'Fauna Acompañante'!CV208</f>
        <v>0.3</v>
      </c>
      <c r="AE104" s="2181">
        <f>+'Fauna Acompañante'!CW208</f>
        <v>0</v>
      </c>
      <c r="AF104" s="2181">
        <f>+'Fauna Acompañante'!CX208</f>
        <v>0</v>
      </c>
      <c r="AG104" s="2181">
        <f>+'Fauna Acompañante'!CY208</f>
        <v>0.02</v>
      </c>
      <c r="AH104" s="2180">
        <f t="shared" si="16"/>
        <v>0.625</v>
      </c>
    </row>
    <row r="105" spans="1:34" ht="15">
      <c r="A105" s="2183" t="s">
        <v>74</v>
      </c>
      <c r="B105" s="2182">
        <f t="shared" ref="B105:AH105" si="17">SUM(B93:B104)</f>
        <v>3.9819999999999998</v>
      </c>
      <c r="C105" s="2181">
        <f t="shared" si="17"/>
        <v>0.02</v>
      </c>
      <c r="D105" s="2181">
        <f t="shared" si="17"/>
        <v>0.04</v>
      </c>
      <c r="E105" s="2181">
        <f t="shared" si="17"/>
        <v>0.1</v>
      </c>
      <c r="F105" s="2181">
        <f t="shared" si="17"/>
        <v>0.21</v>
      </c>
      <c r="G105" s="2181">
        <f t="shared" si="17"/>
        <v>0.113</v>
      </c>
      <c r="H105" s="2181">
        <f t="shared" si="17"/>
        <v>0.50700000000000001</v>
      </c>
      <c r="I105" s="2181">
        <f t="shared" si="17"/>
        <v>0.20699999999999999</v>
      </c>
      <c r="J105" s="2181">
        <f t="shared" si="17"/>
        <v>0.31</v>
      </c>
      <c r="K105" s="2181">
        <f t="shared" si="17"/>
        <v>0.32100000000000001</v>
      </c>
      <c r="L105" s="2181">
        <f t="shared" si="17"/>
        <v>4.9000000000000002E-2</v>
      </c>
      <c r="M105" s="2181">
        <f t="shared" si="17"/>
        <v>0.09</v>
      </c>
      <c r="N105" s="2181">
        <f t="shared" si="17"/>
        <v>0.14600000000000002</v>
      </c>
      <c r="O105" s="2181">
        <f t="shared" si="17"/>
        <v>0.03</v>
      </c>
      <c r="P105" s="2181">
        <f t="shared" si="17"/>
        <v>1.6E-2</v>
      </c>
      <c r="Q105" s="2181">
        <f t="shared" si="17"/>
        <v>7.1999999999999995E-2</v>
      </c>
      <c r="R105" s="2181">
        <f t="shared" si="17"/>
        <v>0.10499999999999998</v>
      </c>
      <c r="S105" s="2181">
        <f t="shared" si="17"/>
        <v>0.01</v>
      </c>
      <c r="T105" s="2181">
        <f t="shared" si="17"/>
        <v>5.3000000000000005E-2</v>
      </c>
      <c r="U105" s="2181">
        <f t="shared" si="17"/>
        <v>0.04</v>
      </c>
      <c r="V105" s="2181">
        <f t="shared" si="17"/>
        <v>8.2000000000000003E-2</v>
      </c>
      <c r="W105" s="2181">
        <f t="shared" si="17"/>
        <v>0.32200000000000001</v>
      </c>
      <c r="X105" s="2181">
        <f t="shared" si="17"/>
        <v>0.26800000000000002</v>
      </c>
      <c r="Y105" s="2181">
        <f t="shared" si="17"/>
        <v>0.43</v>
      </c>
      <c r="Z105" s="2181">
        <f t="shared" si="17"/>
        <v>0</v>
      </c>
      <c r="AA105" s="2181">
        <f t="shared" si="17"/>
        <v>0</v>
      </c>
      <c r="AB105" s="2181">
        <f t="shared" si="17"/>
        <v>0</v>
      </c>
      <c r="AC105" s="2181">
        <f t="shared" si="17"/>
        <v>7.9000000000000015E-2</v>
      </c>
      <c r="AD105" s="2181">
        <f t="shared" si="17"/>
        <v>0.32</v>
      </c>
      <c r="AE105" s="2181">
        <f t="shared" si="17"/>
        <v>1.2E-2</v>
      </c>
      <c r="AF105" s="2181">
        <f t="shared" si="17"/>
        <v>0.01</v>
      </c>
      <c r="AG105" s="2181">
        <f t="shared" si="17"/>
        <v>0.02</v>
      </c>
      <c r="AH105" s="2180">
        <f t="shared" si="17"/>
        <v>3.9819999999999998</v>
      </c>
    </row>
    <row r="107" spans="1:34" ht="15">
      <c r="A107" s="3775" t="s">
        <v>628</v>
      </c>
      <c r="B107" s="3776"/>
      <c r="C107" s="3776"/>
      <c r="D107" s="3776"/>
      <c r="E107" s="3776"/>
      <c r="F107" s="3776"/>
      <c r="G107" s="3776"/>
      <c r="H107" s="3776"/>
      <c r="I107" s="3776"/>
      <c r="J107" s="3776"/>
      <c r="K107" s="3776"/>
      <c r="L107" s="3776"/>
      <c r="M107" s="3776"/>
      <c r="N107" s="3776"/>
      <c r="O107" s="3776"/>
      <c r="P107" s="3776"/>
      <c r="Q107" s="3776"/>
      <c r="R107" s="3776"/>
      <c r="S107" s="3776"/>
      <c r="T107" s="3777"/>
      <c r="U107" s="2179"/>
      <c r="V107" s="2179"/>
      <c r="W107" s="2179"/>
      <c r="X107" s="2179"/>
      <c r="Y107" s="2179"/>
      <c r="Z107" s="2179"/>
      <c r="AA107" s="2179"/>
      <c r="AB107" s="2179"/>
      <c r="AC107" s="2179"/>
      <c r="AD107" s="2179"/>
      <c r="AE107" s="2179"/>
      <c r="AF107" s="2179"/>
      <c r="AG107" s="2179"/>
      <c r="AH107" s="2179"/>
    </row>
    <row r="108" spans="1:34">
      <c r="A108" s="2179"/>
      <c r="B108" s="2179"/>
      <c r="C108" s="2179"/>
      <c r="D108" s="2179"/>
      <c r="E108" s="2179"/>
      <c r="F108" s="2179"/>
      <c r="G108" s="2179"/>
      <c r="H108" s="2179"/>
      <c r="I108" s="2179"/>
      <c r="J108" s="2179"/>
      <c r="K108" s="2179"/>
      <c r="L108" s="2179"/>
      <c r="M108" s="2179"/>
      <c r="N108" s="2179"/>
      <c r="O108" s="2179"/>
      <c r="P108" s="2179"/>
      <c r="Q108" s="2179"/>
      <c r="R108" s="2179"/>
      <c r="S108" s="2179"/>
      <c r="T108" s="2179"/>
      <c r="U108" s="2179"/>
      <c r="V108" s="2179"/>
      <c r="W108" s="2179"/>
      <c r="X108" s="2179"/>
      <c r="Y108" s="2179"/>
      <c r="Z108" s="2179"/>
      <c r="AA108" s="2179"/>
      <c r="AB108" s="2179"/>
      <c r="AC108" s="2179"/>
      <c r="AD108" s="2179"/>
      <c r="AE108" s="2179"/>
      <c r="AF108" s="2179"/>
      <c r="AG108" s="2179"/>
      <c r="AH108" s="2179"/>
    </row>
    <row r="109" spans="1:34">
      <c r="A109" s="2179"/>
      <c r="B109" s="2179"/>
      <c r="C109" s="2179"/>
      <c r="D109" s="2179"/>
      <c r="E109" s="2179"/>
      <c r="F109" s="2179"/>
      <c r="G109" s="2179"/>
      <c r="H109" s="2179"/>
      <c r="I109" s="2179"/>
      <c r="J109" s="2179"/>
      <c r="K109" s="2179"/>
      <c r="L109" s="2179"/>
      <c r="M109" s="2179"/>
      <c r="N109" s="2179"/>
      <c r="O109" s="2179"/>
      <c r="P109" s="2179"/>
      <c r="Q109" s="2179"/>
      <c r="R109" s="2179"/>
      <c r="S109" s="2179"/>
      <c r="T109" s="2179"/>
      <c r="U109" s="2179"/>
      <c r="V109" s="2179"/>
      <c r="W109" s="2179"/>
      <c r="X109" s="2179"/>
      <c r="Y109" s="2179"/>
      <c r="Z109" s="2179"/>
      <c r="AA109" s="2179"/>
      <c r="AB109" s="2179"/>
      <c r="AC109" s="2179"/>
      <c r="AD109" s="2179"/>
      <c r="AE109" s="2179"/>
      <c r="AF109" s="2179"/>
      <c r="AG109" s="2179"/>
      <c r="AH109" s="2179"/>
    </row>
    <row r="110" spans="1:34" ht="15">
      <c r="A110" s="3775" t="s">
        <v>630</v>
      </c>
      <c r="B110" s="3776"/>
      <c r="C110" s="3777"/>
      <c r="D110" s="2177"/>
      <c r="E110" s="2177"/>
      <c r="F110" s="2177"/>
      <c r="G110" s="2177"/>
      <c r="H110" s="2177"/>
      <c r="I110" s="2177"/>
      <c r="J110" s="2177"/>
      <c r="K110" s="2177"/>
      <c r="L110" s="2177"/>
      <c r="M110" s="2178"/>
      <c r="N110" s="2177"/>
      <c r="O110" s="2177"/>
      <c r="P110" s="2177"/>
      <c r="Q110" s="2177"/>
      <c r="R110" s="2177"/>
      <c r="S110" s="2177"/>
      <c r="T110" s="2177"/>
      <c r="U110" s="2177"/>
      <c r="V110" s="2177"/>
      <c r="W110" s="2177"/>
      <c r="X110" s="2177"/>
      <c r="Y110" s="2177"/>
      <c r="Z110" s="2177"/>
      <c r="AA110" s="2177"/>
      <c r="AB110" s="2177"/>
      <c r="AC110" s="2177"/>
      <c r="AD110" s="2177"/>
      <c r="AE110" s="2177"/>
      <c r="AF110" s="2177"/>
      <c r="AG110" s="2177"/>
      <c r="AH110" s="2177"/>
    </row>
    <row r="111" spans="1:34" ht="15">
      <c r="A111" s="1962" t="s">
        <v>72</v>
      </c>
      <c r="B111" s="1962" t="s">
        <v>73</v>
      </c>
      <c r="C111" s="1962">
        <v>1</v>
      </c>
      <c r="D111" s="1962">
        <v>2</v>
      </c>
      <c r="E111" s="1962">
        <v>3</v>
      </c>
      <c r="F111" s="1962">
        <v>4</v>
      </c>
      <c r="G111" s="1962">
        <v>5</v>
      </c>
      <c r="H111" s="1962">
        <v>6</v>
      </c>
      <c r="I111" s="1962">
        <v>7</v>
      </c>
      <c r="J111" s="1962">
        <v>8</v>
      </c>
      <c r="K111" s="1962">
        <v>9</v>
      </c>
      <c r="L111" s="1962">
        <v>10</v>
      </c>
      <c r="M111" s="1962">
        <v>11</v>
      </c>
      <c r="N111" s="1962">
        <v>12</v>
      </c>
      <c r="O111" s="1962">
        <v>13</v>
      </c>
      <c r="P111" s="1962">
        <v>14</v>
      </c>
      <c r="Q111" s="1962">
        <v>15</v>
      </c>
      <c r="R111" s="1962">
        <v>16</v>
      </c>
      <c r="S111" s="1962">
        <v>17</v>
      </c>
      <c r="T111" s="1962">
        <v>18</v>
      </c>
      <c r="U111" s="1962">
        <v>19</v>
      </c>
      <c r="V111" s="1962">
        <v>20</v>
      </c>
      <c r="W111" s="1962">
        <v>21</v>
      </c>
      <c r="X111" s="1962">
        <v>22</v>
      </c>
      <c r="Y111" s="1962">
        <v>23</v>
      </c>
      <c r="Z111" s="1962">
        <v>24</v>
      </c>
      <c r="AA111" s="1962">
        <v>25</v>
      </c>
      <c r="AB111" s="1962">
        <v>26</v>
      </c>
      <c r="AC111" s="1962">
        <v>27</v>
      </c>
      <c r="AD111" s="1962">
        <v>28</v>
      </c>
      <c r="AE111" s="1962">
        <v>29</v>
      </c>
      <c r="AF111" s="1962">
        <v>30</v>
      </c>
      <c r="AG111" s="1962">
        <v>31</v>
      </c>
      <c r="AH111" s="2176" t="s">
        <v>74</v>
      </c>
    </row>
    <row r="112" spans="1:34" ht="15">
      <c r="A112" s="1962" t="s">
        <v>75</v>
      </c>
      <c r="B112" s="2175">
        <f t="shared" ref="B112:B123" si="18">+AH112</f>
        <v>0</v>
      </c>
      <c r="C112" s="2172">
        <f>+'Fauna Acompañante'!DD197</f>
        <v>0</v>
      </c>
      <c r="D112" s="2172">
        <f>+'Fauna Acompañante'!DE197</f>
        <v>0</v>
      </c>
      <c r="E112" s="2172">
        <f>+'Fauna Acompañante'!DF197</f>
        <v>0</v>
      </c>
      <c r="F112" s="2172">
        <f>+'Fauna Acompañante'!DG197</f>
        <v>0</v>
      </c>
      <c r="G112" s="2172">
        <f>+'Fauna Acompañante'!DH197</f>
        <v>0</v>
      </c>
      <c r="H112" s="2172">
        <f>+'Fauna Acompañante'!DI197</f>
        <v>0</v>
      </c>
      <c r="I112" s="2172">
        <f>+'Fauna Acompañante'!DJ197</f>
        <v>0</v>
      </c>
      <c r="J112" s="2172">
        <f>+'Fauna Acompañante'!DK197</f>
        <v>0</v>
      </c>
      <c r="K112" s="2172">
        <f>+'Fauna Acompañante'!DL197</f>
        <v>0</v>
      </c>
      <c r="L112" s="2172">
        <f>+'Fauna Acompañante'!DM197</f>
        <v>0</v>
      </c>
      <c r="M112" s="2172">
        <f>+'Fauna Acompañante'!DN197</f>
        <v>0</v>
      </c>
      <c r="N112" s="2172">
        <f>+'Fauna Acompañante'!DO197</f>
        <v>0</v>
      </c>
      <c r="O112" s="2172">
        <f>+'Fauna Acompañante'!DP197</f>
        <v>0</v>
      </c>
      <c r="P112" s="2172">
        <f>+'Fauna Acompañante'!DQ197</f>
        <v>0</v>
      </c>
      <c r="Q112" s="2172">
        <f>+'Fauna Acompañante'!DR197</f>
        <v>0</v>
      </c>
      <c r="R112" s="2172">
        <f>+'Fauna Acompañante'!DS197</f>
        <v>0</v>
      </c>
      <c r="S112" s="2172">
        <f>+'Fauna Acompañante'!DT197</f>
        <v>0</v>
      </c>
      <c r="T112" s="2172">
        <f>+'Fauna Acompañante'!DU197</f>
        <v>0</v>
      </c>
      <c r="U112" s="2172">
        <f>+'Fauna Acompañante'!DV197</f>
        <v>0</v>
      </c>
      <c r="V112" s="2172">
        <f>+'Fauna Acompañante'!DW197</f>
        <v>0</v>
      </c>
      <c r="W112" s="2172">
        <f>+'Fauna Acompañante'!DX197</f>
        <v>0</v>
      </c>
      <c r="X112" s="2172">
        <f>+'Fauna Acompañante'!DY197</f>
        <v>0</v>
      </c>
      <c r="Y112" s="2172">
        <f>+'Fauna Acompañante'!DZ197</f>
        <v>0</v>
      </c>
      <c r="Z112" s="2172">
        <f>+'Fauna Acompañante'!EA197</f>
        <v>0</v>
      </c>
      <c r="AA112" s="2172">
        <f>+'Fauna Acompañante'!EB197</f>
        <v>0</v>
      </c>
      <c r="AB112" s="2172">
        <f>+'Fauna Acompañante'!EC197</f>
        <v>0</v>
      </c>
      <c r="AC112" s="2172">
        <f>+'Fauna Acompañante'!ED197</f>
        <v>0</v>
      </c>
      <c r="AD112" s="2172">
        <f>+'Fauna Acompañante'!EE197</f>
        <v>0</v>
      </c>
      <c r="AE112" s="2172">
        <f>+'Fauna Acompañante'!EF197</f>
        <v>0</v>
      </c>
      <c r="AF112" s="2172">
        <f>+'Fauna Acompañante'!EG197</f>
        <v>0</v>
      </c>
      <c r="AG112" s="2172">
        <f>+'Fauna Acompañante'!EH197</f>
        <v>0</v>
      </c>
      <c r="AH112" s="2171">
        <f t="shared" ref="AH112:AH123" si="19">SUM(C112:AG112)</f>
        <v>0</v>
      </c>
    </row>
    <row r="113" spans="1:34" ht="15">
      <c r="A113" s="1962" t="s">
        <v>76</v>
      </c>
      <c r="B113" s="2175">
        <f t="shared" si="18"/>
        <v>0</v>
      </c>
      <c r="C113" s="2172">
        <f>+'Fauna Acompañante'!DD198</f>
        <v>0</v>
      </c>
      <c r="D113" s="2172">
        <f>+'Fauna Acompañante'!DE198</f>
        <v>0</v>
      </c>
      <c r="E113" s="2172">
        <f>+'Fauna Acompañante'!DF198</f>
        <v>0</v>
      </c>
      <c r="F113" s="2172">
        <f>+'Fauna Acompañante'!DG198</f>
        <v>0</v>
      </c>
      <c r="G113" s="2172">
        <f>+'Fauna Acompañante'!DH198</f>
        <v>0</v>
      </c>
      <c r="H113" s="2172">
        <f>+'Fauna Acompañante'!DI198</f>
        <v>0</v>
      </c>
      <c r="I113" s="2172">
        <f>+'Fauna Acompañante'!DJ198</f>
        <v>0</v>
      </c>
      <c r="J113" s="2172">
        <f>+'Fauna Acompañante'!DK198</f>
        <v>0</v>
      </c>
      <c r="K113" s="2172">
        <f>+'Fauna Acompañante'!DL198</f>
        <v>0</v>
      </c>
      <c r="L113" s="2172">
        <f>+'Fauna Acompañante'!DM198</f>
        <v>0</v>
      </c>
      <c r="M113" s="2172">
        <f>+'Fauna Acompañante'!DN198</f>
        <v>0</v>
      </c>
      <c r="N113" s="2172">
        <f>+'Fauna Acompañante'!DO198</f>
        <v>0</v>
      </c>
      <c r="O113" s="2172">
        <f>+'Fauna Acompañante'!DP198</f>
        <v>0</v>
      </c>
      <c r="P113" s="2172">
        <f>+'Fauna Acompañante'!DQ198</f>
        <v>0</v>
      </c>
      <c r="Q113" s="2172">
        <f>+'Fauna Acompañante'!DR198</f>
        <v>0</v>
      </c>
      <c r="R113" s="2172">
        <f>+'Fauna Acompañante'!DS198</f>
        <v>0</v>
      </c>
      <c r="S113" s="2172">
        <f>+'Fauna Acompañante'!DT198</f>
        <v>0</v>
      </c>
      <c r="T113" s="2172">
        <f>+'Fauna Acompañante'!DU198</f>
        <v>0</v>
      </c>
      <c r="U113" s="2172">
        <f>+'Fauna Acompañante'!DV198</f>
        <v>0</v>
      </c>
      <c r="V113" s="2172">
        <f>+'Fauna Acompañante'!DW198</f>
        <v>0</v>
      </c>
      <c r="W113" s="2172">
        <f>+'Fauna Acompañante'!DX198</f>
        <v>0</v>
      </c>
      <c r="X113" s="2172">
        <f>+'Fauna Acompañante'!DY198</f>
        <v>0</v>
      </c>
      <c r="Y113" s="2172">
        <f>+'Fauna Acompañante'!DZ198</f>
        <v>0</v>
      </c>
      <c r="Z113" s="2172">
        <f>+'Fauna Acompañante'!EA198</f>
        <v>0</v>
      </c>
      <c r="AA113" s="2172">
        <f>+'Fauna Acompañante'!EB198</f>
        <v>0</v>
      </c>
      <c r="AB113" s="2172">
        <f>+'Fauna Acompañante'!EC198</f>
        <v>0</v>
      </c>
      <c r="AC113" s="2172">
        <f>+'Fauna Acompañante'!ED198</f>
        <v>0</v>
      </c>
      <c r="AD113" s="2172">
        <f>+'Fauna Acompañante'!EE198</f>
        <v>0</v>
      </c>
      <c r="AE113" s="2172">
        <f>+'Fauna Acompañante'!EF198</f>
        <v>0</v>
      </c>
      <c r="AF113" s="2172">
        <f>+'Fauna Acompañante'!EG198</f>
        <v>0</v>
      </c>
      <c r="AG113" s="2172">
        <f>+'Fauna Acompañante'!EH198</f>
        <v>0</v>
      </c>
      <c r="AH113" s="2171">
        <f t="shared" si="19"/>
        <v>0</v>
      </c>
    </row>
    <row r="114" spans="1:34" ht="15">
      <c r="A114" s="1962" t="s">
        <v>77</v>
      </c>
      <c r="B114" s="2175">
        <f t="shared" si="18"/>
        <v>0</v>
      </c>
      <c r="C114" s="2172">
        <f>+'Fauna Acompañante'!DD199</f>
        <v>0</v>
      </c>
      <c r="D114" s="2172">
        <f>+'Fauna Acompañante'!DE199</f>
        <v>0</v>
      </c>
      <c r="E114" s="2172">
        <f>+'Fauna Acompañante'!DF199</f>
        <v>0</v>
      </c>
      <c r="F114" s="2172">
        <f>+'Fauna Acompañante'!DG199</f>
        <v>0</v>
      </c>
      <c r="G114" s="2172">
        <f>+'Fauna Acompañante'!DH199</f>
        <v>0</v>
      </c>
      <c r="H114" s="2172">
        <f>+'Fauna Acompañante'!DI199</f>
        <v>0</v>
      </c>
      <c r="I114" s="2172">
        <f>+'Fauna Acompañante'!DJ199</f>
        <v>0</v>
      </c>
      <c r="J114" s="2172">
        <f>+'Fauna Acompañante'!DK199</f>
        <v>0</v>
      </c>
      <c r="K114" s="2172">
        <f>+'Fauna Acompañante'!DL199</f>
        <v>0</v>
      </c>
      <c r="L114" s="2172">
        <f>+'Fauna Acompañante'!DM199</f>
        <v>0</v>
      </c>
      <c r="M114" s="2172">
        <f>+'Fauna Acompañante'!DN199</f>
        <v>0</v>
      </c>
      <c r="N114" s="2172">
        <f>+'Fauna Acompañante'!DO199</f>
        <v>0</v>
      </c>
      <c r="O114" s="2172">
        <f>+'Fauna Acompañante'!DP199</f>
        <v>0</v>
      </c>
      <c r="P114" s="2172">
        <f>+'Fauna Acompañante'!DQ199</f>
        <v>0</v>
      </c>
      <c r="Q114" s="2172">
        <f>+'Fauna Acompañante'!DR199</f>
        <v>0</v>
      </c>
      <c r="R114" s="2172">
        <f>+'Fauna Acompañante'!DS199</f>
        <v>0</v>
      </c>
      <c r="S114" s="2172">
        <f>+'Fauna Acompañante'!DT199</f>
        <v>0</v>
      </c>
      <c r="T114" s="2172">
        <f>+'Fauna Acompañante'!DU199</f>
        <v>0</v>
      </c>
      <c r="U114" s="2172">
        <f>+'Fauna Acompañante'!DV199</f>
        <v>0</v>
      </c>
      <c r="V114" s="2172">
        <f>+'Fauna Acompañante'!DW199</f>
        <v>0</v>
      </c>
      <c r="W114" s="2172">
        <f>+'Fauna Acompañante'!DX199</f>
        <v>0</v>
      </c>
      <c r="X114" s="2172">
        <f>+'Fauna Acompañante'!DY199</f>
        <v>0</v>
      </c>
      <c r="Y114" s="2172">
        <f>+'Fauna Acompañante'!DZ199</f>
        <v>0</v>
      </c>
      <c r="Z114" s="2172">
        <f>+'Fauna Acompañante'!EA199</f>
        <v>0</v>
      </c>
      <c r="AA114" s="2172">
        <f>+'Fauna Acompañante'!EB199</f>
        <v>0</v>
      </c>
      <c r="AB114" s="2172">
        <f>+'Fauna Acompañante'!EC199</f>
        <v>0</v>
      </c>
      <c r="AC114" s="2172">
        <f>+'Fauna Acompañante'!ED199</f>
        <v>0</v>
      </c>
      <c r="AD114" s="2172">
        <f>+'Fauna Acompañante'!EE199</f>
        <v>0</v>
      </c>
      <c r="AE114" s="2172">
        <f>+'Fauna Acompañante'!EF199</f>
        <v>0</v>
      </c>
      <c r="AF114" s="2172">
        <f>+'Fauna Acompañante'!EG199</f>
        <v>0</v>
      </c>
      <c r="AG114" s="2172">
        <f>+'Fauna Acompañante'!EH199</f>
        <v>0</v>
      </c>
      <c r="AH114" s="2171">
        <f t="shared" si="19"/>
        <v>0</v>
      </c>
    </row>
    <row r="115" spans="1:34" ht="15">
      <c r="A115" s="1962" t="s">
        <v>78</v>
      </c>
      <c r="B115" s="2175">
        <f t="shared" si="18"/>
        <v>0</v>
      </c>
      <c r="C115" s="2172">
        <f>+'Fauna Acompañante'!DD200</f>
        <v>0</v>
      </c>
      <c r="D115" s="2172">
        <f>+'Fauna Acompañante'!DE200</f>
        <v>0</v>
      </c>
      <c r="E115" s="2172">
        <f>+'Fauna Acompañante'!DF200</f>
        <v>0</v>
      </c>
      <c r="F115" s="2172">
        <f>+'Fauna Acompañante'!DG200</f>
        <v>0</v>
      </c>
      <c r="G115" s="2172">
        <f>+'Fauna Acompañante'!DH200</f>
        <v>0</v>
      </c>
      <c r="H115" s="2172">
        <f>+'Fauna Acompañante'!DI200</f>
        <v>0</v>
      </c>
      <c r="I115" s="2172">
        <f>+'Fauna Acompañante'!DJ200</f>
        <v>0</v>
      </c>
      <c r="J115" s="2172">
        <f>+'Fauna Acompañante'!DK200</f>
        <v>0</v>
      </c>
      <c r="K115" s="2172">
        <f>+'Fauna Acompañante'!DL200</f>
        <v>0</v>
      </c>
      <c r="L115" s="2172">
        <f>+'Fauna Acompañante'!DM200</f>
        <v>0</v>
      </c>
      <c r="M115" s="2172">
        <f>+'Fauna Acompañante'!DN200</f>
        <v>0</v>
      </c>
      <c r="N115" s="2172">
        <f>+'Fauna Acompañante'!DO200</f>
        <v>0</v>
      </c>
      <c r="O115" s="2172">
        <f>+'Fauna Acompañante'!DP200</f>
        <v>0</v>
      </c>
      <c r="P115" s="2172">
        <f>+'Fauna Acompañante'!DQ200</f>
        <v>0</v>
      </c>
      <c r="Q115" s="2172">
        <f>+'Fauna Acompañante'!DR200</f>
        <v>0</v>
      </c>
      <c r="R115" s="2172">
        <f>+'Fauna Acompañante'!DS200</f>
        <v>0</v>
      </c>
      <c r="S115" s="2172">
        <f>+'Fauna Acompañante'!DT200</f>
        <v>0</v>
      </c>
      <c r="T115" s="2172">
        <f>+'Fauna Acompañante'!DU200</f>
        <v>0</v>
      </c>
      <c r="U115" s="2172">
        <f>+'Fauna Acompañante'!DV200</f>
        <v>0</v>
      </c>
      <c r="V115" s="2172">
        <f>+'Fauna Acompañante'!DW200</f>
        <v>0</v>
      </c>
      <c r="W115" s="2172">
        <f>+'Fauna Acompañante'!DX200</f>
        <v>0</v>
      </c>
      <c r="X115" s="2172">
        <f>+'Fauna Acompañante'!DY200</f>
        <v>0</v>
      </c>
      <c r="Y115" s="2172">
        <f>+'Fauna Acompañante'!DZ200</f>
        <v>0</v>
      </c>
      <c r="Z115" s="2172">
        <f>+'Fauna Acompañante'!EA200</f>
        <v>0</v>
      </c>
      <c r="AA115" s="2172">
        <f>+'Fauna Acompañante'!EB200</f>
        <v>0</v>
      </c>
      <c r="AB115" s="2172">
        <f>+'Fauna Acompañante'!EC200</f>
        <v>0</v>
      </c>
      <c r="AC115" s="2172">
        <f>+'Fauna Acompañante'!ED200</f>
        <v>0</v>
      </c>
      <c r="AD115" s="2172">
        <f>+'Fauna Acompañante'!EE200</f>
        <v>0</v>
      </c>
      <c r="AE115" s="2172">
        <f>+'Fauna Acompañante'!EF200</f>
        <v>0</v>
      </c>
      <c r="AF115" s="2172">
        <f>+'Fauna Acompañante'!EG200</f>
        <v>0</v>
      </c>
      <c r="AG115" s="2172">
        <f>+'Fauna Acompañante'!EH200</f>
        <v>0</v>
      </c>
      <c r="AH115" s="2171">
        <f t="shared" si="19"/>
        <v>0</v>
      </c>
    </row>
    <row r="116" spans="1:34" ht="15">
      <c r="A116" s="1962" t="s">
        <v>79</v>
      </c>
      <c r="B116" s="2175">
        <f t="shared" si="18"/>
        <v>1.77</v>
      </c>
      <c r="C116" s="2172">
        <f>+'Fauna Acompañante'!DD201</f>
        <v>0</v>
      </c>
      <c r="D116" s="2172">
        <f>+'Fauna Acompañante'!DE201</f>
        <v>0</v>
      </c>
      <c r="E116" s="2172">
        <f>+'Fauna Acompañante'!DF201</f>
        <v>0</v>
      </c>
      <c r="F116" s="2172">
        <f>+'Fauna Acompañante'!DG201</f>
        <v>0</v>
      </c>
      <c r="G116" s="2172">
        <f>+'Fauna Acompañante'!DH201</f>
        <v>0</v>
      </c>
      <c r="H116" s="2172">
        <f>+'Fauna Acompañante'!DI201</f>
        <v>0</v>
      </c>
      <c r="I116" s="2172">
        <f>+'Fauna Acompañante'!DJ201</f>
        <v>0</v>
      </c>
      <c r="J116" s="2172">
        <f>+'Fauna Acompañante'!DK201</f>
        <v>0</v>
      </c>
      <c r="K116" s="2172">
        <f>+'Fauna Acompañante'!DL201</f>
        <v>1.77</v>
      </c>
      <c r="L116" s="2172">
        <f>+'Fauna Acompañante'!DM201</f>
        <v>0</v>
      </c>
      <c r="M116" s="2172">
        <f>+'Fauna Acompañante'!DN201</f>
        <v>0</v>
      </c>
      <c r="N116" s="2172">
        <f>+'Fauna Acompañante'!DO201</f>
        <v>0</v>
      </c>
      <c r="O116" s="2172">
        <f>+'Fauna Acompañante'!DP201</f>
        <v>0</v>
      </c>
      <c r="P116" s="2172">
        <f>+'Fauna Acompañante'!DQ201</f>
        <v>0</v>
      </c>
      <c r="Q116" s="2172">
        <f>+'Fauna Acompañante'!DR201</f>
        <v>0</v>
      </c>
      <c r="R116" s="2172">
        <f>+'Fauna Acompañante'!DS201</f>
        <v>0</v>
      </c>
      <c r="S116" s="2172">
        <f>+'Fauna Acompañante'!DT201</f>
        <v>0</v>
      </c>
      <c r="T116" s="2172">
        <f>+'Fauna Acompañante'!DU201</f>
        <v>0</v>
      </c>
      <c r="U116" s="2172">
        <f>+'Fauna Acompañante'!DV201</f>
        <v>0</v>
      </c>
      <c r="V116" s="2172">
        <f>+'Fauna Acompañante'!DW201</f>
        <v>0</v>
      </c>
      <c r="W116" s="2172">
        <f>+'Fauna Acompañante'!DX201</f>
        <v>0</v>
      </c>
      <c r="X116" s="2172">
        <f>+'Fauna Acompañante'!DY201</f>
        <v>0</v>
      </c>
      <c r="Y116" s="2172">
        <f>+'Fauna Acompañante'!DZ201</f>
        <v>0</v>
      </c>
      <c r="Z116" s="2172">
        <f>+'Fauna Acompañante'!EA201</f>
        <v>0</v>
      </c>
      <c r="AA116" s="2172">
        <f>+'Fauna Acompañante'!EB201</f>
        <v>0</v>
      </c>
      <c r="AB116" s="2172">
        <f>+'Fauna Acompañante'!EC201</f>
        <v>0</v>
      </c>
      <c r="AC116" s="2172">
        <f>+'Fauna Acompañante'!ED201</f>
        <v>0</v>
      </c>
      <c r="AD116" s="2172">
        <f>+'Fauna Acompañante'!EE201</f>
        <v>0</v>
      </c>
      <c r="AE116" s="2172">
        <f>+'Fauna Acompañante'!EF201</f>
        <v>0</v>
      </c>
      <c r="AF116" s="2172">
        <f>+'Fauna Acompañante'!EG201</f>
        <v>0</v>
      </c>
      <c r="AG116" s="2172">
        <f>+'Fauna Acompañante'!EH201</f>
        <v>0</v>
      </c>
      <c r="AH116" s="2171">
        <f t="shared" si="19"/>
        <v>1.77</v>
      </c>
    </row>
    <row r="117" spans="1:34" ht="15">
      <c r="A117" s="1962" t="s">
        <v>80</v>
      </c>
      <c r="B117" s="2175">
        <f t="shared" si="18"/>
        <v>0</v>
      </c>
      <c r="C117" s="2172">
        <f>+'Fauna Acompañante'!DD202</f>
        <v>0</v>
      </c>
      <c r="D117" s="2172">
        <f>+'Fauna Acompañante'!DE202</f>
        <v>0</v>
      </c>
      <c r="E117" s="2172">
        <f>+'Fauna Acompañante'!DF202</f>
        <v>0</v>
      </c>
      <c r="F117" s="2172">
        <f>+'Fauna Acompañante'!DG202</f>
        <v>0</v>
      </c>
      <c r="G117" s="2172">
        <f>+'Fauna Acompañante'!DH202</f>
        <v>0</v>
      </c>
      <c r="H117" s="2172">
        <f>+'Fauna Acompañante'!DI202</f>
        <v>0</v>
      </c>
      <c r="I117" s="2172">
        <f>+'Fauna Acompañante'!DJ202</f>
        <v>0</v>
      </c>
      <c r="J117" s="2172">
        <f>+'Fauna Acompañante'!DK202</f>
        <v>0</v>
      </c>
      <c r="K117" s="2172">
        <f>+'Fauna Acompañante'!DL202</f>
        <v>0</v>
      </c>
      <c r="L117" s="2172">
        <f>+'Fauna Acompañante'!DM202</f>
        <v>0</v>
      </c>
      <c r="M117" s="2172">
        <f>+'Fauna Acompañante'!DN202</f>
        <v>0</v>
      </c>
      <c r="N117" s="2172">
        <f>+'Fauna Acompañante'!DO202</f>
        <v>0</v>
      </c>
      <c r="O117" s="2172">
        <f>+'Fauna Acompañante'!DP202</f>
        <v>0</v>
      </c>
      <c r="P117" s="2172">
        <f>+'Fauna Acompañante'!DQ202</f>
        <v>0</v>
      </c>
      <c r="Q117" s="2172">
        <f>+'Fauna Acompañante'!DR202</f>
        <v>0</v>
      </c>
      <c r="R117" s="2172">
        <f>+'Fauna Acompañante'!DS202</f>
        <v>0</v>
      </c>
      <c r="S117" s="2172">
        <f>+'Fauna Acompañante'!DT202</f>
        <v>0</v>
      </c>
      <c r="T117" s="2172">
        <f>+'Fauna Acompañante'!DU202</f>
        <v>0</v>
      </c>
      <c r="U117" s="2172">
        <f>+'Fauna Acompañante'!DV202</f>
        <v>0</v>
      </c>
      <c r="V117" s="2172">
        <f>+'Fauna Acompañante'!DW202</f>
        <v>0</v>
      </c>
      <c r="W117" s="2172">
        <f>+'Fauna Acompañante'!DX202</f>
        <v>0</v>
      </c>
      <c r="X117" s="2172">
        <f>+'Fauna Acompañante'!DY202</f>
        <v>0</v>
      </c>
      <c r="Y117" s="2172">
        <f>+'Fauna Acompañante'!DZ202</f>
        <v>0</v>
      </c>
      <c r="Z117" s="2172">
        <f>+'Fauna Acompañante'!EA202</f>
        <v>0</v>
      </c>
      <c r="AA117" s="2172">
        <f>+'Fauna Acompañante'!EB202</f>
        <v>0</v>
      </c>
      <c r="AB117" s="2172">
        <f>+'Fauna Acompañante'!EC202</f>
        <v>0</v>
      </c>
      <c r="AC117" s="2172">
        <f>+'Fauna Acompañante'!ED202</f>
        <v>0</v>
      </c>
      <c r="AD117" s="2172">
        <f>+'Fauna Acompañante'!EE202</f>
        <v>0</v>
      </c>
      <c r="AE117" s="2172">
        <f>+'Fauna Acompañante'!EF202</f>
        <v>0</v>
      </c>
      <c r="AF117" s="2172">
        <f>+'Fauna Acompañante'!EG202</f>
        <v>0</v>
      </c>
      <c r="AG117" s="2172">
        <f>+'Fauna Acompañante'!EH202</f>
        <v>0</v>
      </c>
      <c r="AH117" s="2171">
        <f t="shared" si="19"/>
        <v>0</v>
      </c>
    </row>
    <row r="118" spans="1:34" ht="15">
      <c r="A118" s="1962" t="s">
        <v>81</v>
      </c>
      <c r="B118" s="2175">
        <f t="shared" si="18"/>
        <v>0</v>
      </c>
      <c r="C118" s="2172">
        <f>+'Fauna Acompañante'!DD203</f>
        <v>0</v>
      </c>
      <c r="D118" s="2172">
        <f>+'Fauna Acompañante'!DE203</f>
        <v>0</v>
      </c>
      <c r="E118" s="2172">
        <f>+'Fauna Acompañante'!DF203</f>
        <v>0</v>
      </c>
      <c r="F118" s="2172">
        <f>+'Fauna Acompañante'!DG203</f>
        <v>0</v>
      </c>
      <c r="G118" s="2172">
        <f>+'Fauna Acompañante'!DH203</f>
        <v>0</v>
      </c>
      <c r="H118" s="2172">
        <f>+'Fauna Acompañante'!DI203</f>
        <v>0</v>
      </c>
      <c r="I118" s="2172">
        <f>+'Fauna Acompañante'!DJ203</f>
        <v>0</v>
      </c>
      <c r="J118" s="2172">
        <f>+'Fauna Acompañante'!DK203</f>
        <v>0</v>
      </c>
      <c r="K118" s="2172">
        <f>+'Fauna Acompañante'!DL203</f>
        <v>0</v>
      </c>
      <c r="L118" s="2172">
        <f>+'Fauna Acompañante'!DM203</f>
        <v>0</v>
      </c>
      <c r="M118" s="2172">
        <f>+'Fauna Acompañante'!DN203</f>
        <v>0</v>
      </c>
      <c r="N118" s="2172">
        <f>+'Fauna Acompañante'!DO203</f>
        <v>0</v>
      </c>
      <c r="O118" s="2172">
        <f>+'Fauna Acompañante'!DP203</f>
        <v>0</v>
      </c>
      <c r="P118" s="2172">
        <f>+'Fauna Acompañante'!DQ203</f>
        <v>0</v>
      </c>
      <c r="Q118" s="2172">
        <f>+'Fauna Acompañante'!DR203</f>
        <v>0</v>
      </c>
      <c r="R118" s="2172">
        <f>+'Fauna Acompañante'!DS203</f>
        <v>0</v>
      </c>
      <c r="S118" s="2172">
        <f>+'Fauna Acompañante'!DT203</f>
        <v>0</v>
      </c>
      <c r="T118" s="2172">
        <f>+'Fauna Acompañante'!DU203</f>
        <v>0</v>
      </c>
      <c r="U118" s="2172">
        <f>+'Fauna Acompañante'!DV203</f>
        <v>0</v>
      </c>
      <c r="V118" s="2172">
        <f>+'Fauna Acompañante'!DW203</f>
        <v>0</v>
      </c>
      <c r="W118" s="2172">
        <f>+'Fauna Acompañante'!DX203</f>
        <v>0</v>
      </c>
      <c r="X118" s="2172">
        <f>+'Fauna Acompañante'!DY203</f>
        <v>0</v>
      </c>
      <c r="Y118" s="2172">
        <f>+'Fauna Acompañante'!DZ203</f>
        <v>0</v>
      </c>
      <c r="Z118" s="2172">
        <f>+'Fauna Acompañante'!EA203</f>
        <v>0</v>
      </c>
      <c r="AA118" s="2172">
        <f>+'Fauna Acompañante'!EB203</f>
        <v>0</v>
      </c>
      <c r="AB118" s="2172">
        <f>+'Fauna Acompañante'!EC203</f>
        <v>0</v>
      </c>
      <c r="AC118" s="2172">
        <f>+'Fauna Acompañante'!ED203</f>
        <v>0</v>
      </c>
      <c r="AD118" s="2172">
        <f>+'Fauna Acompañante'!EE203</f>
        <v>0</v>
      </c>
      <c r="AE118" s="2172">
        <f>+'Fauna Acompañante'!EF203</f>
        <v>0</v>
      </c>
      <c r="AF118" s="2172">
        <f>+'Fauna Acompañante'!EG203</f>
        <v>0</v>
      </c>
      <c r="AG118" s="2172">
        <f>+'Fauna Acompañante'!EH203</f>
        <v>0</v>
      </c>
      <c r="AH118" s="2171">
        <f t="shared" si="19"/>
        <v>0</v>
      </c>
    </row>
    <row r="119" spans="1:34" ht="15">
      <c r="A119" s="1962" t="s">
        <v>82</v>
      </c>
      <c r="B119" s="2175">
        <f t="shared" si="18"/>
        <v>0</v>
      </c>
      <c r="C119" s="2172">
        <f>+'Fauna Acompañante'!DD204</f>
        <v>0</v>
      </c>
      <c r="D119" s="2172">
        <f>+'Fauna Acompañante'!DE204</f>
        <v>0</v>
      </c>
      <c r="E119" s="2172">
        <f>+'Fauna Acompañante'!DF204</f>
        <v>0</v>
      </c>
      <c r="F119" s="2172">
        <f>+'Fauna Acompañante'!DG204</f>
        <v>0</v>
      </c>
      <c r="G119" s="2172">
        <f>+'Fauna Acompañante'!DH204</f>
        <v>0</v>
      </c>
      <c r="H119" s="2172">
        <f>+'Fauna Acompañante'!DI204</f>
        <v>0</v>
      </c>
      <c r="I119" s="2172">
        <f>+'Fauna Acompañante'!DJ204</f>
        <v>0</v>
      </c>
      <c r="J119" s="2172">
        <f>+'Fauna Acompañante'!DK204</f>
        <v>0</v>
      </c>
      <c r="K119" s="2172">
        <f>+'Fauna Acompañante'!DL204</f>
        <v>0</v>
      </c>
      <c r="L119" s="2172">
        <f>+'Fauna Acompañante'!DM204</f>
        <v>0</v>
      </c>
      <c r="M119" s="2172">
        <f>+'Fauna Acompañante'!DN204</f>
        <v>0</v>
      </c>
      <c r="N119" s="2172">
        <f>+'Fauna Acompañante'!DO204</f>
        <v>0</v>
      </c>
      <c r="O119" s="2172">
        <f>+'Fauna Acompañante'!DP204</f>
        <v>0</v>
      </c>
      <c r="P119" s="2172">
        <f>+'Fauna Acompañante'!DQ204</f>
        <v>0</v>
      </c>
      <c r="Q119" s="2172">
        <f>+'Fauna Acompañante'!DR204</f>
        <v>0</v>
      </c>
      <c r="R119" s="2172">
        <f>+'Fauna Acompañante'!DS204</f>
        <v>0</v>
      </c>
      <c r="S119" s="2172">
        <f>+'Fauna Acompañante'!DT204</f>
        <v>0</v>
      </c>
      <c r="T119" s="2172">
        <f>+'Fauna Acompañante'!DU204</f>
        <v>0</v>
      </c>
      <c r="U119" s="2172">
        <f>+'Fauna Acompañante'!DV204</f>
        <v>0</v>
      </c>
      <c r="V119" s="2172">
        <f>+'Fauna Acompañante'!DW204</f>
        <v>0</v>
      </c>
      <c r="W119" s="2172">
        <f>+'Fauna Acompañante'!DX204</f>
        <v>0</v>
      </c>
      <c r="X119" s="2172">
        <f>+'Fauna Acompañante'!DY204</f>
        <v>0</v>
      </c>
      <c r="Y119" s="2172">
        <f>+'Fauna Acompañante'!DZ204</f>
        <v>0</v>
      </c>
      <c r="Z119" s="2172">
        <f>+'Fauna Acompañante'!EA204</f>
        <v>0</v>
      </c>
      <c r="AA119" s="2172">
        <f>+'Fauna Acompañante'!EB204</f>
        <v>0</v>
      </c>
      <c r="AB119" s="2172">
        <f>+'Fauna Acompañante'!EC204</f>
        <v>0</v>
      </c>
      <c r="AC119" s="2172">
        <f>+'Fauna Acompañante'!ED204</f>
        <v>0</v>
      </c>
      <c r="AD119" s="2172">
        <f>+'Fauna Acompañante'!EE204</f>
        <v>0</v>
      </c>
      <c r="AE119" s="2172">
        <f>+'Fauna Acompañante'!EF204</f>
        <v>0</v>
      </c>
      <c r="AF119" s="2172">
        <f>+'Fauna Acompañante'!EG204</f>
        <v>0</v>
      </c>
      <c r="AG119" s="2172">
        <f>+'Fauna Acompañante'!EH204</f>
        <v>0</v>
      </c>
      <c r="AH119" s="2171">
        <f t="shared" si="19"/>
        <v>0</v>
      </c>
    </row>
    <row r="120" spans="1:34" ht="15">
      <c r="A120" s="1962" t="s">
        <v>83</v>
      </c>
      <c r="B120" s="2175">
        <f t="shared" si="18"/>
        <v>0</v>
      </c>
      <c r="C120" s="2172">
        <f>+'Fauna Acompañante'!DD205</f>
        <v>0</v>
      </c>
      <c r="D120" s="2172">
        <f>+'Fauna Acompañante'!DE205</f>
        <v>0</v>
      </c>
      <c r="E120" s="2172">
        <f>+'Fauna Acompañante'!DF205</f>
        <v>0</v>
      </c>
      <c r="F120" s="2172">
        <f>+'Fauna Acompañante'!DG205</f>
        <v>0</v>
      </c>
      <c r="G120" s="2172">
        <f>+'Fauna Acompañante'!DH205</f>
        <v>0</v>
      </c>
      <c r="H120" s="2172">
        <f>+'Fauna Acompañante'!DI205</f>
        <v>0</v>
      </c>
      <c r="I120" s="2172">
        <f>+'Fauna Acompañante'!DJ205</f>
        <v>0</v>
      </c>
      <c r="J120" s="2172">
        <f>+'Fauna Acompañante'!DK205</f>
        <v>0</v>
      </c>
      <c r="K120" s="2172">
        <f>+'Fauna Acompañante'!DL205</f>
        <v>0</v>
      </c>
      <c r="L120" s="2172">
        <f>+'Fauna Acompañante'!DM205</f>
        <v>0</v>
      </c>
      <c r="M120" s="2172">
        <f>+'Fauna Acompañante'!DN205</f>
        <v>0</v>
      </c>
      <c r="N120" s="2172">
        <f>+'Fauna Acompañante'!DO205</f>
        <v>0</v>
      </c>
      <c r="O120" s="2172">
        <f>+'Fauna Acompañante'!DP205</f>
        <v>0</v>
      </c>
      <c r="P120" s="2172">
        <f>+'Fauna Acompañante'!DQ205</f>
        <v>0</v>
      </c>
      <c r="Q120" s="2172">
        <f>+'Fauna Acompañante'!DR205</f>
        <v>0</v>
      </c>
      <c r="R120" s="2172">
        <f>+'Fauna Acompañante'!DS205</f>
        <v>0</v>
      </c>
      <c r="S120" s="2172">
        <f>+'Fauna Acompañante'!DT205</f>
        <v>0</v>
      </c>
      <c r="T120" s="2172">
        <f>+'Fauna Acompañante'!DU205</f>
        <v>0</v>
      </c>
      <c r="U120" s="2172">
        <f>+'Fauna Acompañante'!DV205</f>
        <v>0</v>
      </c>
      <c r="V120" s="2172">
        <f>+'Fauna Acompañante'!DW205</f>
        <v>0</v>
      </c>
      <c r="W120" s="2172">
        <f>+'Fauna Acompañante'!DX205</f>
        <v>0</v>
      </c>
      <c r="X120" s="2172">
        <f>+'Fauna Acompañante'!DY205</f>
        <v>0</v>
      </c>
      <c r="Y120" s="2172">
        <f>+'Fauna Acompañante'!DZ205</f>
        <v>0</v>
      </c>
      <c r="Z120" s="2172">
        <f>+'Fauna Acompañante'!EA205</f>
        <v>0</v>
      </c>
      <c r="AA120" s="2172">
        <f>+'Fauna Acompañante'!EB205</f>
        <v>0</v>
      </c>
      <c r="AB120" s="2172">
        <f>+'Fauna Acompañante'!EC205</f>
        <v>0</v>
      </c>
      <c r="AC120" s="2172">
        <f>+'Fauna Acompañante'!ED205</f>
        <v>0</v>
      </c>
      <c r="AD120" s="2172">
        <f>+'Fauna Acompañante'!EE205</f>
        <v>0</v>
      </c>
      <c r="AE120" s="2172">
        <f>+'Fauna Acompañante'!EF205</f>
        <v>0</v>
      </c>
      <c r="AF120" s="2172">
        <f>+'Fauna Acompañante'!EG205</f>
        <v>0</v>
      </c>
      <c r="AG120" s="2172">
        <f>+'Fauna Acompañante'!EH205</f>
        <v>0</v>
      </c>
      <c r="AH120" s="2171">
        <f t="shared" si="19"/>
        <v>0</v>
      </c>
    </row>
    <row r="121" spans="1:34" ht="15">
      <c r="A121" s="1962" t="s">
        <v>84</v>
      </c>
      <c r="B121" s="2175">
        <f t="shared" si="18"/>
        <v>0</v>
      </c>
      <c r="C121" s="2172">
        <f>+'Fauna Acompañante'!DD206</f>
        <v>0</v>
      </c>
      <c r="D121" s="2172">
        <f>+'Fauna Acompañante'!DE206</f>
        <v>0</v>
      </c>
      <c r="E121" s="2172">
        <f>+'Fauna Acompañante'!DF206</f>
        <v>0</v>
      </c>
      <c r="F121" s="2172">
        <f>+'Fauna Acompañante'!DG206</f>
        <v>0</v>
      </c>
      <c r="G121" s="2172">
        <f>+'Fauna Acompañante'!DH206</f>
        <v>0</v>
      </c>
      <c r="H121" s="2172">
        <f>+'Fauna Acompañante'!DI206</f>
        <v>0</v>
      </c>
      <c r="I121" s="2172">
        <f>+'Fauna Acompañante'!DJ206</f>
        <v>0</v>
      </c>
      <c r="J121" s="2172">
        <f>+'Fauna Acompañante'!DK206</f>
        <v>0</v>
      </c>
      <c r="K121" s="2172">
        <f>+'Fauna Acompañante'!DL206</f>
        <v>0</v>
      </c>
      <c r="L121" s="2172">
        <f>+'Fauna Acompañante'!DM206</f>
        <v>0</v>
      </c>
      <c r="M121" s="2172">
        <f>+'Fauna Acompañante'!DN206</f>
        <v>0</v>
      </c>
      <c r="N121" s="2172">
        <f>+'Fauna Acompañante'!DO206</f>
        <v>0</v>
      </c>
      <c r="O121" s="2172">
        <f>+'Fauna Acompañante'!DP206</f>
        <v>0</v>
      </c>
      <c r="P121" s="2172">
        <f>+'Fauna Acompañante'!DQ206</f>
        <v>0</v>
      </c>
      <c r="Q121" s="2172">
        <f>+'Fauna Acompañante'!DR206</f>
        <v>0</v>
      </c>
      <c r="R121" s="2172">
        <f>+'Fauna Acompañante'!DS206</f>
        <v>0</v>
      </c>
      <c r="S121" s="2172">
        <f>+'Fauna Acompañante'!DT206</f>
        <v>0</v>
      </c>
      <c r="T121" s="2172">
        <f>+'Fauna Acompañante'!DU206</f>
        <v>0</v>
      </c>
      <c r="U121" s="2172">
        <f>+'Fauna Acompañante'!DV206</f>
        <v>0</v>
      </c>
      <c r="V121" s="2172">
        <f>+'Fauna Acompañante'!DW206</f>
        <v>0</v>
      </c>
      <c r="W121" s="2172">
        <f>+'Fauna Acompañante'!DX206</f>
        <v>0</v>
      </c>
      <c r="X121" s="2172">
        <f>+'Fauna Acompañante'!DY206</f>
        <v>0</v>
      </c>
      <c r="Y121" s="2172">
        <f>+'Fauna Acompañante'!DZ206</f>
        <v>0</v>
      </c>
      <c r="Z121" s="2172">
        <f>+'Fauna Acompañante'!EA206</f>
        <v>0</v>
      </c>
      <c r="AA121" s="2172">
        <f>+'Fauna Acompañante'!EB206</f>
        <v>0</v>
      </c>
      <c r="AB121" s="2172">
        <f>+'Fauna Acompañante'!EC206</f>
        <v>0</v>
      </c>
      <c r="AC121" s="2172">
        <f>+'Fauna Acompañante'!ED206</f>
        <v>0</v>
      </c>
      <c r="AD121" s="2172">
        <f>+'Fauna Acompañante'!EE206</f>
        <v>0</v>
      </c>
      <c r="AE121" s="2172">
        <f>+'Fauna Acompañante'!EF206</f>
        <v>0</v>
      </c>
      <c r="AF121" s="2172">
        <f>+'Fauna Acompañante'!EG206</f>
        <v>0</v>
      </c>
      <c r="AG121" s="2172">
        <f>+'Fauna Acompañante'!EH206</f>
        <v>0</v>
      </c>
      <c r="AH121" s="2171">
        <f t="shared" si="19"/>
        <v>0</v>
      </c>
    </row>
    <row r="122" spans="1:34" ht="15">
      <c r="A122" s="1962" t="s">
        <v>85</v>
      </c>
      <c r="B122" s="2175">
        <f t="shared" si="18"/>
        <v>0</v>
      </c>
      <c r="C122" s="2172">
        <f>+'Fauna Acompañante'!DD207</f>
        <v>0</v>
      </c>
      <c r="D122" s="2172">
        <f>+'Fauna Acompañante'!DE207</f>
        <v>0</v>
      </c>
      <c r="E122" s="2172">
        <f>+'Fauna Acompañante'!DF207</f>
        <v>0</v>
      </c>
      <c r="F122" s="2172">
        <f>+'Fauna Acompañante'!DG207</f>
        <v>0</v>
      </c>
      <c r="G122" s="2172">
        <f>+'Fauna Acompañante'!DH207</f>
        <v>0</v>
      </c>
      <c r="H122" s="2172">
        <f>+'Fauna Acompañante'!DI207</f>
        <v>0</v>
      </c>
      <c r="I122" s="2172">
        <f>+'Fauna Acompañante'!DJ207</f>
        <v>0</v>
      </c>
      <c r="J122" s="2172">
        <f>+'Fauna Acompañante'!DK207</f>
        <v>0</v>
      </c>
      <c r="K122" s="2172">
        <f>+'Fauna Acompañante'!DL207</f>
        <v>0</v>
      </c>
      <c r="L122" s="2172">
        <f>+'Fauna Acompañante'!DM207</f>
        <v>0</v>
      </c>
      <c r="M122" s="2172">
        <f>+'Fauna Acompañante'!DN207</f>
        <v>0</v>
      </c>
      <c r="N122" s="2172">
        <f>+'Fauna Acompañante'!DO207</f>
        <v>0</v>
      </c>
      <c r="O122" s="2172">
        <f>+'Fauna Acompañante'!DP207</f>
        <v>0</v>
      </c>
      <c r="P122" s="2172">
        <f>+'Fauna Acompañante'!DQ207</f>
        <v>0</v>
      </c>
      <c r="Q122" s="2172">
        <f>+'Fauna Acompañante'!DR207</f>
        <v>0</v>
      </c>
      <c r="R122" s="2172">
        <f>+'Fauna Acompañante'!DS207</f>
        <v>0</v>
      </c>
      <c r="S122" s="2172">
        <f>+'Fauna Acompañante'!DT207</f>
        <v>0</v>
      </c>
      <c r="T122" s="2172">
        <f>+'Fauna Acompañante'!DU207</f>
        <v>0</v>
      </c>
      <c r="U122" s="2172">
        <f>+'Fauna Acompañante'!DV207</f>
        <v>0</v>
      </c>
      <c r="V122" s="2172">
        <f>+'Fauna Acompañante'!DW207</f>
        <v>0</v>
      </c>
      <c r="W122" s="2172">
        <f>+'Fauna Acompañante'!DX207</f>
        <v>0</v>
      </c>
      <c r="X122" s="2172">
        <f>+'Fauna Acompañante'!DY207</f>
        <v>0</v>
      </c>
      <c r="Y122" s="2172">
        <f>+'Fauna Acompañante'!DZ207</f>
        <v>0</v>
      </c>
      <c r="Z122" s="2172">
        <f>+'Fauna Acompañante'!EA207</f>
        <v>0</v>
      </c>
      <c r="AA122" s="2172">
        <f>+'Fauna Acompañante'!EB207</f>
        <v>0</v>
      </c>
      <c r="AB122" s="2172">
        <f>+'Fauna Acompañante'!EC207</f>
        <v>0</v>
      </c>
      <c r="AC122" s="2172">
        <f>+'Fauna Acompañante'!ED207</f>
        <v>0</v>
      </c>
      <c r="AD122" s="2172">
        <f>+'Fauna Acompañante'!EE207</f>
        <v>0</v>
      </c>
      <c r="AE122" s="2172">
        <f>+'Fauna Acompañante'!EF207</f>
        <v>0</v>
      </c>
      <c r="AF122" s="2172">
        <f>+'Fauna Acompañante'!EG207</f>
        <v>0</v>
      </c>
      <c r="AG122" s="2172">
        <f>+'Fauna Acompañante'!EH207</f>
        <v>0</v>
      </c>
      <c r="AH122" s="2171">
        <f t="shared" si="19"/>
        <v>0</v>
      </c>
    </row>
    <row r="123" spans="1:34" ht="15">
      <c r="A123" s="1962" t="s">
        <v>86</v>
      </c>
      <c r="B123" s="2175">
        <f t="shared" si="18"/>
        <v>0</v>
      </c>
      <c r="C123" s="2172">
        <f>+'Fauna Acompañante'!DD208</f>
        <v>0</v>
      </c>
      <c r="D123" s="2172">
        <f>+'Fauna Acompañante'!DE208</f>
        <v>0</v>
      </c>
      <c r="E123" s="2172">
        <f>+'Fauna Acompañante'!DF208</f>
        <v>0</v>
      </c>
      <c r="F123" s="2172">
        <f>+'Fauna Acompañante'!DG208</f>
        <v>0</v>
      </c>
      <c r="G123" s="2172">
        <f>+'Fauna Acompañante'!DH208</f>
        <v>0</v>
      </c>
      <c r="H123" s="2172">
        <f>+'Fauna Acompañante'!DI208</f>
        <v>0</v>
      </c>
      <c r="I123" s="2172">
        <f>+'Fauna Acompañante'!DJ208</f>
        <v>0</v>
      </c>
      <c r="J123" s="2172">
        <f>+'Fauna Acompañante'!DK208</f>
        <v>0</v>
      </c>
      <c r="K123" s="2172">
        <f>+'Fauna Acompañante'!DL208</f>
        <v>0</v>
      </c>
      <c r="L123" s="2172">
        <f>+'Fauna Acompañante'!DM208</f>
        <v>0</v>
      </c>
      <c r="M123" s="2172">
        <f>+'Fauna Acompañante'!DN208</f>
        <v>0</v>
      </c>
      <c r="N123" s="2172">
        <f>+'Fauna Acompañante'!DO208</f>
        <v>0</v>
      </c>
      <c r="O123" s="2172">
        <f>+'Fauna Acompañante'!DP208</f>
        <v>0</v>
      </c>
      <c r="P123" s="2172">
        <f>+'Fauna Acompañante'!DQ208</f>
        <v>0</v>
      </c>
      <c r="Q123" s="2172">
        <f>+'Fauna Acompañante'!DR208</f>
        <v>0</v>
      </c>
      <c r="R123" s="2172">
        <f>+'Fauna Acompañante'!DS208</f>
        <v>0</v>
      </c>
      <c r="S123" s="2172">
        <f>+'Fauna Acompañante'!DT208</f>
        <v>0</v>
      </c>
      <c r="T123" s="2172">
        <f>+'Fauna Acompañante'!DU208</f>
        <v>0</v>
      </c>
      <c r="U123" s="2172">
        <f>+'Fauna Acompañante'!DV208</f>
        <v>0</v>
      </c>
      <c r="V123" s="2172">
        <f>+'Fauna Acompañante'!DW208</f>
        <v>0</v>
      </c>
      <c r="W123" s="2172">
        <f>+'Fauna Acompañante'!DX208</f>
        <v>0</v>
      </c>
      <c r="X123" s="2172">
        <f>+'Fauna Acompañante'!DY208</f>
        <v>0</v>
      </c>
      <c r="Y123" s="2172">
        <f>+'Fauna Acompañante'!DZ208</f>
        <v>0</v>
      </c>
      <c r="Z123" s="2172">
        <f>+'Fauna Acompañante'!EA208</f>
        <v>0</v>
      </c>
      <c r="AA123" s="2172">
        <f>+'Fauna Acompañante'!EB208</f>
        <v>0</v>
      </c>
      <c r="AB123" s="2172">
        <f>+'Fauna Acompañante'!EC208</f>
        <v>0</v>
      </c>
      <c r="AC123" s="2172">
        <f>+'Fauna Acompañante'!ED208</f>
        <v>0</v>
      </c>
      <c r="AD123" s="2172">
        <f>+'Fauna Acompañante'!EE208</f>
        <v>0</v>
      </c>
      <c r="AE123" s="2172">
        <f>+'Fauna Acompañante'!EF208</f>
        <v>0</v>
      </c>
      <c r="AF123" s="2172">
        <f>+'Fauna Acompañante'!EG208</f>
        <v>0</v>
      </c>
      <c r="AG123" s="2172">
        <f>+'Fauna Acompañante'!EH208</f>
        <v>0</v>
      </c>
      <c r="AH123" s="2171">
        <f t="shared" si="19"/>
        <v>0</v>
      </c>
    </row>
    <row r="124" spans="1:34" ht="15">
      <c r="A124" s="2174" t="s">
        <v>74</v>
      </c>
      <c r="B124" s="2173">
        <f t="shared" ref="B124:AH124" si="20">SUM(B112:B123)</f>
        <v>1.77</v>
      </c>
      <c r="C124" s="2172">
        <f t="shared" si="20"/>
        <v>0</v>
      </c>
      <c r="D124" s="2172">
        <f t="shared" si="20"/>
        <v>0</v>
      </c>
      <c r="E124" s="2172">
        <f t="shared" si="20"/>
        <v>0</v>
      </c>
      <c r="F124" s="2172">
        <f t="shared" si="20"/>
        <v>0</v>
      </c>
      <c r="G124" s="2172">
        <f t="shared" si="20"/>
        <v>0</v>
      </c>
      <c r="H124" s="2172">
        <f t="shared" si="20"/>
        <v>0</v>
      </c>
      <c r="I124" s="2172">
        <f t="shared" si="20"/>
        <v>0</v>
      </c>
      <c r="J124" s="2172">
        <f t="shared" si="20"/>
        <v>0</v>
      </c>
      <c r="K124" s="2172">
        <f t="shared" si="20"/>
        <v>1.77</v>
      </c>
      <c r="L124" s="2172">
        <f t="shared" si="20"/>
        <v>0</v>
      </c>
      <c r="M124" s="2172">
        <f t="shared" si="20"/>
        <v>0</v>
      </c>
      <c r="N124" s="2172">
        <f t="shared" si="20"/>
        <v>0</v>
      </c>
      <c r="O124" s="2172">
        <f t="shared" si="20"/>
        <v>0</v>
      </c>
      <c r="P124" s="2172">
        <f t="shared" si="20"/>
        <v>0</v>
      </c>
      <c r="Q124" s="2172">
        <f t="shared" si="20"/>
        <v>0</v>
      </c>
      <c r="R124" s="2172">
        <f t="shared" si="20"/>
        <v>0</v>
      </c>
      <c r="S124" s="2172">
        <f t="shared" si="20"/>
        <v>0</v>
      </c>
      <c r="T124" s="2172">
        <f t="shared" si="20"/>
        <v>0</v>
      </c>
      <c r="U124" s="2172">
        <f t="shared" si="20"/>
        <v>0</v>
      </c>
      <c r="V124" s="2172">
        <f t="shared" si="20"/>
        <v>0</v>
      </c>
      <c r="W124" s="2172">
        <f t="shared" si="20"/>
        <v>0</v>
      </c>
      <c r="X124" s="2172">
        <f t="shared" si="20"/>
        <v>0</v>
      </c>
      <c r="Y124" s="2172">
        <f t="shared" si="20"/>
        <v>0</v>
      </c>
      <c r="Z124" s="2172">
        <f t="shared" si="20"/>
        <v>0</v>
      </c>
      <c r="AA124" s="2172">
        <f t="shared" si="20"/>
        <v>0</v>
      </c>
      <c r="AB124" s="2172">
        <f t="shared" si="20"/>
        <v>0</v>
      </c>
      <c r="AC124" s="2172">
        <f t="shared" si="20"/>
        <v>0</v>
      </c>
      <c r="AD124" s="2172">
        <f t="shared" si="20"/>
        <v>0</v>
      </c>
      <c r="AE124" s="2172">
        <f t="shared" si="20"/>
        <v>0</v>
      </c>
      <c r="AF124" s="2172">
        <f t="shared" si="20"/>
        <v>0</v>
      </c>
      <c r="AG124" s="2172">
        <f t="shared" si="20"/>
        <v>0</v>
      </c>
      <c r="AH124" s="2171">
        <f t="shared" si="20"/>
        <v>1.77</v>
      </c>
    </row>
    <row r="126" spans="1:34" ht="15">
      <c r="A126" s="3775" t="s">
        <v>628</v>
      </c>
      <c r="B126" s="3776"/>
      <c r="C126" s="3776"/>
      <c r="D126" s="3776"/>
      <c r="E126" s="3776"/>
      <c r="F126" s="3776"/>
      <c r="G126" s="3776"/>
      <c r="H126" s="3776"/>
      <c r="I126" s="3776"/>
      <c r="J126" s="3776"/>
      <c r="K126" s="3776"/>
      <c r="L126" s="3776"/>
      <c r="M126" s="3776"/>
      <c r="N126" s="3776"/>
      <c r="O126" s="3776"/>
      <c r="P126" s="3776"/>
      <c r="Q126" s="3776"/>
      <c r="R126" s="3776"/>
      <c r="S126" s="3776"/>
      <c r="T126" s="3777"/>
      <c r="U126" s="2179"/>
      <c r="V126" s="2179"/>
      <c r="W126" s="2179"/>
      <c r="X126" s="2179"/>
      <c r="Y126" s="2179"/>
      <c r="Z126" s="2179"/>
      <c r="AA126" s="2179"/>
      <c r="AB126" s="2179"/>
      <c r="AC126" s="2179"/>
      <c r="AD126" s="2179"/>
      <c r="AE126" s="2179"/>
      <c r="AF126" s="2179"/>
      <c r="AG126" s="2179"/>
      <c r="AH126" s="2179"/>
    </row>
    <row r="127" spans="1:34">
      <c r="A127" s="2179"/>
      <c r="B127" s="2179"/>
      <c r="C127" s="2179"/>
      <c r="D127" s="2179"/>
      <c r="E127" s="2179"/>
      <c r="F127" s="2179"/>
      <c r="G127" s="2179"/>
      <c r="H127" s="2179"/>
      <c r="I127" s="2179"/>
      <c r="J127" s="2179"/>
      <c r="K127" s="2179"/>
      <c r="L127" s="2179"/>
      <c r="M127" s="2179"/>
      <c r="N127" s="2179"/>
      <c r="O127" s="2179"/>
      <c r="P127" s="2179"/>
      <c r="Q127" s="2179"/>
      <c r="R127" s="2179"/>
      <c r="S127" s="2179"/>
      <c r="T127" s="2179"/>
      <c r="U127" s="2179"/>
      <c r="V127" s="2179"/>
      <c r="W127" s="2179"/>
      <c r="X127" s="2179"/>
      <c r="Y127" s="2179"/>
      <c r="Z127" s="2179"/>
      <c r="AA127" s="2179"/>
      <c r="AB127" s="2179"/>
      <c r="AC127" s="2179"/>
      <c r="AD127" s="2179"/>
      <c r="AE127" s="2179"/>
      <c r="AF127" s="2179"/>
      <c r="AG127" s="2179"/>
      <c r="AH127" s="2179"/>
    </row>
    <row r="128" spans="1:34">
      <c r="A128" s="2179"/>
      <c r="B128" s="2179"/>
      <c r="C128" s="2179"/>
      <c r="D128" s="2179"/>
      <c r="E128" s="2179"/>
      <c r="F128" s="2179"/>
      <c r="G128" s="2179"/>
      <c r="H128" s="2179"/>
      <c r="I128" s="2179"/>
      <c r="J128" s="2179"/>
      <c r="K128" s="2179"/>
      <c r="L128" s="2179"/>
      <c r="M128" s="2179"/>
      <c r="N128" s="2179"/>
      <c r="O128" s="2179"/>
      <c r="P128" s="2179"/>
      <c r="Q128" s="2179"/>
      <c r="R128" s="2179"/>
      <c r="S128" s="2179"/>
      <c r="T128" s="2179"/>
      <c r="U128" s="2179"/>
      <c r="V128" s="2179"/>
      <c r="W128" s="2179"/>
      <c r="X128" s="2179"/>
      <c r="Y128" s="2179"/>
      <c r="Z128" s="2179"/>
      <c r="AA128" s="2179"/>
      <c r="AB128" s="2179"/>
      <c r="AC128" s="2179"/>
      <c r="AD128" s="2179"/>
      <c r="AE128" s="2179"/>
      <c r="AF128" s="2179"/>
      <c r="AG128" s="2179"/>
      <c r="AH128" s="2179"/>
    </row>
    <row r="129" spans="1:34" ht="15">
      <c r="A129" s="3775" t="s">
        <v>629</v>
      </c>
      <c r="B129" s="3776"/>
      <c r="C129" s="3777"/>
      <c r="D129" s="2177"/>
      <c r="E129" s="2177"/>
      <c r="F129" s="2177"/>
      <c r="G129" s="2177"/>
      <c r="H129" s="2177"/>
      <c r="I129" s="2177"/>
      <c r="J129" s="2177"/>
      <c r="K129" s="2177"/>
      <c r="L129" s="2177"/>
      <c r="M129" s="2178"/>
      <c r="N129" s="2177"/>
      <c r="O129" s="2177"/>
      <c r="P129" s="2177"/>
      <c r="Q129" s="2177"/>
      <c r="R129" s="2177"/>
      <c r="S129" s="2177"/>
      <c r="T129" s="2177"/>
      <c r="U129" s="2177"/>
      <c r="V129" s="2177"/>
      <c r="W129" s="2177"/>
      <c r="X129" s="2177"/>
      <c r="Y129" s="2177"/>
      <c r="Z129" s="2177"/>
      <c r="AA129" s="2177"/>
      <c r="AB129" s="2177"/>
      <c r="AC129" s="2177"/>
      <c r="AD129" s="2177"/>
      <c r="AE129" s="2177"/>
      <c r="AF129" s="2177"/>
      <c r="AG129" s="2177"/>
      <c r="AH129" s="2177"/>
    </row>
    <row r="130" spans="1:34" ht="15">
      <c r="A130" s="1962" t="s">
        <v>72</v>
      </c>
      <c r="B130" s="1962" t="s">
        <v>73</v>
      </c>
      <c r="C130" s="1962">
        <v>1</v>
      </c>
      <c r="D130" s="1962">
        <v>2</v>
      </c>
      <c r="E130" s="1962">
        <v>3</v>
      </c>
      <c r="F130" s="1962">
        <v>4</v>
      </c>
      <c r="G130" s="1962">
        <v>5</v>
      </c>
      <c r="H130" s="1962">
        <v>6</v>
      </c>
      <c r="I130" s="1962">
        <v>7</v>
      </c>
      <c r="J130" s="1962">
        <v>8</v>
      </c>
      <c r="K130" s="1962">
        <v>9</v>
      </c>
      <c r="L130" s="1962">
        <v>10</v>
      </c>
      <c r="M130" s="1962">
        <v>11</v>
      </c>
      <c r="N130" s="1962">
        <v>12</v>
      </c>
      <c r="O130" s="1962">
        <v>13</v>
      </c>
      <c r="P130" s="1962">
        <v>14</v>
      </c>
      <c r="Q130" s="1962">
        <v>15</v>
      </c>
      <c r="R130" s="1962">
        <v>16</v>
      </c>
      <c r="S130" s="1962">
        <v>17</v>
      </c>
      <c r="T130" s="1962">
        <v>18</v>
      </c>
      <c r="U130" s="1962">
        <v>19</v>
      </c>
      <c r="V130" s="1962">
        <v>20</v>
      </c>
      <c r="W130" s="1962">
        <v>21</v>
      </c>
      <c r="X130" s="1962">
        <v>22</v>
      </c>
      <c r="Y130" s="1962">
        <v>23</v>
      </c>
      <c r="Z130" s="1962">
        <v>24</v>
      </c>
      <c r="AA130" s="1962">
        <v>25</v>
      </c>
      <c r="AB130" s="1962">
        <v>26</v>
      </c>
      <c r="AC130" s="1962">
        <v>27</v>
      </c>
      <c r="AD130" s="1962">
        <v>28</v>
      </c>
      <c r="AE130" s="1962">
        <v>29</v>
      </c>
      <c r="AF130" s="1962">
        <v>30</v>
      </c>
      <c r="AG130" s="1962">
        <v>31</v>
      </c>
      <c r="AH130" s="2176" t="s">
        <v>74</v>
      </c>
    </row>
    <row r="131" spans="1:34" ht="15">
      <c r="A131" s="1962" t="s">
        <v>75</v>
      </c>
      <c r="B131" s="2175">
        <f t="shared" ref="B131:B142" si="21">+AH131</f>
        <v>0</v>
      </c>
      <c r="C131" s="2172">
        <f>+('Fauna Acompañante'!DD213)</f>
        <v>0</v>
      </c>
      <c r="D131" s="2172">
        <f>+('Fauna Acompañante'!DE213)</f>
        <v>0</v>
      </c>
      <c r="E131" s="2172">
        <f>+('Fauna Acompañante'!DF213)</f>
        <v>0</v>
      </c>
      <c r="F131" s="2172">
        <f>+('Fauna Acompañante'!DG213)</f>
        <v>0</v>
      </c>
      <c r="G131" s="2172">
        <f>+('Fauna Acompañante'!DH213)</f>
        <v>0</v>
      </c>
      <c r="H131" s="2172">
        <f>+('Fauna Acompañante'!DI213)</f>
        <v>0</v>
      </c>
      <c r="I131" s="2172">
        <f>+('Fauna Acompañante'!DJ213)</f>
        <v>0</v>
      </c>
      <c r="J131" s="2172">
        <f>+('Fauna Acompañante'!DK213)</f>
        <v>0</v>
      </c>
      <c r="K131" s="2172">
        <f>+('Fauna Acompañante'!DL213)</f>
        <v>0</v>
      </c>
      <c r="L131" s="2172">
        <f>+('Fauna Acompañante'!DM213)</f>
        <v>0</v>
      </c>
      <c r="M131" s="2172">
        <f>+('Fauna Acompañante'!DN213)</f>
        <v>0</v>
      </c>
      <c r="N131" s="2172">
        <f>+('Fauna Acompañante'!DO213)</f>
        <v>0</v>
      </c>
      <c r="O131" s="2172">
        <f>+('Fauna Acompañante'!DP213)</f>
        <v>0</v>
      </c>
      <c r="P131" s="2172">
        <f>+('Fauna Acompañante'!DQ213)</f>
        <v>0</v>
      </c>
      <c r="Q131" s="2172">
        <f>+('Fauna Acompañante'!DR213)</f>
        <v>0</v>
      </c>
      <c r="R131" s="2172">
        <f>+('Fauna Acompañante'!DS213)</f>
        <v>0</v>
      </c>
      <c r="S131" s="2172">
        <f>+('Fauna Acompañante'!DT213)</f>
        <v>0</v>
      </c>
      <c r="T131" s="2172">
        <f>+('Fauna Acompañante'!DU213)</f>
        <v>0</v>
      </c>
      <c r="U131" s="2172">
        <f>+('Fauna Acompañante'!DV213)</f>
        <v>0</v>
      </c>
      <c r="V131" s="2172">
        <f>+('Fauna Acompañante'!DW213)</f>
        <v>0</v>
      </c>
      <c r="W131" s="2172">
        <f>+('Fauna Acompañante'!DX213)</f>
        <v>0</v>
      </c>
      <c r="X131" s="2172">
        <f>+('Fauna Acompañante'!DY213)</f>
        <v>0</v>
      </c>
      <c r="Y131" s="2172">
        <f>+('Fauna Acompañante'!DZ213)</f>
        <v>0</v>
      </c>
      <c r="Z131" s="2172">
        <f>+('Fauna Acompañante'!EA213)</f>
        <v>0</v>
      </c>
      <c r="AA131" s="2172">
        <f>+('Fauna Acompañante'!EB213)</f>
        <v>0</v>
      </c>
      <c r="AB131" s="2172">
        <f>+('Fauna Acompañante'!EC213)</f>
        <v>0</v>
      </c>
      <c r="AC131" s="2172">
        <f>+('Fauna Acompañante'!ED213)</f>
        <v>0</v>
      </c>
      <c r="AD131" s="2172">
        <f>+('Fauna Acompañante'!EE213)</f>
        <v>0</v>
      </c>
      <c r="AE131" s="2172">
        <f>+('Fauna Acompañante'!EF213)</f>
        <v>0</v>
      </c>
      <c r="AF131" s="2172">
        <f>+('Fauna Acompañante'!EG213)</f>
        <v>0</v>
      </c>
      <c r="AG131" s="2172">
        <f>+('Fauna Acompañante'!EH213)</f>
        <v>0</v>
      </c>
      <c r="AH131" s="2171">
        <f t="shared" ref="AH131:AH142" si="22">SUM(C131:AG131)</f>
        <v>0</v>
      </c>
    </row>
    <row r="132" spans="1:34" ht="15">
      <c r="A132" s="1962" t="s">
        <v>76</v>
      </c>
      <c r="B132" s="2175">
        <f t="shared" si="21"/>
        <v>0</v>
      </c>
      <c r="C132" s="2172">
        <f>+('Fauna Acompañante'!DD214)</f>
        <v>0</v>
      </c>
      <c r="D132" s="2172">
        <f>+('Fauna Acompañante'!DE214)</f>
        <v>0</v>
      </c>
      <c r="E132" s="2172">
        <f>+('Fauna Acompañante'!DF214)</f>
        <v>0</v>
      </c>
      <c r="F132" s="2172">
        <f>+('Fauna Acompañante'!DG214)</f>
        <v>0</v>
      </c>
      <c r="G132" s="2172">
        <f>+('Fauna Acompañante'!DH214)</f>
        <v>0</v>
      </c>
      <c r="H132" s="2172">
        <f>+('Fauna Acompañante'!DI214)</f>
        <v>0</v>
      </c>
      <c r="I132" s="2172">
        <f>+('Fauna Acompañante'!DJ214)</f>
        <v>0</v>
      </c>
      <c r="J132" s="2172">
        <f>+('Fauna Acompañante'!DK214)</f>
        <v>0</v>
      </c>
      <c r="K132" s="2172">
        <f>+('Fauna Acompañante'!DL214)</f>
        <v>0</v>
      </c>
      <c r="L132" s="2172">
        <f>+('Fauna Acompañante'!DM214)</f>
        <v>0</v>
      </c>
      <c r="M132" s="2172">
        <f>+('Fauna Acompañante'!DN214)</f>
        <v>0</v>
      </c>
      <c r="N132" s="2172">
        <f>+('Fauna Acompañante'!DO214)</f>
        <v>0</v>
      </c>
      <c r="O132" s="2172">
        <f>+('Fauna Acompañante'!DP214)</f>
        <v>0</v>
      </c>
      <c r="P132" s="2172">
        <f>+('Fauna Acompañante'!DQ214)</f>
        <v>0</v>
      </c>
      <c r="Q132" s="2172">
        <f>+('Fauna Acompañante'!DR214)</f>
        <v>0</v>
      </c>
      <c r="R132" s="2172">
        <f>+('Fauna Acompañante'!DS214)</f>
        <v>0</v>
      </c>
      <c r="S132" s="2172">
        <f>+('Fauna Acompañante'!DT214)</f>
        <v>0</v>
      </c>
      <c r="T132" s="2172">
        <f>+('Fauna Acompañante'!DU214)</f>
        <v>0</v>
      </c>
      <c r="U132" s="2172">
        <f>+('Fauna Acompañante'!DV214)</f>
        <v>0</v>
      </c>
      <c r="V132" s="2172">
        <f>+('Fauna Acompañante'!DW214)</f>
        <v>0</v>
      </c>
      <c r="W132" s="2172">
        <f>+('Fauna Acompañante'!DX214)</f>
        <v>0</v>
      </c>
      <c r="X132" s="2172">
        <f>+('Fauna Acompañante'!DY214)</f>
        <v>0</v>
      </c>
      <c r="Y132" s="2172">
        <f>+('Fauna Acompañante'!DZ214)</f>
        <v>0</v>
      </c>
      <c r="Z132" s="2172">
        <f>+('Fauna Acompañante'!EA214)</f>
        <v>0</v>
      </c>
      <c r="AA132" s="2172">
        <f>+('Fauna Acompañante'!EB214)</f>
        <v>0</v>
      </c>
      <c r="AB132" s="2172">
        <f>+('Fauna Acompañante'!EC214)</f>
        <v>0</v>
      </c>
      <c r="AC132" s="2172">
        <f>+('Fauna Acompañante'!ED214)</f>
        <v>0</v>
      </c>
      <c r="AD132" s="2172">
        <f>+('Fauna Acompañante'!EE214)</f>
        <v>0</v>
      </c>
      <c r="AE132" s="2172">
        <f>+('Fauna Acompañante'!EF214)</f>
        <v>0</v>
      </c>
      <c r="AF132" s="2172">
        <f>+('Fauna Acompañante'!EG214)</f>
        <v>0</v>
      </c>
      <c r="AG132" s="2172">
        <f>+('Fauna Acompañante'!EH214)</f>
        <v>0</v>
      </c>
      <c r="AH132" s="2171">
        <f t="shared" si="22"/>
        <v>0</v>
      </c>
    </row>
    <row r="133" spans="1:34" ht="15">
      <c r="A133" s="1962" t="s">
        <v>77</v>
      </c>
      <c r="B133" s="2175">
        <f t="shared" si="21"/>
        <v>0</v>
      </c>
      <c r="C133" s="2172">
        <f>+('Fauna Acompañante'!DD215)</f>
        <v>0</v>
      </c>
      <c r="D133" s="2172">
        <f>+('Fauna Acompañante'!DE215)</f>
        <v>0</v>
      </c>
      <c r="E133" s="2172">
        <f>+('Fauna Acompañante'!DF215)</f>
        <v>0</v>
      </c>
      <c r="F133" s="2172">
        <f>+('Fauna Acompañante'!DG215)</f>
        <v>0</v>
      </c>
      <c r="G133" s="2172">
        <f>+('Fauna Acompañante'!DH215)</f>
        <v>0</v>
      </c>
      <c r="H133" s="2172">
        <f>+('Fauna Acompañante'!DI215)</f>
        <v>0</v>
      </c>
      <c r="I133" s="2172">
        <f>+('Fauna Acompañante'!DJ215)</f>
        <v>0</v>
      </c>
      <c r="J133" s="2172">
        <f>+('Fauna Acompañante'!DK215)</f>
        <v>0</v>
      </c>
      <c r="K133" s="2172">
        <f>+('Fauna Acompañante'!DL215)</f>
        <v>0</v>
      </c>
      <c r="L133" s="2172">
        <f>+('Fauna Acompañante'!DM215)</f>
        <v>0</v>
      </c>
      <c r="M133" s="2172">
        <f>+('Fauna Acompañante'!DN215)</f>
        <v>0</v>
      </c>
      <c r="N133" s="2172">
        <f>+('Fauna Acompañante'!DO215)</f>
        <v>0</v>
      </c>
      <c r="O133" s="2172">
        <f>+('Fauna Acompañante'!DP215)</f>
        <v>0</v>
      </c>
      <c r="P133" s="2172">
        <f>+('Fauna Acompañante'!DQ215)</f>
        <v>0</v>
      </c>
      <c r="Q133" s="2172">
        <f>+('Fauna Acompañante'!DR215)</f>
        <v>0</v>
      </c>
      <c r="R133" s="2172">
        <f>+('Fauna Acompañante'!DS215)</f>
        <v>0</v>
      </c>
      <c r="S133" s="2172">
        <f>+('Fauna Acompañante'!DT215)</f>
        <v>0</v>
      </c>
      <c r="T133" s="2172">
        <f>+('Fauna Acompañante'!DU215)</f>
        <v>0</v>
      </c>
      <c r="U133" s="2172">
        <f>+('Fauna Acompañante'!DV215)</f>
        <v>0</v>
      </c>
      <c r="V133" s="2172">
        <f>+('Fauna Acompañante'!DW215)</f>
        <v>0</v>
      </c>
      <c r="W133" s="2172">
        <f>+('Fauna Acompañante'!DX215)</f>
        <v>0</v>
      </c>
      <c r="X133" s="2172">
        <f>+('Fauna Acompañante'!DY215)</f>
        <v>0</v>
      </c>
      <c r="Y133" s="2172">
        <f>+('Fauna Acompañante'!DZ215)</f>
        <v>0</v>
      </c>
      <c r="Z133" s="2172">
        <f>+('Fauna Acompañante'!EA215)</f>
        <v>0</v>
      </c>
      <c r="AA133" s="2172">
        <f>+('Fauna Acompañante'!EB215)</f>
        <v>0</v>
      </c>
      <c r="AB133" s="2172">
        <f>+('Fauna Acompañante'!EC215)</f>
        <v>0</v>
      </c>
      <c r="AC133" s="2172">
        <f>+('Fauna Acompañante'!ED215)</f>
        <v>0</v>
      </c>
      <c r="AD133" s="2172">
        <f>+('Fauna Acompañante'!EE215)</f>
        <v>0</v>
      </c>
      <c r="AE133" s="2172">
        <f>+('Fauna Acompañante'!EF215)</f>
        <v>0</v>
      </c>
      <c r="AF133" s="2172">
        <f>+('Fauna Acompañante'!EG215)</f>
        <v>0</v>
      </c>
      <c r="AG133" s="2172">
        <f>+('Fauna Acompañante'!EH215)</f>
        <v>0</v>
      </c>
      <c r="AH133" s="2171">
        <f t="shared" si="22"/>
        <v>0</v>
      </c>
    </row>
    <row r="134" spans="1:34" ht="15">
      <c r="A134" s="1962" t="s">
        <v>78</v>
      </c>
      <c r="B134" s="2175">
        <f t="shared" si="21"/>
        <v>0</v>
      </c>
      <c r="C134" s="2172">
        <f>+('Fauna Acompañante'!DD216)</f>
        <v>0</v>
      </c>
      <c r="D134" s="2172">
        <f>+('Fauna Acompañante'!DE216)</f>
        <v>0</v>
      </c>
      <c r="E134" s="2172">
        <f>+('Fauna Acompañante'!DF216)</f>
        <v>0</v>
      </c>
      <c r="F134" s="2172">
        <f>+('Fauna Acompañante'!DG216)</f>
        <v>0</v>
      </c>
      <c r="G134" s="2172">
        <f>+('Fauna Acompañante'!DH216)</f>
        <v>0</v>
      </c>
      <c r="H134" s="2172">
        <f>+('Fauna Acompañante'!DI216)</f>
        <v>0</v>
      </c>
      <c r="I134" s="2172">
        <f>+('Fauna Acompañante'!DJ216)</f>
        <v>0</v>
      </c>
      <c r="J134" s="2172">
        <f>+('Fauna Acompañante'!DK216)</f>
        <v>0</v>
      </c>
      <c r="K134" s="2172">
        <f>+('Fauna Acompañante'!DL216)</f>
        <v>0</v>
      </c>
      <c r="L134" s="2172">
        <f>+('Fauna Acompañante'!DM216)</f>
        <v>0</v>
      </c>
      <c r="M134" s="2172">
        <f>+('Fauna Acompañante'!DN216)</f>
        <v>0</v>
      </c>
      <c r="N134" s="2172">
        <f>+('Fauna Acompañante'!DO216)</f>
        <v>0</v>
      </c>
      <c r="O134" s="2172">
        <f>+('Fauna Acompañante'!DP216)</f>
        <v>0</v>
      </c>
      <c r="P134" s="2172">
        <f>+('Fauna Acompañante'!DQ216)</f>
        <v>0</v>
      </c>
      <c r="Q134" s="2172">
        <f>+('Fauna Acompañante'!DR216)</f>
        <v>0</v>
      </c>
      <c r="R134" s="2172">
        <f>+('Fauna Acompañante'!DS216)</f>
        <v>0</v>
      </c>
      <c r="S134" s="2172">
        <f>+('Fauna Acompañante'!DT216)</f>
        <v>0</v>
      </c>
      <c r="T134" s="2172">
        <f>+('Fauna Acompañante'!DU216)</f>
        <v>0</v>
      </c>
      <c r="U134" s="2172">
        <f>+('Fauna Acompañante'!DV216)</f>
        <v>0</v>
      </c>
      <c r="V134" s="2172">
        <f>+('Fauna Acompañante'!DW216)</f>
        <v>0</v>
      </c>
      <c r="W134" s="2172">
        <f>+('Fauna Acompañante'!DX216)</f>
        <v>0</v>
      </c>
      <c r="X134" s="2172">
        <f>+('Fauna Acompañante'!DY216)</f>
        <v>0</v>
      </c>
      <c r="Y134" s="2172">
        <f>+('Fauna Acompañante'!DZ216)</f>
        <v>0</v>
      </c>
      <c r="Z134" s="2172">
        <f>+('Fauna Acompañante'!EA216)</f>
        <v>0</v>
      </c>
      <c r="AA134" s="2172">
        <f>+('Fauna Acompañante'!EB216)</f>
        <v>0</v>
      </c>
      <c r="AB134" s="2172">
        <f>+('Fauna Acompañante'!EC216)</f>
        <v>0</v>
      </c>
      <c r="AC134" s="2172">
        <f>+('Fauna Acompañante'!ED216)</f>
        <v>0</v>
      </c>
      <c r="AD134" s="2172">
        <f>+('Fauna Acompañante'!EE216)</f>
        <v>0</v>
      </c>
      <c r="AE134" s="2172">
        <f>+('Fauna Acompañante'!EF216)</f>
        <v>0</v>
      </c>
      <c r="AF134" s="2172">
        <f>+('Fauna Acompañante'!EG216)</f>
        <v>0</v>
      </c>
      <c r="AG134" s="2172">
        <f>+('Fauna Acompañante'!EH216)</f>
        <v>0</v>
      </c>
      <c r="AH134" s="2171">
        <f t="shared" si="22"/>
        <v>0</v>
      </c>
    </row>
    <row r="135" spans="1:34" ht="15">
      <c r="A135" s="1962" t="s">
        <v>79</v>
      </c>
      <c r="B135" s="2175">
        <f t="shared" si="21"/>
        <v>0</v>
      </c>
      <c r="C135" s="2172">
        <f>+('Fauna Acompañante'!DD217)</f>
        <v>0</v>
      </c>
      <c r="D135" s="2172">
        <f>+('Fauna Acompañante'!DE217)</f>
        <v>0</v>
      </c>
      <c r="E135" s="2172">
        <f>+('Fauna Acompañante'!DF217)</f>
        <v>0</v>
      </c>
      <c r="F135" s="2172">
        <f>+('Fauna Acompañante'!DG217)</f>
        <v>0</v>
      </c>
      <c r="G135" s="2172">
        <f>+('Fauna Acompañante'!DH217)</f>
        <v>0</v>
      </c>
      <c r="H135" s="2172">
        <f>+('Fauna Acompañante'!DI217)</f>
        <v>0</v>
      </c>
      <c r="I135" s="2172">
        <f>+('Fauna Acompañante'!DJ217)</f>
        <v>0</v>
      </c>
      <c r="J135" s="2172">
        <f>+('Fauna Acompañante'!DK217)</f>
        <v>0</v>
      </c>
      <c r="K135" s="2172">
        <f>+('Fauna Acompañante'!DL217)</f>
        <v>0</v>
      </c>
      <c r="L135" s="2172">
        <f>+('Fauna Acompañante'!DM217)</f>
        <v>0</v>
      </c>
      <c r="M135" s="2172">
        <f>+('Fauna Acompañante'!DN217)</f>
        <v>0</v>
      </c>
      <c r="N135" s="2172">
        <f>+('Fauna Acompañante'!DO217)</f>
        <v>0</v>
      </c>
      <c r="O135" s="2172">
        <f>+('Fauna Acompañante'!DP217)</f>
        <v>0</v>
      </c>
      <c r="P135" s="2172">
        <f>+('Fauna Acompañante'!DQ217)</f>
        <v>0</v>
      </c>
      <c r="Q135" s="2172">
        <f>+('Fauna Acompañante'!DR217)</f>
        <v>0</v>
      </c>
      <c r="R135" s="2172">
        <f>+('Fauna Acompañante'!DS217)</f>
        <v>0</v>
      </c>
      <c r="S135" s="2172">
        <f>+('Fauna Acompañante'!DT217)</f>
        <v>0</v>
      </c>
      <c r="T135" s="2172">
        <f>+('Fauna Acompañante'!DU217)</f>
        <v>0</v>
      </c>
      <c r="U135" s="2172">
        <f>+('Fauna Acompañante'!DV217)</f>
        <v>0</v>
      </c>
      <c r="V135" s="2172">
        <f>+('Fauna Acompañante'!DW217)</f>
        <v>0</v>
      </c>
      <c r="W135" s="2172">
        <f>+('Fauna Acompañante'!DX217)</f>
        <v>0</v>
      </c>
      <c r="X135" s="2172">
        <f>+('Fauna Acompañante'!DY217)</f>
        <v>0</v>
      </c>
      <c r="Y135" s="2172">
        <f>+('Fauna Acompañante'!DZ217)</f>
        <v>0</v>
      </c>
      <c r="Z135" s="2172">
        <f>+('Fauna Acompañante'!EA217)</f>
        <v>0</v>
      </c>
      <c r="AA135" s="2172">
        <f>+('Fauna Acompañante'!EB217)</f>
        <v>0</v>
      </c>
      <c r="AB135" s="2172">
        <f>+('Fauna Acompañante'!EC217)</f>
        <v>0</v>
      </c>
      <c r="AC135" s="2172">
        <f>+('Fauna Acompañante'!ED217)</f>
        <v>0</v>
      </c>
      <c r="AD135" s="2172">
        <f>+('Fauna Acompañante'!EE217)</f>
        <v>0</v>
      </c>
      <c r="AE135" s="2172">
        <f>+('Fauna Acompañante'!EF217)</f>
        <v>0</v>
      </c>
      <c r="AF135" s="2172">
        <f>+('Fauna Acompañante'!EG217)</f>
        <v>0</v>
      </c>
      <c r="AG135" s="2172">
        <f>+('Fauna Acompañante'!EH217)</f>
        <v>0</v>
      </c>
      <c r="AH135" s="2171">
        <f t="shared" si="22"/>
        <v>0</v>
      </c>
    </row>
    <row r="136" spans="1:34" ht="15">
      <c r="A136" s="1962" t="s">
        <v>80</v>
      </c>
      <c r="B136" s="2175">
        <f t="shared" si="21"/>
        <v>0</v>
      </c>
      <c r="C136" s="2172">
        <f>+('Fauna Acompañante'!DD218)</f>
        <v>0</v>
      </c>
      <c r="D136" s="2172">
        <f>+('Fauna Acompañante'!DE218)</f>
        <v>0</v>
      </c>
      <c r="E136" s="2172">
        <f>+('Fauna Acompañante'!DF218)</f>
        <v>0</v>
      </c>
      <c r="F136" s="2172">
        <f>+('Fauna Acompañante'!DG218)</f>
        <v>0</v>
      </c>
      <c r="G136" s="2172">
        <f>+('Fauna Acompañante'!DH218)</f>
        <v>0</v>
      </c>
      <c r="H136" s="2172">
        <f>+('Fauna Acompañante'!DI218)</f>
        <v>0</v>
      </c>
      <c r="I136" s="2172">
        <f>+('Fauna Acompañante'!DJ218)</f>
        <v>0</v>
      </c>
      <c r="J136" s="2172">
        <f>+('Fauna Acompañante'!DK218)</f>
        <v>0</v>
      </c>
      <c r="K136" s="2172">
        <f>+('Fauna Acompañante'!DL218)</f>
        <v>0</v>
      </c>
      <c r="L136" s="2172">
        <f>+('Fauna Acompañante'!DM218)</f>
        <v>0</v>
      </c>
      <c r="M136" s="2172">
        <f>+('Fauna Acompañante'!DN218)</f>
        <v>0</v>
      </c>
      <c r="N136" s="2172">
        <f>+('Fauna Acompañante'!DO218)</f>
        <v>0</v>
      </c>
      <c r="O136" s="2172">
        <f>+('Fauna Acompañante'!DP218)</f>
        <v>0</v>
      </c>
      <c r="P136" s="2172">
        <f>+('Fauna Acompañante'!DQ218)</f>
        <v>0</v>
      </c>
      <c r="Q136" s="2172">
        <f>+('Fauna Acompañante'!DR218)</f>
        <v>0</v>
      </c>
      <c r="R136" s="2172">
        <f>+('Fauna Acompañante'!DS218)</f>
        <v>0</v>
      </c>
      <c r="S136" s="2172">
        <f>+('Fauna Acompañante'!DT218)</f>
        <v>0</v>
      </c>
      <c r="T136" s="2172">
        <f>+('Fauna Acompañante'!DU218)</f>
        <v>0</v>
      </c>
      <c r="U136" s="2172">
        <f>+('Fauna Acompañante'!DV218)</f>
        <v>0</v>
      </c>
      <c r="V136" s="2172">
        <f>+('Fauna Acompañante'!DW218)</f>
        <v>0</v>
      </c>
      <c r="W136" s="2172">
        <f>+('Fauna Acompañante'!DX218)</f>
        <v>0</v>
      </c>
      <c r="X136" s="2172">
        <f>+('Fauna Acompañante'!DY218)</f>
        <v>0</v>
      </c>
      <c r="Y136" s="2172">
        <f>+('Fauna Acompañante'!DZ218)</f>
        <v>0</v>
      </c>
      <c r="Z136" s="2172">
        <f>+('Fauna Acompañante'!EA218)</f>
        <v>0</v>
      </c>
      <c r="AA136" s="2172">
        <f>+('Fauna Acompañante'!EB218)</f>
        <v>0</v>
      </c>
      <c r="AB136" s="2172">
        <f>+('Fauna Acompañante'!EC218)</f>
        <v>0</v>
      </c>
      <c r="AC136" s="2172">
        <f>+('Fauna Acompañante'!ED218)</f>
        <v>0</v>
      </c>
      <c r="AD136" s="2172">
        <f>+('Fauna Acompañante'!EE218)</f>
        <v>0</v>
      </c>
      <c r="AE136" s="2172">
        <f>+('Fauna Acompañante'!EF218)</f>
        <v>0</v>
      </c>
      <c r="AF136" s="2172">
        <f>+('Fauna Acompañante'!EG218)</f>
        <v>0</v>
      </c>
      <c r="AG136" s="2172">
        <f>+('Fauna Acompañante'!EH218)</f>
        <v>0</v>
      </c>
      <c r="AH136" s="2171">
        <f t="shared" si="22"/>
        <v>0</v>
      </c>
    </row>
    <row r="137" spans="1:34" ht="15">
      <c r="A137" s="1962" t="s">
        <v>81</v>
      </c>
      <c r="B137" s="2175">
        <f t="shared" si="21"/>
        <v>0</v>
      </c>
      <c r="C137" s="2172">
        <f>+('Fauna Acompañante'!DD219)</f>
        <v>0</v>
      </c>
      <c r="D137" s="2172">
        <f>+('Fauna Acompañante'!DE219)</f>
        <v>0</v>
      </c>
      <c r="E137" s="2172">
        <f>+('Fauna Acompañante'!DF219)</f>
        <v>0</v>
      </c>
      <c r="F137" s="2172">
        <f>+('Fauna Acompañante'!DG219)</f>
        <v>0</v>
      </c>
      <c r="G137" s="2172">
        <f>+('Fauna Acompañante'!DH219)</f>
        <v>0</v>
      </c>
      <c r="H137" s="2172">
        <f>+('Fauna Acompañante'!DI219)</f>
        <v>0</v>
      </c>
      <c r="I137" s="2172">
        <f>+('Fauna Acompañante'!DJ219)</f>
        <v>0</v>
      </c>
      <c r="J137" s="2172">
        <f>+('Fauna Acompañante'!DK219)</f>
        <v>0</v>
      </c>
      <c r="K137" s="2172">
        <f>+('Fauna Acompañante'!DL219)</f>
        <v>0</v>
      </c>
      <c r="L137" s="2172">
        <f>+('Fauna Acompañante'!DM219)</f>
        <v>0</v>
      </c>
      <c r="M137" s="2172">
        <f>+('Fauna Acompañante'!DN219)</f>
        <v>0</v>
      </c>
      <c r="N137" s="2172">
        <f>+('Fauna Acompañante'!DO219)</f>
        <v>0</v>
      </c>
      <c r="O137" s="2172">
        <f>+('Fauna Acompañante'!DP219)</f>
        <v>0</v>
      </c>
      <c r="P137" s="2172">
        <f>+('Fauna Acompañante'!DQ219)</f>
        <v>0</v>
      </c>
      <c r="Q137" s="2172">
        <f>+('Fauna Acompañante'!DR219)</f>
        <v>0</v>
      </c>
      <c r="R137" s="2172">
        <f>+('Fauna Acompañante'!DS219)</f>
        <v>0</v>
      </c>
      <c r="S137" s="2172">
        <f>+('Fauna Acompañante'!DT219)</f>
        <v>0</v>
      </c>
      <c r="T137" s="2172">
        <f>+('Fauna Acompañante'!DU219)</f>
        <v>0</v>
      </c>
      <c r="U137" s="2172">
        <f>+('Fauna Acompañante'!DV219)</f>
        <v>0</v>
      </c>
      <c r="V137" s="2172">
        <f>+('Fauna Acompañante'!DW219)</f>
        <v>0</v>
      </c>
      <c r="W137" s="2172">
        <f>+('Fauna Acompañante'!DX219)</f>
        <v>0</v>
      </c>
      <c r="X137" s="2172">
        <f>+('Fauna Acompañante'!DY219)</f>
        <v>0</v>
      </c>
      <c r="Y137" s="2172">
        <f>+('Fauna Acompañante'!DZ219)</f>
        <v>0</v>
      </c>
      <c r="Z137" s="2172">
        <f>+('Fauna Acompañante'!EA219)</f>
        <v>0</v>
      </c>
      <c r="AA137" s="2172">
        <f>+('Fauna Acompañante'!EB219)</f>
        <v>0</v>
      </c>
      <c r="AB137" s="2172">
        <f>+('Fauna Acompañante'!EC219)</f>
        <v>0</v>
      </c>
      <c r="AC137" s="2172">
        <f>+('Fauna Acompañante'!ED219)</f>
        <v>0</v>
      </c>
      <c r="AD137" s="2172">
        <f>+('Fauna Acompañante'!EE219)</f>
        <v>0</v>
      </c>
      <c r="AE137" s="2172">
        <f>+('Fauna Acompañante'!EF219)</f>
        <v>0</v>
      </c>
      <c r="AF137" s="2172">
        <f>+('Fauna Acompañante'!EG219)</f>
        <v>0</v>
      </c>
      <c r="AG137" s="2172">
        <f>+('Fauna Acompañante'!EH219)</f>
        <v>0</v>
      </c>
      <c r="AH137" s="2171">
        <f t="shared" si="22"/>
        <v>0</v>
      </c>
    </row>
    <row r="138" spans="1:34" ht="15">
      <c r="A138" s="1962" t="s">
        <v>82</v>
      </c>
      <c r="B138" s="2175">
        <f t="shared" si="21"/>
        <v>0</v>
      </c>
      <c r="C138" s="2172">
        <f>+('Fauna Acompañante'!DD220)</f>
        <v>0</v>
      </c>
      <c r="D138" s="2172">
        <f>+('Fauna Acompañante'!DE220)</f>
        <v>0</v>
      </c>
      <c r="E138" s="2172">
        <f>+('Fauna Acompañante'!DF220)</f>
        <v>0</v>
      </c>
      <c r="F138" s="2172">
        <f>+('Fauna Acompañante'!DG220)</f>
        <v>0</v>
      </c>
      <c r="G138" s="2172">
        <f>+('Fauna Acompañante'!DH220)</f>
        <v>0</v>
      </c>
      <c r="H138" s="2172">
        <f>+('Fauna Acompañante'!DI220)</f>
        <v>0</v>
      </c>
      <c r="I138" s="2172">
        <f>+('Fauna Acompañante'!DJ220)</f>
        <v>0</v>
      </c>
      <c r="J138" s="2172">
        <f>+('Fauna Acompañante'!DK220)</f>
        <v>0</v>
      </c>
      <c r="K138" s="2172">
        <f>+('Fauna Acompañante'!DL220)</f>
        <v>0</v>
      </c>
      <c r="L138" s="2172">
        <f>+('Fauna Acompañante'!DM220)</f>
        <v>0</v>
      </c>
      <c r="M138" s="2172">
        <f>+('Fauna Acompañante'!DN220)</f>
        <v>0</v>
      </c>
      <c r="N138" s="2172">
        <f>+('Fauna Acompañante'!DO220)</f>
        <v>0</v>
      </c>
      <c r="O138" s="2172">
        <f>+('Fauna Acompañante'!DP220)</f>
        <v>0</v>
      </c>
      <c r="P138" s="2172">
        <f>+('Fauna Acompañante'!DQ220)</f>
        <v>0</v>
      </c>
      <c r="Q138" s="2172">
        <f>+('Fauna Acompañante'!DR220)</f>
        <v>0</v>
      </c>
      <c r="R138" s="2172">
        <f>+('Fauna Acompañante'!DS220)</f>
        <v>0</v>
      </c>
      <c r="S138" s="2172">
        <f>+('Fauna Acompañante'!DT220)</f>
        <v>0</v>
      </c>
      <c r="T138" s="2172">
        <f>+('Fauna Acompañante'!DU220)</f>
        <v>0</v>
      </c>
      <c r="U138" s="2172">
        <f>+('Fauna Acompañante'!DV220)</f>
        <v>0</v>
      </c>
      <c r="V138" s="2172">
        <f>+('Fauna Acompañante'!DW220)</f>
        <v>0</v>
      </c>
      <c r="W138" s="2172">
        <f>+('Fauna Acompañante'!DX220)</f>
        <v>0</v>
      </c>
      <c r="X138" s="2172">
        <f>+('Fauna Acompañante'!DY220)</f>
        <v>0</v>
      </c>
      <c r="Y138" s="2172">
        <f>+('Fauna Acompañante'!DZ220)</f>
        <v>0</v>
      </c>
      <c r="Z138" s="2172">
        <f>+('Fauna Acompañante'!EA220)</f>
        <v>0</v>
      </c>
      <c r="AA138" s="2172">
        <f>+('Fauna Acompañante'!EB220)</f>
        <v>0</v>
      </c>
      <c r="AB138" s="2172">
        <f>+('Fauna Acompañante'!EC220)</f>
        <v>0</v>
      </c>
      <c r="AC138" s="2172">
        <f>+('Fauna Acompañante'!ED220)</f>
        <v>0</v>
      </c>
      <c r="AD138" s="2172">
        <f>+('Fauna Acompañante'!EE220)</f>
        <v>0</v>
      </c>
      <c r="AE138" s="2172">
        <f>+('Fauna Acompañante'!EF220)</f>
        <v>0</v>
      </c>
      <c r="AF138" s="2172">
        <f>+('Fauna Acompañante'!EG220)</f>
        <v>0</v>
      </c>
      <c r="AG138" s="2172">
        <f>+('Fauna Acompañante'!EH220)</f>
        <v>0</v>
      </c>
      <c r="AH138" s="2171">
        <f t="shared" si="22"/>
        <v>0</v>
      </c>
    </row>
    <row r="139" spans="1:34" ht="15">
      <c r="A139" s="1962" t="s">
        <v>83</v>
      </c>
      <c r="B139" s="2175">
        <f t="shared" si="21"/>
        <v>0</v>
      </c>
      <c r="C139" s="2172">
        <f>+('Fauna Acompañante'!DD221)</f>
        <v>0</v>
      </c>
      <c r="D139" s="2172">
        <f>+('Fauna Acompañante'!DE221)</f>
        <v>0</v>
      </c>
      <c r="E139" s="2172">
        <f>+('Fauna Acompañante'!DF221)</f>
        <v>0</v>
      </c>
      <c r="F139" s="2172">
        <f>+('Fauna Acompañante'!DG221)</f>
        <v>0</v>
      </c>
      <c r="G139" s="2172">
        <f>+('Fauna Acompañante'!DH221)</f>
        <v>0</v>
      </c>
      <c r="H139" s="2172">
        <f>+('Fauna Acompañante'!DI221)</f>
        <v>0</v>
      </c>
      <c r="I139" s="2172">
        <f>+('Fauna Acompañante'!DJ221)</f>
        <v>0</v>
      </c>
      <c r="J139" s="2172">
        <f>+('Fauna Acompañante'!DK221)</f>
        <v>0</v>
      </c>
      <c r="K139" s="2172">
        <f>+('Fauna Acompañante'!DL221)</f>
        <v>0</v>
      </c>
      <c r="L139" s="2172">
        <f>+('Fauna Acompañante'!DM221)</f>
        <v>0</v>
      </c>
      <c r="M139" s="2172">
        <f>+('Fauna Acompañante'!DN221)</f>
        <v>0</v>
      </c>
      <c r="N139" s="2172">
        <f>+('Fauna Acompañante'!DO221)</f>
        <v>0</v>
      </c>
      <c r="O139" s="2172">
        <f>+('Fauna Acompañante'!DP221)</f>
        <v>0</v>
      </c>
      <c r="P139" s="2172">
        <f>+('Fauna Acompañante'!DQ221)</f>
        <v>0</v>
      </c>
      <c r="Q139" s="2172">
        <f>+('Fauna Acompañante'!DR221)</f>
        <v>0</v>
      </c>
      <c r="R139" s="2172">
        <f>+('Fauna Acompañante'!DS221)</f>
        <v>0</v>
      </c>
      <c r="S139" s="2172">
        <f>+('Fauna Acompañante'!DT221)</f>
        <v>0</v>
      </c>
      <c r="T139" s="2172">
        <f>+('Fauna Acompañante'!DU221)</f>
        <v>0</v>
      </c>
      <c r="U139" s="2172">
        <f>+('Fauna Acompañante'!DV221)</f>
        <v>0</v>
      </c>
      <c r="V139" s="2172">
        <f>+('Fauna Acompañante'!DW221)</f>
        <v>0</v>
      </c>
      <c r="W139" s="2172">
        <f>+('Fauna Acompañante'!DX221)</f>
        <v>0</v>
      </c>
      <c r="X139" s="2172">
        <f>+('Fauna Acompañante'!DY221)</f>
        <v>0</v>
      </c>
      <c r="Y139" s="2172">
        <f>+('Fauna Acompañante'!DZ221)</f>
        <v>0</v>
      </c>
      <c r="Z139" s="2172">
        <f>+('Fauna Acompañante'!EA221)</f>
        <v>0</v>
      </c>
      <c r="AA139" s="2172">
        <f>+('Fauna Acompañante'!EB221)</f>
        <v>0</v>
      </c>
      <c r="AB139" s="2172">
        <f>+('Fauna Acompañante'!EC221)</f>
        <v>0</v>
      </c>
      <c r="AC139" s="2172">
        <f>+('Fauna Acompañante'!ED221)</f>
        <v>0</v>
      </c>
      <c r="AD139" s="2172">
        <f>+('Fauna Acompañante'!EE221)</f>
        <v>0</v>
      </c>
      <c r="AE139" s="2172">
        <f>+('Fauna Acompañante'!EF221)</f>
        <v>0</v>
      </c>
      <c r="AF139" s="2172">
        <f>+('Fauna Acompañante'!EG221)</f>
        <v>0</v>
      </c>
      <c r="AG139" s="2172">
        <f>+('Fauna Acompañante'!EH221)</f>
        <v>0</v>
      </c>
      <c r="AH139" s="2171">
        <f t="shared" si="22"/>
        <v>0</v>
      </c>
    </row>
    <row r="140" spans="1:34" ht="15">
      <c r="A140" s="1962" t="s">
        <v>84</v>
      </c>
      <c r="B140" s="2175">
        <f t="shared" si="21"/>
        <v>0</v>
      </c>
      <c r="C140" s="2172">
        <f>+('Fauna Acompañante'!DD222)</f>
        <v>0</v>
      </c>
      <c r="D140" s="2172">
        <f>+('Fauna Acompañante'!DE222)</f>
        <v>0</v>
      </c>
      <c r="E140" s="2172">
        <f>+('Fauna Acompañante'!DF222)</f>
        <v>0</v>
      </c>
      <c r="F140" s="2172">
        <f>+('Fauna Acompañante'!DG222)</f>
        <v>0</v>
      </c>
      <c r="G140" s="2172">
        <f>+('Fauna Acompañante'!DH222)</f>
        <v>0</v>
      </c>
      <c r="H140" s="2172">
        <f>+('Fauna Acompañante'!DI222)</f>
        <v>0</v>
      </c>
      <c r="I140" s="2172">
        <f>+('Fauna Acompañante'!DJ222)</f>
        <v>0</v>
      </c>
      <c r="J140" s="2172">
        <f>+('Fauna Acompañante'!DK222)</f>
        <v>0</v>
      </c>
      <c r="K140" s="2172">
        <f>+('Fauna Acompañante'!DL222)</f>
        <v>0</v>
      </c>
      <c r="L140" s="2172">
        <f>+('Fauna Acompañante'!DM222)</f>
        <v>0</v>
      </c>
      <c r="M140" s="2172">
        <f>+('Fauna Acompañante'!DN222)</f>
        <v>0</v>
      </c>
      <c r="N140" s="2172">
        <f>+('Fauna Acompañante'!DO222)</f>
        <v>0</v>
      </c>
      <c r="O140" s="2172">
        <f>+('Fauna Acompañante'!DP222)</f>
        <v>0</v>
      </c>
      <c r="P140" s="2172">
        <f>+('Fauna Acompañante'!DQ222)</f>
        <v>0</v>
      </c>
      <c r="Q140" s="2172">
        <f>+('Fauna Acompañante'!DR222)</f>
        <v>0</v>
      </c>
      <c r="R140" s="2172">
        <f>+('Fauna Acompañante'!DS222)</f>
        <v>0</v>
      </c>
      <c r="S140" s="2172">
        <f>+('Fauna Acompañante'!DT222)</f>
        <v>0</v>
      </c>
      <c r="T140" s="2172">
        <f>+('Fauna Acompañante'!DU222)</f>
        <v>0</v>
      </c>
      <c r="U140" s="2172">
        <f>+('Fauna Acompañante'!DV222)</f>
        <v>0</v>
      </c>
      <c r="V140" s="2172">
        <f>+('Fauna Acompañante'!DW222)</f>
        <v>0</v>
      </c>
      <c r="W140" s="2172">
        <f>+('Fauna Acompañante'!DX222)</f>
        <v>0</v>
      </c>
      <c r="X140" s="2172">
        <f>+('Fauna Acompañante'!DY222)</f>
        <v>0</v>
      </c>
      <c r="Y140" s="2172">
        <f>+('Fauna Acompañante'!DZ222)</f>
        <v>0</v>
      </c>
      <c r="Z140" s="2172">
        <f>+('Fauna Acompañante'!EA222)</f>
        <v>0</v>
      </c>
      <c r="AA140" s="2172">
        <f>+('Fauna Acompañante'!EB222)</f>
        <v>0</v>
      </c>
      <c r="AB140" s="2172">
        <f>+('Fauna Acompañante'!EC222)</f>
        <v>0</v>
      </c>
      <c r="AC140" s="2172">
        <f>+('Fauna Acompañante'!ED222)</f>
        <v>0</v>
      </c>
      <c r="AD140" s="2172">
        <f>+('Fauna Acompañante'!EE222)</f>
        <v>0</v>
      </c>
      <c r="AE140" s="2172">
        <f>+('Fauna Acompañante'!EF222)</f>
        <v>0</v>
      </c>
      <c r="AF140" s="2172">
        <f>+('Fauna Acompañante'!EG222)</f>
        <v>0</v>
      </c>
      <c r="AG140" s="2172">
        <f>+('Fauna Acompañante'!EH222)</f>
        <v>0</v>
      </c>
      <c r="AH140" s="2171">
        <f t="shared" si="22"/>
        <v>0</v>
      </c>
    </row>
    <row r="141" spans="1:34" ht="15">
      <c r="A141" s="1962" t="s">
        <v>85</v>
      </c>
      <c r="B141" s="2175">
        <f t="shared" si="21"/>
        <v>0</v>
      </c>
      <c r="C141" s="2172">
        <f>+('Fauna Acompañante'!DD223)</f>
        <v>0</v>
      </c>
      <c r="D141" s="2172">
        <f>+('Fauna Acompañante'!DE223)</f>
        <v>0</v>
      </c>
      <c r="E141" s="2172">
        <f>+('Fauna Acompañante'!DF223)</f>
        <v>0</v>
      </c>
      <c r="F141" s="2172">
        <f>+('Fauna Acompañante'!DG223)</f>
        <v>0</v>
      </c>
      <c r="G141" s="2172">
        <f>+('Fauna Acompañante'!DH223)</f>
        <v>0</v>
      </c>
      <c r="H141" s="2172">
        <f>+('Fauna Acompañante'!DI223)</f>
        <v>0</v>
      </c>
      <c r="I141" s="2172">
        <f>+('Fauna Acompañante'!DJ223)</f>
        <v>0</v>
      </c>
      <c r="J141" s="2172">
        <f>+('Fauna Acompañante'!DK223)</f>
        <v>0</v>
      </c>
      <c r="K141" s="2172">
        <f>+('Fauna Acompañante'!DL223)</f>
        <v>0</v>
      </c>
      <c r="L141" s="2172">
        <f>+('Fauna Acompañante'!DM223)</f>
        <v>0</v>
      </c>
      <c r="M141" s="2172">
        <f>+('Fauna Acompañante'!DN223)</f>
        <v>0</v>
      </c>
      <c r="N141" s="2172">
        <f>+('Fauna Acompañante'!DO223)</f>
        <v>0</v>
      </c>
      <c r="O141" s="2172">
        <f>+('Fauna Acompañante'!DP223)</f>
        <v>0</v>
      </c>
      <c r="P141" s="2172">
        <f>+('Fauna Acompañante'!DQ223)</f>
        <v>0</v>
      </c>
      <c r="Q141" s="2172">
        <f>+('Fauna Acompañante'!DR223)</f>
        <v>0</v>
      </c>
      <c r="R141" s="2172">
        <f>+('Fauna Acompañante'!DS223)</f>
        <v>0</v>
      </c>
      <c r="S141" s="2172">
        <f>+('Fauna Acompañante'!DT223)</f>
        <v>0</v>
      </c>
      <c r="T141" s="2172">
        <f>+('Fauna Acompañante'!DU223)</f>
        <v>0</v>
      </c>
      <c r="U141" s="2172">
        <f>+('Fauna Acompañante'!DV223)</f>
        <v>0</v>
      </c>
      <c r="V141" s="2172">
        <f>+('Fauna Acompañante'!DW223)</f>
        <v>0</v>
      </c>
      <c r="W141" s="2172">
        <f>+('Fauna Acompañante'!DX223)</f>
        <v>0</v>
      </c>
      <c r="X141" s="2172">
        <f>+('Fauna Acompañante'!DY223)</f>
        <v>0</v>
      </c>
      <c r="Y141" s="2172">
        <f>+('Fauna Acompañante'!DZ223)</f>
        <v>0</v>
      </c>
      <c r="Z141" s="2172">
        <f>+('Fauna Acompañante'!EA223)</f>
        <v>0</v>
      </c>
      <c r="AA141" s="2172">
        <f>+('Fauna Acompañante'!EB223)</f>
        <v>0</v>
      </c>
      <c r="AB141" s="2172">
        <f>+('Fauna Acompañante'!EC223)</f>
        <v>0</v>
      </c>
      <c r="AC141" s="2172">
        <f>+('Fauna Acompañante'!ED223)</f>
        <v>0</v>
      </c>
      <c r="AD141" s="2172">
        <f>+('Fauna Acompañante'!EE223)</f>
        <v>0</v>
      </c>
      <c r="AE141" s="2172">
        <f>+('Fauna Acompañante'!EF223)</f>
        <v>0</v>
      </c>
      <c r="AF141" s="2172">
        <f>+('Fauna Acompañante'!EG223)</f>
        <v>0</v>
      </c>
      <c r="AG141" s="2172">
        <f>+('Fauna Acompañante'!EH223)</f>
        <v>0</v>
      </c>
      <c r="AH141" s="2171">
        <f t="shared" si="22"/>
        <v>0</v>
      </c>
    </row>
    <row r="142" spans="1:34" ht="15">
      <c r="A142" s="1962" t="s">
        <v>86</v>
      </c>
      <c r="B142" s="2175">
        <f t="shared" si="21"/>
        <v>0</v>
      </c>
      <c r="C142" s="2172">
        <f>+('Fauna Acompañante'!DD224)</f>
        <v>0</v>
      </c>
      <c r="D142" s="2172">
        <f>+('Fauna Acompañante'!DE224)</f>
        <v>0</v>
      </c>
      <c r="E142" s="2172">
        <f>+('Fauna Acompañante'!DF224)</f>
        <v>0</v>
      </c>
      <c r="F142" s="2172">
        <f>+('Fauna Acompañante'!DG224)</f>
        <v>0</v>
      </c>
      <c r="G142" s="2172">
        <f>+('Fauna Acompañante'!DH224)</f>
        <v>0</v>
      </c>
      <c r="H142" s="2172">
        <f>+('Fauna Acompañante'!DI224)</f>
        <v>0</v>
      </c>
      <c r="I142" s="2172">
        <f>+('Fauna Acompañante'!DJ224)</f>
        <v>0</v>
      </c>
      <c r="J142" s="2172">
        <f>+('Fauna Acompañante'!DK224)</f>
        <v>0</v>
      </c>
      <c r="K142" s="2172">
        <f>+('Fauna Acompañante'!DL224)</f>
        <v>0</v>
      </c>
      <c r="L142" s="2172">
        <f>+('Fauna Acompañante'!DM224)</f>
        <v>0</v>
      </c>
      <c r="M142" s="2172">
        <f>+('Fauna Acompañante'!DN224)</f>
        <v>0</v>
      </c>
      <c r="N142" s="2172">
        <f>+('Fauna Acompañante'!DO224)</f>
        <v>0</v>
      </c>
      <c r="O142" s="2172">
        <f>+('Fauna Acompañante'!DP224)</f>
        <v>0</v>
      </c>
      <c r="P142" s="2172">
        <f>+('Fauna Acompañante'!DQ224)</f>
        <v>0</v>
      </c>
      <c r="Q142" s="2172">
        <f>+('Fauna Acompañante'!DR224)</f>
        <v>0</v>
      </c>
      <c r="R142" s="2172">
        <f>+('Fauna Acompañante'!DS224)</f>
        <v>0</v>
      </c>
      <c r="S142" s="2172">
        <f>+('Fauna Acompañante'!DT224)</f>
        <v>0</v>
      </c>
      <c r="T142" s="2172">
        <f>+('Fauna Acompañante'!DU224)</f>
        <v>0</v>
      </c>
      <c r="U142" s="2172">
        <f>+('Fauna Acompañante'!DV224)</f>
        <v>0</v>
      </c>
      <c r="V142" s="2172">
        <f>+('Fauna Acompañante'!DW224)</f>
        <v>0</v>
      </c>
      <c r="W142" s="2172">
        <f>+('Fauna Acompañante'!DX224)</f>
        <v>0</v>
      </c>
      <c r="X142" s="2172">
        <f>+('Fauna Acompañante'!DY224)</f>
        <v>0</v>
      </c>
      <c r="Y142" s="2172">
        <f>+('Fauna Acompañante'!DZ224)</f>
        <v>0</v>
      </c>
      <c r="Z142" s="2172">
        <f>+('Fauna Acompañante'!EA224)</f>
        <v>0</v>
      </c>
      <c r="AA142" s="2172">
        <f>+('Fauna Acompañante'!EB224)</f>
        <v>0</v>
      </c>
      <c r="AB142" s="2172">
        <f>+('Fauna Acompañante'!EC224)</f>
        <v>0</v>
      </c>
      <c r="AC142" s="2172">
        <f>+('Fauna Acompañante'!ED224)</f>
        <v>0</v>
      </c>
      <c r="AD142" s="2172">
        <f>+('Fauna Acompañante'!EE224)</f>
        <v>0</v>
      </c>
      <c r="AE142" s="2172">
        <f>+('Fauna Acompañante'!EF224)</f>
        <v>0</v>
      </c>
      <c r="AF142" s="2172">
        <f>+('Fauna Acompañante'!EG224)</f>
        <v>0</v>
      </c>
      <c r="AG142" s="2172">
        <f>+('Fauna Acompañante'!EH224)</f>
        <v>0</v>
      </c>
      <c r="AH142" s="2171">
        <f t="shared" si="22"/>
        <v>0</v>
      </c>
    </row>
    <row r="143" spans="1:34" ht="15">
      <c r="A143" s="2174" t="s">
        <v>74</v>
      </c>
      <c r="B143" s="2173">
        <f t="shared" ref="B143:AH143" si="23">SUM(B131:B142)</f>
        <v>0</v>
      </c>
      <c r="C143" s="2172">
        <f t="shared" si="23"/>
        <v>0</v>
      </c>
      <c r="D143" s="2172">
        <f t="shared" si="23"/>
        <v>0</v>
      </c>
      <c r="E143" s="2172">
        <f t="shared" si="23"/>
        <v>0</v>
      </c>
      <c r="F143" s="2172">
        <f t="shared" si="23"/>
        <v>0</v>
      </c>
      <c r="G143" s="2172">
        <f t="shared" si="23"/>
        <v>0</v>
      </c>
      <c r="H143" s="2172">
        <f t="shared" si="23"/>
        <v>0</v>
      </c>
      <c r="I143" s="2172">
        <f t="shared" si="23"/>
        <v>0</v>
      </c>
      <c r="J143" s="2172">
        <f t="shared" si="23"/>
        <v>0</v>
      </c>
      <c r="K143" s="2172">
        <f t="shared" si="23"/>
        <v>0</v>
      </c>
      <c r="L143" s="2172">
        <f t="shared" si="23"/>
        <v>0</v>
      </c>
      <c r="M143" s="2172">
        <f t="shared" si="23"/>
        <v>0</v>
      </c>
      <c r="N143" s="2172">
        <f t="shared" si="23"/>
        <v>0</v>
      </c>
      <c r="O143" s="2172">
        <f t="shared" si="23"/>
        <v>0</v>
      </c>
      <c r="P143" s="2172">
        <f t="shared" si="23"/>
        <v>0</v>
      </c>
      <c r="Q143" s="2172">
        <f t="shared" si="23"/>
        <v>0</v>
      </c>
      <c r="R143" s="2172">
        <f t="shared" si="23"/>
        <v>0</v>
      </c>
      <c r="S143" s="2172">
        <f t="shared" si="23"/>
        <v>0</v>
      </c>
      <c r="T143" s="2172">
        <f t="shared" si="23"/>
        <v>0</v>
      </c>
      <c r="U143" s="2172">
        <f t="shared" si="23"/>
        <v>0</v>
      </c>
      <c r="V143" s="2172">
        <f t="shared" si="23"/>
        <v>0</v>
      </c>
      <c r="W143" s="2172">
        <f t="shared" si="23"/>
        <v>0</v>
      </c>
      <c r="X143" s="2172">
        <f t="shared" si="23"/>
        <v>0</v>
      </c>
      <c r="Y143" s="2172">
        <f t="shared" si="23"/>
        <v>0</v>
      </c>
      <c r="Z143" s="2172">
        <f t="shared" si="23"/>
        <v>0</v>
      </c>
      <c r="AA143" s="2172">
        <f t="shared" si="23"/>
        <v>0</v>
      </c>
      <c r="AB143" s="2172">
        <f t="shared" si="23"/>
        <v>0</v>
      </c>
      <c r="AC143" s="2172">
        <f t="shared" si="23"/>
        <v>0</v>
      </c>
      <c r="AD143" s="2172">
        <f t="shared" si="23"/>
        <v>0</v>
      </c>
      <c r="AE143" s="2172">
        <f t="shared" si="23"/>
        <v>0</v>
      </c>
      <c r="AF143" s="2172">
        <f t="shared" si="23"/>
        <v>0</v>
      </c>
      <c r="AG143" s="2172">
        <f t="shared" si="23"/>
        <v>0</v>
      </c>
      <c r="AH143" s="2171">
        <f t="shared" si="23"/>
        <v>0</v>
      </c>
    </row>
    <row r="145" spans="1:34" ht="15">
      <c r="A145" s="3775" t="s">
        <v>628</v>
      </c>
      <c r="B145" s="3776"/>
      <c r="C145" s="3776"/>
      <c r="D145" s="3776"/>
      <c r="E145" s="3776"/>
      <c r="F145" s="3776"/>
      <c r="G145" s="3776"/>
      <c r="H145" s="3776"/>
      <c r="I145" s="3776"/>
      <c r="J145" s="3776"/>
      <c r="K145" s="3776"/>
      <c r="L145" s="3776"/>
      <c r="M145" s="3776"/>
      <c r="N145" s="3776"/>
      <c r="O145" s="3776"/>
      <c r="P145" s="3776"/>
      <c r="Q145" s="3776"/>
      <c r="R145" s="3776"/>
      <c r="S145" s="3776"/>
      <c r="T145" s="3777"/>
      <c r="U145" s="2179"/>
      <c r="V145" s="2179"/>
      <c r="W145" s="2179"/>
      <c r="X145" s="2179"/>
      <c r="Y145" s="2179"/>
      <c r="Z145" s="2179"/>
      <c r="AA145" s="2179"/>
      <c r="AB145" s="2179"/>
      <c r="AC145" s="2179"/>
      <c r="AD145" s="2179"/>
      <c r="AE145" s="2179"/>
      <c r="AF145" s="2179"/>
      <c r="AG145" s="2179"/>
      <c r="AH145" s="2179"/>
    </row>
    <row r="146" spans="1:34">
      <c r="A146" s="2179"/>
      <c r="B146" s="2179"/>
      <c r="C146" s="2179"/>
      <c r="D146" s="2179"/>
      <c r="E146" s="2179"/>
      <c r="F146" s="2179"/>
      <c r="G146" s="2179"/>
      <c r="H146" s="2179"/>
      <c r="I146" s="2179"/>
      <c r="J146" s="2179"/>
      <c r="K146" s="2179"/>
      <c r="L146" s="2179"/>
      <c r="M146" s="2179"/>
      <c r="N146" s="2179"/>
      <c r="O146" s="2179"/>
      <c r="P146" s="2179"/>
      <c r="Q146" s="2179"/>
      <c r="R146" s="2179"/>
      <c r="S146" s="2179"/>
      <c r="T146" s="2179"/>
      <c r="U146" s="2179"/>
      <c r="V146" s="2179"/>
      <c r="W146" s="2179"/>
      <c r="X146" s="2179"/>
      <c r="Y146" s="2179"/>
      <c r="Z146" s="2179"/>
      <c r="AA146" s="2179"/>
      <c r="AB146" s="2179"/>
      <c r="AC146" s="2179"/>
      <c r="AD146" s="2179"/>
      <c r="AE146" s="2179"/>
      <c r="AF146" s="2179"/>
      <c r="AG146" s="2179"/>
      <c r="AH146" s="2179"/>
    </row>
    <row r="147" spans="1:34">
      <c r="A147" s="2179"/>
      <c r="B147" s="2179"/>
      <c r="C147" s="2179"/>
      <c r="D147" s="2179"/>
      <c r="E147" s="2179"/>
      <c r="F147" s="2179"/>
      <c r="G147" s="2179"/>
      <c r="H147" s="2179"/>
      <c r="I147" s="2179"/>
      <c r="J147" s="2179"/>
      <c r="K147" s="2179"/>
      <c r="L147" s="2179"/>
      <c r="M147" s="2179"/>
      <c r="N147" s="2179"/>
      <c r="O147" s="2179"/>
      <c r="P147" s="2179"/>
      <c r="Q147" s="2179"/>
      <c r="R147" s="2179"/>
      <c r="S147" s="2179"/>
      <c r="T147" s="2179"/>
      <c r="U147" s="2179"/>
      <c r="V147" s="2179"/>
      <c r="W147" s="2179"/>
      <c r="X147" s="2179"/>
      <c r="Y147" s="2179"/>
      <c r="Z147" s="2179"/>
      <c r="AA147" s="2179"/>
      <c r="AB147" s="2179"/>
      <c r="AC147" s="2179"/>
      <c r="AD147" s="2179"/>
      <c r="AE147" s="2179"/>
      <c r="AF147" s="2179"/>
      <c r="AG147" s="2179"/>
      <c r="AH147" s="2179"/>
    </row>
    <row r="148" spans="1:34" ht="15">
      <c r="A148" s="3775" t="s">
        <v>627</v>
      </c>
      <c r="B148" s="3776"/>
      <c r="C148" s="3777"/>
      <c r="D148" s="2177"/>
      <c r="E148" s="2177"/>
      <c r="F148" s="2177"/>
      <c r="G148" s="2177"/>
      <c r="H148" s="2177"/>
      <c r="I148" s="2177"/>
      <c r="J148" s="2177"/>
      <c r="K148" s="2177"/>
      <c r="L148" s="2177"/>
      <c r="M148" s="2178"/>
      <c r="N148" s="2177"/>
      <c r="O148" s="2177"/>
      <c r="P148" s="2177"/>
      <c r="Q148" s="2177"/>
      <c r="R148" s="2177"/>
      <c r="S148" s="2177"/>
      <c r="T148" s="2177"/>
      <c r="U148" s="2177"/>
      <c r="V148" s="2177"/>
      <c r="W148" s="2177"/>
      <c r="X148" s="2177"/>
      <c r="Y148" s="2177"/>
      <c r="Z148" s="2177"/>
      <c r="AA148" s="2177"/>
      <c r="AB148" s="2177"/>
      <c r="AC148" s="2177"/>
      <c r="AD148" s="2177"/>
      <c r="AE148" s="2177"/>
      <c r="AF148" s="2177"/>
      <c r="AG148" s="2177"/>
      <c r="AH148" s="2177"/>
    </row>
    <row r="149" spans="1:34" ht="15">
      <c r="A149" s="1962" t="s">
        <v>72</v>
      </c>
      <c r="B149" s="1962" t="s">
        <v>73</v>
      </c>
      <c r="C149" s="1962">
        <v>1</v>
      </c>
      <c r="D149" s="1962">
        <v>2</v>
      </c>
      <c r="E149" s="1962">
        <v>3</v>
      </c>
      <c r="F149" s="1962">
        <v>4</v>
      </c>
      <c r="G149" s="1962">
        <v>5</v>
      </c>
      <c r="H149" s="1962">
        <v>6</v>
      </c>
      <c r="I149" s="1962">
        <v>7</v>
      </c>
      <c r="J149" s="1962">
        <v>8</v>
      </c>
      <c r="K149" s="1962">
        <v>9</v>
      </c>
      <c r="L149" s="1962">
        <v>10</v>
      </c>
      <c r="M149" s="1962">
        <v>11</v>
      </c>
      <c r="N149" s="1962">
        <v>12</v>
      </c>
      <c r="O149" s="1962">
        <v>13</v>
      </c>
      <c r="P149" s="1962">
        <v>14</v>
      </c>
      <c r="Q149" s="1962">
        <v>15</v>
      </c>
      <c r="R149" s="1962">
        <v>16</v>
      </c>
      <c r="S149" s="1962">
        <v>17</v>
      </c>
      <c r="T149" s="1962">
        <v>18</v>
      </c>
      <c r="U149" s="1962">
        <v>19</v>
      </c>
      <c r="V149" s="1962">
        <v>20</v>
      </c>
      <c r="W149" s="1962">
        <v>21</v>
      </c>
      <c r="X149" s="1962">
        <v>22</v>
      </c>
      <c r="Y149" s="1962">
        <v>23</v>
      </c>
      <c r="Z149" s="1962">
        <v>24</v>
      </c>
      <c r="AA149" s="1962">
        <v>25</v>
      </c>
      <c r="AB149" s="1962">
        <v>26</v>
      </c>
      <c r="AC149" s="1962">
        <v>27</v>
      </c>
      <c r="AD149" s="1962">
        <v>28</v>
      </c>
      <c r="AE149" s="1962">
        <v>29</v>
      </c>
      <c r="AF149" s="1962">
        <v>30</v>
      </c>
      <c r="AG149" s="1962">
        <v>31</v>
      </c>
      <c r="AH149" s="2176" t="s">
        <v>74</v>
      </c>
    </row>
    <row r="150" spans="1:34" ht="15">
      <c r="A150" s="1962" t="s">
        <v>75</v>
      </c>
      <c r="B150" s="2175">
        <f t="shared" ref="B150:B161" si="24">+AH150</f>
        <v>0</v>
      </c>
      <c r="C150" s="2172">
        <f>+('Fauna Acompañante'!DD229)</f>
        <v>0</v>
      </c>
      <c r="D150" s="2172">
        <f>+('Fauna Acompañante'!DE229)</f>
        <v>0</v>
      </c>
      <c r="E150" s="2172">
        <f>+('Fauna Acompañante'!DF229)</f>
        <v>0</v>
      </c>
      <c r="F150" s="2172">
        <f>+('Fauna Acompañante'!DG229)</f>
        <v>0</v>
      </c>
      <c r="G150" s="2172">
        <f>+('Fauna Acompañante'!DH229)</f>
        <v>0</v>
      </c>
      <c r="H150" s="2172">
        <f>+('Fauna Acompañante'!DI229)</f>
        <v>0</v>
      </c>
      <c r="I150" s="2172">
        <f>+('Fauna Acompañante'!DJ229)</f>
        <v>0</v>
      </c>
      <c r="J150" s="2172">
        <f>+('Fauna Acompañante'!DK229)</f>
        <v>0</v>
      </c>
      <c r="K150" s="2172">
        <f>+('Fauna Acompañante'!DL229)</f>
        <v>0</v>
      </c>
      <c r="L150" s="2172">
        <f>+('Fauna Acompañante'!DM229)</f>
        <v>0</v>
      </c>
      <c r="M150" s="2172">
        <f>+('Fauna Acompañante'!DN229)</f>
        <v>0</v>
      </c>
      <c r="N150" s="2172">
        <f>+('Fauna Acompañante'!DO229)</f>
        <v>0</v>
      </c>
      <c r="O150" s="2172">
        <f>+('Fauna Acompañante'!DP229)</f>
        <v>0</v>
      </c>
      <c r="P150" s="2172">
        <f>+('Fauna Acompañante'!DQ229)</f>
        <v>0</v>
      </c>
      <c r="Q150" s="2172">
        <f>+('Fauna Acompañante'!DR229)</f>
        <v>0</v>
      </c>
      <c r="R150" s="2172">
        <f>+('Fauna Acompañante'!DS229)</f>
        <v>0</v>
      </c>
      <c r="S150" s="2172">
        <f>+('Fauna Acompañante'!DT229)</f>
        <v>0</v>
      </c>
      <c r="T150" s="2172">
        <f>+('Fauna Acompañante'!DU229)</f>
        <v>0</v>
      </c>
      <c r="U150" s="2172">
        <f>+('Fauna Acompañante'!DV229)</f>
        <v>0</v>
      </c>
      <c r="V150" s="2172">
        <f>+('Fauna Acompañante'!DW229)</f>
        <v>0</v>
      </c>
      <c r="W150" s="2172">
        <f>+('Fauna Acompañante'!DX229)</f>
        <v>0</v>
      </c>
      <c r="X150" s="2172">
        <f>+('Fauna Acompañante'!DY229)</f>
        <v>0</v>
      </c>
      <c r="Y150" s="2172">
        <f>+('Fauna Acompañante'!DZ229)</f>
        <v>0</v>
      </c>
      <c r="Z150" s="2172">
        <f>+('Fauna Acompañante'!EA229)</f>
        <v>0</v>
      </c>
      <c r="AA150" s="2172">
        <f>+('Fauna Acompañante'!EB229)</f>
        <v>0</v>
      </c>
      <c r="AB150" s="2172">
        <f>+('Fauna Acompañante'!EC229)</f>
        <v>0</v>
      </c>
      <c r="AC150" s="2172">
        <f>+('Fauna Acompañante'!ED229)</f>
        <v>0</v>
      </c>
      <c r="AD150" s="2172">
        <f>+('Fauna Acompañante'!EE229)</f>
        <v>0</v>
      </c>
      <c r="AE150" s="2172">
        <f>+('Fauna Acompañante'!EF229)</f>
        <v>0</v>
      </c>
      <c r="AF150" s="2172">
        <f>+('Fauna Acompañante'!EG229)</f>
        <v>0</v>
      </c>
      <c r="AG150" s="2172">
        <f>+('Fauna Acompañante'!EH229)</f>
        <v>0</v>
      </c>
      <c r="AH150" s="2171">
        <f t="shared" ref="AH150:AH161" si="25">SUM(C150:AG150)</f>
        <v>0</v>
      </c>
    </row>
    <row r="151" spans="1:34" ht="15">
      <c r="A151" s="1962" t="s">
        <v>76</v>
      </c>
      <c r="B151" s="2175">
        <f t="shared" si="24"/>
        <v>0</v>
      </c>
      <c r="C151" s="2172">
        <f>+('Fauna Acompañante'!DD230)</f>
        <v>0</v>
      </c>
      <c r="D151" s="2172">
        <f>+('Fauna Acompañante'!DE230)</f>
        <v>0</v>
      </c>
      <c r="E151" s="2172">
        <f>+('Fauna Acompañante'!DF230)</f>
        <v>0</v>
      </c>
      <c r="F151" s="2172">
        <f>+('Fauna Acompañante'!DG230)</f>
        <v>0</v>
      </c>
      <c r="G151" s="2172">
        <f>+('Fauna Acompañante'!DH230)</f>
        <v>0</v>
      </c>
      <c r="H151" s="2172">
        <f>+('Fauna Acompañante'!DI230)</f>
        <v>0</v>
      </c>
      <c r="I151" s="2172">
        <f>+('Fauna Acompañante'!DJ230)</f>
        <v>0</v>
      </c>
      <c r="J151" s="2172">
        <f>+('Fauna Acompañante'!DK230)</f>
        <v>0</v>
      </c>
      <c r="K151" s="2172">
        <f>+('Fauna Acompañante'!DL230)</f>
        <v>0</v>
      </c>
      <c r="L151" s="2172">
        <f>+('Fauna Acompañante'!DM230)</f>
        <v>0</v>
      </c>
      <c r="M151" s="2172">
        <f>+('Fauna Acompañante'!DN230)</f>
        <v>0</v>
      </c>
      <c r="N151" s="2172">
        <f>+('Fauna Acompañante'!DO230)</f>
        <v>0</v>
      </c>
      <c r="O151" s="2172">
        <f>+('Fauna Acompañante'!DP230)</f>
        <v>0</v>
      </c>
      <c r="P151" s="2172">
        <f>+('Fauna Acompañante'!DQ230)</f>
        <v>0</v>
      </c>
      <c r="Q151" s="2172">
        <f>+('Fauna Acompañante'!DR230)</f>
        <v>0</v>
      </c>
      <c r="R151" s="2172">
        <f>+('Fauna Acompañante'!DS230)</f>
        <v>0</v>
      </c>
      <c r="S151" s="2172">
        <f>+('Fauna Acompañante'!DT230)</f>
        <v>0</v>
      </c>
      <c r="T151" s="2172">
        <f>+('Fauna Acompañante'!DU230)</f>
        <v>0</v>
      </c>
      <c r="U151" s="2172">
        <f>+('Fauna Acompañante'!DV230)</f>
        <v>0</v>
      </c>
      <c r="V151" s="2172">
        <f>+('Fauna Acompañante'!DW230)</f>
        <v>0</v>
      </c>
      <c r="W151" s="2172">
        <f>+('Fauna Acompañante'!DX230)</f>
        <v>0</v>
      </c>
      <c r="X151" s="2172">
        <f>+('Fauna Acompañante'!DY230)</f>
        <v>0</v>
      </c>
      <c r="Y151" s="2172">
        <f>+('Fauna Acompañante'!DZ230)</f>
        <v>0</v>
      </c>
      <c r="Z151" s="2172">
        <f>+('Fauna Acompañante'!EA230)</f>
        <v>0</v>
      </c>
      <c r="AA151" s="2172">
        <f>+('Fauna Acompañante'!EB230)</f>
        <v>0</v>
      </c>
      <c r="AB151" s="2172">
        <f>+('Fauna Acompañante'!EC230)</f>
        <v>0</v>
      </c>
      <c r="AC151" s="2172">
        <f>+('Fauna Acompañante'!ED230)</f>
        <v>0</v>
      </c>
      <c r="AD151" s="2172">
        <f>+('Fauna Acompañante'!EE230)</f>
        <v>0</v>
      </c>
      <c r="AE151" s="2172">
        <f>+('Fauna Acompañante'!EF230)</f>
        <v>0</v>
      </c>
      <c r="AF151" s="2172">
        <f>+('Fauna Acompañante'!EG230)</f>
        <v>0</v>
      </c>
      <c r="AG151" s="2172">
        <f>+('Fauna Acompañante'!EH230)</f>
        <v>0</v>
      </c>
      <c r="AH151" s="2171">
        <f t="shared" si="25"/>
        <v>0</v>
      </c>
    </row>
    <row r="152" spans="1:34" ht="15">
      <c r="A152" s="1962" t="s">
        <v>77</v>
      </c>
      <c r="B152" s="2175">
        <f t="shared" si="24"/>
        <v>0</v>
      </c>
      <c r="C152" s="2172">
        <f>+('Fauna Acompañante'!DD231)</f>
        <v>0</v>
      </c>
      <c r="D152" s="2172">
        <f>+('Fauna Acompañante'!DE231)</f>
        <v>0</v>
      </c>
      <c r="E152" s="2172">
        <f>+('Fauna Acompañante'!DF231)</f>
        <v>0</v>
      </c>
      <c r="F152" s="2172">
        <f>+('Fauna Acompañante'!DG231)</f>
        <v>0</v>
      </c>
      <c r="G152" s="2172">
        <f>+('Fauna Acompañante'!DH231)</f>
        <v>0</v>
      </c>
      <c r="H152" s="2172">
        <f>+('Fauna Acompañante'!DI231)</f>
        <v>0</v>
      </c>
      <c r="I152" s="2172">
        <f>+('Fauna Acompañante'!DJ231)</f>
        <v>0</v>
      </c>
      <c r="J152" s="2172">
        <f>+('Fauna Acompañante'!DK231)</f>
        <v>0</v>
      </c>
      <c r="K152" s="2172">
        <f>+('Fauna Acompañante'!DL231)</f>
        <v>0</v>
      </c>
      <c r="L152" s="2172">
        <f>+('Fauna Acompañante'!DM231)</f>
        <v>0</v>
      </c>
      <c r="M152" s="2172">
        <f>+('Fauna Acompañante'!DN231)</f>
        <v>0</v>
      </c>
      <c r="N152" s="2172">
        <f>+('Fauna Acompañante'!DO231)</f>
        <v>0</v>
      </c>
      <c r="O152" s="2172">
        <f>+('Fauna Acompañante'!DP231)</f>
        <v>0</v>
      </c>
      <c r="P152" s="2172">
        <f>+('Fauna Acompañante'!DQ231)</f>
        <v>0</v>
      </c>
      <c r="Q152" s="2172">
        <f>+('Fauna Acompañante'!DR231)</f>
        <v>0</v>
      </c>
      <c r="R152" s="2172">
        <f>+('Fauna Acompañante'!DS231)</f>
        <v>0</v>
      </c>
      <c r="S152" s="2172">
        <f>+('Fauna Acompañante'!DT231)</f>
        <v>0</v>
      </c>
      <c r="T152" s="2172">
        <f>+('Fauna Acompañante'!DU231)</f>
        <v>0</v>
      </c>
      <c r="U152" s="2172">
        <f>+('Fauna Acompañante'!DV231)</f>
        <v>0</v>
      </c>
      <c r="V152" s="2172">
        <f>+('Fauna Acompañante'!DW231)</f>
        <v>0</v>
      </c>
      <c r="W152" s="2172">
        <f>+('Fauna Acompañante'!DX231)</f>
        <v>0</v>
      </c>
      <c r="X152" s="2172">
        <f>+('Fauna Acompañante'!DY231)</f>
        <v>0</v>
      </c>
      <c r="Y152" s="2172">
        <f>+('Fauna Acompañante'!DZ231)</f>
        <v>0</v>
      </c>
      <c r="Z152" s="2172">
        <f>+('Fauna Acompañante'!EA231)</f>
        <v>0</v>
      </c>
      <c r="AA152" s="2172">
        <f>+('Fauna Acompañante'!EB231)</f>
        <v>0</v>
      </c>
      <c r="AB152" s="2172">
        <f>+('Fauna Acompañante'!EC231)</f>
        <v>0</v>
      </c>
      <c r="AC152" s="2172">
        <f>+('Fauna Acompañante'!ED231)</f>
        <v>0</v>
      </c>
      <c r="AD152" s="2172">
        <f>+('Fauna Acompañante'!EE231)</f>
        <v>0</v>
      </c>
      <c r="AE152" s="2172">
        <f>+('Fauna Acompañante'!EF231)</f>
        <v>0</v>
      </c>
      <c r="AF152" s="2172">
        <f>+('Fauna Acompañante'!EG231)</f>
        <v>0</v>
      </c>
      <c r="AG152" s="2172">
        <f>+('Fauna Acompañante'!EH231)</f>
        <v>0</v>
      </c>
      <c r="AH152" s="2171">
        <f t="shared" si="25"/>
        <v>0</v>
      </c>
    </row>
    <row r="153" spans="1:34" ht="15">
      <c r="A153" s="1962" t="s">
        <v>78</v>
      </c>
      <c r="B153" s="2175">
        <f t="shared" si="24"/>
        <v>0</v>
      </c>
      <c r="C153" s="2172">
        <f>+('Fauna Acompañante'!DD232)</f>
        <v>0</v>
      </c>
      <c r="D153" s="2172">
        <f>+('Fauna Acompañante'!DE232)</f>
        <v>0</v>
      </c>
      <c r="E153" s="2172">
        <f>+('Fauna Acompañante'!DF232)</f>
        <v>0</v>
      </c>
      <c r="F153" s="2172">
        <f>+('Fauna Acompañante'!DG232)</f>
        <v>0</v>
      </c>
      <c r="G153" s="2172">
        <f>+('Fauna Acompañante'!DH232)</f>
        <v>0</v>
      </c>
      <c r="H153" s="2172">
        <f>+('Fauna Acompañante'!DI232)</f>
        <v>0</v>
      </c>
      <c r="I153" s="2172">
        <f>+('Fauna Acompañante'!DJ232)</f>
        <v>0</v>
      </c>
      <c r="J153" s="2172">
        <f>+('Fauna Acompañante'!DK232)</f>
        <v>0</v>
      </c>
      <c r="K153" s="2172">
        <f>+('Fauna Acompañante'!DL232)</f>
        <v>0</v>
      </c>
      <c r="L153" s="2172">
        <f>+('Fauna Acompañante'!DM232)</f>
        <v>0</v>
      </c>
      <c r="M153" s="2172">
        <f>+('Fauna Acompañante'!DN232)</f>
        <v>0</v>
      </c>
      <c r="N153" s="2172">
        <f>+('Fauna Acompañante'!DO232)</f>
        <v>0</v>
      </c>
      <c r="O153" s="2172">
        <f>+('Fauna Acompañante'!DP232)</f>
        <v>0</v>
      </c>
      <c r="P153" s="2172">
        <f>+('Fauna Acompañante'!DQ232)</f>
        <v>0</v>
      </c>
      <c r="Q153" s="2172">
        <f>+('Fauna Acompañante'!DR232)</f>
        <v>0</v>
      </c>
      <c r="R153" s="2172">
        <f>+('Fauna Acompañante'!DS232)</f>
        <v>0</v>
      </c>
      <c r="S153" s="2172">
        <f>+('Fauna Acompañante'!DT232)</f>
        <v>0</v>
      </c>
      <c r="T153" s="2172">
        <f>+('Fauna Acompañante'!DU232)</f>
        <v>0</v>
      </c>
      <c r="U153" s="2172">
        <f>+('Fauna Acompañante'!DV232)</f>
        <v>0</v>
      </c>
      <c r="V153" s="2172">
        <f>+('Fauna Acompañante'!DW232)</f>
        <v>0</v>
      </c>
      <c r="W153" s="2172">
        <f>+('Fauna Acompañante'!DX232)</f>
        <v>0</v>
      </c>
      <c r="X153" s="2172">
        <f>+('Fauna Acompañante'!DY232)</f>
        <v>0</v>
      </c>
      <c r="Y153" s="2172">
        <f>+('Fauna Acompañante'!DZ232)</f>
        <v>0</v>
      </c>
      <c r="Z153" s="2172">
        <f>+('Fauna Acompañante'!EA232)</f>
        <v>0</v>
      </c>
      <c r="AA153" s="2172">
        <f>+('Fauna Acompañante'!EB232)</f>
        <v>0</v>
      </c>
      <c r="AB153" s="2172">
        <f>+('Fauna Acompañante'!EC232)</f>
        <v>0</v>
      </c>
      <c r="AC153" s="2172">
        <f>+('Fauna Acompañante'!ED232)</f>
        <v>0</v>
      </c>
      <c r="AD153" s="2172">
        <f>+('Fauna Acompañante'!EE232)</f>
        <v>0</v>
      </c>
      <c r="AE153" s="2172">
        <f>+('Fauna Acompañante'!EF232)</f>
        <v>0</v>
      </c>
      <c r="AF153" s="2172">
        <f>+('Fauna Acompañante'!EG232)</f>
        <v>0</v>
      </c>
      <c r="AG153" s="2172">
        <f>+('Fauna Acompañante'!EH232)</f>
        <v>0</v>
      </c>
      <c r="AH153" s="2171">
        <f t="shared" si="25"/>
        <v>0</v>
      </c>
    </row>
    <row r="154" spans="1:34" ht="15">
      <c r="A154" s="1962" t="s">
        <v>79</v>
      </c>
      <c r="B154" s="2175">
        <f t="shared" si="24"/>
        <v>1.77</v>
      </c>
      <c r="C154" s="2172">
        <f>+('Fauna Acompañante'!DD233)</f>
        <v>0</v>
      </c>
      <c r="D154" s="2172">
        <f>+('Fauna Acompañante'!DE233)</f>
        <v>0</v>
      </c>
      <c r="E154" s="2172">
        <f>+('Fauna Acompañante'!DF233)</f>
        <v>0</v>
      </c>
      <c r="F154" s="2172">
        <f>+('Fauna Acompañante'!DG233)</f>
        <v>0</v>
      </c>
      <c r="G154" s="2172">
        <f>+('Fauna Acompañante'!DH233)</f>
        <v>0</v>
      </c>
      <c r="H154" s="2172">
        <f>+('Fauna Acompañante'!DI233)</f>
        <v>0</v>
      </c>
      <c r="I154" s="2172">
        <f>+('Fauna Acompañante'!DJ233)</f>
        <v>0</v>
      </c>
      <c r="J154" s="2172">
        <f>+('Fauna Acompañante'!DK233)</f>
        <v>0</v>
      </c>
      <c r="K154" s="2172">
        <f>+('Fauna Acompañante'!DL233)</f>
        <v>1.77</v>
      </c>
      <c r="L154" s="2172">
        <f>+('Fauna Acompañante'!DM233)</f>
        <v>0</v>
      </c>
      <c r="M154" s="2172">
        <f>+('Fauna Acompañante'!DN233)</f>
        <v>0</v>
      </c>
      <c r="N154" s="2172">
        <f>+('Fauna Acompañante'!DO233)</f>
        <v>0</v>
      </c>
      <c r="O154" s="2172">
        <f>+('Fauna Acompañante'!DP233)</f>
        <v>0</v>
      </c>
      <c r="P154" s="2172">
        <f>+('Fauna Acompañante'!DQ233)</f>
        <v>0</v>
      </c>
      <c r="Q154" s="2172">
        <f>+('Fauna Acompañante'!DR233)</f>
        <v>0</v>
      </c>
      <c r="R154" s="2172">
        <f>+('Fauna Acompañante'!DS233)</f>
        <v>0</v>
      </c>
      <c r="S154" s="2172">
        <f>+('Fauna Acompañante'!DT233)</f>
        <v>0</v>
      </c>
      <c r="T154" s="2172">
        <f>+('Fauna Acompañante'!DU233)</f>
        <v>0</v>
      </c>
      <c r="U154" s="2172">
        <f>+('Fauna Acompañante'!DV233)</f>
        <v>0</v>
      </c>
      <c r="V154" s="2172">
        <f>+('Fauna Acompañante'!DW233)</f>
        <v>0</v>
      </c>
      <c r="W154" s="2172">
        <f>+('Fauna Acompañante'!DX233)</f>
        <v>0</v>
      </c>
      <c r="X154" s="2172">
        <f>+('Fauna Acompañante'!DY233)</f>
        <v>0</v>
      </c>
      <c r="Y154" s="2172">
        <f>+('Fauna Acompañante'!DZ233)</f>
        <v>0</v>
      </c>
      <c r="Z154" s="2172">
        <f>+('Fauna Acompañante'!EA233)</f>
        <v>0</v>
      </c>
      <c r="AA154" s="2172">
        <f>+('Fauna Acompañante'!EB233)</f>
        <v>0</v>
      </c>
      <c r="AB154" s="2172">
        <f>+('Fauna Acompañante'!EC233)</f>
        <v>0</v>
      </c>
      <c r="AC154" s="2172">
        <f>+('Fauna Acompañante'!ED233)</f>
        <v>0</v>
      </c>
      <c r="AD154" s="2172">
        <f>+('Fauna Acompañante'!EE233)</f>
        <v>0</v>
      </c>
      <c r="AE154" s="2172">
        <f>+('Fauna Acompañante'!EF233)</f>
        <v>0</v>
      </c>
      <c r="AF154" s="2172">
        <f>+('Fauna Acompañante'!EG233)</f>
        <v>0</v>
      </c>
      <c r="AG154" s="2172">
        <f>+('Fauna Acompañante'!EH233)</f>
        <v>0</v>
      </c>
      <c r="AH154" s="2171">
        <f t="shared" si="25"/>
        <v>1.77</v>
      </c>
    </row>
    <row r="155" spans="1:34" ht="15">
      <c r="A155" s="1962" t="s">
        <v>80</v>
      </c>
      <c r="B155" s="2175">
        <f t="shared" si="24"/>
        <v>0</v>
      </c>
      <c r="C155" s="2172">
        <f>+('Fauna Acompañante'!DD234)</f>
        <v>0</v>
      </c>
      <c r="D155" s="2172">
        <f>+('Fauna Acompañante'!DE234)</f>
        <v>0</v>
      </c>
      <c r="E155" s="2172">
        <f>+('Fauna Acompañante'!DF234)</f>
        <v>0</v>
      </c>
      <c r="F155" s="2172">
        <f>+('Fauna Acompañante'!DG234)</f>
        <v>0</v>
      </c>
      <c r="G155" s="2172">
        <f>+('Fauna Acompañante'!DH234)</f>
        <v>0</v>
      </c>
      <c r="H155" s="2172">
        <f>+('Fauna Acompañante'!DI234)</f>
        <v>0</v>
      </c>
      <c r="I155" s="2172">
        <f>+('Fauna Acompañante'!DJ234)</f>
        <v>0</v>
      </c>
      <c r="J155" s="2172">
        <f>+('Fauna Acompañante'!DK234)</f>
        <v>0</v>
      </c>
      <c r="K155" s="2172">
        <f>+('Fauna Acompañante'!DL234)</f>
        <v>0</v>
      </c>
      <c r="L155" s="2172">
        <f>+('Fauna Acompañante'!DM234)</f>
        <v>0</v>
      </c>
      <c r="M155" s="2172">
        <f>+('Fauna Acompañante'!DN234)</f>
        <v>0</v>
      </c>
      <c r="N155" s="2172">
        <f>+('Fauna Acompañante'!DO234)</f>
        <v>0</v>
      </c>
      <c r="O155" s="2172">
        <f>+('Fauna Acompañante'!DP234)</f>
        <v>0</v>
      </c>
      <c r="P155" s="2172">
        <f>+('Fauna Acompañante'!DQ234)</f>
        <v>0</v>
      </c>
      <c r="Q155" s="2172">
        <f>+('Fauna Acompañante'!DR234)</f>
        <v>0</v>
      </c>
      <c r="R155" s="2172">
        <f>+('Fauna Acompañante'!DS234)</f>
        <v>0</v>
      </c>
      <c r="S155" s="2172">
        <f>+('Fauna Acompañante'!DT234)</f>
        <v>0</v>
      </c>
      <c r="T155" s="2172">
        <f>+('Fauna Acompañante'!DU234)</f>
        <v>0</v>
      </c>
      <c r="U155" s="2172">
        <f>+('Fauna Acompañante'!DV234)</f>
        <v>0</v>
      </c>
      <c r="V155" s="2172">
        <f>+('Fauna Acompañante'!DW234)</f>
        <v>0</v>
      </c>
      <c r="W155" s="2172">
        <f>+('Fauna Acompañante'!DX234)</f>
        <v>0</v>
      </c>
      <c r="X155" s="2172">
        <f>+('Fauna Acompañante'!DY234)</f>
        <v>0</v>
      </c>
      <c r="Y155" s="2172">
        <f>+('Fauna Acompañante'!DZ234)</f>
        <v>0</v>
      </c>
      <c r="Z155" s="2172">
        <f>+('Fauna Acompañante'!EA234)</f>
        <v>0</v>
      </c>
      <c r="AA155" s="2172">
        <f>+('Fauna Acompañante'!EB234)</f>
        <v>0</v>
      </c>
      <c r="AB155" s="2172">
        <f>+('Fauna Acompañante'!EC234)</f>
        <v>0</v>
      </c>
      <c r="AC155" s="2172">
        <f>+('Fauna Acompañante'!ED234)</f>
        <v>0</v>
      </c>
      <c r="AD155" s="2172">
        <f>+('Fauna Acompañante'!EE234)</f>
        <v>0</v>
      </c>
      <c r="AE155" s="2172">
        <f>+('Fauna Acompañante'!EF234)</f>
        <v>0</v>
      </c>
      <c r="AF155" s="2172">
        <f>+('Fauna Acompañante'!EG234)</f>
        <v>0</v>
      </c>
      <c r="AG155" s="2172">
        <f>+('Fauna Acompañante'!EH234)</f>
        <v>0</v>
      </c>
      <c r="AH155" s="2171">
        <f t="shared" si="25"/>
        <v>0</v>
      </c>
    </row>
    <row r="156" spans="1:34" ht="15">
      <c r="A156" s="1962" t="s">
        <v>81</v>
      </c>
      <c r="B156" s="2175">
        <f t="shared" si="24"/>
        <v>0</v>
      </c>
      <c r="C156" s="2172">
        <f>+('Fauna Acompañante'!DD235)</f>
        <v>0</v>
      </c>
      <c r="D156" s="2172">
        <f>+('Fauna Acompañante'!DE235)</f>
        <v>0</v>
      </c>
      <c r="E156" s="2172">
        <f>+('Fauna Acompañante'!DF235)</f>
        <v>0</v>
      </c>
      <c r="F156" s="2172">
        <f>+('Fauna Acompañante'!DG235)</f>
        <v>0</v>
      </c>
      <c r="G156" s="2172">
        <f>+('Fauna Acompañante'!DH235)</f>
        <v>0</v>
      </c>
      <c r="H156" s="2172">
        <f>+('Fauna Acompañante'!DI235)</f>
        <v>0</v>
      </c>
      <c r="I156" s="2172">
        <f>+('Fauna Acompañante'!DJ235)</f>
        <v>0</v>
      </c>
      <c r="J156" s="2172">
        <f>+('Fauna Acompañante'!DK235)</f>
        <v>0</v>
      </c>
      <c r="K156" s="2172">
        <f>+('Fauna Acompañante'!DL235)</f>
        <v>0</v>
      </c>
      <c r="L156" s="2172">
        <f>+('Fauna Acompañante'!DM235)</f>
        <v>0</v>
      </c>
      <c r="M156" s="2172">
        <f>+('Fauna Acompañante'!DN235)</f>
        <v>0</v>
      </c>
      <c r="N156" s="2172">
        <f>+('Fauna Acompañante'!DO235)</f>
        <v>0</v>
      </c>
      <c r="O156" s="2172">
        <f>+('Fauna Acompañante'!DP235)</f>
        <v>0</v>
      </c>
      <c r="P156" s="2172">
        <f>+('Fauna Acompañante'!DQ235)</f>
        <v>0</v>
      </c>
      <c r="Q156" s="2172">
        <f>+('Fauna Acompañante'!DR235)</f>
        <v>0</v>
      </c>
      <c r="R156" s="2172">
        <f>+('Fauna Acompañante'!DS235)</f>
        <v>0</v>
      </c>
      <c r="S156" s="2172">
        <f>+('Fauna Acompañante'!DT235)</f>
        <v>0</v>
      </c>
      <c r="T156" s="2172">
        <f>+('Fauna Acompañante'!DU235)</f>
        <v>0</v>
      </c>
      <c r="U156" s="2172">
        <f>+('Fauna Acompañante'!DV235)</f>
        <v>0</v>
      </c>
      <c r="V156" s="2172">
        <f>+('Fauna Acompañante'!DW235)</f>
        <v>0</v>
      </c>
      <c r="W156" s="2172">
        <f>+('Fauna Acompañante'!DX235)</f>
        <v>0</v>
      </c>
      <c r="X156" s="2172">
        <f>+('Fauna Acompañante'!DY235)</f>
        <v>0</v>
      </c>
      <c r="Y156" s="2172">
        <f>+('Fauna Acompañante'!DZ235)</f>
        <v>0</v>
      </c>
      <c r="Z156" s="2172">
        <f>+('Fauna Acompañante'!EA235)</f>
        <v>0</v>
      </c>
      <c r="AA156" s="2172">
        <f>+('Fauna Acompañante'!EB235)</f>
        <v>0</v>
      </c>
      <c r="AB156" s="2172">
        <f>+('Fauna Acompañante'!EC235)</f>
        <v>0</v>
      </c>
      <c r="AC156" s="2172">
        <f>+('Fauna Acompañante'!ED235)</f>
        <v>0</v>
      </c>
      <c r="AD156" s="2172">
        <f>+('Fauna Acompañante'!EE235)</f>
        <v>0</v>
      </c>
      <c r="AE156" s="2172">
        <f>+('Fauna Acompañante'!EF235)</f>
        <v>0</v>
      </c>
      <c r="AF156" s="2172">
        <f>+('Fauna Acompañante'!EG235)</f>
        <v>0</v>
      </c>
      <c r="AG156" s="2172">
        <f>+('Fauna Acompañante'!EH235)</f>
        <v>0</v>
      </c>
      <c r="AH156" s="2171">
        <f t="shared" si="25"/>
        <v>0</v>
      </c>
    </row>
    <row r="157" spans="1:34" ht="15">
      <c r="A157" s="1962" t="s">
        <v>82</v>
      </c>
      <c r="B157" s="2175">
        <f t="shared" si="24"/>
        <v>0</v>
      </c>
      <c r="C157" s="2172">
        <f>+('Fauna Acompañante'!DD236)</f>
        <v>0</v>
      </c>
      <c r="D157" s="2172">
        <f>+('Fauna Acompañante'!DE236)</f>
        <v>0</v>
      </c>
      <c r="E157" s="2172">
        <f>+('Fauna Acompañante'!DF236)</f>
        <v>0</v>
      </c>
      <c r="F157" s="2172">
        <f>+('Fauna Acompañante'!DG236)</f>
        <v>0</v>
      </c>
      <c r="G157" s="2172">
        <f>+('Fauna Acompañante'!DH236)</f>
        <v>0</v>
      </c>
      <c r="H157" s="2172">
        <f>+('Fauna Acompañante'!DI236)</f>
        <v>0</v>
      </c>
      <c r="I157" s="2172">
        <f>+('Fauna Acompañante'!DJ236)</f>
        <v>0</v>
      </c>
      <c r="J157" s="2172">
        <f>+('Fauna Acompañante'!DK236)</f>
        <v>0</v>
      </c>
      <c r="K157" s="2172">
        <f>+('Fauna Acompañante'!DL236)</f>
        <v>0</v>
      </c>
      <c r="L157" s="2172">
        <f>+('Fauna Acompañante'!DM236)</f>
        <v>0</v>
      </c>
      <c r="M157" s="2172">
        <f>+('Fauna Acompañante'!DN236)</f>
        <v>0</v>
      </c>
      <c r="N157" s="2172">
        <f>+('Fauna Acompañante'!DO236)</f>
        <v>0</v>
      </c>
      <c r="O157" s="2172">
        <f>+('Fauna Acompañante'!DP236)</f>
        <v>0</v>
      </c>
      <c r="P157" s="2172">
        <f>+('Fauna Acompañante'!DQ236)</f>
        <v>0</v>
      </c>
      <c r="Q157" s="2172">
        <f>+('Fauna Acompañante'!DR236)</f>
        <v>0</v>
      </c>
      <c r="R157" s="2172">
        <f>+('Fauna Acompañante'!DS236)</f>
        <v>0</v>
      </c>
      <c r="S157" s="2172">
        <f>+('Fauna Acompañante'!DT236)</f>
        <v>0</v>
      </c>
      <c r="T157" s="2172">
        <f>+('Fauna Acompañante'!DU236)</f>
        <v>0</v>
      </c>
      <c r="U157" s="2172">
        <f>+('Fauna Acompañante'!DV236)</f>
        <v>0</v>
      </c>
      <c r="V157" s="2172">
        <f>+('Fauna Acompañante'!DW236)</f>
        <v>0</v>
      </c>
      <c r="W157" s="2172">
        <f>+('Fauna Acompañante'!DX236)</f>
        <v>0</v>
      </c>
      <c r="X157" s="2172">
        <f>+('Fauna Acompañante'!DY236)</f>
        <v>0</v>
      </c>
      <c r="Y157" s="2172">
        <f>+('Fauna Acompañante'!DZ236)</f>
        <v>0</v>
      </c>
      <c r="Z157" s="2172">
        <f>+('Fauna Acompañante'!EA236)</f>
        <v>0</v>
      </c>
      <c r="AA157" s="2172">
        <f>+('Fauna Acompañante'!EB236)</f>
        <v>0</v>
      </c>
      <c r="AB157" s="2172">
        <f>+('Fauna Acompañante'!EC236)</f>
        <v>0</v>
      </c>
      <c r="AC157" s="2172">
        <f>+('Fauna Acompañante'!ED236)</f>
        <v>0</v>
      </c>
      <c r="AD157" s="2172">
        <f>+('Fauna Acompañante'!EE236)</f>
        <v>0</v>
      </c>
      <c r="AE157" s="2172">
        <f>+('Fauna Acompañante'!EF236)</f>
        <v>0</v>
      </c>
      <c r="AF157" s="2172">
        <f>+('Fauna Acompañante'!EG236)</f>
        <v>0</v>
      </c>
      <c r="AG157" s="2172">
        <f>+('Fauna Acompañante'!EH236)</f>
        <v>0</v>
      </c>
      <c r="AH157" s="2171">
        <f t="shared" si="25"/>
        <v>0</v>
      </c>
    </row>
    <row r="158" spans="1:34" ht="15">
      <c r="A158" s="1962" t="s">
        <v>83</v>
      </c>
      <c r="B158" s="2175">
        <f t="shared" si="24"/>
        <v>0</v>
      </c>
      <c r="C158" s="2172">
        <f>+('Fauna Acompañante'!DD237)</f>
        <v>0</v>
      </c>
      <c r="D158" s="2172">
        <f>+('Fauna Acompañante'!DE237)</f>
        <v>0</v>
      </c>
      <c r="E158" s="2172">
        <f>+('Fauna Acompañante'!DF237)</f>
        <v>0</v>
      </c>
      <c r="F158" s="2172">
        <f>+('Fauna Acompañante'!DG237)</f>
        <v>0</v>
      </c>
      <c r="G158" s="2172">
        <f>+('Fauna Acompañante'!DH237)</f>
        <v>0</v>
      </c>
      <c r="H158" s="2172">
        <f>+('Fauna Acompañante'!DI237)</f>
        <v>0</v>
      </c>
      <c r="I158" s="2172">
        <f>+('Fauna Acompañante'!DJ237)</f>
        <v>0</v>
      </c>
      <c r="J158" s="2172">
        <f>+('Fauna Acompañante'!DK237)</f>
        <v>0</v>
      </c>
      <c r="K158" s="2172">
        <f>+('Fauna Acompañante'!DL237)</f>
        <v>0</v>
      </c>
      <c r="L158" s="2172">
        <f>+('Fauna Acompañante'!DM237)</f>
        <v>0</v>
      </c>
      <c r="M158" s="2172">
        <f>+('Fauna Acompañante'!DN237)</f>
        <v>0</v>
      </c>
      <c r="N158" s="2172">
        <f>+('Fauna Acompañante'!DO237)</f>
        <v>0</v>
      </c>
      <c r="O158" s="2172">
        <f>+('Fauna Acompañante'!DP237)</f>
        <v>0</v>
      </c>
      <c r="P158" s="2172">
        <f>+('Fauna Acompañante'!DQ237)</f>
        <v>0</v>
      </c>
      <c r="Q158" s="2172">
        <f>+('Fauna Acompañante'!DR237)</f>
        <v>0</v>
      </c>
      <c r="R158" s="2172">
        <f>+('Fauna Acompañante'!DS237)</f>
        <v>0</v>
      </c>
      <c r="S158" s="2172">
        <f>+('Fauna Acompañante'!DT237)</f>
        <v>0</v>
      </c>
      <c r="T158" s="2172">
        <f>+('Fauna Acompañante'!DU237)</f>
        <v>0</v>
      </c>
      <c r="U158" s="2172">
        <f>+('Fauna Acompañante'!DV237)</f>
        <v>0</v>
      </c>
      <c r="V158" s="2172">
        <f>+('Fauna Acompañante'!DW237)</f>
        <v>0</v>
      </c>
      <c r="W158" s="2172">
        <f>+('Fauna Acompañante'!DX237)</f>
        <v>0</v>
      </c>
      <c r="X158" s="2172">
        <f>+('Fauna Acompañante'!DY237)</f>
        <v>0</v>
      </c>
      <c r="Y158" s="2172">
        <f>+('Fauna Acompañante'!DZ237)</f>
        <v>0</v>
      </c>
      <c r="Z158" s="2172">
        <f>+('Fauna Acompañante'!EA237)</f>
        <v>0</v>
      </c>
      <c r="AA158" s="2172">
        <f>+('Fauna Acompañante'!EB237)</f>
        <v>0</v>
      </c>
      <c r="AB158" s="2172">
        <f>+('Fauna Acompañante'!EC237)</f>
        <v>0</v>
      </c>
      <c r="AC158" s="2172">
        <f>+('Fauna Acompañante'!ED237)</f>
        <v>0</v>
      </c>
      <c r="AD158" s="2172">
        <f>+('Fauna Acompañante'!EE237)</f>
        <v>0</v>
      </c>
      <c r="AE158" s="2172">
        <f>+('Fauna Acompañante'!EF237)</f>
        <v>0</v>
      </c>
      <c r="AF158" s="2172">
        <f>+('Fauna Acompañante'!EG237)</f>
        <v>0</v>
      </c>
      <c r="AG158" s="2172">
        <f>+('Fauna Acompañante'!EH237)</f>
        <v>0</v>
      </c>
      <c r="AH158" s="2171">
        <f t="shared" si="25"/>
        <v>0</v>
      </c>
    </row>
    <row r="159" spans="1:34" ht="15">
      <c r="A159" s="1962" t="s">
        <v>84</v>
      </c>
      <c r="B159" s="2175">
        <f t="shared" si="24"/>
        <v>0</v>
      </c>
      <c r="C159" s="2172">
        <f>+('Fauna Acompañante'!DD238)</f>
        <v>0</v>
      </c>
      <c r="D159" s="2172">
        <f>+('Fauna Acompañante'!DE238)</f>
        <v>0</v>
      </c>
      <c r="E159" s="2172">
        <f>+('Fauna Acompañante'!DF238)</f>
        <v>0</v>
      </c>
      <c r="F159" s="2172">
        <f>+('Fauna Acompañante'!DG238)</f>
        <v>0</v>
      </c>
      <c r="G159" s="2172">
        <f>+('Fauna Acompañante'!DH238)</f>
        <v>0</v>
      </c>
      <c r="H159" s="2172">
        <f>+('Fauna Acompañante'!DI238)</f>
        <v>0</v>
      </c>
      <c r="I159" s="2172">
        <f>+('Fauna Acompañante'!DJ238)</f>
        <v>0</v>
      </c>
      <c r="J159" s="2172">
        <f>+('Fauna Acompañante'!DK238)</f>
        <v>0</v>
      </c>
      <c r="K159" s="2172">
        <f>+('Fauna Acompañante'!DL238)</f>
        <v>0</v>
      </c>
      <c r="L159" s="2172">
        <f>+('Fauna Acompañante'!DM238)</f>
        <v>0</v>
      </c>
      <c r="M159" s="2172">
        <f>+('Fauna Acompañante'!DN238)</f>
        <v>0</v>
      </c>
      <c r="N159" s="2172">
        <f>+('Fauna Acompañante'!DO238)</f>
        <v>0</v>
      </c>
      <c r="O159" s="2172">
        <f>+('Fauna Acompañante'!DP238)</f>
        <v>0</v>
      </c>
      <c r="P159" s="2172">
        <f>+('Fauna Acompañante'!DQ238)</f>
        <v>0</v>
      </c>
      <c r="Q159" s="2172">
        <f>+('Fauna Acompañante'!DR238)</f>
        <v>0</v>
      </c>
      <c r="R159" s="2172">
        <f>+('Fauna Acompañante'!DS238)</f>
        <v>0</v>
      </c>
      <c r="S159" s="2172">
        <f>+('Fauna Acompañante'!DT238)</f>
        <v>0</v>
      </c>
      <c r="T159" s="2172">
        <f>+('Fauna Acompañante'!DU238)</f>
        <v>0</v>
      </c>
      <c r="U159" s="2172">
        <f>+('Fauna Acompañante'!DV238)</f>
        <v>0</v>
      </c>
      <c r="V159" s="2172">
        <f>+('Fauna Acompañante'!DW238)</f>
        <v>0</v>
      </c>
      <c r="W159" s="2172">
        <f>+('Fauna Acompañante'!DX238)</f>
        <v>0</v>
      </c>
      <c r="X159" s="2172">
        <f>+('Fauna Acompañante'!DY238)</f>
        <v>0</v>
      </c>
      <c r="Y159" s="2172">
        <f>+('Fauna Acompañante'!DZ238)</f>
        <v>0</v>
      </c>
      <c r="Z159" s="2172">
        <f>+('Fauna Acompañante'!EA238)</f>
        <v>0</v>
      </c>
      <c r="AA159" s="2172">
        <f>+('Fauna Acompañante'!EB238)</f>
        <v>0</v>
      </c>
      <c r="AB159" s="2172">
        <f>+('Fauna Acompañante'!EC238)</f>
        <v>0</v>
      </c>
      <c r="AC159" s="2172">
        <f>+('Fauna Acompañante'!ED238)</f>
        <v>0</v>
      </c>
      <c r="AD159" s="2172">
        <f>+('Fauna Acompañante'!EE238)</f>
        <v>0</v>
      </c>
      <c r="AE159" s="2172">
        <f>+('Fauna Acompañante'!EF238)</f>
        <v>0</v>
      </c>
      <c r="AF159" s="2172">
        <f>+('Fauna Acompañante'!EG238)</f>
        <v>0</v>
      </c>
      <c r="AG159" s="2172">
        <f>+('Fauna Acompañante'!EH238)</f>
        <v>0</v>
      </c>
      <c r="AH159" s="2171">
        <f t="shared" si="25"/>
        <v>0</v>
      </c>
    </row>
    <row r="160" spans="1:34" ht="15">
      <c r="A160" s="1962" t="s">
        <v>85</v>
      </c>
      <c r="B160" s="2175">
        <f t="shared" si="24"/>
        <v>0</v>
      </c>
      <c r="C160" s="2172">
        <f>+('Fauna Acompañante'!DD239)</f>
        <v>0</v>
      </c>
      <c r="D160" s="2172">
        <f>+('Fauna Acompañante'!DE239)</f>
        <v>0</v>
      </c>
      <c r="E160" s="2172">
        <f>+('Fauna Acompañante'!DF239)</f>
        <v>0</v>
      </c>
      <c r="F160" s="2172">
        <f>+('Fauna Acompañante'!DG239)</f>
        <v>0</v>
      </c>
      <c r="G160" s="2172">
        <f>+('Fauna Acompañante'!DH239)</f>
        <v>0</v>
      </c>
      <c r="H160" s="2172">
        <f>+('Fauna Acompañante'!DI239)</f>
        <v>0</v>
      </c>
      <c r="I160" s="2172">
        <f>+('Fauna Acompañante'!DJ239)</f>
        <v>0</v>
      </c>
      <c r="J160" s="2172">
        <f>+('Fauna Acompañante'!DK239)</f>
        <v>0</v>
      </c>
      <c r="K160" s="2172">
        <f>+('Fauna Acompañante'!DL239)</f>
        <v>0</v>
      </c>
      <c r="L160" s="2172">
        <f>+('Fauna Acompañante'!DM239)</f>
        <v>0</v>
      </c>
      <c r="M160" s="2172">
        <f>+('Fauna Acompañante'!DN239)</f>
        <v>0</v>
      </c>
      <c r="N160" s="2172">
        <f>+('Fauna Acompañante'!DO239)</f>
        <v>0</v>
      </c>
      <c r="O160" s="2172">
        <f>+('Fauna Acompañante'!DP239)</f>
        <v>0</v>
      </c>
      <c r="P160" s="2172">
        <f>+('Fauna Acompañante'!DQ239)</f>
        <v>0</v>
      </c>
      <c r="Q160" s="2172">
        <f>+('Fauna Acompañante'!DR239)</f>
        <v>0</v>
      </c>
      <c r="R160" s="2172">
        <f>+('Fauna Acompañante'!DS239)</f>
        <v>0</v>
      </c>
      <c r="S160" s="2172">
        <f>+('Fauna Acompañante'!DT239)</f>
        <v>0</v>
      </c>
      <c r="T160" s="2172">
        <f>+('Fauna Acompañante'!DU239)</f>
        <v>0</v>
      </c>
      <c r="U160" s="2172">
        <f>+('Fauna Acompañante'!DV239)</f>
        <v>0</v>
      </c>
      <c r="V160" s="2172">
        <f>+('Fauna Acompañante'!DW239)</f>
        <v>0</v>
      </c>
      <c r="W160" s="2172">
        <f>+('Fauna Acompañante'!DX239)</f>
        <v>0</v>
      </c>
      <c r="X160" s="2172">
        <f>+('Fauna Acompañante'!DY239)</f>
        <v>0</v>
      </c>
      <c r="Y160" s="2172">
        <f>+('Fauna Acompañante'!DZ239)</f>
        <v>0</v>
      </c>
      <c r="Z160" s="2172">
        <f>+('Fauna Acompañante'!EA239)</f>
        <v>0</v>
      </c>
      <c r="AA160" s="2172">
        <f>+('Fauna Acompañante'!EB239)</f>
        <v>0</v>
      </c>
      <c r="AB160" s="2172">
        <f>+('Fauna Acompañante'!EC239)</f>
        <v>0</v>
      </c>
      <c r="AC160" s="2172">
        <f>+('Fauna Acompañante'!ED239)</f>
        <v>0</v>
      </c>
      <c r="AD160" s="2172">
        <f>+('Fauna Acompañante'!EE239)</f>
        <v>0</v>
      </c>
      <c r="AE160" s="2172">
        <f>+('Fauna Acompañante'!EF239)</f>
        <v>0</v>
      </c>
      <c r="AF160" s="2172">
        <f>+('Fauna Acompañante'!EG239)</f>
        <v>0</v>
      </c>
      <c r="AG160" s="2172">
        <f>+('Fauna Acompañante'!EH239)</f>
        <v>0</v>
      </c>
      <c r="AH160" s="2171">
        <f t="shared" si="25"/>
        <v>0</v>
      </c>
    </row>
    <row r="161" spans="1:34" ht="15">
      <c r="A161" s="1962" t="s">
        <v>86</v>
      </c>
      <c r="B161" s="2175">
        <f t="shared" si="24"/>
        <v>0</v>
      </c>
      <c r="C161" s="2172">
        <f>+('Fauna Acompañante'!DD240)</f>
        <v>0</v>
      </c>
      <c r="D161" s="2172">
        <f>+('Fauna Acompañante'!DE240)</f>
        <v>0</v>
      </c>
      <c r="E161" s="2172">
        <f>+('Fauna Acompañante'!DF240)</f>
        <v>0</v>
      </c>
      <c r="F161" s="2172">
        <f>+('Fauna Acompañante'!DG240)</f>
        <v>0</v>
      </c>
      <c r="G161" s="2172">
        <f>+('Fauna Acompañante'!DH240)</f>
        <v>0</v>
      </c>
      <c r="H161" s="2172">
        <f>+('Fauna Acompañante'!DI240)</f>
        <v>0</v>
      </c>
      <c r="I161" s="2172">
        <f>+('Fauna Acompañante'!DJ240)</f>
        <v>0</v>
      </c>
      <c r="J161" s="2172">
        <f>+('Fauna Acompañante'!DK240)</f>
        <v>0</v>
      </c>
      <c r="K161" s="2172">
        <f>+('Fauna Acompañante'!DL240)</f>
        <v>0</v>
      </c>
      <c r="L161" s="2172">
        <f>+('Fauna Acompañante'!DM240)</f>
        <v>0</v>
      </c>
      <c r="M161" s="2172">
        <f>+('Fauna Acompañante'!DN240)</f>
        <v>0</v>
      </c>
      <c r="N161" s="2172">
        <f>+('Fauna Acompañante'!DO240)</f>
        <v>0</v>
      </c>
      <c r="O161" s="2172">
        <f>+('Fauna Acompañante'!DP240)</f>
        <v>0</v>
      </c>
      <c r="P161" s="2172">
        <f>+('Fauna Acompañante'!DQ240)</f>
        <v>0</v>
      </c>
      <c r="Q161" s="2172">
        <f>+('Fauna Acompañante'!DR240)</f>
        <v>0</v>
      </c>
      <c r="R161" s="2172">
        <f>+('Fauna Acompañante'!DS240)</f>
        <v>0</v>
      </c>
      <c r="S161" s="2172">
        <f>+('Fauna Acompañante'!DT240)</f>
        <v>0</v>
      </c>
      <c r="T161" s="2172">
        <f>+('Fauna Acompañante'!DU240)</f>
        <v>0</v>
      </c>
      <c r="U161" s="2172">
        <f>+('Fauna Acompañante'!DV240)</f>
        <v>0</v>
      </c>
      <c r="V161" s="2172">
        <f>+('Fauna Acompañante'!DW240)</f>
        <v>0</v>
      </c>
      <c r="W161" s="2172">
        <f>+('Fauna Acompañante'!DX240)</f>
        <v>0</v>
      </c>
      <c r="X161" s="2172">
        <f>+('Fauna Acompañante'!DY240)</f>
        <v>0</v>
      </c>
      <c r="Y161" s="2172">
        <f>+('Fauna Acompañante'!DZ240)</f>
        <v>0</v>
      </c>
      <c r="Z161" s="2172">
        <f>+('Fauna Acompañante'!EA240)</f>
        <v>0</v>
      </c>
      <c r="AA161" s="2172">
        <f>+('Fauna Acompañante'!EB240)</f>
        <v>0</v>
      </c>
      <c r="AB161" s="2172">
        <f>+('Fauna Acompañante'!EC240)</f>
        <v>0</v>
      </c>
      <c r="AC161" s="2172">
        <f>+('Fauna Acompañante'!ED240)</f>
        <v>0</v>
      </c>
      <c r="AD161" s="2172">
        <f>+('Fauna Acompañante'!EE240)</f>
        <v>0</v>
      </c>
      <c r="AE161" s="2172">
        <f>+('Fauna Acompañante'!EF240)</f>
        <v>0</v>
      </c>
      <c r="AF161" s="2172">
        <f>+('Fauna Acompañante'!EG240)</f>
        <v>0</v>
      </c>
      <c r="AG161" s="2172">
        <f>+('Fauna Acompañante'!EH240)</f>
        <v>0</v>
      </c>
      <c r="AH161" s="2171">
        <f t="shared" si="25"/>
        <v>0</v>
      </c>
    </row>
    <row r="162" spans="1:34" ht="15">
      <c r="A162" s="2174" t="s">
        <v>74</v>
      </c>
      <c r="B162" s="2173">
        <f t="shared" ref="B162:AH162" si="26">SUM(B150:B161)</f>
        <v>1.77</v>
      </c>
      <c r="C162" s="2172">
        <f t="shared" si="26"/>
        <v>0</v>
      </c>
      <c r="D162" s="2172">
        <f t="shared" si="26"/>
        <v>0</v>
      </c>
      <c r="E162" s="2172">
        <f t="shared" si="26"/>
        <v>0</v>
      </c>
      <c r="F162" s="2172">
        <f t="shared" si="26"/>
        <v>0</v>
      </c>
      <c r="G162" s="2172">
        <f t="shared" si="26"/>
        <v>0</v>
      </c>
      <c r="H162" s="2172">
        <f t="shared" si="26"/>
        <v>0</v>
      </c>
      <c r="I162" s="2172">
        <f t="shared" si="26"/>
        <v>0</v>
      </c>
      <c r="J162" s="2172">
        <f t="shared" si="26"/>
        <v>0</v>
      </c>
      <c r="K162" s="2172">
        <f t="shared" si="26"/>
        <v>1.77</v>
      </c>
      <c r="L162" s="2172">
        <f t="shared" si="26"/>
        <v>0</v>
      </c>
      <c r="M162" s="2172">
        <f t="shared" si="26"/>
        <v>0</v>
      </c>
      <c r="N162" s="2172">
        <f t="shared" si="26"/>
        <v>0</v>
      </c>
      <c r="O162" s="2172">
        <f t="shared" si="26"/>
        <v>0</v>
      </c>
      <c r="P162" s="2172">
        <f t="shared" si="26"/>
        <v>0</v>
      </c>
      <c r="Q162" s="2172">
        <f t="shared" si="26"/>
        <v>0</v>
      </c>
      <c r="R162" s="2172">
        <f t="shared" si="26"/>
        <v>0</v>
      </c>
      <c r="S162" s="2172">
        <f t="shared" si="26"/>
        <v>0</v>
      </c>
      <c r="T162" s="2172">
        <f t="shared" si="26"/>
        <v>0</v>
      </c>
      <c r="U162" s="2172">
        <f t="shared" si="26"/>
        <v>0</v>
      </c>
      <c r="V162" s="2172">
        <f t="shared" si="26"/>
        <v>0</v>
      </c>
      <c r="W162" s="2172">
        <f t="shared" si="26"/>
        <v>0</v>
      </c>
      <c r="X162" s="2172">
        <f t="shared" si="26"/>
        <v>0</v>
      </c>
      <c r="Y162" s="2172">
        <f t="shared" si="26"/>
        <v>0</v>
      </c>
      <c r="Z162" s="2172">
        <f t="shared" si="26"/>
        <v>0</v>
      </c>
      <c r="AA162" s="2172">
        <f t="shared" si="26"/>
        <v>0</v>
      </c>
      <c r="AB162" s="2172">
        <f t="shared" si="26"/>
        <v>0</v>
      </c>
      <c r="AC162" s="2172">
        <f t="shared" si="26"/>
        <v>0</v>
      </c>
      <c r="AD162" s="2172">
        <f t="shared" si="26"/>
        <v>0</v>
      </c>
      <c r="AE162" s="2172">
        <f t="shared" si="26"/>
        <v>0</v>
      </c>
      <c r="AF162" s="2172">
        <f t="shared" si="26"/>
        <v>0</v>
      </c>
      <c r="AG162" s="2172">
        <f t="shared" si="26"/>
        <v>0</v>
      </c>
      <c r="AH162" s="2171">
        <f t="shared" si="26"/>
        <v>1.77</v>
      </c>
    </row>
    <row r="165" spans="1:34" ht="15">
      <c r="A165" s="3778" t="s">
        <v>571</v>
      </c>
      <c r="B165" s="3779"/>
      <c r="C165" s="3779"/>
      <c r="D165" s="3779"/>
      <c r="E165" s="3779"/>
      <c r="F165" s="3779"/>
      <c r="G165" s="3779"/>
      <c r="H165" s="3779"/>
      <c r="I165" s="3779"/>
      <c r="J165" s="3779"/>
      <c r="K165" s="3779"/>
      <c r="L165" s="3779"/>
      <c r="M165" s="3779"/>
      <c r="N165" s="3779"/>
      <c r="O165" s="3779"/>
      <c r="P165" s="3779"/>
      <c r="Q165" s="3779"/>
      <c r="R165" s="3779"/>
      <c r="S165" s="3779"/>
      <c r="T165" s="3780"/>
      <c r="U165" s="2167"/>
      <c r="V165" s="2167"/>
      <c r="W165" s="2167"/>
      <c r="X165" s="2167"/>
      <c r="Y165" s="2167"/>
      <c r="Z165" s="2167"/>
      <c r="AA165" s="2167"/>
      <c r="AB165" s="2167"/>
      <c r="AC165" s="2167"/>
      <c r="AD165" s="2167"/>
      <c r="AE165" s="2167"/>
      <c r="AF165" s="2167"/>
      <c r="AG165" s="2167"/>
      <c r="AH165" s="2167"/>
    </row>
    <row r="166" spans="1:34">
      <c r="A166" s="2167"/>
      <c r="B166" s="2167"/>
      <c r="C166" s="2167"/>
      <c r="D166" s="2167"/>
      <c r="E166" s="2167"/>
      <c r="F166" s="2167"/>
      <c r="G166" s="2167"/>
      <c r="H166" s="2167"/>
      <c r="I166" s="2167"/>
      <c r="J166" s="2167"/>
      <c r="K166" s="2167"/>
      <c r="L166" s="2167"/>
      <c r="M166" s="2167"/>
      <c r="N166" s="2167"/>
      <c r="O166" s="2167"/>
      <c r="P166" s="2167"/>
      <c r="Q166" s="2167"/>
      <c r="R166" s="2167"/>
      <c r="S166" s="2167"/>
      <c r="T166" s="2167"/>
      <c r="U166" s="2167"/>
      <c r="V166" s="2167"/>
      <c r="W166" s="2167"/>
      <c r="X166" s="2167"/>
      <c r="Y166" s="2167"/>
      <c r="Z166" s="2167"/>
      <c r="AA166" s="2167"/>
      <c r="AB166" s="2167"/>
      <c r="AC166" s="2167"/>
      <c r="AD166" s="2167"/>
      <c r="AE166" s="2167"/>
      <c r="AF166" s="2167"/>
      <c r="AG166" s="2167"/>
      <c r="AH166" s="2167"/>
    </row>
    <row r="167" spans="1:34">
      <c r="A167" s="2170"/>
      <c r="B167" s="2169" t="s">
        <v>626</v>
      </c>
      <c r="C167" s="2168"/>
      <c r="D167" s="2167"/>
      <c r="E167" s="2167"/>
      <c r="F167" s="2167"/>
      <c r="G167" s="2167"/>
      <c r="H167" s="2167"/>
      <c r="I167" s="2167"/>
      <c r="J167" s="2167"/>
      <c r="K167" s="2167"/>
      <c r="L167" s="2167"/>
      <c r="M167" s="2167"/>
      <c r="N167" s="2167"/>
      <c r="O167" s="2167"/>
      <c r="P167" s="2167"/>
      <c r="Q167" s="2167"/>
      <c r="R167" s="2167"/>
      <c r="S167" s="2167"/>
      <c r="T167" s="2167"/>
      <c r="U167" s="2167"/>
      <c r="V167" s="2167"/>
      <c r="W167" s="2167"/>
      <c r="X167" s="2167"/>
      <c r="Y167" s="2167"/>
      <c r="Z167" s="2167"/>
      <c r="AA167" s="2167"/>
      <c r="AB167" s="2167"/>
      <c r="AC167" s="2167"/>
      <c r="AD167" s="2167"/>
      <c r="AE167" s="2167"/>
      <c r="AF167" s="2167"/>
      <c r="AG167" s="2167"/>
      <c r="AH167" s="2167"/>
    </row>
    <row r="168" spans="1:34" ht="15">
      <c r="A168" s="3778" t="s">
        <v>625</v>
      </c>
      <c r="B168" s="3779"/>
      <c r="C168" s="3780"/>
      <c r="D168" s="2165"/>
      <c r="E168" s="2165"/>
      <c r="F168" s="2165"/>
      <c r="G168" s="2165"/>
      <c r="H168" s="2165"/>
      <c r="I168" s="2165"/>
      <c r="J168" s="2165"/>
      <c r="K168" s="2165"/>
      <c r="L168" s="2165"/>
      <c r="M168" s="2166"/>
      <c r="N168" s="2165"/>
      <c r="O168" s="2165"/>
      <c r="P168" s="2165"/>
      <c r="Q168" s="2165"/>
      <c r="R168" s="2165"/>
      <c r="S168" s="2165"/>
      <c r="T168" s="2165"/>
      <c r="U168" s="2165"/>
      <c r="V168" s="2165"/>
      <c r="W168" s="2165"/>
      <c r="X168" s="2165"/>
      <c r="Y168" s="2165"/>
      <c r="Z168" s="2165"/>
      <c r="AA168" s="2165"/>
      <c r="AB168" s="2165"/>
      <c r="AC168" s="2165"/>
      <c r="AD168" s="2165"/>
      <c r="AE168" s="2165"/>
      <c r="AF168" s="2165"/>
      <c r="AG168" s="2165"/>
      <c r="AH168" s="2165"/>
    </row>
    <row r="169" spans="1:34" ht="15">
      <c r="A169" s="2163" t="s">
        <v>72</v>
      </c>
      <c r="B169" s="2163" t="s">
        <v>73</v>
      </c>
      <c r="C169" s="2163">
        <v>1</v>
      </c>
      <c r="D169" s="2163">
        <v>2</v>
      </c>
      <c r="E169" s="2163">
        <v>3</v>
      </c>
      <c r="F169" s="2163">
        <v>4</v>
      </c>
      <c r="G169" s="2163">
        <v>5</v>
      </c>
      <c r="H169" s="2163">
        <v>6</v>
      </c>
      <c r="I169" s="2163">
        <v>7</v>
      </c>
      <c r="J169" s="2163">
        <v>8</v>
      </c>
      <c r="K169" s="2163">
        <v>9</v>
      </c>
      <c r="L169" s="2163">
        <v>10</v>
      </c>
      <c r="M169" s="2163">
        <v>11</v>
      </c>
      <c r="N169" s="2163">
        <v>12</v>
      </c>
      <c r="O169" s="2163">
        <v>13</v>
      </c>
      <c r="P169" s="2163">
        <v>14</v>
      </c>
      <c r="Q169" s="2163">
        <v>15</v>
      </c>
      <c r="R169" s="2163">
        <v>16</v>
      </c>
      <c r="S169" s="2163">
        <v>17</v>
      </c>
      <c r="T169" s="2163">
        <v>18</v>
      </c>
      <c r="U169" s="2163">
        <v>19</v>
      </c>
      <c r="V169" s="2163">
        <v>20</v>
      </c>
      <c r="W169" s="2163">
        <v>21</v>
      </c>
      <c r="X169" s="2163">
        <v>22</v>
      </c>
      <c r="Y169" s="2163">
        <v>23</v>
      </c>
      <c r="Z169" s="2163">
        <v>24</v>
      </c>
      <c r="AA169" s="2163">
        <v>25</v>
      </c>
      <c r="AB169" s="2163">
        <v>26</v>
      </c>
      <c r="AC169" s="2163">
        <v>27</v>
      </c>
      <c r="AD169" s="2163">
        <v>28</v>
      </c>
      <c r="AE169" s="2163">
        <v>29</v>
      </c>
      <c r="AF169" s="2163">
        <v>30</v>
      </c>
      <c r="AG169" s="2163">
        <v>31</v>
      </c>
      <c r="AH169" s="2164" t="s">
        <v>74</v>
      </c>
    </row>
    <row r="170" spans="1:34" ht="15">
      <c r="A170" s="2163" t="s">
        <v>75</v>
      </c>
      <c r="B170" s="3170">
        <f t="shared" ref="B170:B181" si="27">+AH170</f>
        <v>28.978000000000002</v>
      </c>
      <c r="C170" s="2159">
        <f>+'Fauna Acompañante'!EM21</f>
        <v>0</v>
      </c>
      <c r="D170" s="2159">
        <f>+'Fauna Acompañante'!EN21</f>
        <v>0</v>
      </c>
      <c r="E170" s="2159">
        <f>+'Fauna Acompañante'!EO21</f>
        <v>0</v>
      </c>
      <c r="F170" s="2159">
        <f>+'Fauna Acompañante'!EP21</f>
        <v>0</v>
      </c>
      <c r="G170" s="2159">
        <f>+'Fauna Acompañante'!EQ21</f>
        <v>0</v>
      </c>
      <c r="H170" s="2159">
        <f>+'Fauna Acompañante'!ER21</f>
        <v>0</v>
      </c>
      <c r="I170" s="2159">
        <f>+'Fauna Acompañante'!ES21</f>
        <v>0</v>
      </c>
      <c r="J170" s="2159">
        <f>+'Fauna Acompañante'!ET21</f>
        <v>0</v>
      </c>
      <c r="K170" s="2159">
        <f>+'Fauna Acompañante'!EU21</f>
        <v>0</v>
      </c>
      <c r="L170" s="2159">
        <f>+'Fauna Acompañante'!EV21</f>
        <v>0</v>
      </c>
      <c r="M170" s="2159">
        <f>+'Fauna Acompañante'!EW21</f>
        <v>0</v>
      </c>
      <c r="N170" s="2159">
        <f>+'Fauna Acompañante'!EX21</f>
        <v>0</v>
      </c>
      <c r="O170" s="2159">
        <f>+'Fauna Acompañante'!EY21</f>
        <v>0</v>
      </c>
      <c r="P170" s="2159">
        <f>+'Fauna Acompañante'!EZ21</f>
        <v>0</v>
      </c>
      <c r="Q170" s="2159">
        <f>+'Fauna Acompañante'!FA21</f>
        <v>0</v>
      </c>
      <c r="R170" s="2159">
        <f>+'Fauna Acompañante'!FB21</f>
        <v>0</v>
      </c>
      <c r="S170" s="2159">
        <f>+'Fauna Acompañante'!FC21</f>
        <v>0</v>
      </c>
      <c r="T170" s="2159">
        <f>+'Fauna Acompañante'!FD21</f>
        <v>0</v>
      </c>
      <c r="U170" s="2159">
        <f>+'Fauna Acompañante'!FE21</f>
        <v>0</v>
      </c>
      <c r="V170" s="2159">
        <f>+'Fauna Acompañante'!FF21</f>
        <v>0</v>
      </c>
      <c r="W170" s="2159">
        <f>+'Fauna Acompañante'!FG21</f>
        <v>0</v>
      </c>
      <c r="X170" s="2159">
        <f>+'Fauna Acompañante'!FH21</f>
        <v>0</v>
      </c>
      <c r="Y170" s="2159">
        <f>+'Fauna Acompañante'!FI21</f>
        <v>0</v>
      </c>
      <c r="Z170" s="2159">
        <f>+'Fauna Acompañante'!FJ21</f>
        <v>0</v>
      </c>
      <c r="AA170" s="2159">
        <f>+'Fauna Acompañante'!FK21</f>
        <v>0</v>
      </c>
      <c r="AB170" s="2159">
        <f>+'Fauna Acompañante'!FL21</f>
        <v>0</v>
      </c>
      <c r="AC170" s="2159">
        <f>+'Fauna Acompañante'!FM21</f>
        <v>0</v>
      </c>
      <c r="AD170" s="2159">
        <f>+'Fauna Acompañante'!FN21</f>
        <v>3.673</v>
      </c>
      <c r="AE170" s="2159">
        <f>+'Fauna Acompañante'!FO21</f>
        <v>25.305</v>
      </c>
      <c r="AF170" s="2159">
        <f>+'Fauna Acompañante'!FP21</f>
        <v>0</v>
      </c>
      <c r="AG170" s="2159">
        <f>+'Fauna Acompañante'!FQ21</f>
        <v>0</v>
      </c>
      <c r="AH170" s="2158">
        <f t="shared" ref="AH170:AH181" si="28">SUM(C170:AG170)</f>
        <v>28.978000000000002</v>
      </c>
    </row>
    <row r="171" spans="1:34" ht="15">
      <c r="A171" s="2163" t="s">
        <v>76</v>
      </c>
      <c r="B171" s="3170">
        <f t="shared" si="27"/>
        <v>13.713000000000001</v>
      </c>
      <c r="C171" s="2159">
        <f>+'Fauna Acompañante'!EM22</f>
        <v>0</v>
      </c>
      <c r="D171" s="2159">
        <f>+'Fauna Acompañante'!EN22</f>
        <v>0</v>
      </c>
      <c r="E171" s="2159">
        <f>+'Fauna Acompañante'!EO22</f>
        <v>0</v>
      </c>
      <c r="F171" s="2159">
        <f>+'Fauna Acompañante'!EP22</f>
        <v>0</v>
      </c>
      <c r="G171" s="2159">
        <f>+'Fauna Acompañante'!EQ22</f>
        <v>0</v>
      </c>
      <c r="H171" s="2159">
        <f>+'Fauna Acompañante'!ER22</f>
        <v>0</v>
      </c>
      <c r="I171" s="2159">
        <f>+'Fauna Acompañante'!ES22</f>
        <v>0</v>
      </c>
      <c r="J171" s="2159">
        <f>+'Fauna Acompañante'!ET22</f>
        <v>0</v>
      </c>
      <c r="K171" s="2159">
        <f>+'Fauna Acompañante'!EU22</f>
        <v>4.2649999999999997</v>
      </c>
      <c r="L171" s="2159">
        <f>+'Fauna Acompañante'!EV22</f>
        <v>0</v>
      </c>
      <c r="M171" s="2159">
        <f>+'Fauna Acompañante'!EW22</f>
        <v>0</v>
      </c>
      <c r="N171" s="2159">
        <f>+'Fauna Acompañante'!EX22</f>
        <v>3.7540000000000004</v>
      </c>
      <c r="O171" s="2159">
        <f>+'Fauna Acompañante'!EY22</f>
        <v>2.9260000000000002</v>
      </c>
      <c r="P171" s="2159">
        <f>+'Fauna Acompañante'!EZ22</f>
        <v>2.7679999999999998</v>
      </c>
      <c r="Q171" s="2159">
        <f>+'Fauna Acompañante'!FA22</f>
        <v>0</v>
      </c>
      <c r="R171" s="2159">
        <f>+'Fauna Acompañante'!FB22</f>
        <v>0</v>
      </c>
      <c r="S171" s="2159">
        <f>+'Fauna Acompañante'!FC22</f>
        <v>0</v>
      </c>
      <c r="T171" s="2159">
        <f>+'Fauna Acompañante'!FD22</f>
        <v>0</v>
      </c>
      <c r="U171" s="2159">
        <f>+'Fauna Acompañante'!FE22</f>
        <v>0</v>
      </c>
      <c r="V171" s="2159">
        <f>+'Fauna Acompañante'!FF22</f>
        <v>0</v>
      </c>
      <c r="W171" s="2159">
        <f>+'Fauna Acompañante'!FG22</f>
        <v>0</v>
      </c>
      <c r="X171" s="2159">
        <f>+'Fauna Acompañante'!FH22</f>
        <v>0</v>
      </c>
      <c r="Y171" s="2159">
        <f>+'Fauna Acompañante'!FI22</f>
        <v>0</v>
      </c>
      <c r="Z171" s="2159">
        <f>+'Fauna Acompañante'!FJ22</f>
        <v>0</v>
      </c>
      <c r="AA171" s="2159">
        <f>+'Fauna Acompañante'!FK22</f>
        <v>0</v>
      </c>
      <c r="AB171" s="2159">
        <f>+'Fauna Acompañante'!FL22</f>
        <v>0</v>
      </c>
      <c r="AC171" s="2159">
        <f>+'Fauna Acompañante'!FM22</f>
        <v>0</v>
      </c>
      <c r="AD171" s="2159">
        <f>+'Fauna Acompañante'!FN22</f>
        <v>0</v>
      </c>
      <c r="AE171" s="2159">
        <f>+'Fauna Acompañante'!FO22</f>
        <v>0</v>
      </c>
      <c r="AF171" s="2159">
        <f>+'Fauna Acompañante'!FP22</f>
        <v>0</v>
      </c>
      <c r="AG171" s="2159">
        <f>+'Fauna Acompañante'!FQ22</f>
        <v>0</v>
      </c>
      <c r="AH171" s="2158">
        <f>SUM(C171:AG171)</f>
        <v>13.713000000000001</v>
      </c>
    </row>
    <row r="172" spans="1:34" ht="15">
      <c r="A172" s="2163" t="s">
        <v>77</v>
      </c>
      <c r="B172" s="3170">
        <f t="shared" si="27"/>
        <v>25.757999999999999</v>
      </c>
      <c r="C172" s="2326">
        <f>+'Fauna Acompañante'!EM23</f>
        <v>1.978</v>
      </c>
      <c r="D172" s="2326">
        <f>+'Fauna Acompañante'!EN23</f>
        <v>0</v>
      </c>
      <c r="E172" s="2326">
        <f>+'Fauna Acompañante'!EO23</f>
        <v>0</v>
      </c>
      <c r="F172" s="2326">
        <f>+'Fauna Acompañante'!EP23</f>
        <v>0</v>
      </c>
      <c r="G172" s="2326">
        <f>+'Fauna Acompañante'!EQ23</f>
        <v>0</v>
      </c>
      <c r="H172" s="2326">
        <f>+'Fauna Acompañante'!ER23</f>
        <v>0.64100000000000001</v>
      </c>
      <c r="I172" s="2326">
        <f>+'Fauna Acompañante'!ES23</f>
        <v>0</v>
      </c>
      <c r="J172" s="2326">
        <f>+'Fauna Acompañante'!ET23</f>
        <v>0</v>
      </c>
      <c r="K172" s="2326">
        <f>+'Fauna Acompañante'!EU23</f>
        <v>0</v>
      </c>
      <c r="L172" s="2326">
        <f>+'Fauna Acompañante'!EV23</f>
        <v>0</v>
      </c>
      <c r="M172" s="2326">
        <f>+'Fauna Acompañante'!EW23</f>
        <v>0</v>
      </c>
      <c r="N172" s="2326">
        <f>+'Fauna Acompañante'!EX23</f>
        <v>1.8740000000000001</v>
      </c>
      <c r="O172" s="2326">
        <f>+'Fauna Acompañante'!EY23</f>
        <v>0</v>
      </c>
      <c r="P172" s="2326">
        <f>+'Fauna Acompañante'!EZ23</f>
        <v>0</v>
      </c>
      <c r="Q172" s="2326">
        <f>+'Fauna Acompañante'!FA23</f>
        <v>14.952</v>
      </c>
      <c r="R172" s="2326">
        <f>+'Fauna Acompañante'!FB23</f>
        <v>0</v>
      </c>
      <c r="S172" s="2326">
        <f>+'Fauna Acompañante'!FC23</f>
        <v>0</v>
      </c>
      <c r="T172" s="2326">
        <f>+'Fauna Acompañante'!FD23</f>
        <v>0</v>
      </c>
      <c r="U172" s="2326">
        <f>+'Fauna Acompañante'!FE23</f>
        <v>0</v>
      </c>
      <c r="V172" s="2326">
        <f>+'Fauna Acompañante'!FF23</f>
        <v>3.403</v>
      </c>
      <c r="W172" s="2326">
        <f>+'Fauna Acompañante'!FG23</f>
        <v>0</v>
      </c>
      <c r="X172" s="2326">
        <f>+'Fauna Acompañante'!FH23</f>
        <v>0</v>
      </c>
      <c r="Y172" s="2326">
        <f>+'Fauna Acompañante'!FI23</f>
        <v>2.91</v>
      </c>
      <c r="Z172" s="2326">
        <f>+'Fauna Acompañante'!FJ23</f>
        <v>0</v>
      </c>
      <c r="AA172" s="2326">
        <f>+'Fauna Acompañante'!FK23</f>
        <v>0</v>
      </c>
      <c r="AB172" s="2326">
        <f>+'Fauna Acompañante'!FL23</f>
        <v>0</v>
      </c>
      <c r="AC172" s="2326">
        <f>+'Fauna Acompañante'!FM23</f>
        <v>0</v>
      </c>
      <c r="AD172" s="2326">
        <f>+'Fauna Acompañante'!FN23</f>
        <v>0</v>
      </c>
      <c r="AE172" s="2326">
        <f>+'Fauna Acompañante'!FO23</f>
        <v>0</v>
      </c>
      <c r="AF172" s="2326">
        <f>+'Fauna Acompañante'!FP23</f>
        <v>0</v>
      </c>
      <c r="AG172" s="2326">
        <f>+'Fauna Acompañante'!FQ23</f>
        <v>0</v>
      </c>
      <c r="AH172" s="2158">
        <f t="shared" si="28"/>
        <v>25.757999999999999</v>
      </c>
    </row>
    <row r="173" spans="1:34" ht="15">
      <c r="A173" s="2163" t="s">
        <v>78</v>
      </c>
      <c r="B173" s="3170">
        <f t="shared" si="27"/>
        <v>0.23</v>
      </c>
      <c r="C173" s="2159">
        <f>+'Fauna Acompañante'!EM24</f>
        <v>0</v>
      </c>
      <c r="D173" s="2159">
        <f>+'Fauna Acompañante'!EN24</f>
        <v>0</v>
      </c>
      <c r="E173" s="2159">
        <f>+'Fauna Acompañante'!EO24</f>
        <v>0.23</v>
      </c>
      <c r="F173" s="2159">
        <f>+'Fauna Acompañante'!EP24</f>
        <v>0</v>
      </c>
      <c r="G173" s="2159">
        <f>+'Fauna Acompañante'!EQ24</f>
        <v>0</v>
      </c>
      <c r="H173" s="2159">
        <f>+'Fauna Acompañante'!ER24</f>
        <v>0</v>
      </c>
      <c r="I173" s="2159">
        <f>+'Fauna Acompañante'!ES24</f>
        <v>0</v>
      </c>
      <c r="J173" s="2159">
        <f>+'Fauna Acompañante'!ET24</f>
        <v>0</v>
      </c>
      <c r="K173" s="2159">
        <f>+'Fauna Acompañante'!EU24</f>
        <v>0</v>
      </c>
      <c r="L173" s="2159">
        <f>+'Fauna Acompañante'!EV24</f>
        <v>0</v>
      </c>
      <c r="M173" s="2159">
        <f>+'Fauna Acompañante'!EW24</f>
        <v>0</v>
      </c>
      <c r="N173" s="2159">
        <f>+'Fauna Acompañante'!EX24</f>
        <v>0</v>
      </c>
      <c r="O173" s="2159">
        <f>+'Fauna Acompañante'!EY24</f>
        <v>0</v>
      </c>
      <c r="P173" s="2159">
        <f>+'Fauna Acompañante'!EZ24</f>
        <v>0</v>
      </c>
      <c r="Q173" s="2159">
        <f>+'Fauna Acompañante'!FA24</f>
        <v>0</v>
      </c>
      <c r="R173" s="2159">
        <f>+'Fauna Acompañante'!FB24</f>
        <v>0</v>
      </c>
      <c r="S173" s="2159">
        <f>+'Fauna Acompañante'!FC24</f>
        <v>0</v>
      </c>
      <c r="T173" s="2159">
        <f>+'Fauna Acompañante'!FD24</f>
        <v>0</v>
      </c>
      <c r="U173" s="2159">
        <f>+'Fauna Acompañante'!FE24</f>
        <v>0</v>
      </c>
      <c r="V173" s="2159">
        <f>+'Fauna Acompañante'!FF24</f>
        <v>0</v>
      </c>
      <c r="W173" s="2159">
        <f>+'Fauna Acompañante'!FG24</f>
        <v>0</v>
      </c>
      <c r="X173" s="2159">
        <f>+'Fauna Acompañante'!FH24</f>
        <v>0</v>
      </c>
      <c r="Y173" s="2159">
        <f>+'Fauna Acompañante'!FI24</f>
        <v>0</v>
      </c>
      <c r="Z173" s="2159">
        <f>+'Fauna Acompañante'!FJ24</f>
        <v>0</v>
      </c>
      <c r="AA173" s="2159">
        <f>+'Fauna Acompañante'!FK24</f>
        <v>0</v>
      </c>
      <c r="AB173" s="2159">
        <f>+'Fauna Acompañante'!FL24</f>
        <v>0</v>
      </c>
      <c r="AC173" s="2159">
        <f>+'Fauna Acompañante'!FM24</f>
        <v>0</v>
      </c>
      <c r="AD173" s="2159">
        <f>+'Fauna Acompañante'!FN24</f>
        <v>0</v>
      </c>
      <c r="AE173" s="2159">
        <f>+'Fauna Acompañante'!FO24</f>
        <v>0</v>
      </c>
      <c r="AF173" s="2159">
        <f>+'Fauna Acompañante'!FP24</f>
        <v>0</v>
      </c>
      <c r="AG173" s="2159">
        <f>+'Fauna Acompañante'!FQ24</f>
        <v>0</v>
      </c>
      <c r="AH173" s="2158">
        <f t="shared" si="28"/>
        <v>0.23</v>
      </c>
    </row>
    <row r="174" spans="1:34" ht="15">
      <c r="A174" s="2163" t="s">
        <v>79</v>
      </c>
      <c r="B174" s="3170">
        <f t="shared" si="27"/>
        <v>3.7389999999999999</v>
      </c>
      <c r="C174" s="2159">
        <f>+'Fauna Acompañante'!EM25</f>
        <v>0</v>
      </c>
      <c r="D174" s="2159">
        <f>+'Fauna Acompañante'!EN25</f>
        <v>0</v>
      </c>
      <c r="E174" s="2159">
        <f>+'Fauna Acompañante'!EO25</f>
        <v>0</v>
      </c>
      <c r="F174" s="2159">
        <f>+'Fauna Acompañante'!EP25</f>
        <v>0</v>
      </c>
      <c r="G174" s="2159">
        <f>+'Fauna Acompañante'!EQ25</f>
        <v>0</v>
      </c>
      <c r="H174" s="2159">
        <f>+'Fauna Acompañante'!ER25</f>
        <v>0</v>
      </c>
      <c r="I174" s="2159">
        <f>+'Fauna Acompañante'!ES25</f>
        <v>0</v>
      </c>
      <c r="J174" s="2159">
        <f>+'Fauna Acompañante'!ET25</f>
        <v>0</v>
      </c>
      <c r="K174" s="2159">
        <f>+'Fauna Acompañante'!EU25</f>
        <v>0</v>
      </c>
      <c r="L174" s="2159">
        <f>+'Fauna Acompañante'!EV25</f>
        <v>0</v>
      </c>
      <c r="M174" s="2159">
        <f>+'Fauna Acompañante'!EW25</f>
        <v>0</v>
      </c>
      <c r="N174" s="2159">
        <f>+'Fauna Acompañante'!EX25</f>
        <v>0</v>
      </c>
      <c r="O174" s="2159">
        <f>+'Fauna Acompañante'!EY25</f>
        <v>0</v>
      </c>
      <c r="P174" s="2159">
        <f>+'Fauna Acompañante'!EZ25</f>
        <v>0</v>
      </c>
      <c r="Q174" s="2159">
        <f>+'Fauna Acompañante'!FA25</f>
        <v>0</v>
      </c>
      <c r="R174" s="2159">
        <f>+'Fauna Acompañante'!FB25</f>
        <v>0</v>
      </c>
      <c r="S174" s="2159">
        <f>+'Fauna Acompañante'!FC25</f>
        <v>3.7389999999999999</v>
      </c>
      <c r="T174" s="2159">
        <f>+'Fauna Acompañante'!FD25</f>
        <v>0</v>
      </c>
      <c r="U174" s="2159">
        <f>+'Fauna Acompañante'!FE25</f>
        <v>0</v>
      </c>
      <c r="V174" s="2159">
        <f>+'Fauna Acompañante'!FF25</f>
        <v>0</v>
      </c>
      <c r="W174" s="2159">
        <f>+'Fauna Acompañante'!FG25</f>
        <v>0</v>
      </c>
      <c r="X174" s="2159">
        <f>+'Fauna Acompañante'!FH25</f>
        <v>0</v>
      </c>
      <c r="Y174" s="2159">
        <f>+'Fauna Acompañante'!FI25</f>
        <v>0</v>
      </c>
      <c r="Z174" s="2159">
        <f>+'Fauna Acompañante'!FJ25</f>
        <v>0</v>
      </c>
      <c r="AA174" s="2159">
        <f>+'Fauna Acompañante'!FK25</f>
        <v>0</v>
      </c>
      <c r="AB174" s="2159">
        <f>+'Fauna Acompañante'!FL25</f>
        <v>0</v>
      </c>
      <c r="AC174" s="2159">
        <f>+'Fauna Acompañante'!FM25</f>
        <v>0</v>
      </c>
      <c r="AD174" s="2159">
        <f>+'Fauna Acompañante'!FN25</f>
        <v>0</v>
      </c>
      <c r="AE174" s="2159">
        <f>+'Fauna Acompañante'!FO25</f>
        <v>0</v>
      </c>
      <c r="AF174" s="2159">
        <f>+'Fauna Acompañante'!FP25</f>
        <v>0</v>
      </c>
      <c r="AG174" s="2159">
        <f>+'Fauna Acompañante'!FQ25</f>
        <v>0</v>
      </c>
      <c r="AH174" s="2158">
        <f t="shared" si="28"/>
        <v>3.7389999999999999</v>
      </c>
    </row>
    <row r="175" spans="1:34" ht="15">
      <c r="A175" s="2163" t="s">
        <v>80</v>
      </c>
      <c r="B175" s="3170">
        <f t="shared" si="27"/>
        <v>0</v>
      </c>
      <c r="C175" s="2159">
        <f>+'Fauna Acompañante'!EM26</f>
        <v>0</v>
      </c>
      <c r="D175" s="2159">
        <f>+'Fauna Acompañante'!EN26</f>
        <v>0</v>
      </c>
      <c r="E175" s="2159">
        <f>+'Fauna Acompañante'!EO26</f>
        <v>0</v>
      </c>
      <c r="F175" s="2159">
        <f>+'Fauna Acompañante'!EP26</f>
        <v>0</v>
      </c>
      <c r="G175" s="2159">
        <f>+'Fauna Acompañante'!EQ26</f>
        <v>0</v>
      </c>
      <c r="H175" s="2159">
        <f>+'Fauna Acompañante'!ER26</f>
        <v>0</v>
      </c>
      <c r="I175" s="2159">
        <f>+'Fauna Acompañante'!ES26</f>
        <v>0</v>
      </c>
      <c r="J175" s="2159">
        <f>+'Fauna Acompañante'!ET26</f>
        <v>0</v>
      </c>
      <c r="K175" s="2159">
        <f>+'Fauna Acompañante'!EU26</f>
        <v>0</v>
      </c>
      <c r="L175" s="2159">
        <f>+'Fauna Acompañante'!EV26</f>
        <v>0</v>
      </c>
      <c r="M175" s="2159">
        <f>+'Fauna Acompañante'!EW26</f>
        <v>0</v>
      </c>
      <c r="N175" s="2159">
        <f>+'Fauna Acompañante'!EX26</f>
        <v>0</v>
      </c>
      <c r="O175" s="2159">
        <f>+'Fauna Acompañante'!EY26</f>
        <v>0</v>
      </c>
      <c r="P175" s="2159">
        <f>+'Fauna Acompañante'!EZ26</f>
        <v>0</v>
      </c>
      <c r="Q175" s="2159">
        <f>+'Fauna Acompañante'!FA26</f>
        <v>0</v>
      </c>
      <c r="R175" s="2159">
        <f>+'Fauna Acompañante'!FB26</f>
        <v>0</v>
      </c>
      <c r="S175" s="2159">
        <f>+'Fauna Acompañante'!FC26</f>
        <v>0</v>
      </c>
      <c r="T175" s="2159">
        <f>+'Fauna Acompañante'!FD26</f>
        <v>0</v>
      </c>
      <c r="U175" s="2159">
        <f>+'Fauna Acompañante'!FE26</f>
        <v>0</v>
      </c>
      <c r="V175" s="2159">
        <f>+'Fauna Acompañante'!FF26</f>
        <v>0</v>
      </c>
      <c r="W175" s="2159">
        <f>+'Fauna Acompañante'!FG26</f>
        <v>0</v>
      </c>
      <c r="X175" s="2159">
        <f>+'Fauna Acompañante'!FH26</f>
        <v>0</v>
      </c>
      <c r="Y175" s="2159">
        <f>+'Fauna Acompañante'!FI26</f>
        <v>0</v>
      </c>
      <c r="Z175" s="2159">
        <f>+'Fauna Acompañante'!FJ26</f>
        <v>0</v>
      </c>
      <c r="AA175" s="2159">
        <f>+'Fauna Acompañante'!FK26</f>
        <v>0</v>
      </c>
      <c r="AB175" s="2159">
        <f>+'Fauna Acompañante'!FL26</f>
        <v>0</v>
      </c>
      <c r="AC175" s="2159">
        <f>+'Fauna Acompañante'!FM26</f>
        <v>0</v>
      </c>
      <c r="AD175" s="2159">
        <f>+'Fauna Acompañante'!FN26</f>
        <v>0</v>
      </c>
      <c r="AE175" s="2159">
        <f>+'Fauna Acompañante'!FO26</f>
        <v>0</v>
      </c>
      <c r="AF175" s="2159">
        <f>+'Fauna Acompañante'!FP26</f>
        <v>0</v>
      </c>
      <c r="AG175" s="2159">
        <f>+'Fauna Acompañante'!FQ26</f>
        <v>0</v>
      </c>
      <c r="AH175" s="2158">
        <f t="shared" si="28"/>
        <v>0</v>
      </c>
    </row>
    <row r="176" spans="1:34" ht="15">
      <c r="A176" s="2163" t="s">
        <v>81</v>
      </c>
      <c r="B176" s="3170">
        <f t="shared" si="27"/>
        <v>0</v>
      </c>
      <c r="C176" s="2159">
        <f>+'Fauna Acompañante'!EM27</f>
        <v>0</v>
      </c>
      <c r="D176" s="2159">
        <f>+'Fauna Acompañante'!EN27</f>
        <v>0</v>
      </c>
      <c r="E176" s="2159">
        <f>+'Fauna Acompañante'!EO27</f>
        <v>0</v>
      </c>
      <c r="F176" s="2159">
        <f>+'Fauna Acompañante'!EP27</f>
        <v>0</v>
      </c>
      <c r="G176" s="2159">
        <f>+'Fauna Acompañante'!EQ27</f>
        <v>0</v>
      </c>
      <c r="H176" s="2159">
        <f>+'Fauna Acompañante'!ER27</f>
        <v>0</v>
      </c>
      <c r="I176" s="2159">
        <f>+'Fauna Acompañante'!ES27</f>
        <v>0</v>
      </c>
      <c r="J176" s="2159">
        <f>+'Fauna Acompañante'!ET27</f>
        <v>0</v>
      </c>
      <c r="K176" s="2159">
        <f>+'Fauna Acompañante'!EU27</f>
        <v>0</v>
      </c>
      <c r="L176" s="2159">
        <f>+'Fauna Acompañante'!EV27</f>
        <v>0</v>
      </c>
      <c r="M176" s="2159">
        <f>+'Fauna Acompañante'!EW27</f>
        <v>0</v>
      </c>
      <c r="N176" s="2159">
        <f>+'Fauna Acompañante'!EX27</f>
        <v>0</v>
      </c>
      <c r="O176" s="2159">
        <f>+'Fauna Acompañante'!EY27</f>
        <v>0</v>
      </c>
      <c r="P176" s="2159">
        <f>+'Fauna Acompañante'!EZ27</f>
        <v>0</v>
      </c>
      <c r="Q176" s="2159">
        <f>+'Fauna Acompañante'!FA27</f>
        <v>0</v>
      </c>
      <c r="R176" s="2159">
        <f>+'Fauna Acompañante'!FB27</f>
        <v>0</v>
      </c>
      <c r="S176" s="2159">
        <f>+'Fauna Acompañante'!FC27</f>
        <v>0</v>
      </c>
      <c r="T176" s="2159">
        <f>+'Fauna Acompañante'!FD27</f>
        <v>0</v>
      </c>
      <c r="U176" s="2159">
        <f>+'Fauna Acompañante'!FE27</f>
        <v>0</v>
      </c>
      <c r="V176" s="2159">
        <f>+'Fauna Acompañante'!FF27</f>
        <v>0</v>
      </c>
      <c r="W176" s="2159">
        <f>+'Fauna Acompañante'!FG27</f>
        <v>0</v>
      </c>
      <c r="X176" s="2159">
        <f>+'Fauna Acompañante'!FH27</f>
        <v>0</v>
      </c>
      <c r="Y176" s="2159">
        <f>+'Fauna Acompañante'!FI27</f>
        <v>0</v>
      </c>
      <c r="Z176" s="2159">
        <f>+'Fauna Acompañante'!FJ27</f>
        <v>0</v>
      </c>
      <c r="AA176" s="2159">
        <f>+'Fauna Acompañante'!FK27</f>
        <v>0</v>
      </c>
      <c r="AB176" s="2159">
        <f>+'Fauna Acompañante'!FL27</f>
        <v>0</v>
      </c>
      <c r="AC176" s="2159">
        <f>+'Fauna Acompañante'!FM27</f>
        <v>0</v>
      </c>
      <c r="AD176" s="2159">
        <f>+'Fauna Acompañante'!FN27</f>
        <v>0</v>
      </c>
      <c r="AE176" s="2159">
        <f>+'Fauna Acompañante'!FO27</f>
        <v>0</v>
      </c>
      <c r="AF176" s="2159">
        <f>+'Fauna Acompañante'!FP27</f>
        <v>0</v>
      </c>
      <c r="AG176" s="2159">
        <f>+'Fauna Acompañante'!FQ27</f>
        <v>0</v>
      </c>
      <c r="AH176" s="2158">
        <f t="shared" si="28"/>
        <v>0</v>
      </c>
    </row>
    <row r="177" spans="1:34" ht="15">
      <c r="A177" s="2163" t="s">
        <v>82</v>
      </c>
      <c r="B177" s="3170">
        <f t="shared" si="27"/>
        <v>0</v>
      </c>
      <c r="C177" s="2159">
        <f>+'Fauna Acompañante'!EM28</f>
        <v>0</v>
      </c>
      <c r="D177" s="2159">
        <f>+'Fauna Acompañante'!EN28</f>
        <v>0</v>
      </c>
      <c r="E177" s="2159">
        <f>+'Fauna Acompañante'!EO28</f>
        <v>0</v>
      </c>
      <c r="F177" s="2159">
        <f>+'Fauna Acompañante'!EP28</f>
        <v>0</v>
      </c>
      <c r="G177" s="2159">
        <f>+'Fauna Acompañante'!EQ28</f>
        <v>0</v>
      </c>
      <c r="H177" s="2159">
        <f>+'Fauna Acompañante'!ER28</f>
        <v>0</v>
      </c>
      <c r="I177" s="2159">
        <f>+'Fauna Acompañante'!ES28</f>
        <v>0</v>
      </c>
      <c r="J177" s="2159">
        <f>+'Fauna Acompañante'!ET28</f>
        <v>0</v>
      </c>
      <c r="K177" s="2159">
        <f>+'Fauna Acompañante'!EU28</f>
        <v>0</v>
      </c>
      <c r="L177" s="2159">
        <f>+'Fauna Acompañante'!EV28</f>
        <v>0</v>
      </c>
      <c r="M177" s="2159">
        <f>+'Fauna Acompañante'!EW28</f>
        <v>0</v>
      </c>
      <c r="N177" s="2159">
        <f>+'Fauna Acompañante'!EX28</f>
        <v>0</v>
      </c>
      <c r="O177" s="2159">
        <f>+'Fauna Acompañante'!EY28</f>
        <v>0</v>
      </c>
      <c r="P177" s="2159">
        <f>+'Fauna Acompañante'!EZ28</f>
        <v>0</v>
      </c>
      <c r="Q177" s="2159">
        <f>+'Fauna Acompañante'!FA28</f>
        <v>0</v>
      </c>
      <c r="R177" s="2159">
        <f>+'Fauna Acompañante'!FB28</f>
        <v>0</v>
      </c>
      <c r="S177" s="2159">
        <f>+'Fauna Acompañante'!FC28</f>
        <v>0</v>
      </c>
      <c r="T177" s="2159">
        <f>+'Fauna Acompañante'!FD28</f>
        <v>0</v>
      </c>
      <c r="U177" s="2159">
        <f>+'Fauna Acompañante'!FE28</f>
        <v>0</v>
      </c>
      <c r="V177" s="2159">
        <f>+'Fauna Acompañante'!FF28</f>
        <v>0</v>
      </c>
      <c r="W177" s="2159">
        <f>+'Fauna Acompañante'!FG28</f>
        <v>0</v>
      </c>
      <c r="X177" s="2159">
        <f>+'Fauna Acompañante'!FH28</f>
        <v>0</v>
      </c>
      <c r="Y177" s="2159">
        <f>+'Fauna Acompañante'!FI28</f>
        <v>0</v>
      </c>
      <c r="Z177" s="2159">
        <f>+'Fauna Acompañante'!FJ28</f>
        <v>0</v>
      </c>
      <c r="AA177" s="2159">
        <f>+'Fauna Acompañante'!FK28</f>
        <v>0</v>
      </c>
      <c r="AB177" s="2159">
        <f>+'Fauna Acompañante'!FL28</f>
        <v>0</v>
      </c>
      <c r="AC177" s="2159">
        <f>+'Fauna Acompañante'!FM28</f>
        <v>0</v>
      </c>
      <c r="AD177" s="2159">
        <f>+'Fauna Acompañante'!FN28</f>
        <v>0</v>
      </c>
      <c r="AE177" s="2159">
        <f>+'Fauna Acompañante'!FO28</f>
        <v>0</v>
      </c>
      <c r="AF177" s="2159">
        <f>+'Fauna Acompañante'!FP28</f>
        <v>0</v>
      </c>
      <c r="AG177" s="2159">
        <f>+'Fauna Acompañante'!FQ28</f>
        <v>0</v>
      </c>
      <c r="AH177" s="2158">
        <f t="shared" si="28"/>
        <v>0</v>
      </c>
    </row>
    <row r="178" spans="1:34" ht="15">
      <c r="A178" s="2163" t="s">
        <v>83</v>
      </c>
      <c r="B178" s="3170">
        <f t="shared" si="27"/>
        <v>0</v>
      </c>
      <c r="C178" s="2159">
        <f>+'Fauna Acompañante'!EM29</f>
        <v>0</v>
      </c>
      <c r="D178" s="2159">
        <f>+'Fauna Acompañante'!EN29</f>
        <v>0</v>
      </c>
      <c r="E178" s="2159">
        <f>+'Fauna Acompañante'!EO29</f>
        <v>0</v>
      </c>
      <c r="F178" s="2159">
        <f>+'Fauna Acompañante'!EP29</f>
        <v>0</v>
      </c>
      <c r="G178" s="2159">
        <f>+'Fauna Acompañante'!EQ29</f>
        <v>0</v>
      </c>
      <c r="H178" s="2159">
        <f>+'Fauna Acompañante'!ER29</f>
        <v>0</v>
      </c>
      <c r="I178" s="2159">
        <f>+'Fauna Acompañante'!ES29</f>
        <v>0</v>
      </c>
      <c r="J178" s="2159">
        <f>+'Fauna Acompañante'!ET29</f>
        <v>0</v>
      </c>
      <c r="K178" s="2159">
        <f>+'Fauna Acompañante'!EU29</f>
        <v>0</v>
      </c>
      <c r="L178" s="2159">
        <f>+'Fauna Acompañante'!EV29</f>
        <v>0</v>
      </c>
      <c r="M178" s="2159">
        <f>+'Fauna Acompañante'!EW29</f>
        <v>0</v>
      </c>
      <c r="N178" s="2159">
        <f>+'Fauna Acompañante'!EX29</f>
        <v>0</v>
      </c>
      <c r="O178" s="2159">
        <f>+'Fauna Acompañante'!EY29</f>
        <v>0</v>
      </c>
      <c r="P178" s="2159">
        <f>+'Fauna Acompañante'!EZ29</f>
        <v>0</v>
      </c>
      <c r="Q178" s="2159">
        <f>+'Fauna Acompañante'!FA29</f>
        <v>0</v>
      </c>
      <c r="R178" s="2159">
        <f>+'Fauna Acompañante'!FB29</f>
        <v>0</v>
      </c>
      <c r="S178" s="2159">
        <f>+'Fauna Acompañante'!FC29</f>
        <v>0</v>
      </c>
      <c r="T178" s="2159">
        <f>+'Fauna Acompañante'!FD29</f>
        <v>0</v>
      </c>
      <c r="U178" s="2159">
        <f>+'Fauna Acompañante'!FE29</f>
        <v>0</v>
      </c>
      <c r="V178" s="2159">
        <f>+'Fauna Acompañante'!FF29</f>
        <v>0</v>
      </c>
      <c r="W178" s="2159">
        <f>+'Fauna Acompañante'!FG29</f>
        <v>0</v>
      </c>
      <c r="X178" s="2159">
        <f>+'Fauna Acompañante'!FH29</f>
        <v>0</v>
      </c>
      <c r="Y178" s="2159">
        <f>+'Fauna Acompañante'!FI29</f>
        <v>0</v>
      </c>
      <c r="Z178" s="2159">
        <f>+'Fauna Acompañante'!FJ29</f>
        <v>0</v>
      </c>
      <c r="AA178" s="2159">
        <f>+'Fauna Acompañante'!FK29</f>
        <v>0</v>
      </c>
      <c r="AB178" s="2159">
        <f>+'Fauna Acompañante'!FL29</f>
        <v>0</v>
      </c>
      <c r="AC178" s="2159">
        <f>+'Fauna Acompañante'!FM29</f>
        <v>0</v>
      </c>
      <c r="AD178" s="2159">
        <f>+'Fauna Acompañante'!FN29</f>
        <v>0</v>
      </c>
      <c r="AE178" s="2159">
        <f>+'Fauna Acompañante'!FO29</f>
        <v>0</v>
      </c>
      <c r="AF178" s="2159">
        <f>+'Fauna Acompañante'!FP29</f>
        <v>0</v>
      </c>
      <c r="AG178" s="2159">
        <f>+'Fauna Acompañante'!FQ29</f>
        <v>0</v>
      </c>
      <c r="AH178" s="2158">
        <f t="shared" si="28"/>
        <v>0</v>
      </c>
    </row>
    <row r="179" spans="1:34" ht="15">
      <c r="A179" s="2163" t="s">
        <v>84</v>
      </c>
      <c r="B179" s="3170">
        <f t="shared" si="27"/>
        <v>0</v>
      </c>
      <c r="C179" s="2159">
        <f>+'Fauna Acompañante'!EM30</f>
        <v>0</v>
      </c>
      <c r="D179" s="2159">
        <f>+'Fauna Acompañante'!EN30</f>
        <v>0</v>
      </c>
      <c r="E179" s="2159">
        <f>+'Fauna Acompañante'!EO30</f>
        <v>0</v>
      </c>
      <c r="F179" s="2159">
        <f>+'Fauna Acompañante'!EP30</f>
        <v>0</v>
      </c>
      <c r="G179" s="2159">
        <f>+'Fauna Acompañante'!EQ30</f>
        <v>0</v>
      </c>
      <c r="H179" s="2159">
        <f>+'Fauna Acompañante'!ER30</f>
        <v>0</v>
      </c>
      <c r="I179" s="2159">
        <f>+'Fauna Acompañante'!ES30</f>
        <v>0</v>
      </c>
      <c r="J179" s="2159">
        <f>+'Fauna Acompañante'!ET30</f>
        <v>0</v>
      </c>
      <c r="K179" s="2159">
        <f>+'Fauna Acompañante'!EU30</f>
        <v>0</v>
      </c>
      <c r="L179" s="2159">
        <f>+'Fauna Acompañante'!EV30</f>
        <v>0</v>
      </c>
      <c r="M179" s="2159">
        <f>+'Fauna Acompañante'!EW30</f>
        <v>0</v>
      </c>
      <c r="N179" s="2159">
        <f>+'Fauna Acompañante'!EX30</f>
        <v>0</v>
      </c>
      <c r="O179" s="2159">
        <f>+'Fauna Acompañante'!EY30</f>
        <v>0</v>
      </c>
      <c r="P179" s="2159">
        <f>+'Fauna Acompañante'!EZ30</f>
        <v>0</v>
      </c>
      <c r="Q179" s="2159">
        <f>+'Fauna Acompañante'!FA30</f>
        <v>0</v>
      </c>
      <c r="R179" s="2159">
        <f>+'Fauna Acompañante'!FB30</f>
        <v>0</v>
      </c>
      <c r="S179" s="2159">
        <f>+'Fauna Acompañante'!FC30</f>
        <v>0</v>
      </c>
      <c r="T179" s="2159">
        <f>+'Fauna Acompañante'!FD30</f>
        <v>0</v>
      </c>
      <c r="U179" s="2159">
        <f>+'Fauna Acompañante'!FE30</f>
        <v>0</v>
      </c>
      <c r="V179" s="2159">
        <f>+'Fauna Acompañante'!FF30</f>
        <v>0</v>
      </c>
      <c r="W179" s="2159">
        <f>+'Fauna Acompañante'!FG30</f>
        <v>0</v>
      </c>
      <c r="X179" s="2159">
        <f>+'Fauna Acompañante'!FH30</f>
        <v>0</v>
      </c>
      <c r="Y179" s="2159">
        <f>+'Fauna Acompañante'!FI30</f>
        <v>0</v>
      </c>
      <c r="Z179" s="2159">
        <f>+'Fauna Acompañante'!FJ30</f>
        <v>0</v>
      </c>
      <c r="AA179" s="2159">
        <f>+'Fauna Acompañante'!FK30</f>
        <v>0</v>
      </c>
      <c r="AB179" s="2159">
        <f>+'Fauna Acompañante'!FL30</f>
        <v>0</v>
      </c>
      <c r="AC179" s="2159">
        <f>+'Fauna Acompañante'!FM30</f>
        <v>0</v>
      </c>
      <c r="AD179" s="2159">
        <f>+'Fauna Acompañante'!FN30</f>
        <v>0</v>
      </c>
      <c r="AE179" s="2159">
        <f>+'Fauna Acompañante'!FO30</f>
        <v>0</v>
      </c>
      <c r="AF179" s="2159">
        <f>+'Fauna Acompañante'!FP30</f>
        <v>0</v>
      </c>
      <c r="AG179" s="2159">
        <f>+'Fauna Acompañante'!FQ30</f>
        <v>0</v>
      </c>
      <c r="AH179" s="2158">
        <f t="shared" si="28"/>
        <v>0</v>
      </c>
    </row>
    <row r="180" spans="1:34" ht="15">
      <c r="A180" s="2163" t="s">
        <v>85</v>
      </c>
      <c r="B180" s="3170">
        <f t="shared" si="27"/>
        <v>0</v>
      </c>
      <c r="C180" s="2159">
        <f>+'Fauna Acompañante'!EM31</f>
        <v>0</v>
      </c>
      <c r="D180" s="2159">
        <f>+'Fauna Acompañante'!EN31</f>
        <v>0</v>
      </c>
      <c r="E180" s="2159">
        <f>+'Fauna Acompañante'!EO31</f>
        <v>0</v>
      </c>
      <c r="F180" s="2159">
        <f>+'Fauna Acompañante'!EP31</f>
        <v>0</v>
      </c>
      <c r="G180" s="2159">
        <f>+'Fauna Acompañante'!EQ31</f>
        <v>0</v>
      </c>
      <c r="H180" s="2159">
        <f>+'Fauna Acompañante'!ER31</f>
        <v>0</v>
      </c>
      <c r="I180" s="2159">
        <f>+'Fauna Acompañante'!ES31</f>
        <v>0</v>
      </c>
      <c r="J180" s="2159">
        <f>+'Fauna Acompañante'!ET31</f>
        <v>0</v>
      </c>
      <c r="K180" s="2159">
        <f>+'Fauna Acompañante'!EU31</f>
        <v>0</v>
      </c>
      <c r="L180" s="2159">
        <f>+'Fauna Acompañante'!EV31</f>
        <v>0</v>
      </c>
      <c r="M180" s="2159">
        <f>+'Fauna Acompañante'!EW31</f>
        <v>0</v>
      </c>
      <c r="N180" s="2159">
        <f>+'Fauna Acompañante'!EX31</f>
        <v>0</v>
      </c>
      <c r="O180" s="2159">
        <f>+'Fauna Acompañante'!EY31</f>
        <v>0</v>
      </c>
      <c r="P180" s="2159">
        <f>+'Fauna Acompañante'!EZ31</f>
        <v>0</v>
      </c>
      <c r="Q180" s="2159">
        <f>+'Fauna Acompañante'!FA31</f>
        <v>0</v>
      </c>
      <c r="R180" s="2159">
        <f>+'Fauna Acompañante'!FB31</f>
        <v>0</v>
      </c>
      <c r="S180" s="2159">
        <f>+'Fauna Acompañante'!FC31</f>
        <v>0</v>
      </c>
      <c r="T180" s="2159">
        <f>+'Fauna Acompañante'!FD31</f>
        <v>0</v>
      </c>
      <c r="U180" s="2159">
        <f>+'Fauna Acompañante'!FE31</f>
        <v>0</v>
      </c>
      <c r="V180" s="2159">
        <f>+'Fauna Acompañante'!FF31</f>
        <v>0</v>
      </c>
      <c r="W180" s="2159">
        <f>+'Fauna Acompañante'!FG31</f>
        <v>0</v>
      </c>
      <c r="X180" s="2159">
        <f>+'Fauna Acompañante'!FH31</f>
        <v>0</v>
      </c>
      <c r="Y180" s="2159">
        <f>+'Fauna Acompañante'!FI31</f>
        <v>0</v>
      </c>
      <c r="Z180" s="2159">
        <f>+'Fauna Acompañante'!FJ31</f>
        <v>0</v>
      </c>
      <c r="AA180" s="2159">
        <f>+'Fauna Acompañante'!FK31</f>
        <v>0</v>
      </c>
      <c r="AB180" s="2159">
        <f>+'Fauna Acompañante'!FL31</f>
        <v>0</v>
      </c>
      <c r="AC180" s="2159">
        <f>+'Fauna Acompañante'!FM31</f>
        <v>0</v>
      </c>
      <c r="AD180" s="2159">
        <f>+'Fauna Acompañante'!FN31</f>
        <v>0</v>
      </c>
      <c r="AE180" s="2159">
        <f>+'Fauna Acompañante'!FO31</f>
        <v>0</v>
      </c>
      <c r="AF180" s="2159">
        <f>+'Fauna Acompañante'!FP31</f>
        <v>0</v>
      </c>
      <c r="AG180" s="2159">
        <f>+'Fauna Acompañante'!FQ31</f>
        <v>0</v>
      </c>
      <c r="AH180" s="2158">
        <f t="shared" si="28"/>
        <v>0</v>
      </c>
    </row>
    <row r="181" spans="1:34" ht="15">
      <c r="A181" s="2163" t="s">
        <v>86</v>
      </c>
      <c r="B181" s="3170">
        <f t="shared" si="27"/>
        <v>0</v>
      </c>
      <c r="C181" s="2159">
        <f>+'Fauna Acompañante'!EM32</f>
        <v>0</v>
      </c>
      <c r="D181" s="2159">
        <f>+'Fauna Acompañante'!EN32</f>
        <v>0</v>
      </c>
      <c r="E181" s="2159">
        <f>+'Fauna Acompañante'!EO32</f>
        <v>0</v>
      </c>
      <c r="F181" s="2159">
        <f>+'Fauna Acompañante'!EP32</f>
        <v>0</v>
      </c>
      <c r="G181" s="2159">
        <f>+'Fauna Acompañante'!EQ32</f>
        <v>0</v>
      </c>
      <c r="H181" s="2159">
        <f>+'Fauna Acompañante'!ER32</f>
        <v>0</v>
      </c>
      <c r="I181" s="2159">
        <f>+'Fauna Acompañante'!ES32</f>
        <v>0</v>
      </c>
      <c r="J181" s="2159">
        <f>+'Fauna Acompañante'!ET32</f>
        <v>0</v>
      </c>
      <c r="K181" s="2159">
        <f>+'Fauna Acompañante'!EU32</f>
        <v>0</v>
      </c>
      <c r="L181" s="2159">
        <f>+'Fauna Acompañante'!EV32</f>
        <v>0</v>
      </c>
      <c r="M181" s="2159">
        <f>+'Fauna Acompañante'!EW32</f>
        <v>0</v>
      </c>
      <c r="N181" s="2159">
        <f>+'Fauna Acompañante'!EX32</f>
        <v>0</v>
      </c>
      <c r="O181" s="2159">
        <f>+'Fauna Acompañante'!EY32</f>
        <v>0</v>
      </c>
      <c r="P181" s="2159">
        <f>+'Fauna Acompañante'!EZ32</f>
        <v>0</v>
      </c>
      <c r="Q181" s="2159">
        <f>+'Fauna Acompañante'!FA32</f>
        <v>0</v>
      </c>
      <c r="R181" s="2159">
        <f>+'Fauna Acompañante'!FB32</f>
        <v>0</v>
      </c>
      <c r="S181" s="2159">
        <f>+'Fauna Acompañante'!FC32</f>
        <v>0</v>
      </c>
      <c r="T181" s="2159">
        <f>+'Fauna Acompañante'!FD32</f>
        <v>0</v>
      </c>
      <c r="U181" s="2159">
        <f>+'Fauna Acompañante'!FE32</f>
        <v>0</v>
      </c>
      <c r="V181" s="2159">
        <f>+'Fauna Acompañante'!FF32</f>
        <v>0</v>
      </c>
      <c r="W181" s="2159">
        <f>+'Fauna Acompañante'!FG32</f>
        <v>0</v>
      </c>
      <c r="X181" s="2159">
        <f>+'Fauna Acompañante'!FH32</f>
        <v>0</v>
      </c>
      <c r="Y181" s="2159">
        <f>+'Fauna Acompañante'!FI32</f>
        <v>0</v>
      </c>
      <c r="Z181" s="2159">
        <f>+'Fauna Acompañante'!FJ32</f>
        <v>0</v>
      </c>
      <c r="AA181" s="2159">
        <f>+'Fauna Acompañante'!FK32</f>
        <v>0</v>
      </c>
      <c r="AB181" s="2159">
        <f>+'Fauna Acompañante'!FL32</f>
        <v>0</v>
      </c>
      <c r="AC181" s="2159">
        <f>+'Fauna Acompañante'!FM32</f>
        <v>0</v>
      </c>
      <c r="AD181" s="2159">
        <f>+'Fauna Acompañante'!FN32</f>
        <v>0</v>
      </c>
      <c r="AE181" s="2159">
        <f>+'Fauna Acompañante'!FO32</f>
        <v>0</v>
      </c>
      <c r="AF181" s="2159">
        <f>+'Fauna Acompañante'!FP32</f>
        <v>0</v>
      </c>
      <c r="AG181" s="2159">
        <f>+'Fauna Acompañante'!FQ32</f>
        <v>0</v>
      </c>
      <c r="AH181" s="2158">
        <f t="shared" si="28"/>
        <v>0</v>
      </c>
    </row>
    <row r="182" spans="1:34" ht="15">
      <c r="A182" s="2161" t="s">
        <v>74</v>
      </c>
      <c r="B182" s="2160">
        <f>SUM(B170:B181)</f>
        <v>72.418000000000006</v>
      </c>
      <c r="C182" s="2159">
        <f t="shared" ref="C182:AH182" si="29">SUM(C170:C181)</f>
        <v>1.978</v>
      </c>
      <c r="D182" s="2159">
        <f t="shared" si="29"/>
        <v>0</v>
      </c>
      <c r="E182" s="2159">
        <f t="shared" si="29"/>
        <v>0.23</v>
      </c>
      <c r="F182" s="2159">
        <f t="shared" si="29"/>
        <v>0</v>
      </c>
      <c r="G182" s="2159">
        <f t="shared" si="29"/>
        <v>0</v>
      </c>
      <c r="H182" s="2159">
        <f t="shared" si="29"/>
        <v>0.64100000000000001</v>
      </c>
      <c r="I182" s="2159">
        <f t="shared" si="29"/>
        <v>0</v>
      </c>
      <c r="J182" s="2159">
        <f t="shared" si="29"/>
        <v>0</v>
      </c>
      <c r="K182" s="2159">
        <f t="shared" si="29"/>
        <v>4.2649999999999997</v>
      </c>
      <c r="L182" s="2159">
        <f t="shared" si="29"/>
        <v>0</v>
      </c>
      <c r="M182" s="2159">
        <f t="shared" si="29"/>
        <v>0</v>
      </c>
      <c r="N182" s="2159">
        <f t="shared" si="29"/>
        <v>5.6280000000000001</v>
      </c>
      <c r="O182" s="2159">
        <f t="shared" si="29"/>
        <v>2.9260000000000002</v>
      </c>
      <c r="P182" s="2159">
        <f t="shared" si="29"/>
        <v>2.7679999999999998</v>
      </c>
      <c r="Q182" s="2159">
        <f t="shared" si="29"/>
        <v>14.952</v>
      </c>
      <c r="R182" s="2159">
        <f t="shared" si="29"/>
        <v>0</v>
      </c>
      <c r="S182" s="2159">
        <f t="shared" si="29"/>
        <v>3.7389999999999999</v>
      </c>
      <c r="T182" s="2159">
        <f t="shared" si="29"/>
        <v>0</v>
      </c>
      <c r="U182" s="2159">
        <f t="shared" si="29"/>
        <v>0</v>
      </c>
      <c r="V182" s="2159">
        <f t="shared" si="29"/>
        <v>3.403</v>
      </c>
      <c r="W182" s="2159">
        <f t="shared" si="29"/>
        <v>0</v>
      </c>
      <c r="X182" s="2159">
        <f t="shared" si="29"/>
        <v>0</v>
      </c>
      <c r="Y182" s="2159">
        <f t="shared" si="29"/>
        <v>2.91</v>
      </c>
      <c r="Z182" s="2159">
        <f t="shared" si="29"/>
        <v>0</v>
      </c>
      <c r="AA182" s="2159">
        <f t="shared" si="29"/>
        <v>0</v>
      </c>
      <c r="AB182" s="2159">
        <f t="shared" si="29"/>
        <v>0</v>
      </c>
      <c r="AC182" s="2159">
        <f t="shared" si="29"/>
        <v>0</v>
      </c>
      <c r="AD182" s="2159">
        <f t="shared" si="29"/>
        <v>3.673</v>
      </c>
      <c r="AE182" s="2159">
        <f t="shared" si="29"/>
        <v>25.305</v>
      </c>
      <c r="AF182" s="2159">
        <f t="shared" si="29"/>
        <v>0</v>
      </c>
      <c r="AG182" s="2159">
        <f t="shared" si="29"/>
        <v>0</v>
      </c>
      <c r="AH182" s="2158">
        <f t="shared" si="29"/>
        <v>72.418000000000006</v>
      </c>
    </row>
  </sheetData>
  <mergeCells count="17">
    <mergeCell ref="A168:C168"/>
    <mergeCell ref="A126:T126"/>
    <mergeCell ref="A129:C129"/>
    <mergeCell ref="A145:T145"/>
    <mergeCell ref="A148:C148"/>
    <mergeCell ref="A1:T1"/>
    <mergeCell ref="A20:T20"/>
    <mergeCell ref="A88:T88"/>
    <mergeCell ref="A107:T107"/>
    <mergeCell ref="A165:T165"/>
    <mergeCell ref="A4:C4"/>
    <mergeCell ref="A23:C23"/>
    <mergeCell ref="A91:C91"/>
    <mergeCell ref="A110:C110"/>
    <mergeCell ref="A39:C39"/>
    <mergeCell ref="A55:C55"/>
    <mergeCell ref="A71:C71"/>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sheetPr>
    <tabColor theme="7" tint="0.39997558519241921"/>
  </sheetPr>
  <dimension ref="A1:GW257"/>
  <sheetViews>
    <sheetView topLeftCell="EL4" workbookViewId="0">
      <selection activeCell="FX24" sqref="FX24"/>
    </sheetView>
  </sheetViews>
  <sheetFormatPr baseColWidth="10" defaultRowHeight="12.75"/>
  <cols>
    <col min="1" max="1" width="11.42578125" style="2120"/>
    <col min="2" max="2" width="13.28515625" style="2120" customWidth="1"/>
    <col min="3" max="3" width="7.28515625" style="2120" bestFit="1" customWidth="1"/>
    <col min="4" max="4" width="6.5703125" style="2120" bestFit="1" customWidth="1"/>
    <col min="5" max="5" width="5.5703125" style="2120" bestFit="1" customWidth="1"/>
    <col min="6" max="6" width="7.5703125" style="2120" bestFit="1" customWidth="1"/>
    <col min="7" max="7" width="5.5703125" style="2120" bestFit="1" customWidth="1"/>
    <col min="8" max="8" width="6.5703125" style="2120" bestFit="1" customWidth="1"/>
    <col min="9" max="10" width="5.5703125" style="2120" bestFit="1" customWidth="1"/>
    <col min="11" max="11" width="6.5703125" style="2120" bestFit="1" customWidth="1"/>
    <col min="12" max="13" width="5.5703125" style="2120" bestFit="1" customWidth="1"/>
    <col min="14" max="14" width="6.28515625" style="2120" bestFit="1" customWidth="1"/>
    <col min="15" max="15" width="6.85546875" style="2120" bestFit="1" customWidth="1"/>
    <col min="16" max="16" width="5.5703125" style="2120" bestFit="1" customWidth="1"/>
    <col min="17" max="17" width="6.5703125" style="2120" bestFit="1" customWidth="1"/>
    <col min="18" max="19" width="5.5703125" style="2120" bestFit="1" customWidth="1"/>
    <col min="20" max="20" width="6.140625" style="2120" bestFit="1" customWidth="1"/>
    <col min="21" max="30" width="5.5703125" style="2120" bestFit="1" customWidth="1"/>
    <col min="31" max="31" width="6.140625" style="2120" bestFit="1" customWidth="1"/>
    <col min="32" max="33" width="5.5703125" style="2120" bestFit="1" customWidth="1"/>
    <col min="34" max="34" width="7.140625" style="2120" bestFit="1" customWidth="1"/>
    <col min="35" max="35" width="5.28515625" style="2120" customWidth="1"/>
    <col min="36" max="37" width="11.42578125" style="2120"/>
    <col min="38" max="38" width="6.5703125" style="2120" customWidth="1"/>
    <col min="39" max="39" width="8.7109375" style="2120" bestFit="1" customWidth="1"/>
    <col min="40" max="69" width="6.5703125" style="2120" customWidth="1"/>
    <col min="70" max="70" width="4.42578125" style="2120" customWidth="1"/>
    <col min="71" max="72" width="11.42578125" style="2120"/>
    <col min="73" max="87" width="7" style="2120" customWidth="1"/>
    <col min="88" max="88" width="6.5703125" style="2120" customWidth="1"/>
    <col min="89" max="104" width="7" style="2120" customWidth="1"/>
    <col min="105" max="107" width="11.42578125" style="2120"/>
    <col min="108" max="108" width="7.5703125" style="2120" bestFit="1" customWidth="1"/>
    <col min="109" max="139" width="6.5703125" style="2120" customWidth="1"/>
    <col min="140" max="142" width="11.42578125" style="2120"/>
    <col min="143" max="144" width="6.5703125" style="2120" bestFit="1" customWidth="1"/>
    <col min="145" max="145" width="5.7109375" style="2120" customWidth="1"/>
    <col min="146" max="146" width="7.5703125" style="2120" bestFit="1" customWidth="1"/>
    <col min="147" max="147" width="6.5703125" style="2120" bestFit="1" customWidth="1"/>
    <col min="148" max="148" width="6.28515625" style="2120" bestFit="1" customWidth="1"/>
    <col min="149" max="150" width="5.7109375" style="2120" customWidth="1"/>
    <col min="151" max="151" width="6.5703125" style="2120" bestFit="1" customWidth="1"/>
    <col min="152" max="153" width="5.7109375" style="2120" customWidth="1"/>
    <col min="154" max="154" width="6.5703125" style="2120" bestFit="1" customWidth="1"/>
    <col min="155" max="155" width="6.85546875" style="2120" bestFit="1" customWidth="1"/>
    <col min="156" max="156" width="5.7109375" style="2120" customWidth="1"/>
    <col min="157" max="157" width="7.140625" style="2120" bestFit="1" customWidth="1"/>
    <col min="158" max="162" width="5.7109375" style="2120" customWidth="1"/>
    <col min="163" max="163" width="7.28515625" style="2120" bestFit="1" customWidth="1"/>
    <col min="164" max="173" width="5.7109375" style="2120" customWidth="1"/>
    <col min="174" max="174" width="8.42578125" style="2120" customWidth="1"/>
    <col min="175" max="176" width="11.42578125" style="2120"/>
    <col min="177" max="178" width="5.5703125" style="2120" bestFit="1" customWidth="1"/>
    <col min="179" max="179" width="5" style="2120" bestFit="1" customWidth="1"/>
    <col min="180" max="180" width="6.5703125" style="2120" bestFit="1" customWidth="1"/>
    <col min="181" max="181" width="11.42578125" style="2120"/>
    <col min="182" max="182" width="5.5703125" style="2120" bestFit="1" customWidth="1"/>
    <col min="183" max="184" width="11.42578125" style="2120"/>
    <col min="185" max="185" width="5.5703125" style="2120" bestFit="1" customWidth="1"/>
    <col min="186" max="187" width="11.42578125" style="2120"/>
    <col min="188" max="190" width="5.5703125" style="2120" bestFit="1" customWidth="1"/>
    <col min="191" max="191" width="6.5703125" style="2120" bestFit="1" customWidth="1"/>
    <col min="192" max="193" width="11.42578125" style="2120"/>
    <col min="194" max="194" width="5.5703125" style="2120" bestFit="1" customWidth="1"/>
    <col min="195" max="195" width="11.42578125" style="2120"/>
    <col min="196" max="196" width="5.5703125" style="2120" bestFit="1" customWidth="1"/>
    <col min="197" max="203" width="11.42578125" style="2120"/>
    <col min="204" max="204" width="4.5703125" style="2120" bestFit="1" customWidth="1"/>
    <col min="205" max="205" width="5.5703125" style="2120" bestFit="1" customWidth="1"/>
    <col min="206" max="16384" width="11.42578125" style="2120"/>
  </cols>
  <sheetData>
    <row r="1" spans="1:205" ht="15">
      <c r="A1" s="3769" t="s">
        <v>632</v>
      </c>
      <c r="B1" s="3770"/>
      <c r="C1" s="3770"/>
      <c r="D1" s="3770"/>
      <c r="E1" s="3770"/>
      <c r="F1" s="3770"/>
      <c r="G1" s="3770"/>
      <c r="H1" s="3770"/>
      <c r="I1" s="3770"/>
      <c r="J1" s="3770"/>
      <c r="K1" s="3770"/>
      <c r="L1" s="3770"/>
      <c r="M1" s="3770"/>
      <c r="N1" s="3770"/>
      <c r="O1" s="3770"/>
      <c r="P1" s="3770"/>
      <c r="Q1" s="3770"/>
      <c r="R1" s="3770"/>
      <c r="S1" s="3770"/>
      <c r="T1" s="3771"/>
      <c r="U1" s="2205"/>
      <c r="V1" s="2205"/>
      <c r="W1" s="2205"/>
      <c r="X1" s="2205"/>
      <c r="Y1" s="2205"/>
      <c r="Z1" s="2205"/>
      <c r="AA1" s="2205"/>
      <c r="AB1" s="2205"/>
      <c r="AC1" s="2205"/>
      <c r="AD1" s="2205"/>
      <c r="AE1" s="2205"/>
      <c r="AF1" s="2205"/>
      <c r="AG1" s="2205"/>
      <c r="AH1" s="2205"/>
      <c r="AJ1" s="3585" t="s">
        <v>563</v>
      </c>
      <c r="AK1" s="3586"/>
      <c r="AL1" s="3586"/>
      <c r="AM1" s="3586"/>
      <c r="AN1" s="3586"/>
      <c r="AO1" s="3586"/>
      <c r="AP1" s="3586"/>
      <c r="AQ1" s="3586"/>
      <c r="AR1" s="3586"/>
      <c r="AS1" s="3586"/>
      <c r="AT1" s="3586"/>
      <c r="AU1" s="3586"/>
      <c r="AV1" s="3586"/>
      <c r="AW1" s="3586"/>
      <c r="AX1" s="3586"/>
      <c r="AY1" s="3586"/>
      <c r="AZ1" s="3586"/>
      <c r="BA1" s="3586"/>
      <c r="BB1" s="3586"/>
      <c r="BC1" s="3587"/>
      <c r="BD1" s="2195"/>
      <c r="BE1" s="2195"/>
      <c r="BF1" s="2195"/>
      <c r="BG1" s="2195"/>
      <c r="BH1" s="2195"/>
      <c r="BI1" s="2195"/>
      <c r="BJ1" s="2195"/>
      <c r="BK1" s="2195"/>
      <c r="BL1" s="2195"/>
      <c r="BM1" s="2195"/>
      <c r="BN1" s="2195"/>
      <c r="BO1" s="2195"/>
      <c r="BP1" s="2195"/>
      <c r="BQ1" s="2195"/>
      <c r="BS1" s="3772" t="s">
        <v>569</v>
      </c>
      <c r="BT1" s="3773"/>
      <c r="BU1" s="3773"/>
      <c r="BV1" s="3773"/>
      <c r="BW1" s="3773"/>
      <c r="BX1" s="3773"/>
      <c r="BY1" s="3773"/>
      <c r="BZ1" s="3773"/>
      <c r="CA1" s="3773"/>
      <c r="CB1" s="3773"/>
      <c r="CC1" s="3773"/>
      <c r="CD1" s="3773"/>
      <c r="CE1" s="3773"/>
      <c r="CF1" s="3773"/>
      <c r="CG1" s="3773"/>
      <c r="CH1" s="3773"/>
      <c r="CI1" s="3773"/>
      <c r="CJ1" s="3773"/>
      <c r="CK1" s="3773"/>
      <c r="CL1" s="3774"/>
      <c r="CM1" s="2187"/>
      <c r="CN1" s="2187"/>
      <c r="CO1" s="2187"/>
      <c r="CP1" s="2187"/>
      <c r="CQ1" s="2187"/>
      <c r="CR1" s="2187"/>
      <c r="CS1" s="2187"/>
      <c r="CT1" s="2187"/>
      <c r="CU1" s="2187"/>
      <c r="CV1" s="2187"/>
      <c r="CW1" s="2187"/>
      <c r="CX1" s="2187"/>
      <c r="CY1" s="2187"/>
      <c r="CZ1" s="2187"/>
      <c r="DB1" s="3775" t="s">
        <v>628</v>
      </c>
      <c r="DC1" s="3776"/>
      <c r="DD1" s="3776"/>
      <c r="DE1" s="3776"/>
      <c r="DF1" s="3776"/>
      <c r="DG1" s="3776"/>
      <c r="DH1" s="3776"/>
      <c r="DI1" s="3776"/>
      <c r="DJ1" s="3776"/>
      <c r="DK1" s="3776"/>
      <c r="DL1" s="3776"/>
      <c r="DM1" s="3776"/>
      <c r="DN1" s="3776"/>
      <c r="DO1" s="3776"/>
      <c r="DP1" s="3776"/>
      <c r="DQ1" s="3776"/>
      <c r="DR1" s="3776"/>
      <c r="DS1" s="3776"/>
      <c r="DT1" s="3776"/>
      <c r="DU1" s="3777"/>
      <c r="DV1" s="2179"/>
      <c r="DW1" s="2179"/>
      <c r="DX1" s="2179"/>
      <c r="DY1" s="2179"/>
      <c r="DZ1" s="2179"/>
      <c r="EA1" s="2179"/>
      <c r="EB1" s="2179"/>
      <c r="EC1" s="2179"/>
      <c r="ED1" s="2179"/>
      <c r="EE1" s="2179"/>
      <c r="EF1" s="2179"/>
      <c r="EG1" s="2179"/>
      <c r="EH1" s="2179"/>
      <c r="EI1" s="2179"/>
      <c r="EK1" s="3778" t="s">
        <v>571</v>
      </c>
      <c r="EL1" s="3779"/>
      <c r="EM1" s="3779"/>
      <c r="EN1" s="3779"/>
      <c r="EO1" s="3779"/>
      <c r="EP1" s="3779"/>
      <c r="EQ1" s="3779"/>
      <c r="ER1" s="3779"/>
      <c r="ES1" s="3779"/>
      <c r="ET1" s="3779"/>
      <c r="EU1" s="3779"/>
      <c r="EV1" s="3779"/>
      <c r="EW1" s="3779"/>
      <c r="EX1" s="3779"/>
      <c r="EY1" s="3779"/>
      <c r="EZ1" s="3779"/>
      <c r="FA1" s="3779"/>
      <c r="FB1" s="3779"/>
      <c r="FC1" s="3779"/>
      <c r="FD1" s="3780"/>
      <c r="FE1" s="2167"/>
      <c r="FF1" s="2167"/>
      <c r="FG1" s="2167"/>
      <c r="FH1" s="2167"/>
      <c r="FI1" s="2167"/>
      <c r="FJ1" s="2167"/>
      <c r="FK1" s="2167"/>
      <c r="FL1" s="2167"/>
      <c r="FM1" s="2167"/>
      <c r="FN1" s="2167"/>
      <c r="FO1" s="2167"/>
      <c r="FP1" s="2167"/>
      <c r="FQ1" s="2167"/>
      <c r="FR1" s="2167"/>
    </row>
    <row r="2" spans="1:205" ht="15">
      <c r="A2" s="2205"/>
      <c r="B2" s="2205"/>
      <c r="C2" s="2205"/>
      <c r="D2" s="2205"/>
      <c r="E2" s="2205"/>
      <c r="F2" s="2205"/>
      <c r="G2" s="2205"/>
      <c r="H2" s="2205"/>
      <c r="I2" s="2205"/>
      <c r="J2" s="2205"/>
      <c r="K2" s="2205"/>
      <c r="L2" s="2205"/>
      <c r="M2" s="2205"/>
      <c r="N2" s="2205"/>
      <c r="O2" s="2205"/>
      <c r="P2" s="2205"/>
      <c r="Q2" s="2205"/>
      <c r="R2" s="2205"/>
      <c r="S2" s="2205"/>
      <c r="T2" s="2205"/>
      <c r="U2" s="2205"/>
      <c r="V2" s="2205"/>
      <c r="W2" s="2205"/>
      <c r="X2" s="2205"/>
      <c r="Y2" s="2205"/>
      <c r="Z2" s="2205"/>
      <c r="AA2" s="2205"/>
      <c r="AB2" s="2205"/>
      <c r="AC2" s="2205"/>
      <c r="AD2" s="2205"/>
      <c r="AE2" s="2205"/>
      <c r="AF2" s="2205"/>
      <c r="AG2" s="2205"/>
      <c r="AH2" s="2205"/>
      <c r="AJ2" s="2195"/>
      <c r="AK2" s="2195"/>
      <c r="AL2" s="2195"/>
      <c r="AM2" s="2195"/>
      <c r="AN2" s="2195"/>
      <c r="AO2" s="2195"/>
      <c r="AP2" s="2195"/>
      <c r="AQ2" s="2195"/>
      <c r="AR2" s="2195"/>
      <c r="AS2" s="2195"/>
      <c r="AT2" s="2195"/>
      <c r="AU2" s="2195"/>
      <c r="AV2" s="2195"/>
      <c r="AW2" s="2195"/>
      <c r="AX2" s="2195"/>
      <c r="AY2" s="2195"/>
      <c r="AZ2" s="2195"/>
      <c r="BA2" s="2195"/>
      <c r="BB2" s="2195"/>
      <c r="BC2" s="2195"/>
      <c r="BD2" s="2195"/>
      <c r="BE2" s="2195"/>
      <c r="BF2" s="2195"/>
      <c r="BG2" s="2195"/>
      <c r="BH2" s="2195"/>
      <c r="BI2" s="2195"/>
      <c r="BJ2" s="2195"/>
      <c r="BK2" s="2195"/>
      <c r="BL2" s="2195"/>
      <c r="BM2" s="2195"/>
      <c r="BN2" s="2195"/>
      <c r="BO2" s="2195"/>
      <c r="BP2" s="2195"/>
      <c r="BQ2" s="2195"/>
      <c r="BS2" s="2187"/>
      <c r="BT2" s="2187"/>
      <c r="BU2" s="2187"/>
      <c r="BV2" s="2187"/>
      <c r="BW2" s="2187"/>
      <c r="BX2" s="2187"/>
      <c r="BY2" s="2187"/>
      <c r="BZ2" s="2187"/>
      <c r="CA2" s="2187"/>
      <c r="CB2" s="2187"/>
      <c r="CC2" s="2187"/>
      <c r="CD2" s="2187"/>
      <c r="CE2" s="2187"/>
      <c r="CF2" s="2187"/>
      <c r="CG2" s="2187"/>
      <c r="CH2" s="2187"/>
      <c r="CI2" s="2187"/>
      <c r="CJ2" s="2187"/>
      <c r="CK2" s="2187"/>
      <c r="CL2" s="2187"/>
      <c r="CM2" s="2187"/>
      <c r="CN2" s="2187"/>
      <c r="CO2" s="2187"/>
      <c r="CP2" s="2187"/>
      <c r="CQ2" s="2187"/>
      <c r="CR2" s="2187"/>
      <c r="CS2" s="2187"/>
      <c r="CT2" s="2187"/>
      <c r="CU2" s="2187"/>
      <c r="CV2" s="2187"/>
      <c r="CW2" s="2187"/>
      <c r="CX2" s="2187"/>
      <c r="CY2" s="2187"/>
      <c r="CZ2" s="2187"/>
      <c r="DB2" s="2179"/>
      <c r="DC2" s="2179"/>
      <c r="DD2" s="2179"/>
      <c r="DE2" s="2179"/>
      <c r="DF2" s="2179"/>
      <c r="DG2" s="2179"/>
      <c r="DH2" s="2179"/>
      <c r="DI2" s="2179"/>
      <c r="DJ2" s="2179"/>
      <c r="DK2" s="2179"/>
      <c r="DL2" s="2179"/>
      <c r="DM2" s="2179"/>
      <c r="DN2" s="2179"/>
      <c r="DO2" s="2179"/>
      <c r="DP2" s="2179"/>
      <c r="DQ2" s="2179"/>
      <c r="DR2" s="2179"/>
      <c r="DS2" s="2179"/>
      <c r="DT2" s="2179"/>
      <c r="DU2" s="2179"/>
      <c r="DV2" s="2179"/>
      <c r="DW2" s="2179"/>
      <c r="DX2" s="2179"/>
      <c r="DY2" s="2179"/>
      <c r="DZ2" s="2179"/>
      <c r="EA2" s="2179"/>
      <c r="EB2" s="2179"/>
      <c r="EC2" s="2179"/>
      <c r="ED2" s="2179"/>
      <c r="EE2" s="2179"/>
      <c r="EF2" s="2179"/>
      <c r="EG2" s="2179"/>
      <c r="EH2" s="2179"/>
      <c r="EI2" s="2179"/>
      <c r="EK2" s="2312"/>
      <c r="EL2" s="2311"/>
      <c r="EM2" s="2310"/>
      <c r="EN2" s="2309"/>
      <c r="EO2" s="2309"/>
      <c r="EP2" s="2309"/>
      <c r="EQ2" s="2309"/>
      <c r="ER2" s="2309"/>
      <c r="ES2" s="2309"/>
      <c r="ET2" s="2309"/>
      <c r="EU2" s="2309"/>
      <c r="EV2" s="2309"/>
      <c r="EW2" s="2309"/>
      <c r="EX2" s="2309"/>
      <c r="EY2" s="2309"/>
      <c r="EZ2" s="2309"/>
      <c r="FA2" s="2309"/>
      <c r="FB2" s="2309"/>
      <c r="FC2" s="2309"/>
      <c r="FD2" s="2309"/>
      <c r="FE2" s="2309"/>
      <c r="FF2" s="2309"/>
      <c r="FG2" s="2309"/>
      <c r="FH2" s="2309"/>
      <c r="FI2" s="2309"/>
      <c r="FJ2" s="2309"/>
      <c r="FK2" s="2309"/>
      <c r="FL2" s="2309"/>
      <c r="FM2" s="2309"/>
      <c r="FN2" s="2309"/>
      <c r="FO2" s="2309"/>
      <c r="FP2" s="2309"/>
      <c r="FQ2" s="2309"/>
      <c r="FR2" s="2309"/>
    </row>
    <row r="3" spans="1:205" ht="15">
      <c r="A3" s="3781" t="s">
        <v>642</v>
      </c>
      <c r="B3" s="3782"/>
      <c r="C3" s="3783"/>
      <c r="D3" s="2275"/>
      <c r="E3" s="1433"/>
      <c r="F3" s="1433"/>
      <c r="G3" s="1433"/>
      <c r="H3" s="1433"/>
      <c r="I3" s="1433"/>
      <c r="J3" s="1433"/>
      <c r="K3" s="1433"/>
      <c r="L3" s="1433"/>
      <c r="M3" s="2274"/>
      <c r="N3" s="2273"/>
      <c r="O3" s="1433"/>
      <c r="P3" s="1433"/>
      <c r="Q3" s="1433"/>
      <c r="R3" s="1433"/>
      <c r="S3" s="1433"/>
      <c r="T3" s="1433"/>
      <c r="U3" s="1433"/>
      <c r="V3" s="1433"/>
      <c r="W3" s="1433"/>
      <c r="X3" s="1433"/>
      <c r="Y3" s="1433"/>
      <c r="Z3" s="1433"/>
      <c r="AA3" s="1433"/>
      <c r="AB3" s="1433"/>
      <c r="AC3" s="1433"/>
      <c r="AD3" s="1433"/>
      <c r="AE3" s="1433"/>
      <c r="AF3" s="1433"/>
      <c r="AG3" s="1433"/>
      <c r="AH3" s="1433"/>
      <c r="AJ3" s="3585" t="s">
        <v>642</v>
      </c>
      <c r="AK3" s="3586"/>
      <c r="AL3" s="3587"/>
      <c r="AM3" s="2269"/>
      <c r="AN3" s="2193"/>
      <c r="AO3" s="2193"/>
      <c r="AP3" s="2193"/>
      <c r="AQ3" s="2193"/>
      <c r="AR3" s="2193"/>
      <c r="AS3" s="2193"/>
      <c r="AT3" s="2193"/>
      <c r="AU3" s="2193"/>
      <c r="AV3" s="2194"/>
      <c r="AW3" s="2268"/>
      <c r="AX3" s="2193"/>
      <c r="AY3" s="2193"/>
      <c r="AZ3" s="2193"/>
      <c r="BA3" s="2193"/>
      <c r="BB3" s="2193"/>
      <c r="BC3" s="2193"/>
      <c r="BD3" s="2193"/>
      <c r="BE3" s="2193"/>
      <c r="BF3" s="2193"/>
      <c r="BG3" s="2193"/>
      <c r="BH3" s="2193"/>
      <c r="BI3" s="2193"/>
      <c r="BJ3" s="2193"/>
      <c r="BK3" s="2193"/>
      <c r="BL3" s="2193"/>
      <c r="BM3" s="2193"/>
      <c r="BN3" s="2193"/>
      <c r="BO3" s="2193"/>
      <c r="BP3" s="2193"/>
      <c r="BQ3" s="2193"/>
      <c r="BS3" s="3772" t="s">
        <v>642</v>
      </c>
      <c r="BT3" s="3773"/>
      <c r="BU3" s="3774"/>
      <c r="BV3" s="2267"/>
      <c r="BW3" s="2185"/>
      <c r="BX3" s="2185"/>
      <c r="BY3" s="2185"/>
      <c r="BZ3" s="2185"/>
      <c r="CA3" s="2185"/>
      <c r="CB3" s="2185"/>
      <c r="CC3" s="2185"/>
      <c r="CD3" s="2185"/>
      <c r="CE3" s="2186"/>
      <c r="CF3" s="2266"/>
      <c r="CG3" s="2185"/>
      <c r="CH3" s="2185"/>
      <c r="CI3" s="2185"/>
      <c r="CJ3" s="2185"/>
      <c r="CK3" s="2185"/>
      <c r="CL3" s="2185"/>
      <c r="CM3" s="2185"/>
      <c r="CN3" s="2185"/>
      <c r="CO3" s="2185"/>
      <c r="CP3" s="2185"/>
      <c r="CQ3" s="2185"/>
      <c r="CR3" s="2185"/>
      <c r="CS3" s="2185"/>
      <c r="CT3" s="2185"/>
      <c r="CU3" s="2185"/>
      <c r="CV3" s="2185"/>
      <c r="CW3" s="2185"/>
      <c r="CX3" s="2185"/>
      <c r="CY3" s="2185"/>
      <c r="CZ3" s="2185"/>
      <c r="DB3" s="3775" t="s">
        <v>642</v>
      </c>
      <c r="DC3" s="3776"/>
      <c r="DD3" s="3777"/>
      <c r="DE3" s="2265"/>
      <c r="DF3" s="2177"/>
      <c r="DG3" s="2177"/>
      <c r="DH3" s="2177"/>
      <c r="DI3" s="2177"/>
      <c r="DJ3" s="2177"/>
      <c r="DK3" s="2177"/>
      <c r="DL3" s="2177"/>
      <c r="DM3" s="2177"/>
      <c r="DN3" s="2178"/>
      <c r="DO3" s="2264"/>
      <c r="DP3" s="2177"/>
      <c r="DQ3" s="2177"/>
      <c r="DR3" s="2177"/>
      <c r="DS3" s="2177"/>
      <c r="DT3" s="2177"/>
      <c r="DU3" s="2177"/>
      <c r="DV3" s="2177"/>
      <c r="DW3" s="2177"/>
      <c r="DX3" s="2177"/>
      <c r="DY3" s="2177"/>
      <c r="DZ3" s="2177"/>
      <c r="EA3" s="2177"/>
      <c r="EB3" s="2177"/>
      <c r="EC3" s="2177"/>
      <c r="ED3" s="2177"/>
      <c r="EE3" s="2177"/>
      <c r="EF3" s="2177"/>
      <c r="EG3" s="2177"/>
      <c r="EH3" s="2177"/>
      <c r="EI3" s="2177"/>
      <c r="EK3" s="3778" t="s">
        <v>619</v>
      </c>
      <c r="EL3" s="3779"/>
      <c r="EM3" s="3780"/>
      <c r="EN3" s="2165"/>
      <c r="EO3" s="2165"/>
      <c r="EP3" s="2165"/>
      <c r="EQ3" s="2165"/>
      <c r="ER3" s="2165"/>
      <c r="ES3" s="2165"/>
      <c r="ET3" s="2165"/>
      <c r="EU3" s="2165"/>
      <c r="EV3" s="2165"/>
      <c r="EW3" s="2166"/>
      <c r="EX3" s="2165"/>
      <c r="EY3" s="2165"/>
      <c r="EZ3" s="2165"/>
      <c r="FA3" s="2165"/>
      <c r="FB3" s="2165"/>
      <c r="FC3" s="2165"/>
      <c r="FD3" s="2165"/>
      <c r="FE3" s="2165"/>
      <c r="FF3" s="2165"/>
      <c r="FG3" s="2165"/>
      <c r="FH3" s="2165"/>
      <c r="FI3" s="2165"/>
      <c r="FJ3" s="2165"/>
      <c r="FK3" s="2165"/>
      <c r="FL3" s="2165"/>
      <c r="FM3" s="2165"/>
      <c r="FN3" s="2165"/>
      <c r="FO3" s="2165"/>
      <c r="FP3" s="2165"/>
      <c r="FQ3" s="2165"/>
      <c r="FR3" s="2165"/>
    </row>
    <row r="4" spans="1:205" ht="15">
      <c r="A4" s="1249" t="s">
        <v>72</v>
      </c>
      <c r="B4" s="1249" t="s">
        <v>73</v>
      </c>
      <c r="C4" s="1249">
        <v>1</v>
      </c>
      <c r="D4" s="1249">
        <v>2</v>
      </c>
      <c r="E4" s="1249">
        <v>3</v>
      </c>
      <c r="F4" s="1249">
        <v>4</v>
      </c>
      <c r="G4" s="1249">
        <v>5</v>
      </c>
      <c r="H4" s="1249">
        <v>6</v>
      </c>
      <c r="I4" s="1249">
        <v>7</v>
      </c>
      <c r="J4" s="1249">
        <v>8</v>
      </c>
      <c r="K4" s="1249">
        <v>9</v>
      </c>
      <c r="L4" s="1249">
        <v>10</v>
      </c>
      <c r="M4" s="1249">
        <v>11</v>
      </c>
      <c r="N4" s="1249">
        <v>12</v>
      </c>
      <c r="O4" s="1249">
        <v>13</v>
      </c>
      <c r="P4" s="1249">
        <v>14</v>
      </c>
      <c r="Q4" s="1249">
        <v>15</v>
      </c>
      <c r="R4" s="1249">
        <v>16</v>
      </c>
      <c r="S4" s="1249">
        <v>17</v>
      </c>
      <c r="T4" s="1249">
        <v>18</v>
      </c>
      <c r="U4" s="1249">
        <v>19</v>
      </c>
      <c r="V4" s="1249">
        <v>20</v>
      </c>
      <c r="W4" s="1249">
        <v>21</v>
      </c>
      <c r="X4" s="1249">
        <v>22</v>
      </c>
      <c r="Y4" s="1249">
        <v>23</v>
      </c>
      <c r="Z4" s="1249">
        <v>24</v>
      </c>
      <c r="AA4" s="1249">
        <v>25</v>
      </c>
      <c r="AB4" s="1249">
        <v>26</v>
      </c>
      <c r="AC4" s="1249">
        <v>27</v>
      </c>
      <c r="AD4" s="1249">
        <v>28</v>
      </c>
      <c r="AE4" s="1249">
        <v>29</v>
      </c>
      <c r="AF4" s="1249">
        <v>30</v>
      </c>
      <c r="AG4" s="1249">
        <v>31</v>
      </c>
      <c r="AH4" s="1820" t="s">
        <v>74</v>
      </c>
      <c r="AJ4" s="1746" t="s">
        <v>72</v>
      </c>
      <c r="AK4" s="1746" t="s">
        <v>73</v>
      </c>
      <c r="AL4" s="1746">
        <v>1</v>
      </c>
      <c r="AM4" s="1746">
        <v>2</v>
      </c>
      <c r="AN4" s="1746">
        <v>3</v>
      </c>
      <c r="AO4" s="1746">
        <v>4</v>
      </c>
      <c r="AP4" s="1746">
        <v>5</v>
      </c>
      <c r="AQ4" s="1746">
        <v>6</v>
      </c>
      <c r="AR4" s="1746">
        <v>7</v>
      </c>
      <c r="AS4" s="1746">
        <v>8</v>
      </c>
      <c r="AT4" s="1746">
        <v>9</v>
      </c>
      <c r="AU4" s="1746">
        <v>10</v>
      </c>
      <c r="AV4" s="1746">
        <v>11</v>
      </c>
      <c r="AW4" s="1746">
        <v>12</v>
      </c>
      <c r="AX4" s="1746">
        <v>13</v>
      </c>
      <c r="AY4" s="1746">
        <v>14</v>
      </c>
      <c r="AZ4" s="1746">
        <v>15</v>
      </c>
      <c r="BA4" s="1746">
        <v>16</v>
      </c>
      <c r="BB4" s="1746">
        <v>17</v>
      </c>
      <c r="BC4" s="1746">
        <v>18</v>
      </c>
      <c r="BD4" s="1746">
        <v>19</v>
      </c>
      <c r="BE4" s="1746">
        <v>20</v>
      </c>
      <c r="BF4" s="1746">
        <v>21</v>
      </c>
      <c r="BG4" s="1746">
        <v>22</v>
      </c>
      <c r="BH4" s="1746">
        <v>23</v>
      </c>
      <c r="BI4" s="1746">
        <v>24</v>
      </c>
      <c r="BJ4" s="1746">
        <v>25</v>
      </c>
      <c r="BK4" s="1746">
        <v>26</v>
      </c>
      <c r="BL4" s="1746">
        <v>27</v>
      </c>
      <c r="BM4" s="1746">
        <v>28</v>
      </c>
      <c r="BN4" s="1746">
        <v>29</v>
      </c>
      <c r="BO4" s="1746">
        <v>30</v>
      </c>
      <c r="BP4" s="1746">
        <v>31</v>
      </c>
      <c r="BQ4" s="2192" t="s">
        <v>74</v>
      </c>
      <c r="BS4" s="1845" t="s">
        <v>72</v>
      </c>
      <c r="BT4" s="1845" t="s">
        <v>73</v>
      </c>
      <c r="BU4" s="1845">
        <v>1</v>
      </c>
      <c r="BV4" s="1845">
        <v>2</v>
      </c>
      <c r="BW4" s="1845">
        <v>3</v>
      </c>
      <c r="BX4" s="1845">
        <v>4</v>
      </c>
      <c r="BY4" s="1845">
        <v>5</v>
      </c>
      <c r="BZ4" s="1845">
        <v>6</v>
      </c>
      <c r="CA4" s="1845">
        <v>7</v>
      </c>
      <c r="CB4" s="1845">
        <v>8</v>
      </c>
      <c r="CC4" s="1845">
        <v>9</v>
      </c>
      <c r="CD4" s="1845">
        <v>10</v>
      </c>
      <c r="CE4" s="1845">
        <v>11</v>
      </c>
      <c r="CF4" s="1845">
        <v>12</v>
      </c>
      <c r="CG4" s="1845">
        <v>13</v>
      </c>
      <c r="CH4" s="1845">
        <v>14</v>
      </c>
      <c r="CI4" s="1845">
        <v>15</v>
      </c>
      <c r="CJ4" s="1845">
        <v>16</v>
      </c>
      <c r="CK4" s="1845">
        <v>17</v>
      </c>
      <c r="CL4" s="1845">
        <v>18</v>
      </c>
      <c r="CM4" s="1845">
        <v>19</v>
      </c>
      <c r="CN4" s="1845">
        <v>20</v>
      </c>
      <c r="CO4" s="1845">
        <v>21</v>
      </c>
      <c r="CP4" s="1845">
        <v>22</v>
      </c>
      <c r="CQ4" s="1845">
        <v>23</v>
      </c>
      <c r="CR4" s="1845">
        <v>24</v>
      </c>
      <c r="CS4" s="1845">
        <v>25</v>
      </c>
      <c r="CT4" s="1845">
        <v>26</v>
      </c>
      <c r="CU4" s="1845">
        <v>27</v>
      </c>
      <c r="CV4" s="1845">
        <v>28</v>
      </c>
      <c r="CW4" s="1845">
        <v>29</v>
      </c>
      <c r="CX4" s="1845">
        <v>30</v>
      </c>
      <c r="CY4" s="1845">
        <v>31</v>
      </c>
      <c r="CZ4" s="2184" t="s">
        <v>74</v>
      </c>
      <c r="DB4" s="1962" t="s">
        <v>72</v>
      </c>
      <c r="DC4" s="1962" t="s">
        <v>73</v>
      </c>
      <c r="DD4" s="1962">
        <v>1</v>
      </c>
      <c r="DE4" s="1962">
        <v>2</v>
      </c>
      <c r="DF4" s="1962">
        <v>3</v>
      </c>
      <c r="DG4" s="1962">
        <v>4</v>
      </c>
      <c r="DH4" s="1962">
        <v>5</v>
      </c>
      <c r="DI4" s="1962">
        <v>6</v>
      </c>
      <c r="DJ4" s="1962">
        <v>7</v>
      </c>
      <c r="DK4" s="1962">
        <v>8</v>
      </c>
      <c r="DL4" s="1962">
        <v>9</v>
      </c>
      <c r="DM4" s="1962">
        <v>10</v>
      </c>
      <c r="DN4" s="1962">
        <v>11</v>
      </c>
      <c r="DO4" s="1962">
        <v>12</v>
      </c>
      <c r="DP4" s="1962">
        <v>13</v>
      </c>
      <c r="DQ4" s="1962">
        <v>14</v>
      </c>
      <c r="DR4" s="1962">
        <v>15</v>
      </c>
      <c r="DS4" s="1962">
        <v>16</v>
      </c>
      <c r="DT4" s="1962">
        <v>17</v>
      </c>
      <c r="DU4" s="1962">
        <v>18</v>
      </c>
      <c r="DV4" s="1962">
        <v>19</v>
      </c>
      <c r="DW4" s="1962">
        <v>20</v>
      </c>
      <c r="DX4" s="1962">
        <v>21</v>
      </c>
      <c r="DY4" s="1962">
        <v>22</v>
      </c>
      <c r="DZ4" s="1962">
        <v>23</v>
      </c>
      <c r="EA4" s="1962">
        <v>24</v>
      </c>
      <c r="EB4" s="1962">
        <v>25</v>
      </c>
      <c r="EC4" s="1962">
        <v>26</v>
      </c>
      <c r="ED4" s="1962">
        <v>27</v>
      </c>
      <c r="EE4" s="1962">
        <v>28</v>
      </c>
      <c r="EF4" s="1962">
        <v>29</v>
      </c>
      <c r="EG4" s="1962">
        <v>30</v>
      </c>
      <c r="EH4" s="1962">
        <v>31</v>
      </c>
      <c r="EI4" s="2176" t="s">
        <v>74</v>
      </c>
      <c r="EK4" s="2163" t="s">
        <v>72</v>
      </c>
      <c r="EL4" s="2163" t="s">
        <v>73</v>
      </c>
      <c r="EM4" s="2163">
        <v>1</v>
      </c>
      <c r="EN4" s="2163">
        <v>2</v>
      </c>
      <c r="EO4" s="2163">
        <v>3</v>
      </c>
      <c r="EP4" s="2163">
        <v>4</v>
      </c>
      <c r="EQ4" s="2163">
        <v>5</v>
      </c>
      <c r="ER4" s="2163">
        <v>6</v>
      </c>
      <c r="ES4" s="2163">
        <v>7</v>
      </c>
      <c r="ET4" s="2163">
        <v>8</v>
      </c>
      <c r="EU4" s="2163">
        <v>9</v>
      </c>
      <c r="EV4" s="2163">
        <v>10</v>
      </c>
      <c r="EW4" s="2163">
        <v>11</v>
      </c>
      <c r="EX4" s="2163">
        <v>12</v>
      </c>
      <c r="EY4" s="2163">
        <v>13</v>
      </c>
      <c r="EZ4" s="2163">
        <v>14</v>
      </c>
      <c r="FA4" s="2163">
        <v>15</v>
      </c>
      <c r="FB4" s="2163">
        <v>16</v>
      </c>
      <c r="FC4" s="2163">
        <v>17</v>
      </c>
      <c r="FD4" s="2163">
        <v>18</v>
      </c>
      <c r="FE4" s="2163">
        <v>19</v>
      </c>
      <c r="FF4" s="2163">
        <v>20</v>
      </c>
      <c r="FG4" s="2163">
        <v>21</v>
      </c>
      <c r="FH4" s="2163">
        <v>22</v>
      </c>
      <c r="FI4" s="2163">
        <v>23</v>
      </c>
      <c r="FJ4" s="2163">
        <v>24</v>
      </c>
      <c r="FK4" s="2163">
        <v>25</v>
      </c>
      <c r="FL4" s="2163">
        <v>26</v>
      </c>
      <c r="FM4" s="2163">
        <v>27</v>
      </c>
      <c r="FN4" s="2163">
        <v>28</v>
      </c>
      <c r="FO4" s="2163">
        <v>29</v>
      </c>
      <c r="FP4" s="2163">
        <v>30</v>
      </c>
      <c r="FQ4" s="2163">
        <v>31</v>
      </c>
      <c r="FR4" s="2164" t="s">
        <v>74</v>
      </c>
      <c r="FU4" s="2159"/>
      <c r="FV4" s="2159"/>
      <c r="FW4" s="2159"/>
      <c r="FX4" s="2159"/>
      <c r="FY4" s="2159"/>
      <c r="FZ4" s="2159"/>
      <c r="GA4" s="2159"/>
      <c r="GB4" s="2159"/>
      <c r="GC4" s="2159"/>
      <c r="GD4" s="2159"/>
      <c r="GE4" s="2159"/>
      <c r="GF4" s="2159"/>
      <c r="GG4" s="2159"/>
      <c r="GH4" s="2159"/>
      <c r="GI4" s="2159"/>
      <c r="GJ4" s="2159"/>
      <c r="GK4" s="2159"/>
      <c r="GL4" s="2159"/>
      <c r="GM4" s="2159"/>
      <c r="GN4" s="2159"/>
      <c r="GO4" s="2159"/>
      <c r="GP4" s="2159"/>
      <c r="GQ4" s="2159"/>
      <c r="GR4" s="2159"/>
      <c r="GS4" s="2159"/>
      <c r="GT4" s="2159"/>
      <c r="GU4" s="2159"/>
      <c r="GV4" s="3442">
        <v>3.673</v>
      </c>
      <c r="GW4" s="3442">
        <f>15.913+3.394+6.422+9.576</f>
        <v>35.305000000000007</v>
      </c>
    </row>
    <row r="5" spans="1:205" ht="15">
      <c r="A5" s="1249" t="s">
        <v>75</v>
      </c>
      <c r="B5" s="1287">
        <f t="shared" ref="B5:B16" si="0">+AH5</f>
        <v>0</v>
      </c>
      <c r="C5" s="2271"/>
      <c r="D5" s="2271"/>
      <c r="E5" s="2271"/>
      <c r="F5" s="2271"/>
      <c r="G5" s="2271"/>
      <c r="H5" s="2271"/>
      <c r="I5" s="2271"/>
      <c r="J5" s="2271"/>
      <c r="K5" s="2271"/>
      <c r="L5" s="2271"/>
      <c r="M5" s="2271"/>
      <c r="N5" s="2271"/>
      <c r="O5" s="2271"/>
      <c r="P5" s="2271"/>
      <c r="Q5" s="2271"/>
      <c r="R5" s="2271"/>
      <c r="S5" s="2271"/>
      <c r="T5" s="2271"/>
      <c r="U5" s="2271"/>
      <c r="V5" s="2271"/>
      <c r="W5" s="2271"/>
      <c r="X5" s="2271"/>
      <c r="Y5" s="2271"/>
      <c r="Z5" s="2271"/>
      <c r="AA5" s="2271"/>
      <c r="AB5" s="2271"/>
      <c r="AC5" s="2271"/>
      <c r="AD5" s="2271"/>
      <c r="AE5" s="2271"/>
      <c r="AF5" s="2271"/>
      <c r="AG5" s="2271"/>
      <c r="AH5" s="1488">
        <f t="shared" ref="AH5:AH16" si="1">SUM(C5:AG5)</f>
        <v>0</v>
      </c>
      <c r="AJ5" s="1746" t="s">
        <v>75</v>
      </c>
      <c r="AK5" s="1749">
        <f t="shared" ref="AK5:AK16" si="2">+BQ5</f>
        <v>0</v>
      </c>
      <c r="AL5" s="2226"/>
      <c r="AM5" s="2226"/>
      <c r="AN5" s="2226"/>
      <c r="AO5" s="2226"/>
      <c r="AP5" s="2226"/>
      <c r="AQ5" s="2226"/>
      <c r="AR5" s="2226"/>
      <c r="AS5" s="2226"/>
      <c r="AT5" s="2226"/>
      <c r="AU5" s="2226"/>
      <c r="AV5" s="2226"/>
      <c r="AW5" s="2226"/>
      <c r="AX5" s="2226"/>
      <c r="AY5" s="2226"/>
      <c r="AZ5" s="2226"/>
      <c r="BA5" s="2226"/>
      <c r="BB5" s="2226"/>
      <c r="BC5" s="2226"/>
      <c r="BD5" s="2226"/>
      <c r="BE5" s="2226"/>
      <c r="BF5" s="2226"/>
      <c r="BG5" s="2226"/>
      <c r="BH5" s="2226"/>
      <c r="BI5" s="2226"/>
      <c r="BJ5" s="2226"/>
      <c r="BK5" s="2226"/>
      <c r="BL5" s="2226"/>
      <c r="BM5" s="2226"/>
      <c r="BN5" s="2226"/>
      <c r="BO5" s="2226"/>
      <c r="BP5" s="2226"/>
      <c r="BQ5" s="2188">
        <f t="shared" ref="BQ5:BQ16" si="3">SUM(AL5:BP5)</f>
        <v>0</v>
      </c>
      <c r="BS5" s="1845" t="s">
        <v>75</v>
      </c>
      <c r="BT5" s="1846">
        <f t="shared" ref="BT5:BT16" si="4">+CZ5</f>
        <v>0</v>
      </c>
      <c r="BU5" s="2225"/>
      <c r="BV5" s="2225"/>
      <c r="BW5" s="2225"/>
      <c r="BX5" s="2225"/>
      <c r="BY5" s="2225"/>
      <c r="BZ5" s="2225"/>
      <c r="CA5" s="2225"/>
      <c r="CB5" s="2225"/>
      <c r="CC5" s="2225"/>
      <c r="CD5" s="2225"/>
      <c r="CE5" s="2225"/>
      <c r="CF5" s="2225"/>
      <c r="CG5" s="2225"/>
      <c r="CH5" s="2225"/>
      <c r="CI5" s="2225"/>
      <c r="CJ5" s="2225"/>
      <c r="CK5" s="2225"/>
      <c r="CL5" s="2225"/>
      <c r="CM5" s="2225"/>
      <c r="CN5" s="2225"/>
      <c r="CO5" s="2225"/>
      <c r="CP5" s="2225"/>
      <c r="CQ5" s="2225"/>
      <c r="CR5" s="2225"/>
      <c r="CS5" s="2225"/>
      <c r="CT5" s="2225"/>
      <c r="CU5" s="2225"/>
      <c r="CV5" s="2225"/>
      <c r="CW5" s="2225"/>
      <c r="CX5" s="2225"/>
      <c r="CY5" s="2225"/>
      <c r="CZ5" s="2180">
        <f t="shared" ref="CZ5:CZ16" si="5">SUM(BU5:CY5)</f>
        <v>0</v>
      </c>
      <c r="DB5" s="1962" t="s">
        <v>75</v>
      </c>
      <c r="DC5" s="2175">
        <f t="shared" ref="DC5:DC16" si="6">+EI5</f>
        <v>0</v>
      </c>
      <c r="DD5" s="2261"/>
      <c r="DE5" s="2261"/>
      <c r="DF5" s="2261"/>
      <c r="DG5" s="2261"/>
      <c r="DH5" s="2261"/>
      <c r="DI5" s="2261"/>
      <c r="DJ5" s="2261"/>
      <c r="DK5" s="2261"/>
      <c r="DL5" s="2261"/>
      <c r="DM5" s="2261"/>
      <c r="DN5" s="2261"/>
      <c r="DO5" s="2261"/>
      <c r="DP5" s="2261"/>
      <c r="DQ5" s="2261"/>
      <c r="DR5" s="2261"/>
      <c r="DS5" s="2261"/>
      <c r="DT5" s="2261"/>
      <c r="DU5" s="2261"/>
      <c r="DV5" s="2261"/>
      <c r="DW5" s="2261"/>
      <c r="DX5" s="2261"/>
      <c r="DY5" s="2261"/>
      <c r="DZ5" s="2261"/>
      <c r="EA5" s="2261"/>
      <c r="EB5" s="2261"/>
      <c r="EC5" s="2261"/>
      <c r="ED5" s="2261"/>
      <c r="EE5" s="2261"/>
      <c r="EF5" s="2261"/>
      <c r="EG5" s="2261"/>
      <c r="EH5" s="2261"/>
      <c r="EI5" s="2171">
        <f t="shared" ref="EI5:EI16" si="7">SUM(DD5:EH5)</f>
        <v>0</v>
      </c>
      <c r="EK5" s="2163" t="s">
        <v>75</v>
      </c>
      <c r="EL5" s="3170">
        <f t="shared" ref="EL5:EL16" si="8">+FR5</f>
        <v>28.978000000000002</v>
      </c>
      <c r="EM5" s="2159"/>
      <c r="EN5" s="2159"/>
      <c r="EO5" s="2159"/>
      <c r="EP5" s="2159"/>
      <c r="EQ5" s="2159"/>
      <c r="ER5" s="2159"/>
      <c r="ES5" s="2159"/>
      <c r="ET5" s="2159"/>
      <c r="EU5" s="2159"/>
      <c r="EV5" s="2159"/>
      <c r="EW5" s="2159"/>
      <c r="EX5" s="2159"/>
      <c r="EY5" s="2159"/>
      <c r="EZ5" s="2159"/>
      <c r="FA5" s="2159"/>
      <c r="FB5" s="2159"/>
      <c r="FC5" s="2159"/>
      <c r="FD5" s="2159"/>
      <c r="FE5" s="2159"/>
      <c r="FF5" s="2159"/>
      <c r="FG5" s="2159"/>
      <c r="FH5" s="2159"/>
      <c r="FI5" s="2159"/>
      <c r="FJ5" s="2159"/>
      <c r="FK5" s="2159"/>
      <c r="FL5" s="2159"/>
      <c r="FM5" s="2159"/>
      <c r="FN5" s="2159">
        <v>3.673</v>
      </c>
      <c r="FO5" s="2159">
        <v>25.305</v>
      </c>
      <c r="FP5" s="2159"/>
      <c r="FQ5" s="2159"/>
      <c r="FR5" s="2158">
        <f t="shared" ref="FR5:FR16" si="9">SUM(EM5:FQ5)</f>
        <v>28.978000000000002</v>
      </c>
      <c r="FU5" s="2159"/>
      <c r="FV5" s="3443">
        <v>9.3699999999999992</v>
      </c>
      <c r="FW5" s="2308"/>
      <c r="FX5" s="3443">
        <v>12.904</v>
      </c>
      <c r="FY5" s="2308"/>
      <c r="FZ5" s="2308"/>
      <c r="GA5" s="2308"/>
      <c r="GB5" s="2308"/>
      <c r="GC5" s="3443">
        <f>1.178+0.84+0.925+1.322</f>
        <v>4.2649999999999997</v>
      </c>
      <c r="GD5" s="2308"/>
      <c r="GE5" s="2308"/>
      <c r="GF5" s="3443">
        <f>0.997+1.59+1.167</f>
        <v>3.7540000000000004</v>
      </c>
      <c r="GG5" s="3443">
        <f>1.441+1.485</f>
        <v>2.9260000000000002</v>
      </c>
      <c r="GH5" s="3443">
        <v>2.7679999999999998</v>
      </c>
      <c r="GI5" s="2308"/>
      <c r="GJ5" s="2308"/>
      <c r="GK5" s="2308"/>
      <c r="GL5" s="2328">
        <v>1.556</v>
      </c>
      <c r="GM5" s="2308"/>
      <c r="GN5" s="2308"/>
      <c r="GO5" s="2308"/>
      <c r="GP5" s="2308"/>
      <c r="GQ5" s="2159"/>
      <c r="GR5" s="2159"/>
      <c r="GS5" s="2159"/>
      <c r="GT5" s="2159"/>
      <c r="GU5" s="2159"/>
      <c r="GV5" s="2159"/>
      <c r="GW5" s="2159"/>
    </row>
    <row r="6" spans="1:205" ht="15.75">
      <c r="A6" s="1249" t="s">
        <v>76</v>
      </c>
      <c r="B6" s="1287">
        <f t="shared" si="0"/>
        <v>0</v>
      </c>
      <c r="C6" s="2271"/>
      <c r="D6" s="2271"/>
      <c r="E6" s="2271"/>
      <c r="F6" s="2271"/>
      <c r="G6" s="2271"/>
      <c r="H6" s="2271"/>
      <c r="I6" s="2271"/>
      <c r="J6" s="2271"/>
      <c r="K6" s="2271"/>
      <c r="L6" s="2271"/>
      <c r="M6" s="2271"/>
      <c r="N6" s="2271"/>
      <c r="O6" s="2271"/>
      <c r="P6" s="2271"/>
      <c r="Q6" s="2271"/>
      <c r="R6" s="2271"/>
      <c r="S6" s="2271"/>
      <c r="T6" s="2271"/>
      <c r="U6" s="2271"/>
      <c r="V6" s="2271"/>
      <c r="W6" s="2271"/>
      <c r="X6" s="2271"/>
      <c r="Y6" s="2271"/>
      <c r="Z6" s="2271"/>
      <c r="AA6" s="2271"/>
      <c r="AB6" s="2271"/>
      <c r="AC6" s="2271"/>
      <c r="AD6" s="2271"/>
      <c r="AE6" s="2271"/>
      <c r="AF6" s="2271"/>
      <c r="AG6" s="2271"/>
      <c r="AH6" s="1488">
        <f t="shared" si="1"/>
        <v>0</v>
      </c>
      <c r="AJ6" s="1746" t="s">
        <v>76</v>
      </c>
      <c r="AK6" s="1749">
        <f t="shared" si="2"/>
        <v>0</v>
      </c>
      <c r="AL6" s="2226"/>
      <c r="AM6" s="2226"/>
      <c r="AN6" s="2226"/>
      <c r="AO6" s="2226"/>
      <c r="AP6" s="2226"/>
      <c r="AQ6" s="2226"/>
      <c r="AR6" s="2226"/>
      <c r="AS6" s="2226"/>
      <c r="AT6" s="2226"/>
      <c r="AU6" s="2226"/>
      <c r="AV6" s="2226"/>
      <c r="AW6" s="2226"/>
      <c r="AX6" s="2226"/>
      <c r="AY6" s="2226"/>
      <c r="AZ6" s="2226"/>
      <c r="BA6" s="2226"/>
      <c r="BB6" s="2226"/>
      <c r="BC6" s="2226"/>
      <c r="BD6" s="2226"/>
      <c r="BE6" s="2226"/>
      <c r="BF6" s="2226"/>
      <c r="BG6" s="2226"/>
      <c r="BH6" s="2226"/>
      <c r="BI6" s="2226"/>
      <c r="BJ6" s="2226"/>
      <c r="BK6" s="2226"/>
      <c r="BL6" s="2226"/>
      <c r="BM6" s="2226"/>
      <c r="BN6" s="2226"/>
      <c r="BO6" s="2226"/>
      <c r="BP6" s="2226"/>
      <c r="BQ6" s="2188">
        <f t="shared" si="3"/>
        <v>0</v>
      </c>
      <c r="BS6" s="1845" t="s">
        <v>76</v>
      </c>
      <c r="BT6" s="1846">
        <f t="shared" si="4"/>
        <v>0</v>
      </c>
      <c r="BU6" s="2225"/>
      <c r="BV6" s="2225"/>
      <c r="BW6" s="2225"/>
      <c r="BX6" s="2225"/>
      <c r="BY6" s="2225"/>
      <c r="BZ6" s="2225"/>
      <c r="CA6" s="2225"/>
      <c r="CB6" s="2225"/>
      <c r="CC6" s="2225"/>
      <c r="CD6" s="2225"/>
      <c r="CE6" s="2225"/>
      <c r="CF6" s="2225"/>
      <c r="CG6" s="2225"/>
      <c r="CH6" s="2225"/>
      <c r="CI6" s="2225"/>
      <c r="CJ6" s="2225"/>
      <c r="CK6" s="2225"/>
      <c r="CL6" s="2225"/>
      <c r="CM6" s="2225"/>
      <c r="CN6" s="2225"/>
      <c r="CO6" s="2225"/>
      <c r="CP6" s="2225"/>
      <c r="CQ6" s="2225"/>
      <c r="CR6" s="2225"/>
      <c r="CS6" s="2225"/>
      <c r="CT6" s="2225"/>
      <c r="CU6" s="2225"/>
      <c r="CV6" s="2225"/>
      <c r="CW6" s="2225"/>
      <c r="CX6" s="2225"/>
      <c r="CY6" s="2225"/>
      <c r="CZ6" s="2180">
        <f t="shared" si="5"/>
        <v>0</v>
      </c>
      <c r="DB6" s="1962" t="s">
        <v>76</v>
      </c>
      <c r="DC6" s="2175">
        <f t="shared" si="6"/>
        <v>0</v>
      </c>
      <c r="DD6" s="2261"/>
      <c r="DE6" s="2261"/>
      <c r="DF6" s="2261"/>
      <c r="DG6" s="2261"/>
      <c r="DH6" s="2261"/>
      <c r="DI6" s="2261"/>
      <c r="DJ6" s="2261"/>
      <c r="DK6" s="2261"/>
      <c r="DL6" s="2261"/>
      <c r="DM6" s="2261"/>
      <c r="DN6" s="2261"/>
      <c r="DO6" s="2261"/>
      <c r="DP6" s="2261"/>
      <c r="DQ6" s="2261"/>
      <c r="DR6" s="2261"/>
      <c r="DS6" s="2261"/>
      <c r="DT6" s="2261"/>
      <c r="DU6" s="2261"/>
      <c r="DV6" s="2261"/>
      <c r="DW6" s="2261"/>
      <c r="DX6" s="2261"/>
      <c r="DY6" s="2261"/>
      <c r="DZ6" s="2261"/>
      <c r="EA6" s="2261"/>
      <c r="EB6" s="2261"/>
      <c r="EC6" s="2261"/>
      <c r="ED6" s="2261"/>
      <c r="EE6" s="2261"/>
      <c r="EF6" s="2261"/>
      <c r="EG6" s="2261"/>
      <c r="EH6" s="2261"/>
      <c r="EI6" s="2171">
        <f t="shared" si="7"/>
        <v>0</v>
      </c>
      <c r="EK6" s="2163" t="s">
        <v>76</v>
      </c>
      <c r="EL6" s="3170">
        <f t="shared" si="8"/>
        <v>13.713000000000001</v>
      </c>
      <c r="EM6" s="2159"/>
      <c r="EN6" s="2297"/>
      <c r="EO6" s="2308"/>
      <c r="EP6" s="2306"/>
      <c r="EQ6" s="2308"/>
      <c r="ER6" s="2308"/>
      <c r="ES6" s="2308"/>
      <c r="ET6" s="2308"/>
      <c r="EU6" s="2299">
        <v>4.2649999999999997</v>
      </c>
      <c r="EV6" s="2308"/>
      <c r="EW6" s="2308"/>
      <c r="EX6" s="2299">
        <v>3.7540000000000004</v>
      </c>
      <c r="EY6" s="2297">
        <v>2.9260000000000002</v>
      </c>
      <c r="EZ6" s="2298">
        <v>2.7679999999999998</v>
      </c>
      <c r="FA6" s="2308"/>
      <c r="FB6" s="2308"/>
      <c r="FC6" s="2308"/>
      <c r="FD6" s="2298"/>
      <c r="FE6" s="2308"/>
      <c r="FF6" s="2298"/>
      <c r="FG6" s="2308"/>
      <c r="FH6" s="2308"/>
      <c r="FI6" s="2159"/>
      <c r="FJ6" s="2159"/>
      <c r="FK6" s="2159"/>
      <c r="FL6" s="2159"/>
      <c r="FM6" s="2159"/>
      <c r="FN6" s="2159"/>
      <c r="FO6" s="2159"/>
      <c r="FP6" s="2159"/>
      <c r="FQ6" s="2159"/>
      <c r="FR6" s="2158">
        <f>SUM(EM6:FQ6)</f>
        <v>13.713000000000001</v>
      </c>
      <c r="FU6" s="3444">
        <v>1.978</v>
      </c>
      <c r="FV6" s="2297"/>
      <c r="FW6" s="2307"/>
      <c r="FX6" s="2306"/>
      <c r="FY6" s="2305"/>
      <c r="FZ6" s="3445">
        <v>0.64100000000000001</v>
      </c>
      <c r="GA6" s="2298"/>
      <c r="GB6" s="2297"/>
      <c r="GC6" s="2297"/>
      <c r="GD6" s="2297"/>
      <c r="GE6" s="2297"/>
      <c r="GF6" s="2297"/>
      <c r="GG6" s="2297"/>
      <c r="GH6" s="2298"/>
      <c r="GI6" s="3445">
        <f>1.342+5.724+1.209+6.677</f>
        <v>14.952</v>
      </c>
      <c r="GJ6" s="2298"/>
      <c r="GK6" s="2298"/>
      <c r="GL6" s="2298"/>
      <c r="GM6" s="2298"/>
      <c r="GN6" s="3445">
        <v>3.403</v>
      </c>
      <c r="GO6" s="2298"/>
      <c r="GP6" s="2298"/>
      <c r="GQ6" s="2298"/>
      <c r="GR6" s="2298"/>
      <c r="GS6" s="2298"/>
      <c r="GT6" s="2298"/>
      <c r="GU6" s="2298"/>
      <c r="GV6" s="2298"/>
      <c r="GW6" s="2304"/>
    </row>
    <row r="7" spans="1:205" ht="15.75">
      <c r="A7" s="1249" t="s">
        <v>77</v>
      </c>
      <c r="B7" s="1287">
        <f t="shared" si="0"/>
        <v>0</v>
      </c>
      <c r="C7" s="2271"/>
      <c r="D7" s="2271"/>
      <c r="E7" s="2271"/>
      <c r="F7" s="2271"/>
      <c r="G7" s="2271"/>
      <c r="H7" s="2271"/>
      <c r="I7" s="2271"/>
      <c r="J7" s="2271"/>
      <c r="K7" s="2271"/>
      <c r="L7" s="2271"/>
      <c r="M7" s="2271"/>
      <c r="N7" s="2271"/>
      <c r="O7" s="2271"/>
      <c r="P7" s="2271"/>
      <c r="Q7" s="2271"/>
      <c r="R7" s="2271"/>
      <c r="S7" s="2271"/>
      <c r="T7" s="2271"/>
      <c r="U7" s="2271"/>
      <c r="V7" s="2271"/>
      <c r="W7" s="2271"/>
      <c r="X7" s="2271"/>
      <c r="Y7" s="2271"/>
      <c r="Z7" s="2271"/>
      <c r="AA7" s="2271"/>
      <c r="AB7" s="2271"/>
      <c r="AC7" s="2271"/>
      <c r="AD7" s="2271"/>
      <c r="AE7" s="2271"/>
      <c r="AF7" s="2271"/>
      <c r="AG7" s="2271"/>
      <c r="AH7" s="1488">
        <f t="shared" si="1"/>
        <v>0</v>
      </c>
      <c r="AJ7" s="1746" t="s">
        <v>77</v>
      </c>
      <c r="AK7" s="1749">
        <f t="shared" si="2"/>
        <v>0</v>
      </c>
      <c r="AL7" s="2226"/>
      <c r="AM7" s="2226"/>
      <c r="AN7" s="2226"/>
      <c r="AO7" s="2226"/>
      <c r="AP7" s="2226"/>
      <c r="AQ7" s="2226"/>
      <c r="AR7" s="2226"/>
      <c r="AS7" s="2226"/>
      <c r="AT7" s="2226"/>
      <c r="AU7" s="2226"/>
      <c r="AV7" s="2226"/>
      <c r="AW7" s="2226"/>
      <c r="AX7" s="2226"/>
      <c r="AY7" s="2226"/>
      <c r="AZ7" s="2226"/>
      <c r="BA7" s="2226"/>
      <c r="BB7" s="2226"/>
      <c r="BC7" s="2226"/>
      <c r="BD7" s="2226"/>
      <c r="BE7" s="2226"/>
      <c r="BF7" s="2226"/>
      <c r="BG7" s="2226"/>
      <c r="BH7" s="2226"/>
      <c r="BI7" s="2226"/>
      <c r="BJ7" s="2226"/>
      <c r="BK7" s="2226"/>
      <c r="BL7" s="2226"/>
      <c r="BM7" s="2226"/>
      <c r="BN7" s="2226"/>
      <c r="BO7" s="2226"/>
      <c r="BP7" s="2226"/>
      <c r="BQ7" s="2188">
        <f t="shared" si="3"/>
        <v>0</v>
      </c>
      <c r="BS7" s="1845" t="s">
        <v>77</v>
      </c>
      <c r="BT7" s="1846">
        <f t="shared" si="4"/>
        <v>0</v>
      </c>
      <c r="BU7" s="2225"/>
      <c r="BV7" s="2225"/>
      <c r="BW7" s="2225"/>
      <c r="BX7" s="2225"/>
      <c r="BY7" s="2225"/>
      <c r="BZ7" s="2225"/>
      <c r="CA7" s="2225"/>
      <c r="CB7" s="2225"/>
      <c r="CC7" s="2225"/>
      <c r="CD7" s="2225"/>
      <c r="CE7" s="2225"/>
      <c r="CF7" s="2225"/>
      <c r="CG7" s="2225"/>
      <c r="CH7" s="2225"/>
      <c r="CI7" s="2225"/>
      <c r="CJ7" s="2225"/>
      <c r="CK7" s="2225"/>
      <c r="CL7" s="2225"/>
      <c r="CM7" s="2225"/>
      <c r="CN7" s="2225"/>
      <c r="CO7" s="2225"/>
      <c r="CP7" s="2225"/>
      <c r="CQ7" s="2225"/>
      <c r="CR7" s="2225"/>
      <c r="CS7" s="2225"/>
      <c r="CT7" s="2225"/>
      <c r="CU7" s="2225"/>
      <c r="CV7" s="2225"/>
      <c r="CW7" s="2225"/>
      <c r="CX7" s="2225"/>
      <c r="CY7" s="2225"/>
      <c r="CZ7" s="2180">
        <f t="shared" si="5"/>
        <v>0</v>
      </c>
      <c r="DB7" s="1962" t="s">
        <v>77</v>
      </c>
      <c r="DC7" s="2175">
        <f t="shared" si="6"/>
        <v>0</v>
      </c>
      <c r="DD7" s="2261"/>
      <c r="DE7" s="2261"/>
      <c r="DF7" s="2261"/>
      <c r="DG7" s="2261"/>
      <c r="DH7" s="2261"/>
      <c r="DI7" s="2261"/>
      <c r="DJ7" s="2261"/>
      <c r="DK7" s="2261"/>
      <c r="DL7" s="2261"/>
      <c r="DM7" s="2261"/>
      <c r="DN7" s="2261"/>
      <c r="DO7" s="2261"/>
      <c r="DP7" s="2261"/>
      <c r="DQ7" s="2261"/>
      <c r="DR7" s="2261"/>
      <c r="DS7" s="2261"/>
      <c r="DT7" s="2261"/>
      <c r="DU7" s="2261"/>
      <c r="DV7" s="2261"/>
      <c r="DW7" s="2261"/>
      <c r="DX7" s="2261"/>
      <c r="DY7" s="2261"/>
      <c r="DZ7" s="2261"/>
      <c r="EA7" s="2261"/>
      <c r="EB7" s="2261"/>
      <c r="EC7" s="2261"/>
      <c r="ED7" s="2261"/>
      <c r="EE7" s="2261"/>
      <c r="EF7" s="2261"/>
      <c r="EG7" s="2261"/>
      <c r="EH7" s="2261"/>
      <c r="EI7" s="2171">
        <f t="shared" si="7"/>
        <v>0</v>
      </c>
      <c r="EK7" s="2163" t="s">
        <v>77</v>
      </c>
      <c r="EL7" s="3170">
        <f t="shared" si="8"/>
        <v>25.757999999999999</v>
      </c>
      <c r="EM7" s="2297">
        <v>1.978</v>
      </c>
      <c r="EN7" s="2297"/>
      <c r="EO7" s="2307"/>
      <c r="EP7" s="2306"/>
      <c r="EQ7" s="2305"/>
      <c r="ER7" s="2299">
        <v>0.64100000000000001</v>
      </c>
      <c r="ES7" s="2298"/>
      <c r="ET7" s="2297"/>
      <c r="EU7" s="2297"/>
      <c r="EV7" s="2297"/>
      <c r="EW7" s="2297"/>
      <c r="EX7" s="2297">
        <v>1.8740000000000001</v>
      </c>
      <c r="EY7" s="2297"/>
      <c r="EZ7" s="2298"/>
      <c r="FA7" s="2298">
        <v>14.952</v>
      </c>
      <c r="FB7" s="2298"/>
      <c r="FC7" s="2298"/>
      <c r="FD7" s="2298"/>
      <c r="FE7" s="2298"/>
      <c r="FF7" s="2297">
        <v>3.403</v>
      </c>
      <c r="FG7" s="2298"/>
      <c r="FH7" s="2298"/>
      <c r="FI7" s="2298">
        <v>2.91</v>
      </c>
      <c r="FJ7" s="2298"/>
      <c r="FK7" s="2298"/>
      <c r="FL7" s="2298"/>
      <c r="FM7" s="2298"/>
      <c r="FN7" s="2298"/>
      <c r="FO7" s="2304"/>
      <c r="FP7" s="2297"/>
      <c r="FQ7" s="2297"/>
      <c r="FR7" s="2158">
        <f t="shared" si="9"/>
        <v>25.757999999999999</v>
      </c>
      <c r="FU7" s="2303"/>
      <c r="FV7" s="2302"/>
      <c r="FW7" s="3446">
        <v>0.23</v>
      </c>
      <c r="FX7" s="2301"/>
      <c r="FY7" s="2300"/>
      <c r="FZ7" s="2299"/>
      <c r="GA7" s="2298"/>
      <c r="GB7" s="2298"/>
      <c r="GC7" s="2298"/>
      <c r="GD7" s="2298"/>
      <c r="GE7" s="2297"/>
      <c r="GF7" s="2297"/>
      <c r="GG7" s="2297"/>
      <c r="GH7" s="2297"/>
      <c r="GI7" s="2298"/>
      <c r="GJ7" s="2298"/>
      <c r="GK7" s="2298"/>
      <c r="GL7" s="2298"/>
      <c r="GM7" s="2297"/>
      <c r="GN7" s="2298"/>
      <c r="GO7" s="2298"/>
      <c r="GP7" s="2298"/>
      <c r="GQ7" s="2298"/>
      <c r="GR7" s="2298"/>
      <c r="GS7" s="2298"/>
      <c r="GT7" s="2298"/>
      <c r="GU7" s="2297"/>
      <c r="GV7" s="2298"/>
      <c r="GW7" s="2298"/>
    </row>
    <row r="8" spans="1:205" ht="15">
      <c r="A8" s="1249" t="s">
        <v>78</v>
      </c>
      <c r="B8" s="1287">
        <f t="shared" si="0"/>
        <v>0</v>
      </c>
      <c r="C8" s="1760"/>
      <c r="D8" s="1760"/>
      <c r="E8" s="1760"/>
      <c r="F8" s="1760"/>
      <c r="G8" s="1760"/>
      <c r="H8" s="1760"/>
      <c r="I8" s="1760"/>
      <c r="J8" s="1760"/>
      <c r="K8" s="1760"/>
      <c r="L8" s="1760"/>
      <c r="M8" s="2271"/>
      <c r="N8" s="2271"/>
      <c r="O8" s="2271"/>
      <c r="P8" s="2271"/>
      <c r="Q8" s="2271"/>
      <c r="R8" s="2271"/>
      <c r="S8" s="2271"/>
      <c r="T8" s="2271"/>
      <c r="U8" s="2271"/>
      <c r="V8" s="2271"/>
      <c r="W8" s="2271"/>
      <c r="X8" s="2271"/>
      <c r="Y8" s="2271"/>
      <c r="Z8" s="2271"/>
      <c r="AA8" s="2271"/>
      <c r="AB8" s="2271"/>
      <c r="AC8" s="2271"/>
      <c r="AD8" s="2271"/>
      <c r="AE8" s="2271"/>
      <c r="AF8" s="2271"/>
      <c r="AG8" s="1760"/>
      <c r="AH8" s="1488">
        <f t="shared" si="1"/>
        <v>0</v>
      </c>
      <c r="AJ8" s="1746" t="s">
        <v>78</v>
      </c>
      <c r="AK8" s="1749">
        <f t="shared" si="2"/>
        <v>0</v>
      </c>
      <c r="AL8" s="2231"/>
      <c r="AM8" s="2231"/>
      <c r="AN8" s="2231"/>
      <c r="AO8" s="2231"/>
      <c r="AP8" s="2231"/>
      <c r="AQ8" s="2231"/>
      <c r="AR8" s="2231"/>
      <c r="AS8" s="2231"/>
      <c r="AT8" s="2231"/>
      <c r="AU8" s="2231"/>
      <c r="AV8" s="2226"/>
      <c r="AW8" s="2226"/>
      <c r="AX8" s="2226"/>
      <c r="AY8" s="2226"/>
      <c r="AZ8" s="2226"/>
      <c r="BA8" s="2226"/>
      <c r="BB8" s="2226"/>
      <c r="BC8" s="2226"/>
      <c r="BD8" s="2226"/>
      <c r="BE8" s="2226"/>
      <c r="BF8" s="2226"/>
      <c r="BG8" s="2226"/>
      <c r="BH8" s="2226"/>
      <c r="BI8" s="2226"/>
      <c r="BJ8" s="2226"/>
      <c r="BK8" s="2226"/>
      <c r="BL8" s="2226"/>
      <c r="BM8" s="2226"/>
      <c r="BN8" s="2226"/>
      <c r="BO8" s="2226"/>
      <c r="BP8" s="2231"/>
      <c r="BQ8" s="2188">
        <f t="shared" si="3"/>
        <v>0</v>
      </c>
      <c r="BS8" s="1845" t="s">
        <v>78</v>
      </c>
      <c r="BT8" s="1846">
        <f t="shared" si="4"/>
        <v>0</v>
      </c>
      <c r="BU8" s="2230"/>
      <c r="BV8" s="2230"/>
      <c r="BW8" s="2230"/>
      <c r="BX8" s="2230"/>
      <c r="BY8" s="2230"/>
      <c r="BZ8" s="2230"/>
      <c r="CA8" s="2230"/>
      <c r="CB8" s="2230"/>
      <c r="CC8" s="2230"/>
      <c r="CD8" s="2230"/>
      <c r="CE8" s="2225"/>
      <c r="CF8" s="2225"/>
      <c r="CG8" s="2225"/>
      <c r="CH8" s="2225"/>
      <c r="CI8" s="2225"/>
      <c r="CJ8" s="2225"/>
      <c r="CK8" s="2225"/>
      <c r="CL8" s="2225"/>
      <c r="CM8" s="2225"/>
      <c r="CN8" s="2225"/>
      <c r="CO8" s="2225"/>
      <c r="CP8" s="2225"/>
      <c r="CQ8" s="2225"/>
      <c r="CR8" s="2225"/>
      <c r="CS8" s="2225"/>
      <c r="CT8" s="2225"/>
      <c r="CU8" s="2225"/>
      <c r="CV8" s="2225"/>
      <c r="CW8" s="2225"/>
      <c r="CX8" s="2225"/>
      <c r="CY8" s="2230"/>
      <c r="CZ8" s="2180">
        <f t="shared" si="5"/>
        <v>0</v>
      </c>
      <c r="DB8" s="1962" t="s">
        <v>78</v>
      </c>
      <c r="DC8" s="2175">
        <f t="shared" si="6"/>
        <v>0</v>
      </c>
      <c r="DD8" s="2262"/>
      <c r="DE8" s="2262"/>
      <c r="DF8" s="2262"/>
      <c r="DG8" s="2262"/>
      <c r="DH8" s="2262"/>
      <c r="DI8" s="2262"/>
      <c r="DJ8" s="2262"/>
      <c r="DK8" s="2262"/>
      <c r="DL8" s="2262"/>
      <c r="DM8" s="2262"/>
      <c r="DN8" s="2261"/>
      <c r="DO8" s="2261"/>
      <c r="DP8" s="2261"/>
      <c r="DQ8" s="2261"/>
      <c r="DR8" s="2261"/>
      <c r="DS8" s="2261"/>
      <c r="DT8" s="2261"/>
      <c r="DU8" s="2261"/>
      <c r="DV8" s="2261"/>
      <c r="DW8" s="2261"/>
      <c r="DX8" s="2261"/>
      <c r="DY8" s="2261"/>
      <c r="DZ8" s="2261"/>
      <c r="EA8" s="2261"/>
      <c r="EB8" s="2261"/>
      <c r="EC8" s="2261"/>
      <c r="ED8" s="2261"/>
      <c r="EE8" s="2261"/>
      <c r="EF8" s="2261"/>
      <c r="EG8" s="2261"/>
      <c r="EH8" s="2262"/>
      <c r="EI8" s="2171">
        <f t="shared" si="7"/>
        <v>0</v>
      </c>
      <c r="EK8" s="2163" t="s">
        <v>78</v>
      </c>
      <c r="EL8" s="3170">
        <f t="shared" si="8"/>
        <v>0.23</v>
      </c>
      <c r="EM8" s="2303"/>
      <c r="EN8" s="2302"/>
      <c r="EO8" s="2159">
        <v>0.23</v>
      </c>
      <c r="EP8" s="2301"/>
      <c r="EQ8" s="2300"/>
      <c r="ER8" s="2299"/>
      <c r="ES8" s="2298"/>
      <c r="ET8" s="2298"/>
      <c r="EU8" s="2298"/>
      <c r="EV8" s="2298"/>
      <c r="EW8" s="2297"/>
      <c r="EX8" s="2297"/>
      <c r="EY8" s="2297"/>
      <c r="EZ8" s="2297"/>
      <c r="FA8" s="2298"/>
      <c r="FB8" s="2298"/>
      <c r="FC8" s="2298"/>
      <c r="FD8" s="2298"/>
      <c r="FE8" s="2297"/>
      <c r="FF8" s="2298"/>
      <c r="FG8" s="2298"/>
      <c r="FH8" s="2298"/>
      <c r="FI8" s="2298"/>
      <c r="FJ8" s="2298"/>
      <c r="FK8" s="2298"/>
      <c r="FL8" s="2298"/>
      <c r="FM8" s="2297"/>
      <c r="FN8" s="2298"/>
      <c r="FO8" s="2298"/>
      <c r="FP8" s="2297"/>
      <c r="FQ8" s="2297"/>
      <c r="FR8" s="2158">
        <f t="shared" si="9"/>
        <v>0.23</v>
      </c>
      <c r="FU8" s="2159"/>
      <c r="FV8" s="2159"/>
      <c r="FW8" s="2159"/>
      <c r="FX8" s="2159"/>
      <c r="FY8" s="2159"/>
      <c r="FZ8" s="2159"/>
      <c r="GA8" s="2159"/>
      <c r="GB8" s="2159"/>
      <c r="GC8" s="2159"/>
      <c r="GD8" s="2159"/>
      <c r="GE8" s="2326"/>
      <c r="GF8" s="2159"/>
      <c r="GG8" s="2159"/>
      <c r="GH8" s="2159"/>
      <c r="GI8" s="2159"/>
      <c r="GJ8" s="2159"/>
      <c r="GK8" s="2159"/>
      <c r="GL8" s="2159"/>
      <c r="GM8" s="2159"/>
      <c r="GN8" s="2159"/>
      <c r="GO8" s="2159"/>
      <c r="GP8" s="2159"/>
      <c r="GQ8" s="2326"/>
      <c r="GR8" s="2159"/>
      <c r="GS8" s="2159"/>
      <c r="GT8" s="2159"/>
      <c r="GU8" s="2159"/>
      <c r="GV8" s="2159"/>
      <c r="GW8" s="2159"/>
    </row>
    <row r="9" spans="1:205" ht="15">
      <c r="A9" s="1249" t="s">
        <v>79</v>
      </c>
      <c r="B9" s="1287">
        <f t="shared" si="0"/>
        <v>0</v>
      </c>
      <c r="C9" s="1760"/>
      <c r="D9" s="1760"/>
      <c r="E9" s="1760"/>
      <c r="F9" s="2271"/>
      <c r="G9" s="1760"/>
      <c r="H9" s="2271"/>
      <c r="I9" s="1760"/>
      <c r="J9" s="2271"/>
      <c r="K9" s="1760"/>
      <c r="L9" s="1760"/>
      <c r="M9" s="1760"/>
      <c r="N9" s="1760"/>
      <c r="O9" s="1760"/>
      <c r="P9" s="1760"/>
      <c r="Q9" s="1760"/>
      <c r="R9" s="1760"/>
      <c r="S9" s="2271"/>
      <c r="T9" s="1760"/>
      <c r="U9" s="1760"/>
      <c r="V9" s="2271"/>
      <c r="W9" s="1760"/>
      <c r="X9" s="1760"/>
      <c r="Y9" s="2271"/>
      <c r="Z9" s="1760"/>
      <c r="AA9" s="1760"/>
      <c r="AB9" s="2271"/>
      <c r="AC9" s="1760"/>
      <c r="AD9" s="1760"/>
      <c r="AE9" s="2271"/>
      <c r="AF9" s="1760"/>
      <c r="AG9" s="1760"/>
      <c r="AH9" s="1488">
        <f t="shared" si="1"/>
        <v>0</v>
      </c>
      <c r="AJ9" s="1746" t="s">
        <v>79</v>
      </c>
      <c r="AK9" s="1749">
        <f t="shared" si="2"/>
        <v>0</v>
      </c>
      <c r="AL9" s="2231"/>
      <c r="AM9" s="2231"/>
      <c r="AN9" s="2231"/>
      <c r="AO9" s="2226"/>
      <c r="AP9" s="2231"/>
      <c r="AQ9" s="2226"/>
      <c r="AR9" s="2231"/>
      <c r="AS9" s="2226"/>
      <c r="AT9" s="2231"/>
      <c r="AU9" s="2231"/>
      <c r="AV9" s="2231"/>
      <c r="AW9" s="2231"/>
      <c r="AX9" s="2231"/>
      <c r="AY9" s="2231"/>
      <c r="AZ9" s="2231"/>
      <c r="BA9" s="2231"/>
      <c r="BB9" s="2226"/>
      <c r="BC9" s="2231"/>
      <c r="BD9" s="2231"/>
      <c r="BE9" s="2226"/>
      <c r="BF9" s="2231"/>
      <c r="BG9" s="2231"/>
      <c r="BH9" s="2226"/>
      <c r="BI9" s="2231"/>
      <c r="BJ9" s="2231"/>
      <c r="BK9" s="2226"/>
      <c r="BL9" s="2231"/>
      <c r="BM9" s="2231"/>
      <c r="BN9" s="2226"/>
      <c r="BO9" s="2231"/>
      <c r="BP9" s="2231"/>
      <c r="BQ9" s="2188">
        <f t="shared" si="3"/>
        <v>0</v>
      </c>
      <c r="BS9" s="1845" t="s">
        <v>79</v>
      </c>
      <c r="BT9" s="1846">
        <f t="shared" si="4"/>
        <v>0</v>
      </c>
      <c r="BU9" s="2230"/>
      <c r="BV9" s="2230"/>
      <c r="BW9" s="2230"/>
      <c r="BX9" s="2225"/>
      <c r="BY9" s="2230"/>
      <c r="BZ9" s="2225"/>
      <c r="CA9" s="2230"/>
      <c r="CB9" s="2225"/>
      <c r="CC9" s="2230"/>
      <c r="CD9" s="2230"/>
      <c r="CE9" s="2230"/>
      <c r="CF9" s="2230"/>
      <c r="CG9" s="2230"/>
      <c r="CH9" s="2230"/>
      <c r="CI9" s="2230"/>
      <c r="CJ9" s="2230"/>
      <c r="CK9" s="2225"/>
      <c r="CL9" s="2230"/>
      <c r="CM9" s="2230"/>
      <c r="CN9" s="2225"/>
      <c r="CO9" s="2230"/>
      <c r="CP9" s="2230"/>
      <c r="CQ9" s="2225"/>
      <c r="CR9" s="2230"/>
      <c r="CS9" s="2230"/>
      <c r="CT9" s="2225"/>
      <c r="CU9" s="2230"/>
      <c r="CV9" s="2230"/>
      <c r="CW9" s="2225"/>
      <c r="CX9" s="2230"/>
      <c r="CY9" s="2230"/>
      <c r="CZ9" s="2180">
        <f t="shared" si="5"/>
        <v>0</v>
      </c>
      <c r="DB9" s="1962" t="s">
        <v>79</v>
      </c>
      <c r="DC9" s="2175">
        <f t="shared" si="6"/>
        <v>0</v>
      </c>
      <c r="DD9" s="2262"/>
      <c r="DE9" s="2262"/>
      <c r="DF9" s="2262"/>
      <c r="DG9" s="2261"/>
      <c r="DH9" s="2262"/>
      <c r="DI9" s="2261"/>
      <c r="DJ9" s="2262"/>
      <c r="DK9" s="2261"/>
      <c r="DL9" s="2262"/>
      <c r="DM9" s="2262"/>
      <c r="DN9" s="2262"/>
      <c r="DO9" s="2262"/>
      <c r="DP9" s="2262"/>
      <c r="DQ9" s="2262"/>
      <c r="DR9" s="2262"/>
      <c r="DS9" s="2262"/>
      <c r="DT9" s="2261"/>
      <c r="DU9" s="2262"/>
      <c r="DV9" s="2262"/>
      <c r="DW9" s="2261"/>
      <c r="DX9" s="2262"/>
      <c r="DY9" s="2262"/>
      <c r="DZ9" s="2261"/>
      <c r="EA9" s="2262"/>
      <c r="EB9" s="2262"/>
      <c r="EC9" s="2261"/>
      <c r="ED9" s="2262"/>
      <c r="EE9" s="2262"/>
      <c r="EF9" s="2261"/>
      <c r="EG9" s="2262"/>
      <c r="EH9" s="2262"/>
      <c r="EI9" s="2171">
        <f t="shared" si="7"/>
        <v>0</v>
      </c>
      <c r="EK9" s="2163" t="s">
        <v>79</v>
      </c>
      <c r="EL9" s="3170">
        <f t="shared" si="8"/>
        <v>3.7389999999999999</v>
      </c>
      <c r="EM9" s="2159"/>
      <c r="EN9" s="2159"/>
      <c r="EO9" s="2159"/>
      <c r="EP9" s="2159"/>
      <c r="EQ9" s="2159"/>
      <c r="ER9" s="2159"/>
      <c r="ES9" s="2159"/>
      <c r="ET9" s="2159"/>
      <c r="EU9" s="2159"/>
      <c r="EV9" s="2159"/>
      <c r="EW9" s="2299"/>
      <c r="EX9" s="2159"/>
      <c r="EY9" s="2159"/>
      <c r="EZ9" s="2159"/>
      <c r="FA9" s="2159"/>
      <c r="FB9" s="2159"/>
      <c r="FC9" s="2159">
        <v>3.7389999999999999</v>
      </c>
      <c r="FD9" s="2159"/>
      <c r="FE9" s="2159"/>
      <c r="FF9" s="2159"/>
      <c r="FG9" s="2159"/>
      <c r="FH9" s="2159"/>
      <c r="FI9" s="2159"/>
      <c r="FJ9" s="2159"/>
      <c r="FK9" s="2159"/>
      <c r="FL9" s="2159"/>
      <c r="FM9" s="2159"/>
      <c r="FN9" s="2159"/>
      <c r="FO9" s="2159"/>
      <c r="FP9" s="2159"/>
      <c r="FQ9" s="2159"/>
      <c r="FR9" s="2158">
        <f t="shared" si="9"/>
        <v>3.7389999999999999</v>
      </c>
    </row>
    <row r="10" spans="1:205" ht="15">
      <c r="A10" s="1249" t="s">
        <v>80</v>
      </c>
      <c r="B10" s="1287">
        <f t="shared" si="0"/>
        <v>0</v>
      </c>
      <c r="C10" s="1760"/>
      <c r="D10" s="1760"/>
      <c r="E10" s="1760"/>
      <c r="F10" s="1760"/>
      <c r="G10" s="1760"/>
      <c r="H10" s="1760"/>
      <c r="I10" s="1760"/>
      <c r="J10" s="1760"/>
      <c r="K10" s="1760"/>
      <c r="L10" s="1760"/>
      <c r="M10" s="1760"/>
      <c r="N10" s="2271"/>
      <c r="O10" s="1760"/>
      <c r="P10" s="2271"/>
      <c r="Q10" s="1760"/>
      <c r="R10" s="2271"/>
      <c r="S10" s="1760"/>
      <c r="T10" s="2271"/>
      <c r="U10" s="1760"/>
      <c r="V10" s="2271"/>
      <c r="W10" s="1760"/>
      <c r="X10" s="2271"/>
      <c r="Y10" s="1760"/>
      <c r="Z10" s="2271"/>
      <c r="AA10" s="1760"/>
      <c r="AB10" s="2271"/>
      <c r="AC10" s="1760"/>
      <c r="AD10" s="2271"/>
      <c r="AE10" s="1760"/>
      <c r="AF10" s="2271"/>
      <c r="AG10" s="1760"/>
      <c r="AH10" s="1488">
        <f t="shared" si="1"/>
        <v>0</v>
      </c>
      <c r="AJ10" s="1746" t="s">
        <v>80</v>
      </c>
      <c r="AK10" s="1749">
        <f t="shared" si="2"/>
        <v>0</v>
      </c>
      <c r="AL10" s="2231"/>
      <c r="AM10" s="2231"/>
      <c r="AN10" s="2231"/>
      <c r="AO10" s="2231"/>
      <c r="AP10" s="2231"/>
      <c r="AQ10" s="2231"/>
      <c r="AR10" s="2231"/>
      <c r="AS10" s="2231"/>
      <c r="AT10" s="2231"/>
      <c r="AU10" s="2231"/>
      <c r="AV10" s="2231"/>
      <c r="AW10" s="2226"/>
      <c r="AX10" s="2231"/>
      <c r="AY10" s="2226"/>
      <c r="AZ10" s="2231"/>
      <c r="BA10" s="2226"/>
      <c r="BB10" s="2231"/>
      <c r="BC10" s="2226"/>
      <c r="BD10" s="2231"/>
      <c r="BE10" s="2226"/>
      <c r="BF10" s="2231"/>
      <c r="BG10" s="2226"/>
      <c r="BH10" s="2231"/>
      <c r="BI10" s="2226"/>
      <c r="BJ10" s="2231"/>
      <c r="BK10" s="2226"/>
      <c r="BL10" s="2231"/>
      <c r="BM10" s="2226"/>
      <c r="BN10" s="2231"/>
      <c r="BO10" s="2226"/>
      <c r="BP10" s="2231"/>
      <c r="BQ10" s="2188">
        <f t="shared" si="3"/>
        <v>0</v>
      </c>
      <c r="BS10" s="1845" t="s">
        <v>80</v>
      </c>
      <c r="BT10" s="1846">
        <f t="shared" si="4"/>
        <v>0</v>
      </c>
      <c r="BU10" s="2230"/>
      <c r="BV10" s="2230"/>
      <c r="BW10" s="2230"/>
      <c r="BX10" s="2230"/>
      <c r="BY10" s="2230"/>
      <c r="BZ10" s="2230"/>
      <c r="CA10" s="2230"/>
      <c r="CB10" s="2230"/>
      <c r="CC10" s="2230"/>
      <c r="CD10" s="2230"/>
      <c r="CE10" s="2230"/>
      <c r="CF10" s="2225"/>
      <c r="CG10" s="2230"/>
      <c r="CH10" s="2225"/>
      <c r="CI10" s="2230"/>
      <c r="CJ10" s="2225"/>
      <c r="CK10" s="2230"/>
      <c r="CL10" s="2225"/>
      <c r="CM10" s="2230"/>
      <c r="CN10" s="2225"/>
      <c r="CO10" s="2230"/>
      <c r="CP10" s="2225"/>
      <c r="CQ10" s="2230"/>
      <c r="CR10" s="2225"/>
      <c r="CS10" s="2230"/>
      <c r="CT10" s="2225"/>
      <c r="CU10" s="2230"/>
      <c r="CV10" s="2225"/>
      <c r="CW10" s="2230"/>
      <c r="CX10" s="2225"/>
      <c r="CY10" s="2230"/>
      <c r="CZ10" s="2180">
        <f t="shared" si="5"/>
        <v>0</v>
      </c>
      <c r="DB10" s="1962" t="s">
        <v>80</v>
      </c>
      <c r="DC10" s="2175">
        <f t="shared" si="6"/>
        <v>0</v>
      </c>
      <c r="DD10" s="2262"/>
      <c r="DE10" s="2262"/>
      <c r="DF10" s="2262"/>
      <c r="DG10" s="2262"/>
      <c r="DH10" s="2262"/>
      <c r="DI10" s="2262"/>
      <c r="DJ10" s="2262"/>
      <c r="DK10" s="2262"/>
      <c r="DL10" s="2262"/>
      <c r="DM10" s="2262"/>
      <c r="DN10" s="2262"/>
      <c r="DO10" s="2261"/>
      <c r="DP10" s="2262"/>
      <c r="DQ10" s="2261"/>
      <c r="DR10" s="2262"/>
      <c r="DS10" s="2261"/>
      <c r="DT10" s="2262"/>
      <c r="DU10" s="2261"/>
      <c r="DV10" s="2262"/>
      <c r="DW10" s="2261"/>
      <c r="DX10" s="2262"/>
      <c r="DY10" s="2261"/>
      <c r="DZ10" s="2262"/>
      <c r="EA10" s="2261"/>
      <c r="EB10" s="2262"/>
      <c r="EC10" s="2261"/>
      <c r="ED10" s="2262"/>
      <c r="EE10" s="2261"/>
      <c r="EF10" s="2262"/>
      <c r="EG10" s="2261"/>
      <c r="EH10" s="2262"/>
      <c r="EI10" s="2171">
        <f t="shared" si="7"/>
        <v>0</v>
      </c>
      <c r="EK10" s="2163" t="s">
        <v>80</v>
      </c>
      <c r="EL10" s="3170">
        <f t="shared" si="8"/>
        <v>0</v>
      </c>
      <c r="EM10" s="2159"/>
      <c r="EN10" s="2159"/>
      <c r="EO10" s="2159"/>
      <c r="EP10" s="2159"/>
      <c r="EQ10" s="2159"/>
      <c r="ER10" s="2159"/>
      <c r="ES10" s="2159"/>
      <c r="ET10" s="2159"/>
      <c r="EU10" s="2159"/>
      <c r="EV10" s="2159"/>
      <c r="EW10" s="2159"/>
      <c r="EX10" s="2159"/>
      <c r="EY10" s="2159"/>
      <c r="EZ10" s="2159"/>
      <c r="FA10" s="2159"/>
      <c r="FB10" s="2159"/>
      <c r="FC10" s="2159"/>
      <c r="FD10" s="2159"/>
      <c r="FE10" s="2159"/>
      <c r="FF10" s="2159"/>
      <c r="FG10" s="2159"/>
      <c r="FH10" s="2159"/>
      <c r="FI10" s="2159"/>
      <c r="FJ10" s="2159"/>
      <c r="FK10" s="2159"/>
      <c r="FL10" s="2159"/>
      <c r="FM10" s="2159"/>
      <c r="FN10" s="2159"/>
      <c r="FO10" s="2159"/>
      <c r="FP10" s="2159"/>
      <c r="FQ10" s="2159"/>
      <c r="FR10" s="2158">
        <f t="shared" si="9"/>
        <v>0</v>
      </c>
    </row>
    <row r="11" spans="1:205" ht="15">
      <c r="A11" s="1249" t="s">
        <v>81</v>
      </c>
      <c r="B11" s="1287">
        <f t="shared" si="0"/>
        <v>0</v>
      </c>
      <c r="C11" s="1760"/>
      <c r="D11" s="1760"/>
      <c r="E11" s="1760"/>
      <c r="F11" s="1760"/>
      <c r="G11" s="1760"/>
      <c r="H11" s="1760"/>
      <c r="I11" s="1760"/>
      <c r="J11" s="1760"/>
      <c r="K11" s="1760"/>
      <c r="L11" s="1760"/>
      <c r="M11" s="1760"/>
      <c r="N11" s="1760"/>
      <c r="O11" s="1760"/>
      <c r="P11" s="1760"/>
      <c r="Q11" s="1760"/>
      <c r="R11" s="1760"/>
      <c r="S11" s="1760"/>
      <c r="T11" s="1760"/>
      <c r="U11" s="1760"/>
      <c r="V11" s="1760"/>
      <c r="W11" s="1760"/>
      <c r="X11" s="1760"/>
      <c r="Y11" s="1760"/>
      <c r="Z11" s="1760"/>
      <c r="AA11" s="1760"/>
      <c r="AB11" s="1760"/>
      <c r="AC11" s="1760"/>
      <c r="AD11" s="1760"/>
      <c r="AE11" s="1760"/>
      <c r="AF11" s="1760"/>
      <c r="AG11" s="1760"/>
      <c r="AH11" s="1488">
        <f t="shared" si="1"/>
        <v>0</v>
      </c>
      <c r="AJ11" s="1746" t="s">
        <v>81</v>
      </c>
      <c r="AK11" s="1749">
        <f t="shared" si="2"/>
        <v>0</v>
      </c>
      <c r="AL11" s="2231"/>
      <c r="AM11" s="2231"/>
      <c r="AN11" s="2231"/>
      <c r="AO11" s="2231"/>
      <c r="AP11" s="2231"/>
      <c r="AQ11" s="2231"/>
      <c r="AR11" s="2231"/>
      <c r="AS11" s="2231"/>
      <c r="AT11" s="2231"/>
      <c r="AU11" s="2231"/>
      <c r="AV11" s="2231"/>
      <c r="AW11" s="2231"/>
      <c r="AX11" s="2231"/>
      <c r="AY11" s="2231"/>
      <c r="AZ11" s="2231"/>
      <c r="BA11" s="2231"/>
      <c r="BB11" s="2231"/>
      <c r="BC11" s="2231"/>
      <c r="BD11" s="2231"/>
      <c r="BE11" s="2231"/>
      <c r="BF11" s="2231"/>
      <c r="BG11" s="2231"/>
      <c r="BH11" s="2231"/>
      <c r="BI11" s="2231"/>
      <c r="BJ11" s="2231"/>
      <c r="BK11" s="2231"/>
      <c r="BL11" s="2231"/>
      <c r="BM11" s="2231"/>
      <c r="BN11" s="2231"/>
      <c r="BO11" s="2231"/>
      <c r="BP11" s="2231"/>
      <c r="BQ11" s="2188">
        <f t="shared" si="3"/>
        <v>0</v>
      </c>
      <c r="BS11" s="1845" t="s">
        <v>81</v>
      </c>
      <c r="BT11" s="1846">
        <f t="shared" si="4"/>
        <v>0</v>
      </c>
      <c r="BU11" s="2230"/>
      <c r="BV11" s="2230"/>
      <c r="BW11" s="2230"/>
      <c r="BX11" s="2230"/>
      <c r="BY11" s="2230"/>
      <c r="BZ11" s="2230"/>
      <c r="CA11" s="2230"/>
      <c r="CB11" s="2230"/>
      <c r="CC11" s="2230"/>
      <c r="CD11" s="2230"/>
      <c r="CE11" s="2230"/>
      <c r="CF11" s="2230"/>
      <c r="CG11" s="2230"/>
      <c r="CH11" s="2230"/>
      <c r="CI11" s="2230"/>
      <c r="CJ11" s="2230"/>
      <c r="CK11" s="2230"/>
      <c r="CL11" s="2230"/>
      <c r="CM11" s="2230"/>
      <c r="CN11" s="2230"/>
      <c r="CO11" s="2230"/>
      <c r="CP11" s="2230"/>
      <c r="CQ11" s="2230"/>
      <c r="CR11" s="2230"/>
      <c r="CS11" s="2230"/>
      <c r="CT11" s="2230"/>
      <c r="CU11" s="2230"/>
      <c r="CV11" s="2230"/>
      <c r="CW11" s="2230"/>
      <c r="CX11" s="2230"/>
      <c r="CY11" s="2230"/>
      <c r="CZ11" s="2180">
        <f t="shared" si="5"/>
        <v>0</v>
      </c>
      <c r="DB11" s="1962" t="s">
        <v>81</v>
      </c>
      <c r="DC11" s="2175">
        <f t="shared" si="6"/>
        <v>0</v>
      </c>
      <c r="DD11" s="2262"/>
      <c r="DE11" s="2262"/>
      <c r="DF11" s="2262"/>
      <c r="DG11" s="2262"/>
      <c r="DH11" s="2262"/>
      <c r="DI11" s="2262"/>
      <c r="DJ11" s="2262"/>
      <c r="DK11" s="2262"/>
      <c r="DL11" s="2262"/>
      <c r="DM11" s="2262"/>
      <c r="DN11" s="2262"/>
      <c r="DO11" s="2262"/>
      <c r="DP11" s="2262"/>
      <c r="DQ11" s="2262"/>
      <c r="DR11" s="2262"/>
      <c r="DS11" s="2262"/>
      <c r="DT11" s="2262"/>
      <c r="DU11" s="2262"/>
      <c r="DV11" s="2262"/>
      <c r="DW11" s="2262"/>
      <c r="DX11" s="2262"/>
      <c r="DY11" s="2262"/>
      <c r="DZ11" s="2262"/>
      <c r="EA11" s="2262"/>
      <c r="EB11" s="2262"/>
      <c r="EC11" s="2262"/>
      <c r="ED11" s="2262"/>
      <c r="EE11" s="2262"/>
      <c r="EF11" s="2262"/>
      <c r="EG11" s="2262"/>
      <c r="EH11" s="2262"/>
      <c r="EI11" s="2171">
        <f t="shared" si="7"/>
        <v>0</v>
      </c>
      <c r="EK11" s="2163" t="s">
        <v>81</v>
      </c>
      <c r="EL11" s="3170">
        <f t="shared" si="8"/>
        <v>0</v>
      </c>
      <c r="EM11" s="2159"/>
      <c r="EN11" s="2159"/>
      <c r="EO11" s="2159"/>
      <c r="EP11" s="2159"/>
      <c r="EQ11" s="2159"/>
      <c r="ER11" s="2159"/>
      <c r="ES11" s="2159"/>
      <c r="ET11" s="2159"/>
      <c r="EU11" s="2159"/>
      <c r="EV11" s="2159"/>
      <c r="EW11" s="2159"/>
      <c r="EX11" s="2159"/>
      <c r="EY11" s="2159"/>
      <c r="EZ11" s="2159"/>
      <c r="FA11" s="2159"/>
      <c r="FB11" s="2159"/>
      <c r="FC11" s="2159"/>
      <c r="FD11" s="2159"/>
      <c r="FE11" s="2159"/>
      <c r="FF11" s="2159"/>
      <c r="FG11" s="2159"/>
      <c r="FH11" s="2159"/>
      <c r="FI11" s="2159"/>
      <c r="FJ11" s="2159"/>
      <c r="FK11" s="2159"/>
      <c r="FL11" s="2159"/>
      <c r="FM11" s="2159"/>
      <c r="FN11" s="2159"/>
      <c r="FO11" s="2159"/>
      <c r="FP11" s="2159"/>
      <c r="FQ11" s="2159"/>
      <c r="FR11" s="2158">
        <f t="shared" si="9"/>
        <v>0</v>
      </c>
    </row>
    <row r="12" spans="1:205" ht="15">
      <c r="A12" s="1249" t="s">
        <v>82</v>
      </c>
      <c r="B12" s="1287">
        <f t="shared" si="0"/>
        <v>0</v>
      </c>
      <c r="C12" s="2271"/>
      <c r="D12" s="2272"/>
      <c r="E12" s="2271"/>
      <c r="F12" s="2271"/>
      <c r="G12" s="2271"/>
      <c r="H12" s="2271"/>
      <c r="I12" s="2271"/>
      <c r="J12" s="2271"/>
      <c r="K12" s="2271"/>
      <c r="L12" s="2271"/>
      <c r="M12" s="2271"/>
      <c r="N12" s="2271"/>
      <c r="O12" s="2271"/>
      <c r="P12" s="2271"/>
      <c r="Q12" s="2271"/>
      <c r="R12" s="2271"/>
      <c r="S12" s="2271"/>
      <c r="T12" s="2271"/>
      <c r="U12" s="2271"/>
      <c r="V12" s="2271"/>
      <c r="W12" s="2271"/>
      <c r="X12" s="2271"/>
      <c r="Y12" s="2271"/>
      <c r="Z12" s="2271"/>
      <c r="AA12" s="2271"/>
      <c r="AB12" s="2271"/>
      <c r="AC12" s="2271"/>
      <c r="AD12" s="2271"/>
      <c r="AE12" s="2271"/>
      <c r="AF12" s="2271"/>
      <c r="AG12" s="2271"/>
      <c r="AH12" s="1488">
        <f t="shared" si="1"/>
        <v>0</v>
      </c>
      <c r="AJ12" s="1746" t="s">
        <v>82</v>
      </c>
      <c r="AK12" s="1749">
        <f t="shared" si="2"/>
        <v>0</v>
      </c>
      <c r="AL12" s="2226"/>
      <c r="AM12" s="2229"/>
      <c r="AN12" s="2226"/>
      <c r="AO12" s="2226"/>
      <c r="AP12" s="2226"/>
      <c r="AQ12" s="2226"/>
      <c r="AR12" s="2226"/>
      <c r="AS12" s="2226"/>
      <c r="AT12" s="2226"/>
      <c r="AU12" s="2226"/>
      <c r="AV12" s="2226"/>
      <c r="AW12" s="2226"/>
      <c r="AX12" s="2226"/>
      <c r="AY12" s="2226"/>
      <c r="AZ12" s="2226"/>
      <c r="BA12" s="2226"/>
      <c r="BB12" s="2226"/>
      <c r="BC12" s="2226"/>
      <c r="BD12" s="2226"/>
      <c r="BE12" s="2226"/>
      <c r="BF12" s="2226"/>
      <c r="BG12" s="2226"/>
      <c r="BH12" s="2226"/>
      <c r="BI12" s="2226"/>
      <c r="BJ12" s="2226"/>
      <c r="BK12" s="2226"/>
      <c r="BL12" s="2226"/>
      <c r="BM12" s="2226"/>
      <c r="BN12" s="2226"/>
      <c r="BO12" s="2226"/>
      <c r="BP12" s="2226"/>
      <c r="BQ12" s="2188">
        <f t="shared" si="3"/>
        <v>0</v>
      </c>
      <c r="BS12" s="1845" t="s">
        <v>82</v>
      </c>
      <c r="BT12" s="1846">
        <f t="shared" si="4"/>
        <v>0</v>
      </c>
      <c r="BU12" s="2225"/>
      <c r="BV12" s="2228"/>
      <c r="BW12" s="2225"/>
      <c r="BX12" s="2225"/>
      <c r="BY12" s="2225"/>
      <c r="BZ12" s="2225"/>
      <c r="CA12" s="2225"/>
      <c r="CB12" s="2225"/>
      <c r="CC12" s="2225"/>
      <c r="CD12" s="2225"/>
      <c r="CE12" s="2225"/>
      <c r="CF12" s="2225"/>
      <c r="CG12" s="2225"/>
      <c r="CH12" s="2225"/>
      <c r="CI12" s="2225"/>
      <c r="CJ12" s="2225"/>
      <c r="CK12" s="2225"/>
      <c r="CL12" s="2225"/>
      <c r="CM12" s="2225"/>
      <c r="CN12" s="2225"/>
      <c r="CO12" s="2225"/>
      <c r="CP12" s="2225"/>
      <c r="CQ12" s="2225"/>
      <c r="CR12" s="2225"/>
      <c r="CS12" s="2225"/>
      <c r="CT12" s="2225"/>
      <c r="CU12" s="2225"/>
      <c r="CV12" s="2225"/>
      <c r="CW12" s="2225"/>
      <c r="CX12" s="2225"/>
      <c r="CY12" s="2225"/>
      <c r="CZ12" s="2180">
        <f t="shared" si="5"/>
        <v>0</v>
      </c>
      <c r="DB12" s="1962" t="s">
        <v>82</v>
      </c>
      <c r="DC12" s="2175">
        <f t="shared" si="6"/>
        <v>0</v>
      </c>
      <c r="DD12" s="2261"/>
      <c r="DE12" s="2263"/>
      <c r="DF12" s="2261"/>
      <c r="DG12" s="2261"/>
      <c r="DH12" s="2261"/>
      <c r="DI12" s="2261"/>
      <c r="DJ12" s="2261"/>
      <c r="DK12" s="2261"/>
      <c r="DL12" s="2261"/>
      <c r="DM12" s="2261"/>
      <c r="DN12" s="2261"/>
      <c r="DO12" s="2261"/>
      <c r="DP12" s="2261"/>
      <c r="DQ12" s="2261"/>
      <c r="DR12" s="2261"/>
      <c r="DS12" s="2261"/>
      <c r="DT12" s="2261"/>
      <c r="DU12" s="2261"/>
      <c r="DV12" s="2261"/>
      <c r="DW12" s="2261"/>
      <c r="DX12" s="2261"/>
      <c r="DY12" s="2261"/>
      <c r="DZ12" s="2261"/>
      <c r="EA12" s="2261"/>
      <c r="EB12" s="2261"/>
      <c r="EC12" s="2261"/>
      <c r="ED12" s="2261"/>
      <c r="EE12" s="2261"/>
      <c r="EF12" s="2261"/>
      <c r="EG12" s="2261"/>
      <c r="EH12" s="2261"/>
      <c r="EI12" s="2171">
        <f t="shared" si="7"/>
        <v>0</v>
      </c>
      <c r="EK12" s="2163" t="s">
        <v>82</v>
      </c>
      <c r="EL12" s="3170">
        <f t="shared" si="8"/>
        <v>0</v>
      </c>
      <c r="EM12" s="2159"/>
      <c r="EN12" s="2159"/>
      <c r="EO12" s="2159"/>
      <c r="EP12" s="2159"/>
      <c r="EQ12" s="2159"/>
      <c r="ER12" s="2159"/>
      <c r="ES12" s="2159"/>
      <c r="ET12" s="2159"/>
      <c r="EU12" s="2159"/>
      <c r="EV12" s="2159"/>
      <c r="EW12" s="2159"/>
      <c r="EX12" s="2159"/>
      <c r="EY12" s="2159"/>
      <c r="EZ12" s="2159"/>
      <c r="FA12" s="2159"/>
      <c r="FB12" s="2159"/>
      <c r="FC12" s="2159"/>
      <c r="FD12" s="2159"/>
      <c r="FE12" s="2159"/>
      <c r="FF12" s="2159"/>
      <c r="FG12" s="2159"/>
      <c r="FH12" s="2159"/>
      <c r="FI12" s="2159"/>
      <c r="FJ12" s="2159"/>
      <c r="FK12" s="2159"/>
      <c r="FL12" s="2159"/>
      <c r="FM12" s="2159"/>
      <c r="FN12" s="2159"/>
      <c r="FO12" s="2159"/>
      <c r="FP12" s="2159"/>
      <c r="FQ12" s="2159"/>
      <c r="FR12" s="2158">
        <f t="shared" si="9"/>
        <v>0</v>
      </c>
    </row>
    <row r="13" spans="1:205" ht="15">
      <c r="A13" s="1249" t="s">
        <v>83</v>
      </c>
      <c r="B13" s="1287">
        <f t="shared" si="0"/>
        <v>0</v>
      </c>
      <c r="C13" s="2271"/>
      <c r="D13" s="2271"/>
      <c r="E13" s="2271"/>
      <c r="F13" s="2271"/>
      <c r="G13" s="2271"/>
      <c r="H13" s="2271"/>
      <c r="I13" s="2271"/>
      <c r="J13" s="2271"/>
      <c r="K13" s="2271"/>
      <c r="L13" s="2271"/>
      <c r="M13" s="2271"/>
      <c r="N13" s="2271"/>
      <c r="O13" s="2271"/>
      <c r="P13" s="2271"/>
      <c r="Q13" s="2271"/>
      <c r="R13" s="2271"/>
      <c r="S13" s="2271"/>
      <c r="T13" s="2271"/>
      <c r="U13" s="2271"/>
      <c r="V13" s="2271"/>
      <c r="W13" s="2271"/>
      <c r="X13" s="2271"/>
      <c r="Y13" s="2271"/>
      <c r="Z13" s="2271"/>
      <c r="AA13" s="2271"/>
      <c r="AB13" s="2271"/>
      <c r="AC13" s="2271"/>
      <c r="AD13" s="2271"/>
      <c r="AE13" s="2271"/>
      <c r="AF13" s="2271"/>
      <c r="AG13" s="2271"/>
      <c r="AH13" s="1488">
        <f t="shared" si="1"/>
        <v>0</v>
      </c>
      <c r="AJ13" s="1746" t="s">
        <v>83</v>
      </c>
      <c r="AK13" s="1749">
        <f t="shared" si="2"/>
        <v>0</v>
      </c>
      <c r="AL13" s="2226"/>
      <c r="AM13" s="2226"/>
      <c r="AN13" s="2226"/>
      <c r="AO13" s="2226"/>
      <c r="AP13" s="2226"/>
      <c r="AQ13" s="2226"/>
      <c r="AR13" s="2226"/>
      <c r="AS13" s="2226"/>
      <c r="AT13" s="2226"/>
      <c r="AU13" s="2226"/>
      <c r="AV13" s="2226"/>
      <c r="AW13" s="2226"/>
      <c r="AX13" s="2226"/>
      <c r="AY13" s="2226"/>
      <c r="AZ13" s="2226"/>
      <c r="BA13" s="2226"/>
      <c r="BB13" s="2226"/>
      <c r="BC13" s="2226"/>
      <c r="BD13" s="2226"/>
      <c r="BE13" s="2226"/>
      <c r="BF13" s="2226"/>
      <c r="BG13" s="2226"/>
      <c r="BH13" s="2226"/>
      <c r="BI13" s="2226"/>
      <c r="BJ13" s="2226"/>
      <c r="BK13" s="2226"/>
      <c r="BL13" s="2226"/>
      <c r="BM13" s="2226"/>
      <c r="BN13" s="2226"/>
      <c r="BO13" s="2226"/>
      <c r="BP13" s="2226"/>
      <c r="BQ13" s="2188">
        <f t="shared" si="3"/>
        <v>0</v>
      </c>
      <c r="BS13" s="1845" t="s">
        <v>83</v>
      </c>
      <c r="BT13" s="1846">
        <f t="shared" si="4"/>
        <v>0</v>
      </c>
      <c r="BU13" s="2225"/>
      <c r="BV13" s="2225"/>
      <c r="BW13" s="2225"/>
      <c r="BX13" s="2225"/>
      <c r="BY13" s="2225"/>
      <c r="BZ13" s="2225"/>
      <c r="CA13" s="2225"/>
      <c r="CB13" s="2225"/>
      <c r="CC13" s="2225"/>
      <c r="CD13" s="2225"/>
      <c r="CE13" s="2225"/>
      <c r="CF13" s="2225"/>
      <c r="CG13" s="2225"/>
      <c r="CH13" s="2225"/>
      <c r="CI13" s="2225"/>
      <c r="CJ13" s="2225"/>
      <c r="CK13" s="2225"/>
      <c r="CL13" s="2225"/>
      <c r="CM13" s="2225"/>
      <c r="CN13" s="2225"/>
      <c r="CO13" s="2225"/>
      <c r="CP13" s="2225"/>
      <c r="CQ13" s="2225"/>
      <c r="CR13" s="2225"/>
      <c r="CS13" s="2225"/>
      <c r="CT13" s="2225"/>
      <c r="CU13" s="2225"/>
      <c r="CV13" s="2225"/>
      <c r="CW13" s="2225"/>
      <c r="CX13" s="2225"/>
      <c r="CY13" s="2225"/>
      <c r="CZ13" s="2180">
        <f t="shared" si="5"/>
        <v>0</v>
      </c>
      <c r="DB13" s="1962" t="s">
        <v>83</v>
      </c>
      <c r="DC13" s="2175">
        <f t="shared" si="6"/>
        <v>0</v>
      </c>
      <c r="DD13" s="2261"/>
      <c r="DE13" s="2261"/>
      <c r="DF13" s="2261"/>
      <c r="DG13" s="2261"/>
      <c r="DH13" s="2261"/>
      <c r="DI13" s="2261"/>
      <c r="DJ13" s="2261"/>
      <c r="DK13" s="2261"/>
      <c r="DL13" s="2261"/>
      <c r="DM13" s="2261"/>
      <c r="DN13" s="2261"/>
      <c r="DO13" s="2261"/>
      <c r="DP13" s="2261"/>
      <c r="DQ13" s="2261"/>
      <c r="DR13" s="2261"/>
      <c r="DS13" s="2261"/>
      <c r="DT13" s="2261"/>
      <c r="DU13" s="2261"/>
      <c r="DV13" s="2261"/>
      <c r="DW13" s="2261"/>
      <c r="DX13" s="2261"/>
      <c r="DY13" s="2261"/>
      <c r="DZ13" s="2261"/>
      <c r="EA13" s="2261"/>
      <c r="EB13" s="2261"/>
      <c r="EC13" s="2261"/>
      <c r="ED13" s="2261"/>
      <c r="EE13" s="2261"/>
      <c r="EF13" s="2261"/>
      <c r="EG13" s="2261"/>
      <c r="EH13" s="2261"/>
      <c r="EI13" s="2171">
        <f t="shared" si="7"/>
        <v>0</v>
      </c>
      <c r="EK13" s="2163" t="s">
        <v>83</v>
      </c>
      <c r="EL13" s="3170">
        <f t="shared" si="8"/>
        <v>0</v>
      </c>
      <c r="EM13" s="2296"/>
      <c r="EN13" s="2159"/>
      <c r="EO13" s="2159"/>
      <c r="EP13" s="2159"/>
      <c r="EQ13" s="2159"/>
      <c r="ER13" s="2159"/>
      <c r="ES13" s="2159"/>
      <c r="ET13" s="2159"/>
      <c r="EU13" s="2159"/>
      <c r="EV13" s="2159"/>
      <c r="EW13" s="2159"/>
      <c r="EX13" s="2159"/>
      <c r="EY13" s="2159"/>
      <c r="EZ13" s="2159"/>
      <c r="FA13" s="2159"/>
      <c r="FB13" s="2159"/>
      <c r="FC13" s="2159"/>
      <c r="FD13" s="2159"/>
      <c r="FE13" s="2159"/>
      <c r="FF13" s="2159"/>
      <c r="FG13" s="2159"/>
      <c r="FH13" s="2159"/>
      <c r="FI13" s="2159"/>
      <c r="FJ13" s="2159"/>
      <c r="FK13" s="2159"/>
      <c r="FL13" s="2159"/>
      <c r="FM13" s="2159"/>
      <c r="FN13" s="2159"/>
      <c r="FO13" s="2159"/>
      <c r="FP13" s="2159"/>
      <c r="FQ13" s="2159"/>
      <c r="FR13" s="2158">
        <f t="shared" si="9"/>
        <v>0</v>
      </c>
    </row>
    <row r="14" spans="1:205" ht="15">
      <c r="A14" s="1249" t="s">
        <v>84</v>
      </c>
      <c r="B14" s="1287">
        <f t="shared" si="0"/>
        <v>0</v>
      </c>
      <c r="C14" s="2271"/>
      <c r="D14" s="2271"/>
      <c r="E14" s="2271"/>
      <c r="F14" s="2271"/>
      <c r="G14" s="2271"/>
      <c r="H14" s="2271"/>
      <c r="I14" s="2271"/>
      <c r="J14" s="2271"/>
      <c r="K14" s="2271"/>
      <c r="L14" s="2271"/>
      <c r="M14" s="2271"/>
      <c r="N14" s="2271"/>
      <c r="O14" s="2271"/>
      <c r="P14" s="2271"/>
      <c r="Q14" s="2271"/>
      <c r="R14" s="2271"/>
      <c r="S14" s="2271"/>
      <c r="T14" s="2271"/>
      <c r="U14" s="2271"/>
      <c r="V14" s="2271"/>
      <c r="W14" s="2271"/>
      <c r="X14" s="2271"/>
      <c r="Y14" s="2271"/>
      <c r="Z14" s="2271"/>
      <c r="AA14" s="2271"/>
      <c r="AB14" s="2271"/>
      <c r="AC14" s="2271"/>
      <c r="AD14" s="2271"/>
      <c r="AE14" s="2271"/>
      <c r="AF14" s="2271"/>
      <c r="AG14" s="2271"/>
      <c r="AH14" s="1488">
        <f t="shared" si="1"/>
        <v>0</v>
      </c>
      <c r="AJ14" s="1746" t="s">
        <v>84</v>
      </c>
      <c r="AK14" s="1749">
        <f t="shared" si="2"/>
        <v>0</v>
      </c>
      <c r="AL14" s="2226"/>
      <c r="AM14" s="2226"/>
      <c r="AN14" s="2226"/>
      <c r="AO14" s="2226"/>
      <c r="AP14" s="2226"/>
      <c r="AQ14" s="2226"/>
      <c r="AR14" s="2226"/>
      <c r="AS14" s="2226"/>
      <c r="AT14" s="2226"/>
      <c r="AU14" s="2226"/>
      <c r="AV14" s="2226"/>
      <c r="AW14" s="2226"/>
      <c r="AX14" s="2226"/>
      <c r="AY14" s="2226"/>
      <c r="AZ14" s="2226"/>
      <c r="BA14" s="2226"/>
      <c r="BB14" s="2226"/>
      <c r="BC14" s="2226"/>
      <c r="BD14" s="2226"/>
      <c r="BE14" s="2226"/>
      <c r="BF14" s="2226"/>
      <c r="BG14" s="2226"/>
      <c r="BH14" s="2226"/>
      <c r="BI14" s="2226"/>
      <c r="BJ14" s="2226"/>
      <c r="BK14" s="2226"/>
      <c r="BL14" s="2226"/>
      <c r="BM14" s="2226"/>
      <c r="BN14" s="2226"/>
      <c r="BO14" s="2226"/>
      <c r="BP14" s="2226"/>
      <c r="BQ14" s="2188">
        <f t="shared" si="3"/>
        <v>0</v>
      </c>
      <c r="BS14" s="1845" t="s">
        <v>84</v>
      </c>
      <c r="BT14" s="1846">
        <f t="shared" si="4"/>
        <v>0</v>
      </c>
      <c r="BU14" s="2225"/>
      <c r="BV14" s="2225"/>
      <c r="BW14" s="2225"/>
      <c r="BX14" s="2225"/>
      <c r="BY14" s="2225"/>
      <c r="BZ14" s="2225"/>
      <c r="CA14" s="2225"/>
      <c r="CB14" s="2225"/>
      <c r="CC14" s="2225"/>
      <c r="CD14" s="2225"/>
      <c r="CE14" s="2225"/>
      <c r="CF14" s="2225"/>
      <c r="CG14" s="2225"/>
      <c r="CH14" s="2225"/>
      <c r="CI14" s="2225"/>
      <c r="CJ14" s="2225"/>
      <c r="CK14" s="2225"/>
      <c r="CL14" s="2225"/>
      <c r="CM14" s="2225"/>
      <c r="CN14" s="2225"/>
      <c r="CO14" s="2225"/>
      <c r="CP14" s="2225"/>
      <c r="CQ14" s="2225"/>
      <c r="CR14" s="2225"/>
      <c r="CS14" s="2225"/>
      <c r="CT14" s="2225"/>
      <c r="CU14" s="2225"/>
      <c r="CV14" s="2225"/>
      <c r="CW14" s="2225"/>
      <c r="CX14" s="2225"/>
      <c r="CY14" s="2225"/>
      <c r="CZ14" s="2180">
        <f t="shared" si="5"/>
        <v>0</v>
      </c>
      <c r="DB14" s="1962" t="s">
        <v>84</v>
      </c>
      <c r="DC14" s="2175">
        <f t="shared" si="6"/>
        <v>0</v>
      </c>
      <c r="DD14" s="2261"/>
      <c r="DE14" s="2261"/>
      <c r="DF14" s="2261"/>
      <c r="DG14" s="2261"/>
      <c r="DH14" s="2261"/>
      <c r="DI14" s="2261"/>
      <c r="DJ14" s="2261"/>
      <c r="DK14" s="2261"/>
      <c r="DL14" s="2261"/>
      <c r="DM14" s="2261"/>
      <c r="DN14" s="2261"/>
      <c r="DO14" s="2261"/>
      <c r="DP14" s="2261"/>
      <c r="DQ14" s="2261"/>
      <c r="DR14" s="2261"/>
      <c r="DS14" s="2261"/>
      <c r="DT14" s="2261"/>
      <c r="DU14" s="2261"/>
      <c r="DV14" s="2261"/>
      <c r="DW14" s="2261"/>
      <c r="DX14" s="2261"/>
      <c r="DY14" s="2261"/>
      <c r="DZ14" s="2261"/>
      <c r="EA14" s="2261"/>
      <c r="EB14" s="2261"/>
      <c r="EC14" s="2261"/>
      <c r="ED14" s="2261"/>
      <c r="EE14" s="2261"/>
      <c r="EF14" s="2261"/>
      <c r="EG14" s="2261"/>
      <c r="EH14" s="2261"/>
      <c r="EI14" s="2171">
        <f t="shared" si="7"/>
        <v>0</v>
      </c>
      <c r="EK14" s="2163" t="s">
        <v>84</v>
      </c>
      <c r="EL14" s="3170">
        <f t="shared" si="8"/>
        <v>0</v>
      </c>
      <c r="EM14" s="2159"/>
      <c r="EN14" s="2159"/>
      <c r="EO14" s="2159"/>
      <c r="EP14" s="2159"/>
      <c r="EQ14" s="2159"/>
      <c r="ER14" s="2159"/>
      <c r="ES14" s="2159"/>
      <c r="ET14" s="2159"/>
      <c r="EU14" s="2159"/>
      <c r="EV14" s="2159"/>
      <c r="EW14" s="2159"/>
      <c r="EX14" s="2159"/>
      <c r="EY14" s="2159"/>
      <c r="EZ14" s="2159"/>
      <c r="FA14" s="2159"/>
      <c r="FB14" s="2164"/>
      <c r="FC14" s="2164"/>
      <c r="FD14" s="2164"/>
      <c r="FE14" s="2164"/>
      <c r="FF14" s="2164"/>
      <c r="FG14" s="2164"/>
      <c r="FH14" s="2164"/>
      <c r="FI14" s="2164"/>
      <c r="FJ14" s="2164"/>
      <c r="FK14" s="2164"/>
      <c r="FL14" s="2164"/>
      <c r="FM14" s="2164"/>
      <c r="FN14" s="2164"/>
      <c r="FO14" s="2164"/>
      <c r="FP14" s="2164"/>
      <c r="FQ14" s="2164"/>
      <c r="FR14" s="2158">
        <f t="shared" si="9"/>
        <v>0</v>
      </c>
    </row>
    <row r="15" spans="1:205" ht="15">
      <c r="A15" s="1249" t="s">
        <v>85</v>
      </c>
      <c r="B15" s="1287">
        <f t="shared" si="0"/>
        <v>0</v>
      </c>
      <c r="C15" s="2271"/>
      <c r="D15" s="2271"/>
      <c r="E15" s="2271"/>
      <c r="F15" s="2271"/>
      <c r="G15" s="2271"/>
      <c r="H15" s="2271"/>
      <c r="I15" s="2271"/>
      <c r="J15" s="2271"/>
      <c r="K15" s="2271"/>
      <c r="L15" s="2271"/>
      <c r="M15" s="2271"/>
      <c r="N15" s="2271"/>
      <c r="O15" s="2271"/>
      <c r="P15" s="2271"/>
      <c r="Q15" s="2271"/>
      <c r="R15" s="2271"/>
      <c r="S15" s="2271"/>
      <c r="T15" s="2271"/>
      <c r="U15" s="2271"/>
      <c r="V15" s="2271"/>
      <c r="W15" s="2271"/>
      <c r="X15" s="2271"/>
      <c r="Y15" s="2271"/>
      <c r="Z15" s="2271"/>
      <c r="AA15" s="2271"/>
      <c r="AB15" s="2271"/>
      <c r="AC15" s="2271"/>
      <c r="AD15" s="2271"/>
      <c r="AE15" s="2271"/>
      <c r="AF15" s="2271"/>
      <c r="AG15" s="1760"/>
      <c r="AH15" s="1488">
        <f t="shared" si="1"/>
        <v>0</v>
      </c>
      <c r="AJ15" s="1746" t="s">
        <v>85</v>
      </c>
      <c r="AK15" s="1749">
        <f t="shared" si="2"/>
        <v>0</v>
      </c>
      <c r="AL15" s="2226"/>
      <c r="AM15" s="2226"/>
      <c r="AN15" s="2226"/>
      <c r="AO15" s="2226"/>
      <c r="AP15" s="2226"/>
      <c r="AQ15" s="2226"/>
      <c r="AR15" s="2226"/>
      <c r="AS15" s="2226"/>
      <c r="AT15" s="2226"/>
      <c r="AU15" s="2226"/>
      <c r="AV15" s="2226"/>
      <c r="AW15" s="2226"/>
      <c r="AX15" s="2226"/>
      <c r="AY15" s="2226"/>
      <c r="AZ15" s="2226"/>
      <c r="BA15" s="2226"/>
      <c r="BB15" s="2226"/>
      <c r="BC15" s="2226"/>
      <c r="BD15" s="2226"/>
      <c r="BE15" s="2226"/>
      <c r="BF15" s="2226"/>
      <c r="BG15" s="2226"/>
      <c r="BH15" s="2226"/>
      <c r="BI15" s="2226"/>
      <c r="BJ15" s="2226"/>
      <c r="BK15" s="2226"/>
      <c r="BL15" s="2226"/>
      <c r="BM15" s="2226"/>
      <c r="BN15" s="2226"/>
      <c r="BO15" s="2226"/>
      <c r="BP15" s="2231"/>
      <c r="BQ15" s="2188">
        <f t="shared" si="3"/>
        <v>0</v>
      </c>
      <c r="BS15" s="1845" t="s">
        <v>85</v>
      </c>
      <c r="BT15" s="1846">
        <f t="shared" si="4"/>
        <v>0</v>
      </c>
      <c r="BU15" s="2225"/>
      <c r="BV15" s="2225"/>
      <c r="BW15" s="2225"/>
      <c r="BX15" s="2225"/>
      <c r="BY15" s="2225"/>
      <c r="BZ15" s="2225"/>
      <c r="CA15" s="2225"/>
      <c r="CB15" s="2225"/>
      <c r="CC15" s="2225"/>
      <c r="CD15" s="2225"/>
      <c r="CE15" s="2225"/>
      <c r="CF15" s="2225"/>
      <c r="CG15" s="2225"/>
      <c r="CH15" s="2225"/>
      <c r="CI15" s="2225"/>
      <c r="CJ15" s="2225"/>
      <c r="CK15" s="2225"/>
      <c r="CL15" s="2225"/>
      <c r="CM15" s="2225"/>
      <c r="CN15" s="2225"/>
      <c r="CO15" s="2225"/>
      <c r="CP15" s="2225"/>
      <c r="CQ15" s="2225"/>
      <c r="CR15" s="2225"/>
      <c r="CS15" s="2225"/>
      <c r="CT15" s="2225"/>
      <c r="CU15" s="2225"/>
      <c r="CV15" s="2225"/>
      <c r="CW15" s="2225"/>
      <c r="CX15" s="2225"/>
      <c r="CY15" s="2230"/>
      <c r="CZ15" s="2180">
        <f t="shared" si="5"/>
        <v>0</v>
      </c>
      <c r="DB15" s="1962" t="s">
        <v>85</v>
      </c>
      <c r="DC15" s="2175">
        <f t="shared" si="6"/>
        <v>0</v>
      </c>
      <c r="DD15" s="2261"/>
      <c r="DE15" s="2261"/>
      <c r="DF15" s="2261"/>
      <c r="DG15" s="2261"/>
      <c r="DH15" s="2261"/>
      <c r="DI15" s="2261"/>
      <c r="DJ15" s="2261"/>
      <c r="DK15" s="2261"/>
      <c r="DL15" s="2261"/>
      <c r="DM15" s="2261"/>
      <c r="DN15" s="2261"/>
      <c r="DO15" s="2261"/>
      <c r="DP15" s="2261"/>
      <c r="DQ15" s="2261"/>
      <c r="DR15" s="2261"/>
      <c r="DS15" s="2261"/>
      <c r="DT15" s="2261"/>
      <c r="DU15" s="2261"/>
      <c r="DV15" s="2261"/>
      <c r="DW15" s="2261"/>
      <c r="DX15" s="2261"/>
      <c r="DY15" s="2261"/>
      <c r="DZ15" s="2261"/>
      <c r="EA15" s="2261"/>
      <c r="EB15" s="2261"/>
      <c r="EC15" s="2261"/>
      <c r="ED15" s="2261"/>
      <c r="EE15" s="2261"/>
      <c r="EF15" s="2261"/>
      <c r="EG15" s="2261"/>
      <c r="EH15" s="2262"/>
      <c r="EI15" s="2171">
        <f t="shared" si="7"/>
        <v>0</v>
      </c>
      <c r="EK15" s="2163" t="s">
        <v>85</v>
      </c>
      <c r="EL15" s="3170">
        <f t="shared" si="8"/>
        <v>0</v>
      </c>
      <c r="EM15" s="2159"/>
      <c r="EN15" s="2164"/>
      <c r="EO15" s="2164"/>
      <c r="EP15" s="2164"/>
      <c r="EQ15" s="2164"/>
      <c r="ER15" s="2164"/>
      <c r="ES15" s="2164"/>
      <c r="ET15" s="2164"/>
      <c r="EU15" s="2164"/>
      <c r="EV15" s="2164"/>
      <c r="EW15" s="2164"/>
      <c r="EX15" s="2164"/>
      <c r="EY15" s="2164"/>
      <c r="EZ15" s="2164"/>
      <c r="FA15" s="2164"/>
      <c r="FB15" s="2296"/>
      <c r="FC15" s="2296"/>
      <c r="FD15" s="2296"/>
      <c r="FE15" s="2296"/>
      <c r="FF15" s="2296"/>
      <c r="FG15" s="2296"/>
      <c r="FH15" s="2296"/>
      <c r="FI15" s="2296"/>
      <c r="FJ15" s="2296"/>
      <c r="FK15" s="2296"/>
      <c r="FL15" s="2296"/>
      <c r="FM15" s="2296"/>
      <c r="FN15" s="2296"/>
      <c r="FO15" s="2296"/>
      <c r="FP15" s="2296"/>
      <c r="FQ15" s="2159"/>
      <c r="FR15" s="2158">
        <f t="shared" si="9"/>
        <v>0</v>
      </c>
    </row>
    <row r="16" spans="1:205" ht="15">
      <c r="A16" s="1249" t="s">
        <v>86</v>
      </c>
      <c r="B16" s="1287">
        <f t="shared" si="0"/>
        <v>0</v>
      </c>
      <c r="C16" s="2271"/>
      <c r="D16" s="2271"/>
      <c r="E16" s="2271"/>
      <c r="F16" s="2271"/>
      <c r="G16" s="2271"/>
      <c r="H16" s="2271"/>
      <c r="I16" s="2271"/>
      <c r="J16" s="2271"/>
      <c r="K16" s="2271"/>
      <c r="L16" s="2271"/>
      <c r="M16" s="2271"/>
      <c r="N16" s="2271"/>
      <c r="O16" s="2271"/>
      <c r="P16" s="2271"/>
      <c r="Q16" s="2271"/>
      <c r="R16" s="2271"/>
      <c r="S16" s="2271"/>
      <c r="T16" s="2271"/>
      <c r="U16" s="2271"/>
      <c r="V16" s="2271"/>
      <c r="W16" s="2271"/>
      <c r="X16" s="2271"/>
      <c r="Y16" s="2271"/>
      <c r="Z16" s="2271"/>
      <c r="AA16" s="2271"/>
      <c r="AB16" s="2271"/>
      <c r="AC16" s="2271"/>
      <c r="AD16" s="2271"/>
      <c r="AE16" s="2271"/>
      <c r="AF16" s="2271"/>
      <c r="AG16" s="2271"/>
      <c r="AH16" s="1488">
        <f t="shared" si="1"/>
        <v>0</v>
      </c>
      <c r="AJ16" s="1746" t="s">
        <v>86</v>
      </c>
      <c r="AK16" s="1749">
        <f t="shared" si="2"/>
        <v>0</v>
      </c>
      <c r="AL16" s="2226"/>
      <c r="AM16" s="2226"/>
      <c r="AN16" s="2226"/>
      <c r="AO16" s="2226"/>
      <c r="AP16" s="2226"/>
      <c r="AQ16" s="2226"/>
      <c r="AR16" s="2226"/>
      <c r="AS16" s="2226"/>
      <c r="AT16" s="2226"/>
      <c r="AU16" s="2226"/>
      <c r="AV16" s="2226"/>
      <c r="AW16" s="2226"/>
      <c r="AX16" s="2226"/>
      <c r="AY16" s="2226"/>
      <c r="AZ16" s="2226"/>
      <c r="BA16" s="2226"/>
      <c r="BB16" s="2226"/>
      <c r="BC16" s="2226"/>
      <c r="BD16" s="2226"/>
      <c r="BE16" s="2226"/>
      <c r="BF16" s="2226"/>
      <c r="BG16" s="2226"/>
      <c r="BH16" s="2226"/>
      <c r="BI16" s="2226"/>
      <c r="BJ16" s="2226"/>
      <c r="BK16" s="2226"/>
      <c r="BL16" s="2226"/>
      <c r="BM16" s="2226"/>
      <c r="BN16" s="2226"/>
      <c r="BO16" s="2226"/>
      <c r="BP16" s="2226"/>
      <c r="BQ16" s="2188">
        <f t="shared" si="3"/>
        <v>0</v>
      </c>
      <c r="BS16" s="1845" t="s">
        <v>86</v>
      </c>
      <c r="BT16" s="1846">
        <f t="shared" si="4"/>
        <v>0</v>
      </c>
      <c r="BU16" s="2225"/>
      <c r="BV16" s="2225"/>
      <c r="BW16" s="2225"/>
      <c r="BX16" s="2225"/>
      <c r="BY16" s="2225"/>
      <c r="BZ16" s="2225"/>
      <c r="CA16" s="2225"/>
      <c r="CB16" s="2225"/>
      <c r="CC16" s="2225"/>
      <c r="CD16" s="2225"/>
      <c r="CE16" s="2225"/>
      <c r="CF16" s="2225"/>
      <c r="CG16" s="2225"/>
      <c r="CH16" s="2225"/>
      <c r="CI16" s="2225"/>
      <c r="CJ16" s="2225"/>
      <c r="CK16" s="2225"/>
      <c r="CL16" s="2225"/>
      <c r="CM16" s="2225"/>
      <c r="CN16" s="2225"/>
      <c r="CO16" s="2225"/>
      <c r="CP16" s="2225"/>
      <c r="CQ16" s="2225"/>
      <c r="CR16" s="2225"/>
      <c r="CS16" s="2225"/>
      <c r="CT16" s="2225"/>
      <c r="CU16" s="2225"/>
      <c r="CV16" s="2225"/>
      <c r="CW16" s="2225"/>
      <c r="CX16" s="2225"/>
      <c r="CY16" s="2225"/>
      <c r="CZ16" s="2180">
        <f t="shared" si="5"/>
        <v>0</v>
      </c>
      <c r="DB16" s="1962" t="s">
        <v>86</v>
      </c>
      <c r="DC16" s="2175">
        <f t="shared" si="6"/>
        <v>0</v>
      </c>
      <c r="DD16" s="2261"/>
      <c r="DE16" s="2261"/>
      <c r="DF16" s="2261"/>
      <c r="DG16" s="2261"/>
      <c r="DH16" s="2261"/>
      <c r="DI16" s="2261"/>
      <c r="DJ16" s="2261"/>
      <c r="DK16" s="2261"/>
      <c r="DL16" s="2261"/>
      <c r="DM16" s="2261"/>
      <c r="DN16" s="2261"/>
      <c r="DO16" s="2261"/>
      <c r="DP16" s="2261"/>
      <c r="DQ16" s="2261"/>
      <c r="DR16" s="2261"/>
      <c r="DS16" s="2261"/>
      <c r="DT16" s="2261"/>
      <c r="DU16" s="2261"/>
      <c r="DV16" s="2261"/>
      <c r="DW16" s="2261"/>
      <c r="DX16" s="2261"/>
      <c r="DY16" s="2261"/>
      <c r="DZ16" s="2261"/>
      <c r="EA16" s="2261"/>
      <c r="EB16" s="2261"/>
      <c r="EC16" s="2261"/>
      <c r="ED16" s="2261"/>
      <c r="EE16" s="2261"/>
      <c r="EF16" s="2261"/>
      <c r="EG16" s="2261"/>
      <c r="EH16" s="2261"/>
      <c r="EI16" s="2171">
        <f t="shared" si="7"/>
        <v>0</v>
      </c>
      <c r="EK16" s="2163" t="s">
        <v>86</v>
      </c>
      <c r="EL16" s="3170">
        <f t="shared" si="8"/>
        <v>0</v>
      </c>
      <c r="EM16" s="2159"/>
      <c r="EN16" s="2296"/>
      <c r="EO16" s="2296"/>
      <c r="EP16" s="2296"/>
      <c r="EQ16" s="2159"/>
      <c r="ER16" s="2159"/>
      <c r="ES16" s="2159"/>
      <c r="ET16" s="2159"/>
      <c r="EU16" s="2159"/>
      <c r="EV16" s="2159"/>
      <c r="EW16" s="2159"/>
      <c r="EX16" s="2159"/>
      <c r="EY16" s="2159"/>
      <c r="EZ16" s="2159"/>
      <c r="FA16" s="2159"/>
      <c r="FB16" s="2159"/>
      <c r="FC16" s="2159"/>
      <c r="FD16" s="2159"/>
      <c r="FE16" s="2159"/>
      <c r="FF16" s="2159"/>
      <c r="FG16" s="2159"/>
      <c r="FH16" s="2159"/>
      <c r="FI16" s="2159"/>
      <c r="FJ16" s="2159"/>
      <c r="FK16" s="2159"/>
      <c r="FL16" s="2159"/>
      <c r="FM16" s="2159"/>
      <c r="FN16" s="2159"/>
      <c r="FO16" s="2159"/>
      <c r="FP16" s="2159"/>
      <c r="FQ16" s="2159"/>
      <c r="FR16" s="2158">
        <f t="shared" si="9"/>
        <v>0</v>
      </c>
    </row>
    <row r="17" spans="1:174" ht="15">
      <c r="A17" s="1470" t="s">
        <v>74</v>
      </c>
      <c r="B17" s="2270">
        <f t="shared" ref="B17:AH17" si="10">SUM(B5:B16)</f>
        <v>0</v>
      </c>
      <c r="C17" s="1488">
        <f t="shared" si="10"/>
        <v>0</v>
      </c>
      <c r="D17" s="1488">
        <f t="shared" si="10"/>
        <v>0</v>
      </c>
      <c r="E17" s="1488">
        <f t="shared" si="10"/>
        <v>0</v>
      </c>
      <c r="F17" s="1488">
        <f t="shared" si="10"/>
        <v>0</v>
      </c>
      <c r="G17" s="1488">
        <f t="shared" si="10"/>
        <v>0</v>
      </c>
      <c r="H17" s="1488">
        <f t="shared" si="10"/>
        <v>0</v>
      </c>
      <c r="I17" s="1488">
        <f t="shared" si="10"/>
        <v>0</v>
      </c>
      <c r="J17" s="1488">
        <f t="shared" si="10"/>
        <v>0</v>
      </c>
      <c r="K17" s="1488">
        <f t="shared" si="10"/>
        <v>0</v>
      </c>
      <c r="L17" s="1488">
        <f t="shared" si="10"/>
        <v>0</v>
      </c>
      <c r="M17" s="1488">
        <f t="shared" si="10"/>
        <v>0</v>
      </c>
      <c r="N17" s="1488">
        <f t="shared" si="10"/>
        <v>0</v>
      </c>
      <c r="O17" s="1488">
        <f t="shared" si="10"/>
        <v>0</v>
      </c>
      <c r="P17" s="1488">
        <f t="shared" si="10"/>
        <v>0</v>
      </c>
      <c r="Q17" s="1488">
        <f t="shared" si="10"/>
        <v>0</v>
      </c>
      <c r="R17" s="1488">
        <f t="shared" si="10"/>
        <v>0</v>
      </c>
      <c r="S17" s="1488">
        <f t="shared" si="10"/>
        <v>0</v>
      </c>
      <c r="T17" s="1488">
        <f t="shared" si="10"/>
        <v>0</v>
      </c>
      <c r="U17" s="1488">
        <f t="shared" si="10"/>
        <v>0</v>
      </c>
      <c r="V17" s="1488">
        <f t="shared" si="10"/>
        <v>0</v>
      </c>
      <c r="W17" s="1488">
        <f t="shared" si="10"/>
        <v>0</v>
      </c>
      <c r="X17" s="1488">
        <f t="shared" si="10"/>
        <v>0</v>
      </c>
      <c r="Y17" s="1488">
        <f t="shared" si="10"/>
        <v>0</v>
      </c>
      <c r="Z17" s="1488">
        <f t="shared" si="10"/>
        <v>0</v>
      </c>
      <c r="AA17" s="1488">
        <f t="shared" si="10"/>
        <v>0</v>
      </c>
      <c r="AB17" s="1488">
        <f t="shared" si="10"/>
        <v>0</v>
      </c>
      <c r="AC17" s="1488">
        <f t="shared" si="10"/>
        <v>0</v>
      </c>
      <c r="AD17" s="1488">
        <f t="shared" si="10"/>
        <v>0</v>
      </c>
      <c r="AE17" s="1488">
        <f t="shared" si="10"/>
        <v>0</v>
      </c>
      <c r="AF17" s="1488">
        <f t="shared" si="10"/>
        <v>0</v>
      </c>
      <c r="AG17" s="1488">
        <f t="shared" si="10"/>
        <v>0</v>
      </c>
      <c r="AH17" s="1488">
        <f t="shared" si="10"/>
        <v>0</v>
      </c>
      <c r="AJ17" s="2191" t="s">
        <v>74</v>
      </c>
      <c r="AK17" s="2260">
        <f t="shared" ref="AK17:BQ17" si="11">SUM(AK5:AK16)</f>
        <v>0</v>
      </c>
      <c r="AL17" s="2188">
        <f t="shared" si="11"/>
        <v>0</v>
      </c>
      <c r="AM17" s="2188">
        <f t="shared" si="11"/>
        <v>0</v>
      </c>
      <c r="AN17" s="2188">
        <f t="shared" si="11"/>
        <v>0</v>
      </c>
      <c r="AO17" s="2188">
        <f t="shared" si="11"/>
        <v>0</v>
      </c>
      <c r="AP17" s="2188">
        <f t="shared" si="11"/>
        <v>0</v>
      </c>
      <c r="AQ17" s="2188">
        <f t="shared" si="11"/>
        <v>0</v>
      </c>
      <c r="AR17" s="2188">
        <f t="shared" si="11"/>
        <v>0</v>
      </c>
      <c r="AS17" s="2188">
        <f t="shared" si="11"/>
        <v>0</v>
      </c>
      <c r="AT17" s="2188">
        <f t="shared" si="11"/>
        <v>0</v>
      </c>
      <c r="AU17" s="2188">
        <f t="shared" si="11"/>
        <v>0</v>
      </c>
      <c r="AV17" s="2188">
        <f t="shared" si="11"/>
        <v>0</v>
      </c>
      <c r="AW17" s="2188">
        <f t="shared" si="11"/>
        <v>0</v>
      </c>
      <c r="AX17" s="2188">
        <f t="shared" si="11"/>
        <v>0</v>
      </c>
      <c r="AY17" s="2188">
        <f t="shared" si="11"/>
        <v>0</v>
      </c>
      <c r="AZ17" s="2188">
        <f t="shared" si="11"/>
        <v>0</v>
      </c>
      <c r="BA17" s="2188">
        <f t="shared" si="11"/>
        <v>0</v>
      </c>
      <c r="BB17" s="2188">
        <f t="shared" si="11"/>
        <v>0</v>
      </c>
      <c r="BC17" s="2188">
        <f t="shared" si="11"/>
        <v>0</v>
      </c>
      <c r="BD17" s="2188">
        <f t="shared" si="11"/>
        <v>0</v>
      </c>
      <c r="BE17" s="2188">
        <f t="shared" si="11"/>
        <v>0</v>
      </c>
      <c r="BF17" s="2188">
        <f t="shared" si="11"/>
        <v>0</v>
      </c>
      <c r="BG17" s="2188">
        <f t="shared" si="11"/>
        <v>0</v>
      </c>
      <c r="BH17" s="2188">
        <f t="shared" si="11"/>
        <v>0</v>
      </c>
      <c r="BI17" s="2188">
        <f t="shared" si="11"/>
        <v>0</v>
      </c>
      <c r="BJ17" s="2188">
        <f t="shared" si="11"/>
        <v>0</v>
      </c>
      <c r="BK17" s="2188">
        <f t="shared" si="11"/>
        <v>0</v>
      </c>
      <c r="BL17" s="2188">
        <f t="shared" si="11"/>
        <v>0</v>
      </c>
      <c r="BM17" s="2188">
        <f t="shared" si="11"/>
        <v>0</v>
      </c>
      <c r="BN17" s="2188">
        <f t="shared" si="11"/>
        <v>0</v>
      </c>
      <c r="BO17" s="2188">
        <f t="shared" si="11"/>
        <v>0</v>
      </c>
      <c r="BP17" s="2188">
        <f t="shared" si="11"/>
        <v>0</v>
      </c>
      <c r="BQ17" s="2188">
        <f t="shared" si="11"/>
        <v>0</v>
      </c>
      <c r="BS17" s="2183" t="s">
        <v>74</v>
      </c>
      <c r="BT17" s="2259">
        <f t="shared" ref="BT17:CZ17" si="12">SUM(BT5:BT16)</f>
        <v>0</v>
      </c>
      <c r="BU17" s="2180">
        <f t="shared" si="12"/>
        <v>0</v>
      </c>
      <c r="BV17" s="2180">
        <f t="shared" si="12"/>
        <v>0</v>
      </c>
      <c r="BW17" s="2180">
        <f t="shared" si="12"/>
        <v>0</v>
      </c>
      <c r="BX17" s="2180">
        <f t="shared" si="12"/>
        <v>0</v>
      </c>
      <c r="BY17" s="2180">
        <f t="shared" si="12"/>
        <v>0</v>
      </c>
      <c r="BZ17" s="2180">
        <f t="shared" si="12"/>
        <v>0</v>
      </c>
      <c r="CA17" s="2180">
        <f t="shared" si="12"/>
        <v>0</v>
      </c>
      <c r="CB17" s="2180">
        <f t="shared" si="12"/>
        <v>0</v>
      </c>
      <c r="CC17" s="2180">
        <f t="shared" si="12"/>
        <v>0</v>
      </c>
      <c r="CD17" s="2180">
        <f t="shared" si="12"/>
        <v>0</v>
      </c>
      <c r="CE17" s="2180">
        <f t="shared" si="12"/>
        <v>0</v>
      </c>
      <c r="CF17" s="2180">
        <f t="shared" si="12"/>
        <v>0</v>
      </c>
      <c r="CG17" s="2180">
        <f t="shared" si="12"/>
        <v>0</v>
      </c>
      <c r="CH17" s="2180">
        <f t="shared" si="12"/>
        <v>0</v>
      </c>
      <c r="CI17" s="2180">
        <f t="shared" si="12"/>
        <v>0</v>
      </c>
      <c r="CJ17" s="2180">
        <f t="shared" si="12"/>
        <v>0</v>
      </c>
      <c r="CK17" s="2180">
        <f t="shared" si="12"/>
        <v>0</v>
      </c>
      <c r="CL17" s="2180">
        <f t="shared" si="12"/>
        <v>0</v>
      </c>
      <c r="CM17" s="2180">
        <f t="shared" si="12"/>
        <v>0</v>
      </c>
      <c r="CN17" s="2180">
        <f t="shared" si="12"/>
        <v>0</v>
      </c>
      <c r="CO17" s="2180">
        <f t="shared" si="12"/>
        <v>0</v>
      </c>
      <c r="CP17" s="2180">
        <f t="shared" si="12"/>
        <v>0</v>
      </c>
      <c r="CQ17" s="2180">
        <f t="shared" si="12"/>
        <v>0</v>
      </c>
      <c r="CR17" s="2180">
        <f t="shared" si="12"/>
        <v>0</v>
      </c>
      <c r="CS17" s="2180">
        <f t="shared" si="12"/>
        <v>0</v>
      </c>
      <c r="CT17" s="2180">
        <f t="shared" si="12"/>
        <v>0</v>
      </c>
      <c r="CU17" s="2180">
        <f t="shared" si="12"/>
        <v>0</v>
      </c>
      <c r="CV17" s="2180">
        <f t="shared" si="12"/>
        <v>0</v>
      </c>
      <c r="CW17" s="2180">
        <f t="shared" si="12"/>
        <v>0</v>
      </c>
      <c r="CX17" s="2180">
        <f t="shared" si="12"/>
        <v>0</v>
      </c>
      <c r="CY17" s="2180">
        <f t="shared" si="12"/>
        <v>0</v>
      </c>
      <c r="CZ17" s="2180">
        <f t="shared" si="12"/>
        <v>0</v>
      </c>
      <c r="DB17" s="2174" t="s">
        <v>74</v>
      </c>
      <c r="DC17" s="2258">
        <f t="shared" ref="DC17:EI17" si="13">SUM(DC5:DC16)</f>
        <v>0</v>
      </c>
      <c r="DD17" s="2171">
        <f t="shared" si="13"/>
        <v>0</v>
      </c>
      <c r="DE17" s="2171">
        <f t="shared" si="13"/>
        <v>0</v>
      </c>
      <c r="DF17" s="2171">
        <f t="shared" si="13"/>
        <v>0</v>
      </c>
      <c r="DG17" s="2171">
        <f t="shared" si="13"/>
        <v>0</v>
      </c>
      <c r="DH17" s="2171">
        <f t="shared" si="13"/>
        <v>0</v>
      </c>
      <c r="DI17" s="2171">
        <f t="shared" si="13"/>
        <v>0</v>
      </c>
      <c r="DJ17" s="2171">
        <f t="shared" si="13"/>
        <v>0</v>
      </c>
      <c r="DK17" s="2171">
        <f t="shared" si="13"/>
        <v>0</v>
      </c>
      <c r="DL17" s="2171">
        <f t="shared" si="13"/>
        <v>0</v>
      </c>
      <c r="DM17" s="2171">
        <f t="shared" si="13"/>
        <v>0</v>
      </c>
      <c r="DN17" s="2171">
        <f t="shared" si="13"/>
        <v>0</v>
      </c>
      <c r="DO17" s="2171">
        <f t="shared" si="13"/>
        <v>0</v>
      </c>
      <c r="DP17" s="2171">
        <f t="shared" si="13"/>
        <v>0</v>
      </c>
      <c r="DQ17" s="2171">
        <f t="shared" si="13"/>
        <v>0</v>
      </c>
      <c r="DR17" s="2171">
        <f t="shared" si="13"/>
        <v>0</v>
      </c>
      <c r="DS17" s="2171">
        <f t="shared" si="13"/>
        <v>0</v>
      </c>
      <c r="DT17" s="2171">
        <f t="shared" si="13"/>
        <v>0</v>
      </c>
      <c r="DU17" s="2171">
        <f t="shared" si="13"/>
        <v>0</v>
      </c>
      <c r="DV17" s="2171">
        <f t="shared" si="13"/>
        <v>0</v>
      </c>
      <c r="DW17" s="2171">
        <f t="shared" si="13"/>
        <v>0</v>
      </c>
      <c r="DX17" s="2171">
        <f t="shared" si="13"/>
        <v>0</v>
      </c>
      <c r="DY17" s="2171">
        <f t="shared" si="13"/>
        <v>0</v>
      </c>
      <c r="DZ17" s="2171">
        <f t="shared" si="13"/>
        <v>0</v>
      </c>
      <c r="EA17" s="2171">
        <f t="shared" si="13"/>
        <v>0</v>
      </c>
      <c r="EB17" s="2171">
        <f t="shared" si="13"/>
        <v>0</v>
      </c>
      <c r="EC17" s="2171">
        <f t="shared" si="13"/>
        <v>0</v>
      </c>
      <c r="ED17" s="2171">
        <f t="shared" si="13"/>
        <v>0</v>
      </c>
      <c r="EE17" s="2171">
        <f t="shared" si="13"/>
        <v>0</v>
      </c>
      <c r="EF17" s="2171">
        <f t="shared" si="13"/>
        <v>0</v>
      </c>
      <c r="EG17" s="2171">
        <f t="shared" si="13"/>
        <v>0</v>
      </c>
      <c r="EH17" s="2171">
        <f t="shared" si="13"/>
        <v>0</v>
      </c>
      <c r="EI17" s="2171">
        <f t="shared" si="13"/>
        <v>0</v>
      </c>
      <c r="EK17" s="2161" t="s">
        <v>74</v>
      </c>
      <c r="EL17" s="3171">
        <f>SUM(EL5:EL16)</f>
        <v>72.418000000000006</v>
      </c>
      <c r="EM17" s="2158">
        <f t="shared" ref="EM17:FR17" si="14">SUM(EM5:EM16)</f>
        <v>1.978</v>
      </c>
      <c r="EN17" s="2158">
        <f t="shared" si="14"/>
        <v>0</v>
      </c>
      <c r="EO17" s="2158">
        <f t="shared" si="14"/>
        <v>0.23</v>
      </c>
      <c r="EP17" s="2158">
        <f t="shared" si="14"/>
        <v>0</v>
      </c>
      <c r="EQ17" s="2158">
        <f t="shared" si="14"/>
        <v>0</v>
      </c>
      <c r="ER17" s="2158">
        <f t="shared" si="14"/>
        <v>0.64100000000000001</v>
      </c>
      <c r="ES17" s="2158">
        <f t="shared" si="14"/>
        <v>0</v>
      </c>
      <c r="ET17" s="2158">
        <f t="shared" si="14"/>
        <v>0</v>
      </c>
      <c r="EU17" s="2158">
        <f t="shared" si="14"/>
        <v>4.2649999999999997</v>
      </c>
      <c r="EV17" s="2158">
        <f t="shared" si="14"/>
        <v>0</v>
      </c>
      <c r="EW17" s="2158">
        <f t="shared" si="14"/>
        <v>0</v>
      </c>
      <c r="EX17" s="2158">
        <f t="shared" si="14"/>
        <v>5.6280000000000001</v>
      </c>
      <c r="EY17" s="2158">
        <f t="shared" si="14"/>
        <v>2.9260000000000002</v>
      </c>
      <c r="EZ17" s="2158">
        <f t="shared" si="14"/>
        <v>2.7679999999999998</v>
      </c>
      <c r="FA17" s="2158">
        <f t="shared" si="14"/>
        <v>14.952</v>
      </c>
      <c r="FB17" s="2158">
        <f t="shared" si="14"/>
        <v>0</v>
      </c>
      <c r="FC17" s="2158">
        <f t="shared" si="14"/>
        <v>3.7389999999999999</v>
      </c>
      <c r="FD17" s="2158">
        <f t="shared" si="14"/>
        <v>0</v>
      </c>
      <c r="FE17" s="2158">
        <f t="shared" si="14"/>
        <v>0</v>
      </c>
      <c r="FF17" s="2158">
        <f t="shared" si="14"/>
        <v>3.403</v>
      </c>
      <c r="FG17" s="2158">
        <f t="shared" si="14"/>
        <v>0</v>
      </c>
      <c r="FH17" s="2158">
        <f t="shared" si="14"/>
        <v>0</v>
      </c>
      <c r="FI17" s="2158">
        <f t="shared" si="14"/>
        <v>2.91</v>
      </c>
      <c r="FJ17" s="2158">
        <f t="shared" si="14"/>
        <v>0</v>
      </c>
      <c r="FK17" s="2158">
        <f t="shared" si="14"/>
        <v>0</v>
      </c>
      <c r="FL17" s="2158">
        <f t="shared" si="14"/>
        <v>0</v>
      </c>
      <c r="FM17" s="2158">
        <f t="shared" si="14"/>
        <v>0</v>
      </c>
      <c r="FN17" s="2158">
        <f t="shared" si="14"/>
        <v>3.673</v>
      </c>
      <c r="FO17" s="2158">
        <f t="shared" si="14"/>
        <v>25.305</v>
      </c>
      <c r="FP17" s="2158">
        <f t="shared" si="14"/>
        <v>0</v>
      </c>
      <c r="FQ17" s="2158">
        <f t="shared" si="14"/>
        <v>0</v>
      </c>
      <c r="FR17" s="2158">
        <f t="shared" si="14"/>
        <v>72.418000000000006</v>
      </c>
    </row>
    <row r="18" spans="1:174" ht="15">
      <c r="A18" s="2124"/>
      <c r="B18" s="2124"/>
      <c r="C18" s="2124"/>
      <c r="D18" s="2124"/>
      <c r="E18" s="2124"/>
      <c r="F18" s="2124"/>
      <c r="G18" s="2124"/>
      <c r="H18" s="2124"/>
      <c r="I18" s="2124"/>
      <c r="J18" s="2124"/>
      <c r="K18" s="2124"/>
      <c r="L18" s="2124"/>
      <c r="M18" s="2124"/>
      <c r="N18" s="2124"/>
      <c r="O18" s="2124"/>
      <c r="P18" s="2124"/>
      <c r="Q18" s="2124"/>
      <c r="R18" s="2124"/>
      <c r="S18" s="2124"/>
      <c r="T18" s="2124"/>
      <c r="U18" s="2124"/>
      <c r="V18" s="2124"/>
      <c r="W18" s="2124"/>
      <c r="X18" s="2124"/>
      <c r="Y18" s="2124"/>
      <c r="Z18" s="2124"/>
      <c r="AA18" s="2124"/>
      <c r="AB18" s="2124"/>
      <c r="AC18" s="2124"/>
      <c r="AD18" s="2124"/>
      <c r="AE18" s="2124"/>
      <c r="AF18" s="2124"/>
      <c r="AG18" s="2124"/>
      <c r="AH18" s="2124"/>
      <c r="AJ18" s="2257"/>
      <c r="AK18" s="2256"/>
      <c r="AL18" s="2249"/>
      <c r="AM18" s="2249"/>
      <c r="AN18" s="2249"/>
      <c r="AO18" s="2249"/>
      <c r="AP18" s="2249"/>
      <c r="AQ18" s="2249"/>
      <c r="AR18" s="2249"/>
      <c r="AS18" s="2249"/>
      <c r="AT18" s="2249"/>
      <c r="AU18" s="2249"/>
      <c r="AV18" s="2249"/>
      <c r="AW18" s="2249"/>
      <c r="AX18" s="2249"/>
      <c r="AY18" s="2249"/>
      <c r="AZ18" s="2249"/>
      <c r="BA18" s="2249"/>
      <c r="BB18" s="2249"/>
      <c r="BC18" s="2249"/>
      <c r="BD18" s="2249"/>
      <c r="BE18" s="2249"/>
      <c r="BF18" s="2249"/>
      <c r="BG18" s="2249"/>
      <c r="BH18" s="2249"/>
      <c r="BI18" s="2249"/>
      <c r="BJ18" s="2249"/>
      <c r="BK18" s="2249"/>
      <c r="BL18" s="2249"/>
      <c r="BM18" s="2249"/>
      <c r="BN18" s="2249"/>
      <c r="BO18" s="2249"/>
      <c r="BP18" s="2249"/>
      <c r="BQ18" s="2249"/>
      <c r="BS18" s="2255"/>
      <c r="BT18" s="2254"/>
      <c r="BU18" s="2245"/>
      <c r="BV18" s="2245"/>
      <c r="BW18" s="2245"/>
      <c r="BX18" s="2245"/>
      <c r="BY18" s="2245"/>
      <c r="BZ18" s="2245"/>
      <c r="CA18" s="2245"/>
      <c r="CB18" s="2245"/>
      <c r="CC18" s="2245"/>
      <c r="CD18" s="2245"/>
      <c r="CE18" s="2245"/>
      <c r="CF18" s="2245"/>
      <c r="CG18" s="2245"/>
      <c r="CH18" s="2245"/>
      <c r="CI18" s="2245"/>
      <c r="CJ18" s="2245"/>
      <c r="CK18" s="2245"/>
      <c r="CL18" s="2245"/>
      <c r="CM18" s="2245"/>
      <c r="CN18" s="2245"/>
      <c r="CO18" s="2245"/>
      <c r="CP18" s="2245"/>
      <c r="CQ18" s="2245"/>
      <c r="CR18" s="2245"/>
      <c r="CS18" s="2245"/>
      <c r="CT18" s="2245"/>
      <c r="CU18" s="2245"/>
      <c r="CV18" s="2245"/>
      <c r="CW18" s="2245"/>
      <c r="CX18" s="2245"/>
      <c r="CY18" s="2245"/>
      <c r="CZ18" s="2245"/>
      <c r="DB18" s="2253"/>
      <c r="DC18" s="2252"/>
      <c r="DD18" s="2244"/>
      <c r="DE18" s="2244"/>
      <c r="DF18" s="2244"/>
      <c r="DG18" s="2244"/>
      <c r="DH18" s="2244"/>
      <c r="DI18" s="2244"/>
      <c r="DJ18" s="2244"/>
      <c r="DK18" s="2244"/>
      <c r="DL18" s="2244"/>
      <c r="DM18" s="2244"/>
      <c r="DN18" s="2244"/>
      <c r="DO18" s="2244"/>
      <c r="DP18" s="2244"/>
      <c r="DQ18" s="2244"/>
      <c r="DR18" s="2244"/>
      <c r="DS18" s="2244"/>
      <c r="DT18" s="2244"/>
      <c r="DU18" s="2244"/>
      <c r="DV18" s="2244"/>
      <c r="DW18" s="2244"/>
      <c r="DX18" s="2244"/>
      <c r="DY18" s="2244"/>
      <c r="DZ18" s="2244"/>
      <c r="EA18" s="2244"/>
      <c r="EB18" s="2244"/>
      <c r="EC18" s="2244"/>
      <c r="ED18" s="2244"/>
      <c r="EE18" s="2244"/>
      <c r="EF18" s="2244"/>
      <c r="EG18" s="2244"/>
      <c r="EH18" s="2244"/>
      <c r="EI18" s="2244"/>
      <c r="EK18" s="2167"/>
      <c r="EL18" s="2167"/>
      <c r="EM18" s="2167"/>
      <c r="EN18" s="2167"/>
      <c r="EO18" s="2167"/>
      <c r="EP18" s="2167"/>
      <c r="EQ18" s="2167"/>
      <c r="ER18" s="2167"/>
      <c r="ES18" s="2167"/>
      <c r="ET18" s="2167"/>
      <c r="EU18" s="2167"/>
      <c r="EV18" s="2167"/>
      <c r="EW18" s="2167"/>
      <c r="EX18" s="2167"/>
      <c r="EY18" s="2167"/>
      <c r="EZ18" s="2167"/>
      <c r="FA18" s="2167"/>
      <c r="FB18" s="2167"/>
      <c r="FC18" s="2167"/>
      <c r="FD18" s="2167"/>
      <c r="FE18" s="2167"/>
      <c r="FF18" s="2167"/>
      <c r="FG18" s="2167"/>
      <c r="FH18" s="2167"/>
      <c r="FI18" s="2167"/>
      <c r="FJ18" s="2167"/>
      <c r="FK18" s="2167"/>
      <c r="FL18" s="2167"/>
      <c r="FM18" s="2167"/>
      <c r="FN18" s="2167"/>
      <c r="FO18" s="2167"/>
      <c r="FP18" s="2167"/>
      <c r="FQ18" s="2167"/>
      <c r="FR18" s="2167"/>
    </row>
    <row r="19" spans="1:174" ht="15">
      <c r="A19" s="3781" t="s">
        <v>641</v>
      </c>
      <c r="B19" s="3782"/>
      <c r="C19" s="3783"/>
      <c r="D19" s="1433"/>
      <c r="E19" s="1433"/>
      <c r="F19" s="1433"/>
      <c r="G19" s="1433"/>
      <c r="H19" s="1433"/>
      <c r="I19" s="1433"/>
      <c r="J19" s="1433"/>
      <c r="K19" s="1433"/>
      <c r="L19" s="1433"/>
      <c r="M19" s="2274"/>
      <c r="N19" s="1433"/>
      <c r="O19" s="1433"/>
      <c r="P19" s="1433"/>
      <c r="Q19" s="1433"/>
      <c r="R19" s="1433"/>
      <c r="S19" s="1433"/>
      <c r="T19" s="1433"/>
      <c r="U19" s="1433"/>
      <c r="V19" s="1433"/>
      <c r="W19" s="1433"/>
      <c r="X19" s="1433"/>
      <c r="Y19" s="1433"/>
      <c r="Z19" s="1433"/>
      <c r="AA19" s="1433"/>
      <c r="AB19" s="1433"/>
      <c r="AC19" s="1433"/>
      <c r="AD19" s="1433"/>
      <c r="AE19" s="1433"/>
      <c r="AF19" s="1433"/>
      <c r="AG19" s="1433"/>
      <c r="AH19" s="1433"/>
      <c r="AJ19" s="3585" t="s">
        <v>641</v>
      </c>
      <c r="AK19" s="3586"/>
      <c r="AL19" s="3587"/>
      <c r="AM19" s="2193"/>
      <c r="AN19" s="2193"/>
      <c r="AO19" s="2193"/>
      <c r="AP19" s="2193"/>
      <c r="AQ19" s="2193"/>
      <c r="AR19" s="2193"/>
      <c r="AS19" s="2193"/>
      <c r="AT19" s="2193"/>
      <c r="AU19" s="2193"/>
      <c r="AV19" s="2194"/>
      <c r="AW19" s="2193"/>
      <c r="AX19" s="2193"/>
      <c r="AY19" s="2193"/>
      <c r="AZ19" s="2193"/>
      <c r="BA19" s="2193"/>
      <c r="BB19" s="2193"/>
      <c r="BC19" s="2193"/>
      <c r="BD19" s="2193"/>
      <c r="BE19" s="2193"/>
      <c r="BF19" s="2193"/>
      <c r="BG19" s="2193"/>
      <c r="BH19" s="2193"/>
      <c r="BI19" s="2193"/>
      <c r="BJ19" s="2193"/>
      <c r="BK19" s="2193"/>
      <c r="BL19" s="2193"/>
      <c r="BM19" s="2193"/>
      <c r="BN19" s="2193"/>
      <c r="BO19" s="2193"/>
      <c r="BP19" s="2193"/>
      <c r="BQ19" s="2193"/>
      <c r="BS19" s="3772" t="s">
        <v>641</v>
      </c>
      <c r="BT19" s="3773"/>
      <c r="BU19" s="3774"/>
      <c r="BV19" s="2185"/>
      <c r="BW19" s="2185"/>
      <c r="BX19" s="2185"/>
      <c r="BY19" s="2185"/>
      <c r="BZ19" s="2185"/>
      <c r="CA19" s="2185"/>
      <c r="CB19" s="2185"/>
      <c r="CC19" s="2185"/>
      <c r="CD19" s="2185"/>
      <c r="CE19" s="2186"/>
      <c r="CF19" s="2185"/>
      <c r="CG19" s="2185"/>
      <c r="CH19" s="2185"/>
      <c r="CI19" s="2185"/>
      <c r="CJ19" s="2185"/>
      <c r="CK19" s="2185"/>
      <c r="CL19" s="2185"/>
      <c r="CM19" s="2185"/>
      <c r="CN19" s="2185"/>
      <c r="CO19" s="2185"/>
      <c r="CP19" s="2185"/>
      <c r="CQ19" s="2185"/>
      <c r="CR19" s="2185"/>
      <c r="CS19" s="2185"/>
      <c r="CT19" s="2185"/>
      <c r="CU19" s="2185"/>
      <c r="CV19" s="2185"/>
      <c r="CW19" s="2185"/>
      <c r="CX19" s="2185"/>
      <c r="CY19" s="2185"/>
      <c r="CZ19" s="2185"/>
      <c r="DB19" s="3775" t="s">
        <v>641</v>
      </c>
      <c r="DC19" s="3776"/>
      <c r="DD19" s="3777"/>
      <c r="DE19" s="2177"/>
      <c r="DF19" s="2177"/>
      <c r="DG19" s="2177"/>
      <c r="DH19" s="2177"/>
      <c r="DI19" s="2177"/>
      <c r="DJ19" s="2177"/>
      <c r="DK19" s="2177"/>
      <c r="DL19" s="2177"/>
      <c r="DM19" s="2177"/>
      <c r="DN19" s="2178"/>
      <c r="DO19" s="2177"/>
      <c r="DP19" s="2177"/>
      <c r="DQ19" s="2177"/>
      <c r="DR19" s="2177"/>
      <c r="DS19" s="2177"/>
      <c r="DT19" s="2177"/>
      <c r="DU19" s="2177"/>
      <c r="DV19" s="2177"/>
      <c r="DW19" s="2177"/>
      <c r="DX19" s="2177"/>
      <c r="DY19" s="2177"/>
      <c r="DZ19" s="2177"/>
      <c r="EA19" s="2177"/>
      <c r="EB19" s="2177"/>
      <c r="EC19" s="2177"/>
      <c r="ED19" s="2177"/>
      <c r="EE19" s="2177"/>
      <c r="EF19" s="2177"/>
      <c r="EG19" s="2177"/>
      <c r="EH19" s="2177"/>
      <c r="EI19" s="2177"/>
      <c r="EK19" s="3778" t="s">
        <v>625</v>
      </c>
      <c r="EL19" s="3779"/>
      <c r="EM19" s="3780"/>
      <c r="EN19" s="2165"/>
      <c r="EO19" s="2165"/>
      <c r="EP19" s="2165"/>
      <c r="EQ19" s="2165"/>
      <c r="ER19" s="2165"/>
      <c r="ES19" s="2165"/>
      <c r="ET19" s="2165"/>
      <c r="EU19" s="2165"/>
      <c r="EV19" s="2165"/>
      <c r="EW19" s="2166"/>
      <c r="EX19" s="2165"/>
      <c r="EY19" s="2165"/>
      <c r="EZ19" s="2165"/>
      <c r="FA19" s="2165"/>
      <c r="FB19" s="2165"/>
      <c r="FC19" s="2165"/>
      <c r="FD19" s="2165"/>
      <c r="FE19" s="2165"/>
      <c r="FF19" s="2165"/>
      <c r="FG19" s="2165"/>
      <c r="FH19" s="2165"/>
      <c r="FI19" s="2165"/>
      <c r="FJ19" s="2165"/>
      <c r="FK19" s="2165"/>
      <c r="FL19" s="2165"/>
      <c r="FM19" s="2165"/>
      <c r="FN19" s="2165"/>
      <c r="FO19" s="2165"/>
      <c r="FP19" s="2165"/>
      <c r="FQ19" s="2165"/>
      <c r="FR19" s="2165"/>
    </row>
    <row r="20" spans="1:174" ht="15">
      <c r="A20" s="1249" t="s">
        <v>72</v>
      </c>
      <c r="B20" s="1249" t="s">
        <v>73</v>
      </c>
      <c r="C20" s="1249">
        <v>1</v>
      </c>
      <c r="D20" s="1249">
        <v>2</v>
      </c>
      <c r="E20" s="1249">
        <v>3</v>
      </c>
      <c r="F20" s="1249">
        <v>4</v>
      </c>
      <c r="G20" s="1249">
        <v>5</v>
      </c>
      <c r="H20" s="1249">
        <v>6</v>
      </c>
      <c r="I20" s="1249">
        <v>7</v>
      </c>
      <c r="J20" s="1249">
        <v>8</v>
      </c>
      <c r="K20" s="1249">
        <v>9</v>
      </c>
      <c r="L20" s="1249">
        <v>10</v>
      </c>
      <c r="M20" s="1249">
        <v>11</v>
      </c>
      <c r="N20" s="1249">
        <v>12</v>
      </c>
      <c r="O20" s="1249">
        <v>13</v>
      </c>
      <c r="P20" s="1249">
        <v>14</v>
      </c>
      <c r="Q20" s="1249">
        <v>15</v>
      </c>
      <c r="R20" s="1249">
        <v>16</v>
      </c>
      <c r="S20" s="1249">
        <v>17</v>
      </c>
      <c r="T20" s="1249">
        <v>18</v>
      </c>
      <c r="U20" s="1249">
        <v>19</v>
      </c>
      <c r="V20" s="1249">
        <v>20</v>
      </c>
      <c r="W20" s="1249">
        <v>21</v>
      </c>
      <c r="X20" s="1249">
        <v>22</v>
      </c>
      <c r="Y20" s="1249">
        <v>23</v>
      </c>
      <c r="Z20" s="1249">
        <v>24</v>
      </c>
      <c r="AA20" s="1249">
        <v>25</v>
      </c>
      <c r="AB20" s="1249">
        <v>26</v>
      </c>
      <c r="AC20" s="1249">
        <v>27</v>
      </c>
      <c r="AD20" s="1249">
        <v>28</v>
      </c>
      <c r="AE20" s="1249">
        <v>29</v>
      </c>
      <c r="AF20" s="1249">
        <v>30</v>
      </c>
      <c r="AG20" s="1249">
        <v>31</v>
      </c>
      <c r="AH20" s="1820" t="s">
        <v>74</v>
      </c>
      <c r="AJ20" s="1746" t="s">
        <v>72</v>
      </c>
      <c r="AK20" s="1746" t="s">
        <v>73</v>
      </c>
      <c r="AL20" s="1746">
        <v>1</v>
      </c>
      <c r="AM20" s="1746">
        <v>2</v>
      </c>
      <c r="AN20" s="1746">
        <v>3</v>
      </c>
      <c r="AO20" s="1746">
        <v>4</v>
      </c>
      <c r="AP20" s="1746">
        <v>5</v>
      </c>
      <c r="AQ20" s="1746">
        <v>6</v>
      </c>
      <c r="AR20" s="1746">
        <v>7</v>
      </c>
      <c r="AS20" s="1746">
        <v>8</v>
      </c>
      <c r="AT20" s="1746">
        <v>9</v>
      </c>
      <c r="AU20" s="1746">
        <v>10</v>
      </c>
      <c r="AV20" s="1746">
        <v>11</v>
      </c>
      <c r="AW20" s="1746">
        <v>12</v>
      </c>
      <c r="AX20" s="1746">
        <v>13</v>
      </c>
      <c r="AY20" s="1746">
        <v>14</v>
      </c>
      <c r="AZ20" s="1746">
        <v>15</v>
      </c>
      <c r="BA20" s="1746">
        <v>16</v>
      </c>
      <c r="BB20" s="1746">
        <v>17</v>
      </c>
      <c r="BC20" s="1746">
        <v>18</v>
      </c>
      <c r="BD20" s="1746">
        <v>19</v>
      </c>
      <c r="BE20" s="1746">
        <v>20</v>
      </c>
      <c r="BF20" s="1746">
        <v>21</v>
      </c>
      <c r="BG20" s="1746">
        <v>22</v>
      </c>
      <c r="BH20" s="1746">
        <v>23</v>
      </c>
      <c r="BI20" s="1746">
        <v>24</v>
      </c>
      <c r="BJ20" s="1746">
        <v>25</v>
      </c>
      <c r="BK20" s="1746">
        <v>26</v>
      </c>
      <c r="BL20" s="1746">
        <v>27</v>
      </c>
      <c r="BM20" s="1746">
        <v>28</v>
      </c>
      <c r="BN20" s="1746">
        <v>29</v>
      </c>
      <c r="BO20" s="1746">
        <v>30</v>
      </c>
      <c r="BP20" s="1746">
        <v>31</v>
      </c>
      <c r="BQ20" s="2192" t="s">
        <v>74</v>
      </c>
      <c r="BS20" s="1845" t="s">
        <v>72</v>
      </c>
      <c r="BT20" s="1845" t="s">
        <v>73</v>
      </c>
      <c r="BU20" s="1845">
        <v>1</v>
      </c>
      <c r="BV20" s="1845">
        <v>2</v>
      </c>
      <c r="BW20" s="1845">
        <v>3</v>
      </c>
      <c r="BX20" s="1845">
        <v>4</v>
      </c>
      <c r="BY20" s="1845">
        <v>5</v>
      </c>
      <c r="BZ20" s="1845">
        <v>6</v>
      </c>
      <c r="CA20" s="1845">
        <v>7</v>
      </c>
      <c r="CB20" s="1845">
        <v>8</v>
      </c>
      <c r="CC20" s="1845">
        <v>9</v>
      </c>
      <c r="CD20" s="1845">
        <v>10</v>
      </c>
      <c r="CE20" s="1845">
        <v>11</v>
      </c>
      <c r="CF20" s="1845">
        <v>12</v>
      </c>
      <c r="CG20" s="1845">
        <v>13</v>
      </c>
      <c r="CH20" s="1845">
        <v>14</v>
      </c>
      <c r="CI20" s="1845">
        <v>15</v>
      </c>
      <c r="CJ20" s="1845">
        <v>16</v>
      </c>
      <c r="CK20" s="1845">
        <v>17</v>
      </c>
      <c r="CL20" s="1845">
        <v>18</v>
      </c>
      <c r="CM20" s="1845">
        <v>19</v>
      </c>
      <c r="CN20" s="1845">
        <v>20</v>
      </c>
      <c r="CO20" s="1845">
        <v>21</v>
      </c>
      <c r="CP20" s="1845">
        <v>22</v>
      </c>
      <c r="CQ20" s="1845">
        <v>23</v>
      </c>
      <c r="CR20" s="1845">
        <v>24</v>
      </c>
      <c r="CS20" s="1845">
        <v>25</v>
      </c>
      <c r="CT20" s="1845">
        <v>26</v>
      </c>
      <c r="CU20" s="1845">
        <v>27</v>
      </c>
      <c r="CV20" s="1845">
        <v>28</v>
      </c>
      <c r="CW20" s="1845">
        <v>29</v>
      </c>
      <c r="CX20" s="1845">
        <v>30</v>
      </c>
      <c r="CY20" s="1845">
        <v>31</v>
      </c>
      <c r="CZ20" s="2184" t="s">
        <v>74</v>
      </c>
      <c r="DB20" s="1962" t="s">
        <v>72</v>
      </c>
      <c r="DC20" s="1962" t="s">
        <v>73</v>
      </c>
      <c r="DD20" s="1962">
        <v>1</v>
      </c>
      <c r="DE20" s="1962">
        <v>2</v>
      </c>
      <c r="DF20" s="1962">
        <v>3</v>
      </c>
      <c r="DG20" s="1962">
        <v>4</v>
      </c>
      <c r="DH20" s="1962">
        <v>5</v>
      </c>
      <c r="DI20" s="1962">
        <v>6</v>
      </c>
      <c r="DJ20" s="1962">
        <v>7</v>
      </c>
      <c r="DK20" s="1962">
        <v>8</v>
      </c>
      <c r="DL20" s="1962">
        <v>9</v>
      </c>
      <c r="DM20" s="1962">
        <v>10</v>
      </c>
      <c r="DN20" s="1962">
        <v>11</v>
      </c>
      <c r="DO20" s="1962">
        <v>12</v>
      </c>
      <c r="DP20" s="1962">
        <v>13</v>
      </c>
      <c r="DQ20" s="1962">
        <v>14</v>
      </c>
      <c r="DR20" s="1962">
        <v>15</v>
      </c>
      <c r="DS20" s="1962">
        <v>16</v>
      </c>
      <c r="DT20" s="1962">
        <v>17</v>
      </c>
      <c r="DU20" s="1962">
        <v>18</v>
      </c>
      <c r="DV20" s="1962">
        <v>19</v>
      </c>
      <c r="DW20" s="1962">
        <v>20</v>
      </c>
      <c r="DX20" s="1962">
        <v>21</v>
      </c>
      <c r="DY20" s="1962">
        <v>22</v>
      </c>
      <c r="DZ20" s="1962">
        <v>23</v>
      </c>
      <c r="EA20" s="1962">
        <v>24</v>
      </c>
      <c r="EB20" s="1962">
        <v>25</v>
      </c>
      <c r="EC20" s="1962">
        <v>26</v>
      </c>
      <c r="ED20" s="1962">
        <v>27</v>
      </c>
      <c r="EE20" s="1962">
        <v>28</v>
      </c>
      <c r="EF20" s="1962">
        <v>29</v>
      </c>
      <c r="EG20" s="1962">
        <v>30</v>
      </c>
      <c r="EH20" s="1962">
        <v>31</v>
      </c>
      <c r="EI20" s="2176" t="s">
        <v>74</v>
      </c>
      <c r="EK20" s="2163" t="s">
        <v>72</v>
      </c>
      <c r="EL20" s="2163" t="s">
        <v>73</v>
      </c>
      <c r="EM20" s="2163">
        <v>1</v>
      </c>
      <c r="EN20" s="2163">
        <v>2</v>
      </c>
      <c r="EO20" s="2163">
        <v>3</v>
      </c>
      <c r="EP20" s="2163">
        <v>4</v>
      </c>
      <c r="EQ20" s="2163">
        <v>5</v>
      </c>
      <c r="ER20" s="2163">
        <v>6</v>
      </c>
      <c r="ES20" s="2163">
        <v>7</v>
      </c>
      <c r="ET20" s="2163">
        <v>8</v>
      </c>
      <c r="EU20" s="2163">
        <v>9</v>
      </c>
      <c r="EV20" s="2163">
        <v>10</v>
      </c>
      <c r="EW20" s="2163">
        <v>11</v>
      </c>
      <c r="EX20" s="2163">
        <v>12</v>
      </c>
      <c r="EY20" s="2163">
        <v>13</v>
      </c>
      <c r="EZ20" s="2163">
        <v>14</v>
      </c>
      <c r="FA20" s="2163">
        <v>15</v>
      </c>
      <c r="FB20" s="2163">
        <v>16</v>
      </c>
      <c r="FC20" s="2163">
        <v>17</v>
      </c>
      <c r="FD20" s="2163">
        <v>18</v>
      </c>
      <c r="FE20" s="2163">
        <v>19</v>
      </c>
      <c r="FF20" s="2163">
        <v>20</v>
      </c>
      <c r="FG20" s="2163">
        <v>21</v>
      </c>
      <c r="FH20" s="2163">
        <v>22</v>
      </c>
      <c r="FI20" s="2163">
        <v>23</v>
      </c>
      <c r="FJ20" s="2163">
        <v>24</v>
      </c>
      <c r="FK20" s="2163">
        <v>25</v>
      </c>
      <c r="FL20" s="2163">
        <v>26</v>
      </c>
      <c r="FM20" s="2163">
        <v>27</v>
      </c>
      <c r="FN20" s="2163">
        <v>28</v>
      </c>
      <c r="FO20" s="2163">
        <v>29</v>
      </c>
      <c r="FP20" s="2163">
        <v>30</v>
      </c>
      <c r="FQ20" s="2163">
        <v>31</v>
      </c>
      <c r="FR20" s="2164" t="s">
        <v>74</v>
      </c>
    </row>
    <row r="21" spans="1:174" ht="15">
      <c r="A21" s="1249" t="s">
        <v>75</v>
      </c>
      <c r="B21" s="1287">
        <f t="shared" ref="B21:B32" si="15">+AH21</f>
        <v>0</v>
      </c>
      <c r="C21" s="1761"/>
      <c r="D21" s="1761"/>
      <c r="E21" s="1761"/>
      <c r="F21" s="1761"/>
      <c r="G21" s="1761"/>
      <c r="H21" s="1761"/>
      <c r="I21" s="1761"/>
      <c r="J21" s="1761"/>
      <c r="K21" s="1761"/>
      <c r="L21" s="1761"/>
      <c r="M21" s="1761"/>
      <c r="N21" s="1761"/>
      <c r="O21" s="1761"/>
      <c r="P21" s="1761"/>
      <c r="Q21" s="1761"/>
      <c r="R21" s="1761"/>
      <c r="S21" s="1761"/>
      <c r="T21" s="1761"/>
      <c r="U21" s="1761"/>
      <c r="V21" s="1761"/>
      <c r="W21" s="1761"/>
      <c r="X21" s="1761"/>
      <c r="Y21" s="1761"/>
      <c r="Z21" s="1761"/>
      <c r="AA21" s="1761"/>
      <c r="AB21" s="1761"/>
      <c r="AC21" s="1761"/>
      <c r="AD21" s="1761"/>
      <c r="AE21" s="1761"/>
      <c r="AF21" s="1761"/>
      <c r="AG21" s="1761"/>
      <c r="AH21" s="1488">
        <f t="shared" ref="AH21:AH32" si="16">SUM(C21:AG21)</f>
        <v>0</v>
      </c>
      <c r="AJ21" s="1746" t="s">
        <v>75</v>
      </c>
      <c r="AK21" s="1749">
        <f t="shared" ref="AK21:AK32" si="17">+BQ21</f>
        <v>0</v>
      </c>
      <c r="AL21" s="2226"/>
      <c r="AM21" s="2226"/>
      <c r="AN21" s="2226"/>
      <c r="AO21" s="2226"/>
      <c r="AP21" s="2226"/>
      <c r="AQ21" s="2226"/>
      <c r="AR21" s="2226"/>
      <c r="AS21" s="2226"/>
      <c r="AT21" s="2226"/>
      <c r="AU21" s="2226"/>
      <c r="AV21" s="2226"/>
      <c r="AW21" s="2226"/>
      <c r="AX21" s="2189"/>
      <c r="AY21" s="2189"/>
      <c r="AZ21" s="2189"/>
      <c r="BA21" s="2189"/>
      <c r="BB21" s="2189"/>
      <c r="BC21" s="2189"/>
      <c r="BD21" s="2189"/>
      <c r="BE21" s="2189"/>
      <c r="BF21" s="2189"/>
      <c r="BG21" s="2189"/>
      <c r="BH21" s="2189"/>
      <c r="BI21" s="2189"/>
      <c r="BJ21" s="2189"/>
      <c r="BK21" s="2189"/>
      <c r="BL21" s="2189"/>
      <c r="BM21" s="2189"/>
      <c r="BN21" s="2189"/>
      <c r="BO21" s="2189"/>
      <c r="BP21" s="2189"/>
      <c r="BQ21" s="2188">
        <f t="shared" ref="BQ21:BQ32" si="18">SUM(AL21:BP21)</f>
        <v>0</v>
      </c>
      <c r="BS21" s="1845" t="s">
        <v>75</v>
      </c>
      <c r="BT21" s="1846">
        <f t="shared" ref="BT21:BT32" si="19">+CZ21</f>
        <v>0</v>
      </c>
      <c r="BU21" s="2225"/>
      <c r="BV21" s="2225"/>
      <c r="BW21" s="2225"/>
      <c r="BX21" s="2225"/>
      <c r="BY21" s="2225"/>
      <c r="BZ21" s="2225"/>
      <c r="CA21" s="2225"/>
      <c r="CB21" s="2225"/>
      <c r="CC21" s="2225"/>
      <c r="CD21" s="2225"/>
      <c r="CE21" s="2225"/>
      <c r="CF21" s="2225"/>
      <c r="CG21" s="2181"/>
      <c r="CH21" s="2181"/>
      <c r="CI21" s="2181"/>
      <c r="CJ21" s="2181"/>
      <c r="CK21" s="2181"/>
      <c r="CL21" s="2181"/>
      <c r="CM21" s="2181"/>
      <c r="CN21" s="2181"/>
      <c r="CO21" s="2181"/>
      <c r="CP21" s="2181"/>
      <c r="CQ21" s="2181"/>
      <c r="CR21" s="2181"/>
      <c r="CS21" s="2181"/>
      <c r="CT21" s="2181"/>
      <c r="CU21" s="2181"/>
      <c r="CV21" s="2181"/>
      <c r="CW21" s="2181"/>
      <c r="CX21" s="2181"/>
      <c r="CY21" s="2181"/>
      <c r="CZ21" s="2180">
        <f t="shared" ref="CZ21:CZ32" si="20">SUM(BU21:CY21)</f>
        <v>0</v>
      </c>
      <c r="DB21" s="1962" t="s">
        <v>75</v>
      </c>
      <c r="DC21" s="2175">
        <f t="shared" ref="DC21:DC32" si="21">+EI21</f>
        <v>0</v>
      </c>
      <c r="DD21" s="2172"/>
      <c r="DE21" s="2172"/>
      <c r="DF21" s="2172"/>
      <c r="DG21" s="2172"/>
      <c r="DH21" s="2172"/>
      <c r="DI21" s="2172"/>
      <c r="DJ21" s="2172"/>
      <c r="DK21" s="2172"/>
      <c r="DL21" s="2172"/>
      <c r="DM21" s="2172"/>
      <c r="DN21" s="2172"/>
      <c r="DO21" s="2172"/>
      <c r="DP21" s="2172"/>
      <c r="DQ21" s="2172"/>
      <c r="DR21" s="2172"/>
      <c r="DS21" s="2172"/>
      <c r="DT21" s="2172"/>
      <c r="DU21" s="2172"/>
      <c r="DV21" s="2172"/>
      <c r="DW21" s="2172"/>
      <c r="DX21" s="2172"/>
      <c r="DY21" s="2172"/>
      <c r="DZ21" s="2172"/>
      <c r="EA21" s="2172"/>
      <c r="EB21" s="2172"/>
      <c r="EC21" s="2172"/>
      <c r="ED21" s="2172"/>
      <c r="EE21" s="2172"/>
      <c r="EF21" s="2172"/>
      <c r="EG21" s="2172"/>
      <c r="EH21" s="2172"/>
      <c r="EI21" s="2171">
        <f t="shared" ref="EI21:EI32" si="22">SUM(DD21:EH21)</f>
        <v>0</v>
      </c>
      <c r="EK21" s="2163" t="s">
        <v>75</v>
      </c>
      <c r="EL21" s="2162">
        <f t="shared" ref="EL21:EL32" si="23">+FR21</f>
        <v>28.978000000000002</v>
      </c>
      <c r="EM21" s="2159">
        <f t="shared" ref="EM21:FQ21" si="24">+EM5</f>
        <v>0</v>
      </c>
      <c r="EN21" s="2159">
        <f t="shared" si="24"/>
        <v>0</v>
      </c>
      <c r="EO21" s="2159">
        <f t="shared" si="24"/>
        <v>0</v>
      </c>
      <c r="EP21" s="2159">
        <f t="shared" si="24"/>
        <v>0</v>
      </c>
      <c r="EQ21" s="2159">
        <f t="shared" si="24"/>
        <v>0</v>
      </c>
      <c r="ER21" s="2159">
        <f t="shared" si="24"/>
        <v>0</v>
      </c>
      <c r="ES21" s="2159">
        <f t="shared" si="24"/>
        <v>0</v>
      </c>
      <c r="ET21" s="2159">
        <f t="shared" si="24"/>
        <v>0</v>
      </c>
      <c r="EU21" s="2159">
        <f t="shared" si="24"/>
        <v>0</v>
      </c>
      <c r="EV21" s="2159">
        <f t="shared" si="24"/>
        <v>0</v>
      </c>
      <c r="EW21" s="2159">
        <f t="shared" si="24"/>
        <v>0</v>
      </c>
      <c r="EX21" s="2159">
        <f t="shared" si="24"/>
        <v>0</v>
      </c>
      <c r="EY21" s="2159">
        <f t="shared" si="24"/>
        <v>0</v>
      </c>
      <c r="EZ21" s="2159">
        <f t="shared" si="24"/>
        <v>0</v>
      </c>
      <c r="FA21" s="2159">
        <f t="shared" si="24"/>
        <v>0</v>
      </c>
      <c r="FB21" s="2159">
        <f t="shared" si="24"/>
        <v>0</v>
      </c>
      <c r="FC21" s="2159">
        <f t="shared" si="24"/>
        <v>0</v>
      </c>
      <c r="FD21" s="2159">
        <f t="shared" si="24"/>
        <v>0</v>
      </c>
      <c r="FE21" s="2159">
        <f t="shared" si="24"/>
        <v>0</v>
      </c>
      <c r="FF21" s="2159">
        <f t="shared" si="24"/>
        <v>0</v>
      </c>
      <c r="FG21" s="2159">
        <f t="shared" si="24"/>
        <v>0</v>
      </c>
      <c r="FH21" s="2159">
        <f t="shared" si="24"/>
        <v>0</v>
      </c>
      <c r="FI21" s="2159">
        <f t="shared" si="24"/>
        <v>0</v>
      </c>
      <c r="FJ21" s="2159">
        <f t="shared" si="24"/>
        <v>0</v>
      </c>
      <c r="FK21" s="2159">
        <f t="shared" si="24"/>
        <v>0</v>
      </c>
      <c r="FL21" s="2159">
        <f t="shared" si="24"/>
        <v>0</v>
      </c>
      <c r="FM21" s="2159">
        <f t="shared" si="24"/>
        <v>0</v>
      </c>
      <c r="FN21" s="2159">
        <f t="shared" si="24"/>
        <v>3.673</v>
      </c>
      <c r="FO21" s="2159">
        <f t="shared" si="24"/>
        <v>25.305</v>
      </c>
      <c r="FP21" s="2159">
        <f t="shared" si="24"/>
        <v>0</v>
      </c>
      <c r="FQ21" s="2159">
        <f t="shared" si="24"/>
        <v>0</v>
      </c>
      <c r="FR21" s="2158">
        <f t="shared" ref="FR21:FR32" si="25">SUM(EM21:FQ21)</f>
        <v>28.978000000000002</v>
      </c>
    </row>
    <row r="22" spans="1:174" ht="15">
      <c r="A22" s="1249" t="s">
        <v>76</v>
      </c>
      <c r="B22" s="1287">
        <f t="shared" si="15"/>
        <v>0</v>
      </c>
      <c r="C22" s="1761"/>
      <c r="D22" s="1762"/>
      <c r="E22" s="1762"/>
      <c r="F22" s="1762"/>
      <c r="G22" s="1762"/>
      <c r="H22" s="1762"/>
      <c r="I22" s="1762"/>
      <c r="J22" s="1762"/>
      <c r="K22" s="1762"/>
      <c r="L22" s="1762"/>
      <c r="M22" s="1762"/>
      <c r="N22" s="1762"/>
      <c r="O22" s="1762"/>
      <c r="P22" s="1762"/>
      <c r="Q22" s="1762"/>
      <c r="R22" s="1762"/>
      <c r="S22" s="1762"/>
      <c r="T22" s="1762"/>
      <c r="U22" s="1762"/>
      <c r="V22" s="1762"/>
      <c r="W22" s="1762"/>
      <c r="X22" s="1762"/>
      <c r="Y22" s="1761"/>
      <c r="Z22" s="1761"/>
      <c r="AA22" s="1761"/>
      <c r="AB22" s="1761"/>
      <c r="AC22" s="1761"/>
      <c r="AD22" s="1761"/>
      <c r="AE22" s="1761"/>
      <c r="AF22" s="1761"/>
      <c r="AG22" s="1761"/>
      <c r="AH22" s="1488">
        <f t="shared" si="16"/>
        <v>0</v>
      </c>
      <c r="AJ22" s="1746" t="s">
        <v>76</v>
      </c>
      <c r="AK22" s="1749">
        <f t="shared" si="17"/>
        <v>0</v>
      </c>
      <c r="AL22" s="2226"/>
      <c r="AM22" s="2226"/>
      <c r="AN22" s="2226"/>
      <c r="AO22" s="2226"/>
      <c r="AP22" s="2226"/>
      <c r="AQ22" s="2226"/>
      <c r="AR22" s="2226"/>
      <c r="AS22" s="2226"/>
      <c r="AT22" s="2226"/>
      <c r="AU22" s="2226"/>
      <c r="AV22" s="2226"/>
      <c r="AW22" s="2226"/>
      <c r="AX22" s="2243"/>
      <c r="AY22" s="2243"/>
      <c r="AZ22" s="2243"/>
      <c r="BA22" s="2243"/>
      <c r="BB22" s="2243"/>
      <c r="BC22" s="2243"/>
      <c r="BD22" s="2243"/>
      <c r="BE22" s="2243"/>
      <c r="BF22" s="2243"/>
      <c r="BG22" s="2243"/>
      <c r="BH22" s="2189"/>
      <c r="BI22" s="2189"/>
      <c r="BJ22" s="2189"/>
      <c r="BK22" s="2189"/>
      <c r="BL22" s="2189"/>
      <c r="BM22" s="2189"/>
      <c r="BN22" s="2189"/>
      <c r="BO22" s="2189"/>
      <c r="BP22" s="2189"/>
      <c r="BQ22" s="2188">
        <f t="shared" si="18"/>
        <v>0</v>
      </c>
      <c r="BS22" s="1845" t="s">
        <v>76</v>
      </c>
      <c r="BT22" s="1846">
        <f t="shared" si="19"/>
        <v>0</v>
      </c>
      <c r="BU22" s="2225"/>
      <c r="BV22" s="2225"/>
      <c r="BW22" s="2225"/>
      <c r="BX22" s="2225"/>
      <c r="BY22" s="2225"/>
      <c r="BZ22" s="2225"/>
      <c r="CA22" s="2225"/>
      <c r="CB22" s="2225"/>
      <c r="CC22" s="2225"/>
      <c r="CD22" s="2225"/>
      <c r="CE22" s="2225"/>
      <c r="CF22" s="2225"/>
      <c r="CG22" s="2224"/>
      <c r="CH22" s="2224"/>
      <c r="CI22" s="2224"/>
      <c r="CJ22" s="2224"/>
      <c r="CK22" s="2224"/>
      <c r="CL22" s="2224"/>
      <c r="CM22" s="2224"/>
      <c r="CN22" s="2224"/>
      <c r="CO22" s="2224"/>
      <c r="CP22" s="2224"/>
      <c r="CQ22" s="2181"/>
      <c r="CR22" s="2181"/>
      <c r="CS22" s="2181"/>
      <c r="CT22" s="2181"/>
      <c r="CU22" s="2181"/>
      <c r="CV22" s="2181"/>
      <c r="CW22" s="2181"/>
      <c r="CX22" s="2181"/>
      <c r="CY22" s="2181"/>
      <c r="CZ22" s="2180">
        <f t="shared" si="20"/>
        <v>0</v>
      </c>
      <c r="DB22" s="1962" t="s">
        <v>76</v>
      </c>
      <c r="DC22" s="2175">
        <f t="shared" si="21"/>
        <v>0</v>
      </c>
      <c r="DD22" s="2172"/>
      <c r="DE22" s="2223"/>
      <c r="DF22" s="2223"/>
      <c r="DG22" s="2223"/>
      <c r="DH22" s="2223"/>
      <c r="DI22" s="2223"/>
      <c r="DJ22" s="2223"/>
      <c r="DK22" s="2223"/>
      <c r="DL22" s="2223"/>
      <c r="DM22" s="2223"/>
      <c r="DN22" s="2223"/>
      <c r="DO22" s="2223"/>
      <c r="DP22" s="2223"/>
      <c r="DQ22" s="2223"/>
      <c r="DR22" s="2223"/>
      <c r="DS22" s="2223"/>
      <c r="DT22" s="2223"/>
      <c r="DU22" s="2223"/>
      <c r="DV22" s="2223"/>
      <c r="DW22" s="2223"/>
      <c r="DX22" s="2223"/>
      <c r="DY22" s="2223"/>
      <c r="DZ22" s="2172"/>
      <c r="EA22" s="2172"/>
      <c r="EB22" s="2172"/>
      <c r="EC22" s="2172"/>
      <c r="ED22" s="2172"/>
      <c r="EE22" s="2172"/>
      <c r="EF22" s="2172"/>
      <c r="EG22" s="2172"/>
      <c r="EH22" s="2172"/>
      <c r="EI22" s="2171">
        <f t="shared" si="22"/>
        <v>0</v>
      </c>
      <c r="EK22" s="2163" t="s">
        <v>76</v>
      </c>
      <c r="EL22" s="2162">
        <f t="shared" si="23"/>
        <v>13.713000000000001</v>
      </c>
      <c r="EM22" s="2159">
        <f t="shared" ref="EM22:FQ22" si="26">+EM6</f>
        <v>0</v>
      </c>
      <c r="EN22" s="2159">
        <f t="shared" si="26"/>
        <v>0</v>
      </c>
      <c r="EO22" s="2159">
        <f t="shared" si="26"/>
        <v>0</v>
      </c>
      <c r="EP22" s="2159">
        <f t="shared" si="26"/>
        <v>0</v>
      </c>
      <c r="EQ22" s="2159">
        <f t="shared" si="26"/>
        <v>0</v>
      </c>
      <c r="ER22" s="2159">
        <f t="shared" si="26"/>
        <v>0</v>
      </c>
      <c r="ES22" s="2159">
        <f t="shared" si="26"/>
        <v>0</v>
      </c>
      <c r="ET22" s="2159">
        <f t="shared" si="26"/>
        <v>0</v>
      </c>
      <c r="EU22" s="2159">
        <f t="shared" si="26"/>
        <v>4.2649999999999997</v>
      </c>
      <c r="EV22" s="2159">
        <f t="shared" si="26"/>
        <v>0</v>
      </c>
      <c r="EW22" s="2159">
        <f t="shared" si="26"/>
        <v>0</v>
      </c>
      <c r="EX22" s="2159">
        <f t="shared" si="26"/>
        <v>3.7540000000000004</v>
      </c>
      <c r="EY22" s="2159">
        <f t="shared" si="26"/>
        <v>2.9260000000000002</v>
      </c>
      <c r="EZ22" s="2159">
        <f t="shared" si="26"/>
        <v>2.7679999999999998</v>
      </c>
      <c r="FA22" s="2159">
        <f t="shared" si="26"/>
        <v>0</v>
      </c>
      <c r="FB22" s="2159">
        <f t="shared" si="26"/>
        <v>0</v>
      </c>
      <c r="FC22" s="2159">
        <f t="shared" si="26"/>
        <v>0</v>
      </c>
      <c r="FD22" s="2159">
        <f t="shared" si="26"/>
        <v>0</v>
      </c>
      <c r="FE22" s="2159">
        <f t="shared" si="26"/>
        <v>0</v>
      </c>
      <c r="FF22" s="2159">
        <f t="shared" si="26"/>
        <v>0</v>
      </c>
      <c r="FG22" s="2159">
        <f t="shared" si="26"/>
        <v>0</v>
      </c>
      <c r="FH22" s="2159">
        <f t="shared" si="26"/>
        <v>0</v>
      </c>
      <c r="FI22" s="2159">
        <f t="shared" si="26"/>
        <v>0</v>
      </c>
      <c r="FJ22" s="2159">
        <f t="shared" si="26"/>
        <v>0</v>
      </c>
      <c r="FK22" s="2159">
        <f t="shared" si="26"/>
        <v>0</v>
      </c>
      <c r="FL22" s="2159">
        <f t="shared" si="26"/>
        <v>0</v>
      </c>
      <c r="FM22" s="2159">
        <f t="shared" si="26"/>
        <v>0</v>
      </c>
      <c r="FN22" s="2159">
        <f t="shared" si="26"/>
        <v>0</v>
      </c>
      <c r="FO22" s="2159">
        <f t="shared" si="26"/>
        <v>0</v>
      </c>
      <c r="FP22" s="2159">
        <f t="shared" si="26"/>
        <v>0</v>
      </c>
      <c r="FQ22" s="2159">
        <f t="shared" si="26"/>
        <v>0</v>
      </c>
      <c r="FR22" s="2158">
        <f t="shared" si="25"/>
        <v>13.713000000000001</v>
      </c>
    </row>
    <row r="23" spans="1:174" ht="15.75">
      <c r="A23" s="1249" t="s">
        <v>77</v>
      </c>
      <c r="B23" s="1287">
        <f t="shared" si="15"/>
        <v>0</v>
      </c>
      <c r="C23" s="2279"/>
      <c r="D23" s="2279"/>
      <c r="E23" s="2290"/>
      <c r="F23" s="2289"/>
      <c r="G23" s="2288"/>
      <c r="H23" s="2280"/>
      <c r="I23" s="2280"/>
      <c r="J23" s="2279"/>
      <c r="K23" s="2279"/>
      <c r="L23" s="2279"/>
      <c r="M23" s="2279"/>
      <c r="N23" s="2279"/>
      <c r="O23" s="2279"/>
      <c r="P23" s="2280"/>
      <c r="Q23" s="2280"/>
      <c r="R23" s="2280"/>
      <c r="S23" s="2280"/>
      <c r="T23" s="2280"/>
      <c r="U23" s="2280"/>
      <c r="V23" s="2280"/>
      <c r="W23" s="2280"/>
      <c r="X23" s="2280"/>
      <c r="Y23" s="2280"/>
      <c r="Z23" s="2280"/>
      <c r="AA23" s="2280"/>
      <c r="AB23" s="2280"/>
      <c r="AC23" s="2280"/>
      <c r="AD23" s="2280"/>
      <c r="AE23" s="2287"/>
      <c r="AF23" s="2279"/>
      <c r="AG23" s="2279"/>
      <c r="AH23" s="1488">
        <f t="shared" si="16"/>
        <v>0</v>
      </c>
      <c r="AJ23" s="1746" t="s">
        <v>77</v>
      </c>
      <c r="AK23" s="1749">
        <f t="shared" si="17"/>
        <v>0</v>
      </c>
      <c r="AL23" s="2226"/>
      <c r="AM23" s="2226"/>
      <c r="AN23" s="2226"/>
      <c r="AO23" s="2226"/>
      <c r="AP23" s="2226"/>
      <c r="AQ23" s="2226"/>
      <c r="AR23" s="2226"/>
      <c r="AS23" s="2226"/>
      <c r="AT23" s="2226"/>
      <c r="AU23" s="2226"/>
      <c r="AV23" s="2226"/>
      <c r="AW23" s="2226"/>
      <c r="AX23" s="2232"/>
      <c r="AY23" s="2233"/>
      <c r="AZ23" s="2233"/>
      <c r="BA23" s="2233"/>
      <c r="BB23" s="2233"/>
      <c r="BC23" s="2233"/>
      <c r="BD23" s="2233"/>
      <c r="BE23" s="2233"/>
      <c r="BF23" s="2233"/>
      <c r="BG23" s="2233"/>
      <c r="BH23" s="2233"/>
      <c r="BI23" s="2233"/>
      <c r="BJ23" s="2233"/>
      <c r="BK23" s="2233"/>
      <c r="BL23" s="2233"/>
      <c r="BM23" s="2233"/>
      <c r="BN23" s="2286"/>
      <c r="BO23" s="2232"/>
      <c r="BP23" s="2232"/>
      <c r="BQ23" s="2188">
        <f t="shared" si="18"/>
        <v>0</v>
      </c>
      <c r="BS23" s="1845" t="s">
        <v>77</v>
      </c>
      <c r="BT23" s="1846">
        <f t="shared" si="19"/>
        <v>0</v>
      </c>
      <c r="BU23" s="2225"/>
      <c r="BV23" s="2225"/>
      <c r="BW23" s="2225"/>
      <c r="BX23" s="2225"/>
      <c r="BY23" s="2225"/>
      <c r="BZ23" s="2225"/>
      <c r="CA23" s="2225"/>
      <c r="CB23" s="2225"/>
      <c r="CC23" s="2225"/>
      <c r="CD23" s="2225"/>
      <c r="CE23" s="2225"/>
      <c r="CF23" s="2225"/>
      <c r="CG23" s="2216"/>
      <c r="CH23" s="2217"/>
      <c r="CI23" s="2217"/>
      <c r="CJ23" s="2217"/>
      <c r="CK23" s="2217"/>
      <c r="CL23" s="2217"/>
      <c r="CM23" s="2217"/>
      <c r="CN23" s="2217"/>
      <c r="CO23" s="2217"/>
      <c r="CP23" s="2217"/>
      <c r="CQ23" s="2217"/>
      <c r="CR23" s="2217"/>
      <c r="CS23" s="2217"/>
      <c r="CT23" s="2217"/>
      <c r="CU23" s="2217"/>
      <c r="CV23" s="2217"/>
      <c r="CW23" s="2222"/>
      <c r="CX23" s="2216"/>
      <c r="CY23" s="2216"/>
      <c r="CZ23" s="2180">
        <f t="shared" si="20"/>
        <v>0</v>
      </c>
      <c r="DB23" s="1962" t="s">
        <v>77</v>
      </c>
      <c r="DC23" s="2175">
        <f t="shared" si="21"/>
        <v>0</v>
      </c>
      <c r="DD23" s="2208"/>
      <c r="DE23" s="2208"/>
      <c r="DF23" s="2221"/>
      <c r="DG23" s="2220"/>
      <c r="DH23" s="2219"/>
      <c r="DI23" s="2209"/>
      <c r="DJ23" s="2209"/>
      <c r="DK23" s="2208"/>
      <c r="DL23" s="2208"/>
      <c r="DM23" s="2208"/>
      <c r="DN23" s="2208"/>
      <c r="DO23" s="2208"/>
      <c r="DP23" s="2208"/>
      <c r="DQ23" s="2209"/>
      <c r="DR23" s="2209"/>
      <c r="DS23" s="2209"/>
      <c r="DT23" s="2209"/>
      <c r="DU23" s="2209"/>
      <c r="DV23" s="2209"/>
      <c r="DW23" s="2209"/>
      <c r="DX23" s="2209"/>
      <c r="DY23" s="2209"/>
      <c r="DZ23" s="2209"/>
      <c r="EA23" s="2209"/>
      <c r="EB23" s="2209"/>
      <c r="EC23" s="2209"/>
      <c r="ED23" s="2209"/>
      <c r="EE23" s="2209"/>
      <c r="EF23" s="2218"/>
      <c r="EG23" s="2208"/>
      <c r="EH23" s="2208"/>
      <c r="EI23" s="2171">
        <f t="shared" si="22"/>
        <v>0</v>
      </c>
      <c r="EK23" s="2163" t="s">
        <v>77</v>
      </c>
      <c r="EL23" s="2162">
        <f t="shared" si="23"/>
        <v>25.757999999999999</v>
      </c>
      <c r="EM23" s="2159">
        <f t="shared" ref="EM23:FQ23" si="27">+EM7</f>
        <v>1.978</v>
      </c>
      <c r="EN23" s="2159">
        <f t="shared" si="27"/>
        <v>0</v>
      </c>
      <c r="EO23" s="2159">
        <f t="shared" si="27"/>
        <v>0</v>
      </c>
      <c r="EP23" s="2159">
        <f t="shared" si="27"/>
        <v>0</v>
      </c>
      <c r="EQ23" s="2159">
        <f t="shared" si="27"/>
        <v>0</v>
      </c>
      <c r="ER23" s="2159">
        <f t="shared" si="27"/>
        <v>0.64100000000000001</v>
      </c>
      <c r="ES23" s="2159">
        <f t="shared" si="27"/>
        <v>0</v>
      </c>
      <c r="ET23" s="2159">
        <f t="shared" si="27"/>
        <v>0</v>
      </c>
      <c r="EU23" s="2159">
        <f t="shared" si="27"/>
        <v>0</v>
      </c>
      <c r="EV23" s="2159">
        <f t="shared" si="27"/>
        <v>0</v>
      </c>
      <c r="EW23" s="2159">
        <f t="shared" si="27"/>
        <v>0</v>
      </c>
      <c r="EX23" s="2159">
        <f t="shared" si="27"/>
        <v>1.8740000000000001</v>
      </c>
      <c r="EY23" s="2159">
        <f t="shared" si="27"/>
        <v>0</v>
      </c>
      <c r="EZ23" s="2159">
        <f t="shared" si="27"/>
        <v>0</v>
      </c>
      <c r="FA23" s="2159">
        <f t="shared" si="27"/>
        <v>14.952</v>
      </c>
      <c r="FB23" s="2159">
        <f t="shared" si="27"/>
        <v>0</v>
      </c>
      <c r="FC23" s="2159">
        <f t="shared" si="27"/>
        <v>0</v>
      </c>
      <c r="FD23" s="2159">
        <f t="shared" si="27"/>
        <v>0</v>
      </c>
      <c r="FE23" s="2159">
        <f t="shared" si="27"/>
        <v>0</v>
      </c>
      <c r="FF23" s="2159">
        <f t="shared" si="27"/>
        <v>3.403</v>
      </c>
      <c r="FG23" s="2159">
        <f t="shared" si="27"/>
        <v>0</v>
      </c>
      <c r="FH23" s="2159">
        <f t="shared" si="27"/>
        <v>0</v>
      </c>
      <c r="FI23" s="2159">
        <f t="shared" si="27"/>
        <v>2.91</v>
      </c>
      <c r="FJ23" s="2159">
        <f t="shared" si="27"/>
        <v>0</v>
      </c>
      <c r="FK23" s="2159">
        <f t="shared" si="27"/>
        <v>0</v>
      </c>
      <c r="FL23" s="2159">
        <f t="shared" si="27"/>
        <v>0</v>
      </c>
      <c r="FM23" s="2159">
        <f t="shared" si="27"/>
        <v>0</v>
      </c>
      <c r="FN23" s="2159">
        <f t="shared" si="27"/>
        <v>0</v>
      </c>
      <c r="FO23" s="2159">
        <f t="shared" si="27"/>
        <v>0</v>
      </c>
      <c r="FP23" s="2159">
        <f t="shared" si="27"/>
        <v>0</v>
      </c>
      <c r="FQ23" s="2159">
        <f t="shared" si="27"/>
        <v>0</v>
      </c>
      <c r="FR23" s="2158">
        <f t="shared" si="25"/>
        <v>25.757999999999999</v>
      </c>
    </row>
    <row r="24" spans="1:174" ht="15">
      <c r="A24" s="1249" t="s">
        <v>78</v>
      </c>
      <c r="B24" s="1287">
        <f t="shared" si="15"/>
        <v>0</v>
      </c>
      <c r="C24" s="2285"/>
      <c r="D24" s="1393"/>
      <c r="E24" s="2284"/>
      <c r="F24" s="2283"/>
      <c r="G24" s="2282"/>
      <c r="H24" s="2281"/>
      <c r="I24" s="2280"/>
      <c r="J24" s="2280"/>
      <c r="K24" s="2280"/>
      <c r="L24" s="2280"/>
      <c r="M24" s="2279"/>
      <c r="N24" s="2279"/>
      <c r="O24" s="2279"/>
      <c r="P24" s="2279"/>
      <c r="Q24" s="2280"/>
      <c r="R24" s="2280"/>
      <c r="S24" s="2280"/>
      <c r="T24" s="2280"/>
      <c r="U24" s="2279"/>
      <c r="V24" s="2280"/>
      <c r="W24" s="2280"/>
      <c r="X24" s="2280"/>
      <c r="Y24" s="2280"/>
      <c r="Z24" s="2280"/>
      <c r="AA24" s="2280"/>
      <c r="AB24" s="2280"/>
      <c r="AC24" s="2279"/>
      <c r="AD24" s="2280"/>
      <c r="AE24" s="2280"/>
      <c r="AF24" s="2279"/>
      <c r="AG24" s="2279"/>
      <c r="AH24" s="1488">
        <f t="shared" si="16"/>
        <v>0</v>
      </c>
      <c r="AJ24" s="1746" t="s">
        <v>78</v>
      </c>
      <c r="AK24" s="1749">
        <f t="shared" si="17"/>
        <v>0</v>
      </c>
      <c r="AL24" s="2231"/>
      <c r="AM24" s="2231"/>
      <c r="AN24" s="2231"/>
      <c r="AO24" s="2231"/>
      <c r="AP24" s="2231"/>
      <c r="AQ24" s="2231"/>
      <c r="AR24" s="2231"/>
      <c r="AS24" s="2231"/>
      <c r="AT24" s="2231"/>
      <c r="AU24" s="2231"/>
      <c r="AV24" s="2226"/>
      <c r="AW24" s="2226"/>
      <c r="AX24" s="2232"/>
      <c r="AY24" s="2232"/>
      <c r="AZ24" s="2233"/>
      <c r="BA24" s="2233"/>
      <c r="BB24" s="2233"/>
      <c r="BC24" s="2233"/>
      <c r="BD24" s="2232"/>
      <c r="BE24" s="2233"/>
      <c r="BF24" s="2233"/>
      <c r="BG24" s="2233"/>
      <c r="BH24" s="2233"/>
      <c r="BI24" s="2233"/>
      <c r="BJ24" s="2233"/>
      <c r="BK24" s="2233"/>
      <c r="BL24" s="2232"/>
      <c r="BM24" s="2233"/>
      <c r="BN24" s="2233"/>
      <c r="BO24" s="2232"/>
      <c r="BP24" s="2232"/>
      <c r="BQ24" s="2188">
        <f t="shared" si="18"/>
        <v>0</v>
      </c>
      <c r="BS24" s="1845" t="s">
        <v>78</v>
      </c>
      <c r="BT24" s="1846">
        <f t="shared" si="19"/>
        <v>0</v>
      </c>
      <c r="BU24" s="2230"/>
      <c r="BV24" s="2230"/>
      <c r="BW24" s="2230"/>
      <c r="BX24" s="2230"/>
      <c r="BY24" s="2230"/>
      <c r="BZ24" s="2230"/>
      <c r="CA24" s="2230"/>
      <c r="CB24" s="2230"/>
      <c r="CC24" s="2230"/>
      <c r="CD24" s="2230"/>
      <c r="CE24" s="2225"/>
      <c r="CF24" s="2225"/>
      <c r="CG24" s="2216"/>
      <c r="CH24" s="2216"/>
      <c r="CI24" s="2217"/>
      <c r="CJ24" s="2217"/>
      <c r="CK24" s="2217"/>
      <c r="CL24" s="2217"/>
      <c r="CM24" s="2216"/>
      <c r="CN24" s="2217"/>
      <c r="CO24" s="2217"/>
      <c r="CP24" s="2217"/>
      <c r="CQ24" s="2217"/>
      <c r="CR24" s="2217"/>
      <c r="CS24" s="2217"/>
      <c r="CT24" s="2217"/>
      <c r="CU24" s="2216"/>
      <c r="CV24" s="2217"/>
      <c r="CW24" s="2217"/>
      <c r="CX24" s="2216"/>
      <c r="CY24" s="2216"/>
      <c r="CZ24" s="2180">
        <f t="shared" si="20"/>
        <v>0</v>
      </c>
      <c r="DB24" s="1962" t="s">
        <v>78</v>
      </c>
      <c r="DC24" s="2175">
        <f t="shared" si="21"/>
        <v>0</v>
      </c>
      <c r="DD24" s="2215"/>
      <c r="DE24" s="2214"/>
      <c r="DF24" s="2213"/>
      <c r="DG24" s="2212"/>
      <c r="DH24" s="2211"/>
      <c r="DI24" s="2210"/>
      <c r="DJ24" s="2209"/>
      <c r="DK24" s="2209"/>
      <c r="DL24" s="2209"/>
      <c r="DM24" s="2209"/>
      <c r="DN24" s="2208"/>
      <c r="DO24" s="2208"/>
      <c r="DP24" s="2208"/>
      <c r="DQ24" s="2208"/>
      <c r="DR24" s="2209"/>
      <c r="DS24" s="2209"/>
      <c r="DT24" s="2209"/>
      <c r="DU24" s="2209"/>
      <c r="DV24" s="2208"/>
      <c r="DW24" s="2209"/>
      <c r="DX24" s="2209"/>
      <c r="DY24" s="2209"/>
      <c r="DZ24" s="2209"/>
      <c r="EA24" s="2209"/>
      <c r="EB24" s="2209"/>
      <c r="EC24" s="2209"/>
      <c r="ED24" s="2208"/>
      <c r="EE24" s="2209"/>
      <c r="EF24" s="2209"/>
      <c r="EG24" s="2208"/>
      <c r="EH24" s="2208"/>
      <c r="EI24" s="2171">
        <f t="shared" si="22"/>
        <v>0</v>
      </c>
      <c r="EK24" s="2163" t="s">
        <v>78</v>
      </c>
      <c r="EL24" s="2162">
        <f t="shared" si="23"/>
        <v>0.23</v>
      </c>
      <c r="EM24" s="2159">
        <f t="shared" ref="EM24:FQ24" si="28">+EM8</f>
        <v>0</v>
      </c>
      <c r="EN24" s="2159">
        <f t="shared" si="28"/>
        <v>0</v>
      </c>
      <c r="EO24" s="2159">
        <f t="shared" si="28"/>
        <v>0.23</v>
      </c>
      <c r="EP24" s="2159">
        <f t="shared" si="28"/>
        <v>0</v>
      </c>
      <c r="EQ24" s="2159">
        <f t="shared" si="28"/>
        <v>0</v>
      </c>
      <c r="ER24" s="2159">
        <f t="shared" si="28"/>
        <v>0</v>
      </c>
      <c r="ES24" s="2159">
        <f t="shared" si="28"/>
        <v>0</v>
      </c>
      <c r="ET24" s="2159">
        <f t="shared" si="28"/>
        <v>0</v>
      </c>
      <c r="EU24" s="2159">
        <f t="shared" si="28"/>
        <v>0</v>
      </c>
      <c r="EV24" s="2159">
        <f t="shared" si="28"/>
        <v>0</v>
      </c>
      <c r="EW24" s="2159">
        <f t="shared" si="28"/>
        <v>0</v>
      </c>
      <c r="EX24" s="2159">
        <f t="shared" si="28"/>
        <v>0</v>
      </c>
      <c r="EY24" s="2159">
        <f t="shared" si="28"/>
        <v>0</v>
      </c>
      <c r="EZ24" s="2159">
        <f t="shared" si="28"/>
        <v>0</v>
      </c>
      <c r="FA24" s="2159">
        <f t="shared" si="28"/>
        <v>0</v>
      </c>
      <c r="FB24" s="2159">
        <f t="shared" si="28"/>
        <v>0</v>
      </c>
      <c r="FC24" s="2159">
        <f t="shared" si="28"/>
        <v>0</v>
      </c>
      <c r="FD24" s="2159">
        <f t="shared" si="28"/>
        <v>0</v>
      </c>
      <c r="FE24" s="2159">
        <f t="shared" si="28"/>
        <v>0</v>
      </c>
      <c r="FF24" s="2159">
        <f t="shared" si="28"/>
        <v>0</v>
      </c>
      <c r="FG24" s="2159">
        <f t="shared" si="28"/>
        <v>0</v>
      </c>
      <c r="FH24" s="2159">
        <f t="shared" si="28"/>
        <v>0</v>
      </c>
      <c r="FI24" s="2159">
        <f t="shared" si="28"/>
        <v>0</v>
      </c>
      <c r="FJ24" s="2159">
        <f t="shared" si="28"/>
        <v>0</v>
      </c>
      <c r="FK24" s="2159">
        <f t="shared" si="28"/>
        <v>0</v>
      </c>
      <c r="FL24" s="2159">
        <f t="shared" si="28"/>
        <v>0</v>
      </c>
      <c r="FM24" s="2159">
        <f t="shared" si="28"/>
        <v>0</v>
      </c>
      <c r="FN24" s="2159">
        <f t="shared" si="28"/>
        <v>0</v>
      </c>
      <c r="FO24" s="2159">
        <f t="shared" si="28"/>
        <v>0</v>
      </c>
      <c r="FP24" s="2159">
        <f t="shared" si="28"/>
        <v>0</v>
      </c>
      <c r="FQ24" s="2159">
        <f t="shared" si="28"/>
        <v>0</v>
      </c>
      <c r="FR24" s="2158">
        <f t="shared" si="25"/>
        <v>0.23</v>
      </c>
    </row>
    <row r="25" spans="1:174" ht="15">
      <c r="A25" s="1249" t="s">
        <v>79</v>
      </c>
      <c r="B25" s="1287">
        <f t="shared" si="15"/>
        <v>0</v>
      </c>
      <c r="C25" s="1761"/>
      <c r="D25" s="1761"/>
      <c r="E25" s="1761"/>
      <c r="F25" s="1761"/>
      <c r="G25" s="1761"/>
      <c r="H25" s="1761"/>
      <c r="I25" s="1761"/>
      <c r="J25" s="1761"/>
      <c r="K25" s="1761"/>
      <c r="L25" s="1761"/>
      <c r="M25" s="1761"/>
      <c r="N25" s="1761"/>
      <c r="O25" s="1761"/>
      <c r="P25" s="1761"/>
      <c r="Q25" s="1761"/>
      <c r="R25" s="1761"/>
      <c r="S25" s="1761"/>
      <c r="T25" s="1761"/>
      <c r="U25" s="1761"/>
      <c r="V25" s="1761"/>
      <c r="W25" s="1761"/>
      <c r="X25" s="1761"/>
      <c r="Y25" s="1761"/>
      <c r="Z25" s="1761"/>
      <c r="AA25" s="1761"/>
      <c r="AB25" s="1761"/>
      <c r="AC25" s="1761"/>
      <c r="AD25" s="1761"/>
      <c r="AE25" s="1761"/>
      <c r="AF25" s="1761"/>
      <c r="AG25" s="1761"/>
      <c r="AH25" s="1488">
        <f t="shared" si="16"/>
        <v>0</v>
      </c>
      <c r="AJ25" s="1746" t="s">
        <v>79</v>
      </c>
      <c r="AK25" s="1749">
        <f t="shared" si="17"/>
        <v>0</v>
      </c>
      <c r="AL25" s="2231"/>
      <c r="AM25" s="2231"/>
      <c r="AN25" s="2231"/>
      <c r="AO25" s="2226"/>
      <c r="AP25" s="2231"/>
      <c r="AQ25" s="2226"/>
      <c r="AR25" s="2231"/>
      <c r="AS25" s="2226"/>
      <c r="AT25" s="2231"/>
      <c r="AU25" s="2231"/>
      <c r="AV25" s="2231"/>
      <c r="AW25" s="2231"/>
      <c r="AX25" s="2189"/>
      <c r="AY25" s="2189"/>
      <c r="AZ25" s="2189"/>
      <c r="BA25" s="2189"/>
      <c r="BB25" s="2189"/>
      <c r="BC25" s="2189"/>
      <c r="BD25" s="2189"/>
      <c r="BE25" s="2189"/>
      <c r="BF25" s="2189"/>
      <c r="BG25" s="2189"/>
      <c r="BH25" s="2189"/>
      <c r="BI25" s="2189"/>
      <c r="BJ25" s="2189"/>
      <c r="BK25" s="2189"/>
      <c r="BL25" s="2189"/>
      <c r="BM25" s="2189"/>
      <c r="BN25" s="2189"/>
      <c r="BO25" s="2189"/>
      <c r="BP25" s="2189"/>
      <c r="BQ25" s="2188">
        <f t="shared" si="18"/>
        <v>0</v>
      </c>
      <c r="BS25" s="1845" t="s">
        <v>79</v>
      </c>
      <c r="BT25" s="1846">
        <f t="shared" si="19"/>
        <v>0</v>
      </c>
      <c r="BU25" s="2230"/>
      <c r="BV25" s="2230"/>
      <c r="BW25" s="2230"/>
      <c r="BX25" s="2225"/>
      <c r="BY25" s="2230"/>
      <c r="BZ25" s="2225"/>
      <c r="CA25" s="2230"/>
      <c r="CB25" s="2225"/>
      <c r="CC25" s="2230"/>
      <c r="CD25" s="2230"/>
      <c r="CE25" s="2230"/>
      <c r="CF25" s="2230"/>
      <c r="CG25" s="2181"/>
      <c r="CH25" s="2181"/>
      <c r="CI25" s="2181"/>
      <c r="CJ25" s="2181"/>
      <c r="CK25" s="2181"/>
      <c r="CL25" s="2181"/>
      <c r="CM25" s="2181"/>
      <c r="CN25" s="2181"/>
      <c r="CO25" s="2181"/>
      <c r="CP25" s="2181"/>
      <c r="CQ25" s="2181"/>
      <c r="CR25" s="2181"/>
      <c r="CS25" s="2181"/>
      <c r="CT25" s="2181"/>
      <c r="CU25" s="2181"/>
      <c r="CV25" s="2181"/>
      <c r="CW25" s="2181"/>
      <c r="CX25" s="2181"/>
      <c r="CY25" s="2181"/>
      <c r="CZ25" s="2180">
        <f t="shared" si="20"/>
        <v>0</v>
      </c>
      <c r="DB25" s="1962" t="s">
        <v>79</v>
      </c>
      <c r="DC25" s="2175">
        <f t="shared" si="21"/>
        <v>0</v>
      </c>
      <c r="DD25" s="2172"/>
      <c r="DE25" s="2172"/>
      <c r="DF25" s="2172"/>
      <c r="DG25" s="2172"/>
      <c r="DH25" s="2172"/>
      <c r="DI25" s="2172"/>
      <c r="DJ25" s="2172"/>
      <c r="DK25" s="2172"/>
      <c r="DL25" s="2172"/>
      <c r="DM25" s="2172"/>
      <c r="DN25" s="2172"/>
      <c r="DO25" s="2172"/>
      <c r="DP25" s="2172"/>
      <c r="DQ25" s="2172"/>
      <c r="DR25" s="2172"/>
      <c r="DS25" s="2172"/>
      <c r="DT25" s="2172"/>
      <c r="DU25" s="2172"/>
      <c r="DV25" s="2172"/>
      <c r="DW25" s="2172"/>
      <c r="DX25" s="2172"/>
      <c r="DY25" s="2172"/>
      <c r="DZ25" s="2172"/>
      <c r="EA25" s="2172"/>
      <c r="EB25" s="2172"/>
      <c r="EC25" s="2172"/>
      <c r="ED25" s="2172"/>
      <c r="EE25" s="2172"/>
      <c r="EF25" s="2172"/>
      <c r="EG25" s="2172"/>
      <c r="EH25" s="2172"/>
      <c r="EI25" s="2171">
        <f t="shared" si="22"/>
        <v>0</v>
      </c>
      <c r="EK25" s="2163" t="s">
        <v>79</v>
      </c>
      <c r="EL25" s="2162">
        <f t="shared" si="23"/>
        <v>3.7389999999999999</v>
      </c>
      <c r="EM25" s="2159">
        <f t="shared" ref="EM25:FQ25" si="29">+EM9</f>
        <v>0</v>
      </c>
      <c r="EN25" s="2159">
        <f t="shared" si="29"/>
        <v>0</v>
      </c>
      <c r="EO25" s="2159">
        <f t="shared" si="29"/>
        <v>0</v>
      </c>
      <c r="EP25" s="2159">
        <f t="shared" si="29"/>
        <v>0</v>
      </c>
      <c r="EQ25" s="2159">
        <f t="shared" si="29"/>
        <v>0</v>
      </c>
      <c r="ER25" s="2159">
        <f t="shared" si="29"/>
        <v>0</v>
      </c>
      <c r="ES25" s="2159">
        <f t="shared" si="29"/>
        <v>0</v>
      </c>
      <c r="ET25" s="2159">
        <f t="shared" si="29"/>
        <v>0</v>
      </c>
      <c r="EU25" s="2159">
        <f t="shared" si="29"/>
        <v>0</v>
      </c>
      <c r="EV25" s="2159">
        <f t="shared" si="29"/>
        <v>0</v>
      </c>
      <c r="EW25" s="2159">
        <f t="shared" si="29"/>
        <v>0</v>
      </c>
      <c r="EX25" s="2159">
        <f t="shared" si="29"/>
        <v>0</v>
      </c>
      <c r="EY25" s="2159">
        <f t="shared" si="29"/>
        <v>0</v>
      </c>
      <c r="EZ25" s="2159">
        <f t="shared" si="29"/>
        <v>0</v>
      </c>
      <c r="FA25" s="2159">
        <f t="shared" si="29"/>
        <v>0</v>
      </c>
      <c r="FB25" s="2159">
        <f t="shared" si="29"/>
        <v>0</v>
      </c>
      <c r="FC25" s="2159">
        <f t="shared" si="29"/>
        <v>3.7389999999999999</v>
      </c>
      <c r="FD25" s="2159">
        <f t="shared" si="29"/>
        <v>0</v>
      </c>
      <c r="FE25" s="2159">
        <f t="shared" si="29"/>
        <v>0</v>
      </c>
      <c r="FF25" s="2159">
        <f t="shared" si="29"/>
        <v>0</v>
      </c>
      <c r="FG25" s="2159">
        <f t="shared" si="29"/>
        <v>0</v>
      </c>
      <c r="FH25" s="2159">
        <f t="shared" si="29"/>
        <v>0</v>
      </c>
      <c r="FI25" s="2159">
        <f t="shared" si="29"/>
        <v>0</v>
      </c>
      <c r="FJ25" s="2159">
        <f t="shared" si="29"/>
        <v>0</v>
      </c>
      <c r="FK25" s="2159">
        <f t="shared" si="29"/>
        <v>0</v>
      </c>
      <c r="FL25" s="2159">
        <f t="shared" si="29"/>
        <v>0</v>
      </c>
      <c r="FM25" s="2159">
        <f t="shared" si="29"/>
        <v>0</v>
      </c>
      <c r="FN25" s="2159">
        <f t="shared" si="29"/>
        <v>0</v>
      </c>
      <c r="FO25" s="2159">
        <f t="shared" si="29"/>
        <v>0</v>
      </c>
      <c r="FP25" s="2159">
        <f t="shared" si="29"/>
        <v>0</v>
      </c>
      <c r="FQ25" s="2159">
        <f t="shared" si="29"/>
        <v>0</v>
      </c>
      <c r="FR25" s="2158">
        <f t="shared" si="25"/>
        <v>3.7389999999999999</v>
      </c>
    </row>
    <row r="26" spans="1:174" ht="15">
      <c r="A26" s="1249" t="s">
        <v>80</v>
      </c>
      <c r="B26" s="1287">
        <f t="shared" si="15"/>
        <v>0</v>
      </c>
      <c r="C26" s="1761"/>
      <c r="D26" s="1761"/>
      <c r="E26" s="1761"/>
      <c r="F26" s="1761"/>
      <c r="G26" s="1761"/>
      <c r="H26" s="1761"/>
      <c r="I26" s="1761"/>
      <c r="J26" s="1761"/>
      <c r="K26" s="1761"/>
      <c r="L26" s="1761"/>
      <c r="M26" s="1761"/>
      <c r="N26" s="1761"/>
      <c r="O26" s="1761"/>
      <c r="P26" s="1761"/>
      <c r="Q26" s="1761"/>
      <c r="R26" s="1761"/>
      <c r="S26" s="1761"/>
      <c r="T26" s="1761"/>
      <c r="U26" s="1761"/>
      <c r="V26" s="1761"/>
      <c r="W26" s="1761"/>
      <c r="X26" s="1761"/>
      <c r="Y26" s="1761"/>
      <c r="Z26" s="1761"/>
      <c r="AA26" s="1761"/>
      <c r="AB26" s="1761"/>
      <c r="AC26" s="1761"/>
      <c r="AD26" s="1761"/>
      <c r="AE26" s="1761"/>
      <c r="AF26" s="1761"/>
      <c r="AG26" s="1761"/>
      <c r="AH26" s="1488">
        <f t="shared" si="16"/>
        <v>0</v>
      </c>
      <c r="AJ26" s="1746" t="s">
        <v>80</v>
      </c>
      <c r="AK26" s="1749">
        <f t="shared" si="17"/>
        <v>0</v>
      </c>
      <c r="AL26" s="2231"/>
      <c r="AM26" s="2231"/>
      <c r="AN26" s="2231"/>
      <c r="AO26" s="2231"/>
      <c r="AP26" s="2231"/>
      <c r="AQ26" s="2231"/>
      <c r="AR26" s="2231"/>
      <c r="AS26" s="2231"/>
      <c r="AT26" s="2231"/>
      <c r="AU26" s="2231"/>
      <c r="AV26" s="2231"/>
      <c r="AW26" s="2226"/>
      <c r="AX26" s="2189"/>
      <c r="AY26" s="2189"/>
      <c r="AZ26" s="2189"/>
      <c r="BA26" s="2189"/>
      <c r="BB26" s="2189"/>
      <c r="BC26" s="2189"/>
      <c r="BD26" s="2189"/>
      <c r="BE26" s="2189"/>
      <c r="BF26" s="2189"/>
      <c r="BG26" s="2189"/>
      <c r="BH26" s="2189"/>
      <c r="BI26" s="2189"/>
      <c r="BJ26" s="2189"/>
      <c r="BK26" s="2189"/>
      <c r="BL26" s="2189"/>
      <c r="BM26" s="2189"/>
      <c r="BN26" s="2189"/>
      <c r="BO26" s="2189"/>
      <c r="BP26" s="2189"/>
      <c r="BQ26" s="2188">
        <f t="shared" si="18"/>
        <v>0</v>
      </c>
      <c r="BS26" s="1845" t="s">
        <v>80</v>
      </c>
      <c r="BT26" s="1846">
        <f t="shared" si="19"/>
        <v>0</v>
      </c>
      <c r="BU26" s="2230"/>
      <c r="BV26" s="2230"/>
      <c r="BW26" s="2230"/>
      <c r="BX26" s="2230"/>
      <c r="BY26" s="2230"/>
      <c r="BZ26" s="2230"/>
      <c r="CA26" s="2230"/>
      <c r="CB26" s="2230"/>
      <c r="CC26" s="2230"/>
      <c r="CD26" s="2230"/>
      <c r="CE26" s="2230"/>
      <c r="CF26" s="2225"/>
      <c r="CG26" s="2181"/>
      <c r="CH26" s="2181"/>
      <c r="CI26" s="2181"/>
      <c r="CJ26" s="2181"/>
      <c r="CK26" s="2181"/>
      <c r="CL26" s="2181"/>
      <c r="CM26" s="2181"/>
      <c r="CN26" s="2181"/>
      <c r="CO26" s="2181"/>
      <c r="CP26" s="2181"/>
      <c r="CQ26" s="2181"/>
      <c r="CR26" s="2181"/>
      <c r="CS26" s="2181"/>
      <c r="CT26" s="2181"/>
      <c r="CU26" s="2181"/>
      <c r="CV26" s="2181"/>
      <c r="CW26" s="2181"/>
      <c r="CX26" s="2181"/>
      <c r="CY26" s="2181"/>
      <c r="CZ26" s="2180">
        <f t="shared" si="20"/>
        <v>0</v>
      </c>
      <c r="DB26" s="1962" t="s">
        <v>80</v>
      </c>
      <c r="DC26" s="2175">
        <f t="shared" si="21"/>
        <v>0</v>
      </c>
      <c r="DD26" s="2172"/>
      <c r="DE26" s="2172"/>
      <c r="DF26" s="2172"/>
      <c r="DG26" s="2172"/>
      <c r="DH26" s="2172"/>
      <c r="DI26" s="2172"/>
      <c r="DJ26" s="2172"/>
      <c r="DK26" s="2172"/>
      <c r="DL26" s="2172"/>
      <c r="DM26" s="2172"/>
      <c r="DN26" s="2172"/>
      <c r="DO26" s="2172"/>
      <c r="DP26" s="2172"/>
      <c r="DQ26" s="2172"/>
      <c r="DR26" s="2172"/>
      <c r="DS26" s="2172"/>
      <c r="DT26" s="2172"/>
      <c r="DU26" s="2172"/>
      <c r="DV26" s="2172"/>
      <c r="DW26" s="2172"/>
      <c r="DX26" s="2172"/>
      <c r="DY26" s="2172"/>
      <c r="DZ26" s="2172"/>
      <c r="EA26" s="2172"/>
      <c r="EB26" s="2172"/>
      <c r="EC26" s="2172"/>
      <c r="ED26" s="2172"/>
      <c r="EE26" s="2172"/>
      <c r="EF26" s="2172"/>
      <c r="EG26" s="2172"/>
      <c r="EH26" s="2172"/>
      <c r="EI26" s="2171">
        <f t="shared" si="22"/>
        <v>0</v>
      </c>
      <c r="EK26" s="2163" t="s">
        <v>80</v>
      </c>
      <c r="EL26" s="2162">
        <f t="shared" si="23"/>
        <v>0</v>
      </c>
      <c r="EM26" s="2159">
        <f t="shared" ref="EM26:FQ26" si="30">+EM10</f>
        <v>0</v>
      </c>
      <c r="EN26" s="2159">
        <f t="shared" si="30"/>
        <v>0</v>
      </c>
      <c r="EO26" s="2159">
        <f t="shared" si="30"/>
        <v>0</v>
      </c>
      <c r="EP26" s="2159">
        <f t="shared" si="30"/>
        <v>0</v>
      </c>
      <c r="EQ26" s="2159">
        <f t="shared" si="30"/>
        <v>0</v>
      </c>
      <c r="ER26" s="2159">
        <f t="shared" si="30"/>
        <v>0</v>
      </c>
      <c r="ES26" s="2159">
        <f t="shared" si="30"/>
        <v>0</v>
      </c>
      <c r="ET26" s="2159">
        <f t="shared" si="30"/>
        <v>0</v>
      </c>
      <c r="EU26" s="2159">
        <f t="shared" si="30"/>
        <v>0</v>
      </c>
      <c r="EV26" s="2159">
        <f t="shared" si="30"/>
        <v>0</v>
      </c>
      <c r="EW26" s="2159">
        <f t="shared" si="30"/>
        <v>0</v>
      </c>
      <c r="EX26" s="2159">
        <f t="shared" si="30"/>
        <v>0</v>
      </c>
      <c r="EY26" s="2159">
        <f t="shared" si="30"/>
        <v>0</v>
      </c>
      <c r="EZ26" s="2159">
        <f t="shared" si="30"/>
        <v>0</v>
      </c>
      <c r="FA26" s="2159">
        <f t="shared" si="30"/>
        <v>0</v>
      </c>
      <c r="FB26" s="2159">
        <f t="shared" si="30"/>
        <v>0</v>
      </c>
      <c r="FC26" s="2159">
        <f t="shared" si="30"/>
        <v>0</v>
      </c>
      <c r="FD26" s="2159">
        <f t="shared" si="30"/>
        <v>0</v>
      </c>
      <c r="FE26" s="2159">
        <f t="shared" si="30"/>
        <v>0</v>
      </c>
      <c r="FF26" s="2159">
        <f t="shared" si="30"/>
        <v>0</v>
      </c>
      <c r="FG26" s="2159">
        <f t="shared" si="30"/>
        <v>0</v>
      </c>
      <c r="FH26" s="2159">
        <f t="shared" si="30"/>
        <v>0</v>
      </c>
      <c r="FI26" s="2159">
        <f t="shared" si="30"/>
        <v>0</v>
      </c>
      <c r="FJ26" s="2159">
        <f t="shared" si="30"/>
        <v>0</v>
      </c>
      <c r="FK26" s="2159">
        <f t="shared" si="30"/>
        <v>0</v>
      </c>
      <c r="FL26" s="2159">
        <f t="shared" si="30"/>
        <v>0</v>
      </c>
      <c r="FM26" s="2159">
        <f t="shared" si="30"/>
        <v>0</v>
      </c>
      <c r="FN26" s="2159">
        <f t="shared" si="30"/>
        <v>0</v>
      </c>
      <c r="FO26" s="2159">
        <f t="shared" si="30"/>
        <v>0</v>
      </c>
      <c r="FP26" s="2159">
        <f t="shared" si="30"/>
        <v>0</v>
      </c>
      <c r="FQ26" s="2159">
        <f t="shared" si="30"/>
        <v>0</v>
      </c>
      <c r="FR26" s="2158">
        <f t="shared" si="25"/>
        <v>0</v>
      </c>
    </row>
    <row r="27" spans="1:174" ht="15">
      <c r="A27" s="1249" t="s">
        <v>81</v>
      </c>
      <c r="B27" s="1287">
        <f t="shared" si="15"/>
        <v>0</v>
      </c>
      <c r="C27" s="1761"/>
      <c r="D27" s="1761"/>
      <c r="E27" s="1761"/>
      <c r="F27" s="1761"/>
      <c r="G27" s="1761"/>
      <c r="H27" s="1761"/>
      <c r="I27" s="1761"/>
      <c r="J27" s="1761"/>
      <c r="K27" s="1761"/>
      <c r="L27" s="1761"/>
      <c r="M27" s="1761"/>
      <c r="N27" s="1761"/>
      <c r="O27" s="1761"/>
      <c r="P27" s="1761"/>
      <c r="Q27" s="1761"/>
      <c r="R27" s="1761"/>
      <c r="S27" s="1761"/>
      <c r="T27" s="1761"/>
      <c r="U27" s="1761"/>
      <c r="V27" s="1761"/>
      <c r="W27" s="1761"/>
      <c r="X27" s="1761"/>
      <c r="Y27" s="1761"/>
      <c r="Z27" s="1761"/>
      <c r="AA27" s="1761"/>
      <c r="AB27" s="1761"/>
      <c r="AC27" s="1761"/>
      <c r="AD27" s="1761"/>
      <c r="AE27" s="1761"/>
      <c r="AF27" s="1761"/>
      <c r="AG27" s="1761"/>
      <c r="AH27" s="1488">
        <f t="shared" si="16"/>
        <v>0</v>
      </c>
      <c r="AJ27" s="1746" t="s">
        <v>81</v>
      </c>
      <c r="AK27" s="1749">
        <f t="shared" si="17"/>
        <v>0</v>
      </c>
      <c r="AL27" s="2231"/>
      <c r="AM27" s="2231"/>
      <c r="AN27" s="2231"/>
      <c r="AO27" s="2231"/>
      <c r="AP27" s="2231"/>
      <c r="AQ27" s="2231"/>
      <c r="AR27" s="2231"/>
      <c r="AS27" s="2231"/>
      <c r="AT27" s="2231"/>
      <c r="AU27" s="2231"/>
      <c r="AV27" s="2231"/>
      <c r="AW27" s="2231"/>
      <c r="AX27" s="2189"/>
      <c r="AY27" s="2189"/>
      <c r="AZ27" s="2189"/>
      <c r="BA27" s="2189"/>
      <c r="BB27" s="2189"/>
      <c r="BC27" s="2189"/>
      <c r="BD27" s="2189"/>
      <c r="BE27" s="2189"/>
      <c r="BF27" s="2189"/>
      <c r="BG27" s="2189"/>
      <c r="BH27" s="2189"/>
      <c r="BI27" s="2189"/>
      <c r="BJ27" s="2189"/>
      <c r="BK27" s="2189"/>
      <c r="BL27" s="2189"/>
      <c r="BM27" s="2189"/>
      <c r="BN27" s="2189"/>
      <c r="BO27" s="2189"/>
      <c r="BP27" s="2189"/>
      <c r="BQ27" s="2188">
        <f t="shared" si="18"/>
        <v>0</v>
      </c>
      <c r="BS27" s="1845" t="s">
        <v>81</v>
      </c>
      <c r="BT27" s="1846">
        <f t="shared" si="19"/>
        <v>0</v>
      </c>
      <c r="BU27" s="2230"/>
      <c r="BV27" s="2230"/>
      <c r="BW27" s="2230"/>
      <c r="BX27" s="2230"/>
      <c r="BY27" s="2230"/>
      <c r="BZ27" s="2230"/>
      <c r="CA27" s="2230"/>
      <c r="CB27" s="2230"/>
      <c r="CC27" s="2230"/>
      <c r="CD27" s="2230"/>
      <c r="CE27" s="2230"/>
      <c r="CF27" s="2230"/>
      <c r="CG27" s="2181"/>
      <c r="CH27" s="2181"/>
      <c r="CI27" s="2181"/>
      <c r="CJ27" s="2181"/>
      <c r="CK27" s="2181"/>
      <c r="CL27" s="2181"/>
      <c r="CM27" s="2181"/>
      <c r="CN27" s="2181"/>
      <c r="CO27" s="2181"/>
      <c r="CP27" s="2181"/>
      <c r="CQ27" s="2181"/>
      <c r="CR27" s="2181"/>
      <c r="CS27" s="2181"/>
      <c r="CT27" s="2181"/>
      <c r="CU27" s="2181"/>
      <c r="CV27" s="2181"/>
      <c r="CW27" s="2181"/>
      <c r="CX27" s="2181"/>
      <c r="CY27" s="2181"/>
      <c r="CZ27" s="2180">
        <f t="shared" si="20"/>
        <v>0</v>
      </c>
      <c r="DB27" s="1962" t="s">
        <v>81</v>
      </c>
      <c r="DC27" s="2175">
        <f t="shared" si="21"/>
        <v>0</v>
      </c>
      <c r="DD27" s="2172"/>
      <c r="DE27" s="2172"/>
      <c r="DF27" s="2172"/>
      <c r="DG27" s="2172"/>
      <c r="DH27" s="2172"/>
      <c r="DI27" s="2172"/>
      <c r="DJ27" s="2172"/>
      <c r="DK27" s="2172"/>
      <c r="DL27" s="2172"/>
      <c r="DM27" s="2172"/>
      <c r="DN27" s="2172"/>
      <c r="DO27" s="2172"/>
      <c r="DP27" s="2172"/>
      <c r="DQ27" s="2172"/>
      <c r="DR27" s="2172"/>
      <c r="DS27" s="2172"/>
      <c r="DT27" s="2172"/>
      <c r="DU27" s="2172"/>
      <c r="DV27" s="2172"/>
      <c r="DW27" s="2172"/>
      <c r="DX27" s="2172"/>
      <c r="DY27" s="2172"/>
      <c r="DZ27" s="2172"/>
      <c r="EA27" s="2172"/>
      <c r="EB27" s="2172"/>
      <c r="EC27" s="2172"/>
      <c r="ED27" s="2172"/>
      <c r="EE27" s="2172"/>
      <c r="EF27" s="2172"/>
      <c r="EG27" s="2172"/>
      <c r="EH27" s="2172"/>
      <c r="EI27" s="2171">
        <f t="shared" si="22"/>
        <v>0</v>
      </c>
      <c r="EK27" s="2163" t="s">
        <v>81</v>
      </c>
      <c r="EL27" s="2162">
        <f t="shared" si="23"/>
        <v>0</v>
      </c>
      <c r="EM27" s="2159">
        <f t="shared" ref="EM27:FQ27" si="31">+EM11</f>
        <v>0</v>
      </c>
      <c r="EN27" s="2159">
        <f t="shared" si="31"/>
        <v>0</v>
      </c>
      <c r="EO27" s="2159">
        <f t="shared" si="31"/>
        <v>0</v>
      </c>
      <c r="EP27" s="2159">
        <f t="shared" si="31"/>
        <v>0</v>
      </c>
      <c r="EQ27" s="2159">
        <f t="shared" si="31"/>
        <v>0</v>
      </c>
      <c r="ER27" s="2159">
        <f t="shared" si="31"/>
        <v>0</v>
      </c>
      <c r="ES27" s="2159">
        <f t="shared" si="31"/>
        <v>0</v>
      </c>
      <c r="ET27" s="2159">
        <f t="shared" si="31"/>
        <v>0</v>
      </c>
      <c r="EU27" s="2159">
        <f t="shared" si="31"/>
        <v>0</v>
      </c>
      <c r="EV27" s="2159">
        <f t="shared" si="31"/>
        <v>0</v>
      </c>
      <c r="EW27" s="2159">
        <f t="shared" si="31"/>
        <v>0</v>
      </c>
      <c r="EX27" s="2159">
        <f t="shared" si="31"/>
        <v>0</v>
      </c>
      <c r="EY27" s="2159">
        <f t="shared" si="31"/>
        <v>0</v>
      </c>
      <c r="EZ27" s="2159">
        <f t="shared" si="31"/>
        <v>0</v>
      </c>
      <c r="FA27" s="2159">
        <f t="shared" si="31"/>
        <v>0</v>
      </c>
      <c r="FB27" s="2159">
        <f t="shared" si="31"/>
        <v>0</v>
      </c>
      <c r="FC27" s="2159">
        <f t="shared" si="31"/>
        <v>0</v>
      </c>
      <c r="FD27" s="2159">
        <f t="shared" si="31"/>
        <v>0</v>
      </c>
      <c r="FE27" s="2159">
        <f t="shared" si="31"/>
        <v>0</v>
      </c>
      <c r="FF27" s="2159">
        <f t="shared" si="31"/>
        <v>0</v>
      </c>
      <c r="FG27" s="2159">
        <f t="shared" si="31"/>
        <v>0</v>
      </c>
      <c r="FH27" s="2159">
        <f t="shared" si="31"/>
        <v>0</v>
      </c>
      <c r="FI27" s="2159">
        <f t="shared" si="31"/>
        <v>0</v>
      </c>
      <c r="FJ27" s="2159">
        <f t="shared" si="31"/>
        <v>0</v>
      </c>
      <c r="FK27" s="2159">
        <f t="shared" si="31"/>
        <v>0</v>
      </c>
      <c r="FL27" s="2159">
        <f t="shared" si="31"/>
        <v>0</v>
      </c>
      <c r="FM27" s="2159">
        <f t="shared" si="31"/>
        <v>0</v>
      </c>
      <c r="FN27" s="2159">
        <f t="shared" si="31"/>
        <v>0</v>
      </c>
      <c r="FO27" s="2159">
        <f t="shared" si="31"/>
        <v>0</v>
      </c>
      <c r="FP27" s="2159">
        <f t="shared" si="31"/>
        <v>0</v>
      </c>
      <c r="FQ27" s="2159">
        <f t="shared" si="31"/>
        <v>0</v>
      </c>
      <c r="FR27" s="2158">
        <f t="shared" si="25"/>
        <v>0</v>
      </c>
    </row>
    <row r="28" spans="1:174" ht="15">
      <c r="A28" s="1249" t="s">
        <v>82</v>
      </c>
      <c r="B28" s="1287">
        <f t="shared" si="15"/>
        <v>0</v>
      </c>
      <c r="C28" s="1761"/>
      <c r="D28" s="1761"/>
      <c r="E28" s="1761"/>
      <c r="F28" s="1761"/>
      <c r="G28" s="1761"/>
      <c r="H28" s="1761"/>
      <c r="I28" s="1761"/>
      <c r="J28" s="1761"/>
      <c r="K28" s="1761"/>
      <c r="L28" s="1761"/>
      <c r="M28" s="1761"/>
      <c r="N28" s="1761"/>
      <c r="O28" s="1761"/>
      <c r="P28" s="1761"/>
      <c r="Q28" s="1761"/>
      <c r="R28" s="1761"/>
      <c r="S28" s="1761"/>
      <c r="T28" s="1761"/>
      <c r="U28" s="1761"/>
      <c r="V28" s="1761"/>
      <c r="W28" s="1761"/>
      <c r="X28" s="1761"/>
      <c r="Y28" s="1761"/>
      <c r="Z28" s="1761"/>
      <c r="AA28" s="1761"/>
      <c r="AB28" s="1761"/>
      <c r="AC28" s="1761"/>
      <c r="AD28" s="1761"/>
      <c r="AE28" s="1761"/>
      <c r="AF28" s="1761"/>
      <c r="AG28" s="1761"/>
      <c r="AH28" s="1488">
        <f t="shared" si="16"/>
        <v>0</v>
      </c>
      <c r="AJ28" s="1746" t="s">
        <v>82</v>
      </c>
      <c r="AK28" s="1749">
        <f t="shared" si="17"/>
        <v>0</v>
      </c>
      <c r="AL28" s="2226"/>
      <c r="AM28" s="2229"/>
      <c r="AN28" s="2226"/>
      <c r="AO28" s="2226"/>
      <c r="AP28" s="2226"/>
      <c r="AQ28" s="2226"/>
      <c r="AR28" s="2226"/>
      <c r="AS28" s="2226"/>
      <c r="AT28" s="2226"/>
      <c r="AU28" s="2226"/>
      <c r="AV28" s="2226"/>
      <c r="AW28" s="2226"/>
      <c r="AX28" s="2189"/>
      <c r="AY28" s="2189"/>
      <c r="AZ28" s="2189"/>
      <c r="BA28" s="2189"/>
      <c r="BB28" s="2189"/>
      <c r="BC28" s="2189"/>
      <c r="BD28" s="2189"/>
      <c r="BE28" s="2189"/>
      <c r="BF28" s="2189"/>
      <c r="BG28" s="2189"/>
      <c r="BH28" s="2189"/>
      <c r="BI28" s="2189"/>
      <c r="BJ28" s="2189"/>
      <c r="BK28" s="2189"/>
      <c r="BL28" s="2189"/>
      <c r="BM28" s="2189"/>
      <c r="BN28" s="2189"/>
      <c r="BO28" s="2189"/>
      <c r="BP28" s="2189"/>
      <c r="BQ28" s="2188">
        <f t="shared" si="18"/>
        <v>0</v>
      </c>
      <c r="BS28" s="1845" t="s">
        <v>82</v>
      </c>
      <c r="BT28" s="1846">
        <f t="shared" si="19"/>
        <v>0</v>
      </c>
      <c r="BU28" s="2225"/>
      <c r="BV28" s="2228"/>
      <c r="BW28" s="2225"/>
      <c r="BX28" s="2225"/>
      <c r="BY28" s="2225"/>
      <c r="BZ28" s="2225"/>
      <c r="CA28" s="2225"/>
      <c r="CB28" s="2225"/>
      <c r="CC28" s="2225"/>
      <c r="CD28" s="2225"/>
      <c r="CE28" s="2225"/>
      <c r="CF28" s="2225"/>
      <c r="CG28" s="2181"/>
      <c r="CH28" s="2181"/>
      <c r="CI28" s="2181"/>
      <c r="CJ28" s="2181"/>
      <c r="CK28" s="2181"/>
      <c r="CL28" s="2181"/>
      <c r="CM28" s="2181"/>
      <c r="CN28" s="2181"/>
      <c r="CO28" s="2181"/>
      <c r="CP28" s="2181"/>
      <c r="CQ28" s="2181"/>
      <c r="CR28" s="2181"/>
      <c r="CS28" s="2181"/>
      <c r="CT28" s="2181"/>
      <c r="CU28" s="2181"/>
      <c r="CV28" s="2181"/>
      <c r="CW28" s="2181"/>
      <c r="CX28" s="2181"/>
      <c r="CY28" s="2181"/>
      <c r="CZ28" s="2180">
        <f t="shared" si="20"/>
        <v>0</v>
      </c>
      <c r="DB28" s="1962" t="s">
        <v>82</v>
      </c>
      <c r="DC28" s="2175">
        <f t="shared" si="21"/>
        <v>0</v>
      </c>
      <c r="DD28" s="2172"/>
      <c r="DE28" s="2172"/>
      <c r="DF28" s="2172"/>
      <c r="DG28" s="2172"/>
      <c r="DH28" s="2172"/>
      <c r="DI28" s="2172"/>
      <c r="DJ28" s="2172"/>
      <c r="DK28" s="2172"/>
      <c r="DL28" s="2172"/>
      <c r="DM28" s="2172"/>
      <c r="DN28" s="2172"/>
      <c r="DO28" s="2172"/>
      <c r="DP28" s="2172"/>
      <c r="DQ28" s="2172"/>
      <c r="DR28" s="2172"/>
      <c r="DS28" s="2172"/>
      <c r="DT28" s="2172"/>
      <c r="DU28" s="2172"/>
      <c r="DV28" s="2172"/>
      <c r="DW28" s="2172"/>
      <c r="DX28" s="2172"/>
      <c r="DY28" s="2172"/>
      <c r="DZ28" s="2172"/>
      <c r="EA28" s="2172"/>
      <c r="EB28" s="2172"/>
      <c r="EC28" s="2172"/>
      <c r="ED28" s="2172"/>
      <c r="EE28" s="2172"/>
      <c r="EF28" s="2172"/>
      <c r="EG28" s="2172"/>
      <c r="EH28" s="2172"/>
      <c r="EI28" s="2171">
        <f t="shared" si="22"/>
        <v>0</v>
      </c>
      <c r="EK28" s="2163" t="s">
        <v>82</v>
      </c>
      <c r="EL28" s="2162">
        <f t="shared" si="23"/>
        <v>0</v>
      </c>
      <c r="EM28" s="2159">
        <f t="shared" ref="EM28:FQ28" si="32">+EM12</f>
        <v>0</v>
      </c>
      <c r="EN28" s="2159">
        <f t="shared" si="32"/>
        <v>0</v>
      </c>
      <c r="EO28" s="2159">
        <f t="shared" si="32"/>
        <v>0</v>
      </c>
      <c r="EP28" s="2159">
        <f t="shared" si="32"/>
        <v>0</v>
      </c>
      <c r="EQ28" s="2159">
        <f t="shared" si="32"/>
        <v>0</v>
      </c>
      <c r="ER28" s="2159">
        <f t="shared" si="32"/>
        <v>0</v>
      </c>
      <c r="ES28" s="2159">
        <f t="shared" si="32"/>
        <v>0</v>
      </c>
      <c r="ET28" s="2159">
        <f t="shared" si="32"/>
        <v>0</v>
      </c>
      <c r="EU28" s="2159">
        <f t="shared" si="32"/>
        <v>0</v>
      </c>
      <c r="EV28" s="2159">
        <f t="shared" si="32"/>
        <v>0</v>
      </c>
      <c r="EW28" s="2159">
        <f t="shared" si="32"/>
        <v>0</v>
      </c>
      <c r="EX28" s="2159">
        <f t="shared" si="32"/>
        <v>0</v>
      </c>
      <c r="EY28" s="2159">
        <f t="shared" si="32"/>
        <v>0</v>
      </c>
      <c r="EZ28" s="2159">
        <f t="shared" si="32"/>
        <v>0</v>
      </c>
      <c r="FA28" s="2159">
        <f t="shared" si="32"/>
        <v>0</v>
      </c>
      <c r="FB28" s="2159">
        <f t="shared" si="32"/>
        <v>0</v>
      </c>
      <c r="FC28" s="2159">
        <f t="shared" si="32"/>
        <v>0</v>
      </c>
      <c r="FD28" s="2159">
        <f t="shared" si="32"/>
        <v>0</v>
      </c>
      <c r="FE28" s="2159">
        <f t="shared" si="32"/>
        <v>0</v>
      </c>
      <c r="FF28" s="2159">
        <f t="shared" si="32"/>
        <v>0</v>
      </c>
      <c r="FG28" s="2159">
        <f t="shared" si="32"/>
        <v>0</v>
      </c>
      <c r="FH28" s="2159">
        <f t="shared" si="32"/>
        <v>0</v>
      </c>
      <c r="FI28" s="2159">
        <f t="shared" si="32"/>
        <v>0</v>
      </c>
      <c r="FJ28" s="2159">
        <f t="shared" si="32"/>
        <v>0</v>
      </c>
      <c r="FK28" s="2159">
        <f t="shared" si="32"/>
        <v>0</v>
      </c>
      <c r="FL28" s="2159">
        <f t="shared" si="32"/>
        <v>0</v>
      </c>
      <c r="FM28" s="2159">
        <f t="shared" si="32"/>
        <v>0</v>
      </c>
      <c r="FN28" s="2159">
        <f t="shared" si="32"/>
        <v>0</v>
      </c>
      <c r="FO28" s="2159">
        <f t="shared" si="32"/>
        <v>0</v>
      </c>
      <c r="FP28" s="2159">
        <f t="shared" si="32"/>
        <v>0</v>
      </c>
      <c r="FQ28" s="2159">
        <f t="shared" si="32"/>
        <v>0</v>
      </c>
      <c r="FR28" s="2158">
        <f t="shared" si="25"/>
        <v>0</v>
      </c>
    </row>
    <row r="29" spans="1:174" ht="15">
      <c r="A29" s="1249" t="s">
        <v>83</v>
      </c>
      <c r="B29" s="1287">
        <f t="shared" si="15"/>
        <v>0</v>
      </c>
      <c r="C29" s="1761"/>
      <c r="D29" s="1761"/>
      <c r="E29" s="1761"/>
      <c r="F29" s="1761"/>
      <c r="G29" s="1761"/>
      <c r="H29" s="1761"/>
      <c r="I29" s="1761"/>
      <c r="J29" s="1761"/>
      <c r="K29" s="1761"/>
      <c r="L29" s="1761"/>
      <c r="M29" s="1761"/>
      <c r="N29" s="1761"/>
      <c r="O29" s="1761"/>
      <c r="P29" s="1761"/>
      <c r="Q29" s="1761"/>
      <c r="R29" s="1761"/>
      <c r="S29" s="1761"/>
      <c r="T29" s="1761"/>
      <c r="U29" s="1761"/>
      <c r="V29" s="1761"/>
      <c r="W29" s="1761"/>
      <c r="X29" s="1761"/>
      <c r="Y29" s="1761"/>
      <c r="Z29" s="1761"/>
      <c r="AA29" s="1761"/>
      <c r="AB29" s="1761"/>
      <c r="AC29" s="1761"/>
      <c r="AD29" s="1761"/>
      <c r="AE29" s="1761"/>
      <c r="AF29" s="1761"/>
      <c r="AG29" s="1761"/>
      <c r="AH29" s="1488">
        <f t="shared" si="16"/>
        <v>0</v>
      </c>
      <c r="AJ29" s="1746" t="s">
        <v>83</v>
      </c>
      <c r="AK29" s="1749">
        <f t="shared" si="17"/>
        <v>0</v>
      </c>
      <c r="AL29" s="2226"/>
      <c r="AM29" s="2226"/>
      <c r="AN29" s="2226"/>
      <c r="AO29" s="2226"/>
      <c r="AP29" s="2226"/>
      <c r="AQ29" s="2226"/>
      <c r="AR29" s="2226"/>
      <c r="AS29" s="2226"/>
      <c r="AT29" s="2226"/>
      <c r="AU29" s="2226"/>
      <c r="AV29" s="2226"/>
      <c r="AW29" s="2226"/>
      <c r="AX29" s="2189"/>
      <c r="AY29" s="2189"/>
      <c r="AZ29" s="2189"/>
      <c r="BA29" s="2189"/>
      <c r="BB29" s="2189"/>
      <c r="BC29" s="2189"/>
      <c r="BD29" s="2189"/>
      <c r="BE29" s="2189"/>
      <c r="BF29" s="2189"/>
      <c r="BG29" s="2189"/>
      <c r="BH29" s="2189"/>
      <c r="BI29" s="2189"/>
      <c r="BJ29" s="2189"/>
      <c r="BK29" s="2189"/>
      <c r="BL29" s="2189"/>
      <c r="BM29" s="2189"/>
      <c r="BN29" s="2189"/>
      <c r="BO29" s="2189"/>
      <c r="BP29" s="2189"/>
      <c r="BQ29" s="2188">
        <f t="shared" si="18"/>
        <v>0</v>
      </c>
      <c r="BS29" s="1845" t="s">
        <v>83</v>
      </c>
      <c r="BT29" s="1846">
        <f t="shared" si="19"/>
        <v>0</v>
      </c>
      <c r="BU29" s="2225"/>
      <c r="BV29" s="2225"/>
      <c r="BW29" s="2225"/>
      <c r="BX29" s="2225"/>
      <c r="BY29" s="2225"/>
      <c r="BZ29" s="2225"/>
      <c r="CA29" s="2225"/>
      <c r="CB29" s="2225"/>
      <c r="CC29" s="2225"/>
      <c r="CD29" s="2225"/>
      <c r="CE29" s="2225"/>
      <c r="CF29" s="2225"/>
      <c r="CG29" s="2181"/>
      <c r="CH29" s="2181"/>
      <c r="CI29" s="2181"/>
      <c r="CJ29" s="2181"/>
      <c r="CK29" s="2181"/>
      <c r="CL29" s="2181"/>
      <c r="CM29" s="2181"/>
      <c r="CN29" s="2181"/>
      <c r="CO29" s="2181"/>
      <c r="CP29" s="2181"/>
      <c r="CQ29" s="2181"/>
      <c r="CR29" s="2181"/>
      <c r="CS29" s="2181"/>
      <c r="CT29" s="2181"/>
      <c r="CU29" s="2181"/>
      <c r="CV29" s="2181"/>
      <c r="CW29" s="2181"/>
      <c r="CX29" s="2181"/>
      <c r="CY29" s="2181"/>
      <c r="CZ29" s="2180">
        <f t="shared" si="20"/>
        <v>0</v>
      </c>
      <c r="DB29" s="1962" t="s">
        <v>83</v>
      </c>
      <c r="DC29" s="2175">
        <f t="shared" si="21"/>
        <v>0</v>
      </c>
      <c r="DD29" s="2172"/>
      <c r="DE29" s="2172"/>
      <c r="DF29" s="2172"/>
      <c r="DG29" s="2172"/>
      <c r="DH29" s="2172"/>
      <c r="DI29" s="2172"/>
      <c r="DJ29" s="2172"/>
      <c r="DK29" s="2172"/>
      <c r="DL29" s="2172"/>
      <c r="DM29" s="2172"/>
      <c r="DN29" s="2172"/>
      <c r="DO29" s="2172"/>
      <c r="DP29" s="2172"/>
      <c r="DQ29" s="2172"/>
      <c r="DR29" s="2172"/>
      <c r="DS29" s="2172"/>
      <c r="DT29" s="2172"/>
      <c r="DU29" s="2172"/>
      <c r="DV29" s="2172"/>
      <c r="DW29" s="2172"/>
      <c r="DX29" s="2172"/>
      <c r="DY29" s="2172"/>
      <c r="DZ29" s="2172"/>
      <c r="EA29" s="2172"/>
      <c r="EB29" s="2172"/>
      <c r="EC29" s="2172"/>
      <c r="ED29" s="2172"/>
      <c r="EE29" s="2172"/>
      <c r="EF29" s="2172"/>
      <c r="EG29" s="2172"/>
      <c r="EH29" s="2172"/>
      <c r="EI29" s="2171">
        <f t="shared" si="22"/>
        <v>0</v>
      </c>
      <c r="EK29" s="2163" t="s">
        <v>83</v>
      </c>
      <c r="EL29" s="2162">
        <f t="shared" si="23"/>
        <v>0</v>
      </c>
      <c r="EM29" s="2159">
        <f t="shared" ref="EM29:FQ29" si="33">+EM13</f>
        <v>0</v>
      </c>
      <c r="EN29" s="2159">
        <f t="shared" si="33"/>
        <v>0</v>
      </c>
      <c r="EO29" s="2159">
        <f t="shared" si="33"/>
        <v>0</v>
      </c>
      <c r="EP29" s="2159">
        <f t="shared" si="33"/>
        <v>0</v>
      </c>
      <c r="EQ29" s="2159">
        <f t="shared" si="33"/>
        <v>0</v>
      </c>
      <c r="ER29" s="2159">
        <f t="shared" si="33"/>
        <v>0</v>
      </c>
      <c r="ES29" s="2159">
        <f t="shared" si="33"/>
        <v>0</v>
      </c>
      <c r="ET29" s="2159">
        <f t="shared" si="33"/>
        <v>0</v>
      </c>
      <c r="EU29" s="2159">
        <f t="shared" si="33"/>
        <v>0</v>
      </c>
      <c r="EV29" s="2159">
        <f t="shared" si="33"/>
        <v>0</v>
      </c>
      <c r="EW29" s="2159">
        <f t="shared" si="33"/>
        <v>0</v>
      </c>
      <c r="EX29" s="2159">
        <f t="shared" si="33"/>
        <v>0</v>
      </c>
      <c r="EY29" s="2159">
        <f t="shared" si="33"/>
        <v>0</v>
      </c>
      <c r="EZ29" s="2159">
        <f t="shared" si="33"/>
        <v>0</v>
      </c>
      <c r="FA29" s="2159">
        <f t="shared" si="33"/>
        <v>0</v>
      </c>
      <c r="FB29" s="2159">
        <f t="shared" si="33"/>
        <v>0</v>
      </c>
      <c r="FC29" s="2159">
        <f t="shared" si="33"/>
        <v>0</v>
      </c>
      <c r="FD29" s="2159">
        <f t="shared" si="33"/>
        <v>0</v>
      </c>
      <c r="FE29" s="2159">
        <f t="shared" si="33"/>
        <v>0</v>
      </c>
      <c r="FF29" s="2159">
        <f t="shared" si="33"/>
        <v>0</v>
      </c>
      <c r="FG29" s="2159">
        <f t="shared" si="33"/>
        <v>0</v>
      </c>
      <c r="FH29" s="2159">
        <f t="shared" si="33"/>
        <v>0</v>
      </c>
      <c r="FI29" s="2159">
        <f t="shared" si="33"/>
        <v>0</v>
      </c>
      <c r="FJ29" s="2159">
        <f t="shared" si="33"/>
        <v>0</v>
      </c>
      <c r="FK29" s="2159">
        <f t="shared" si="33"/>
        <v>0</v>
      </c>
      <c r="FL29" s="2159">
        <f t="shared" si="33"/>
        <v>0</v>
      </c>
      <c r="FM29" s="2159">
        <f t="shared" si="33"/>
        <v>0</v>
      </c>
      <c r="FN29" s="2159">
        <f t="shared" si="33"/>
        <v>0</v>
      </c>
      <c r="FO29" s="2159">
        <f t="shared" si="33"/>
        <v>0</v>
      </c>
      <c r="FP29" s="2159">
        <f t="shared" si="33"/>
        <v>0</v>
      </c>
      <c r="FQ29" s="2159">
        <f t="shared" si="33"/>
        <v>0</v>
      </c>
      <c r="FR29" s="2158">
        <f t="shared" si="25"/>
        <v>0</v>
      </c>
    </row>
    <row r="30" spans="1:174" ht="15">
      <c r="A30" s="1249" t="s">
        <v>84</v>
      </c>
      <c r="B30" s="1287">
        <f t="shared" si="15"/>
        <v>0</v>
      </c>
      <c r="C30" s="1761"/>
      <c r="D30" s="1761"/>
      <c r="E30" s="1761"/>
      <c r="F30" s="1761"/>
      <c r="G30" s="1761"/>
      <c r="H30" s="1761"/>
      <c r="I30" s="1761"/>
      <c r="J30" s="1761"/>
      <c r="K30" s="1761"/>
      <c r="L30" s="1761"/>
      <c r="M30" s="1761"/>
      <c r="N30" s="1761"/>
      <c r="O30" s="1761"/>
      <c r="P30" s="1761"/>
      <c r="Q30" s="1761"/>
      <c r="R30" s="1820"/>
      <c r="S30" s="1820"/>
      <c r="T30" s="1820"/>
      <c r="U30" s="1820"/>
      <c r="V30" s="1820"/>
      <c r="W30" s="1820"/>
      <c r="X30" s="1820"/>
      <c r="Y30" s="1820"/>
      <c r="Z30" s="1820"/>
      <c r="AA30" s="1820"/>
      <c r="AB30" s="1820"/>
      <c r="AC30" s="1820"/>
      <c r="AD30" s="1820"/>
      <c r="AE30" s="1820"/>
      <c r="AF30" s="1820"/>
      <c r="AG30" s="1820"/>
      <c r="AH30" s="1488">
        <f t="shared" si="16"/>
        <v>0</v>
      </c>
      <c r="AJ30" s="1746" t="s">
        <v>84</v>
      </c>
      <c r="AK30" s="1749">
        <f t="shared" si="17"/>
        <v>0</v>
      </c>
      <c r="AL30" s="2226"/>
      <c r="AM30" s="2226"/>
      <c r="AN30" s="2226"/>
      <c r="AO30" s="2226"/>
      <c r="AP30" s="2226"/>
      <c r="AQ30" s="2226"/>
      <c r="AR30" s="2226"/>
      <c r="AS30" s="2226"/>
      <c r="AT30" s="2226"/>
      <c r="AU30" s="2226"/>
      <c r="AV30" s="2226"/>
      <c r="AW30" s="2226"/>
      <c r="AX30" s="2189"/>
      <c r="AY30" s="2189"/>
      <c r="AZ30" s="2189"/>
      <c r="BA30" s="2192"/>
      <c r="BB30" s="2192"/>
      <c r="BC30" s="2192"/>
      <c r="BD30" s="2192"/>
      <c r="BE30" s="2192"/>
      <c r="BF30" s="2192"/>
      <c r="BG30" s="2192"/>
      <c r="BH30" s="2192"/>
      <c r="BI30" s="2192"/>
      <c r="BJ30" s="2192"/>
      <c r="BK30" s="2192"/>
      <c r="BL30" s="2192"/>
      <c r="BM30" s="2192"/>
      <c r="BN30" s="2192"/>
      <c r="BO30" s="2192"/>
      <c r="BP30" s="2192"/>
      <c r="BQ30" s="2188">
        <f t="shared" si="18"/>
        <v>0</v>
      </c>
      <c r="BS30" s="1845" t="s">
        <v>84</v>
      </c>
      <c r="BT30" s="1846">
        <f t="shared" si="19"/>
        <v>0</v>
      </c>
      <c r="BU30" s="2225"/>
      <c r="BV30" s="2225"/>
      <c r="BW30" s="2225"/>
      <c r="BX30" s="2225"/>
      <c r="BY30" s="2225"/>
      <c r="BZ30" s="2225"/>
      <c r="CA30" s="2225"/>
      <c r="CB30" s="2225"/>
      <c r="CC30" s="2225"/>
      <c r="CD30" s="2225"/>
      <c r="CE30" s="2225"/>
      <c r="CF30" s="2225"/>
      <c r="CG30" s="2181"/>
      <c r="CH30" s="2181"/>
      <c r="CI30" s="2181"/>
      <c r="CJ30" s="2184"/>
      <c r="CK30" s="2184"/>
      <c r="CL30" s="2184"/>
      <c r="CM30" s="2184"/>
      <c r="CN30" s="2184"/>
      <c r="CO30" s="2184"/>
      <c r="CP30" s="2184"/>
      <c r="CQ30" s="2184"/>
      <c r="CR30" s="2184"/>
      <c r="CS30" s="2184"/>
      <c r="CT30" s="2184"/>
      <c r="CU30" s="2184"/>
      <c r="CV30" s="2184"/>
      <c r="CW30" s="2184"/>
      <c r="CX30" s="2184"/>
      <c r="CY30" s="2184"/>
      <c r="CZ30" s="2180">
        <f t="shared" si="20"/>
        <v>0</v>
      </c>
      <c r="DB30" s="1962" t="s">
        <v>84</v>
      </c>
      <c r="DC30" s="2175">
        <f t="shared" si="21"/>
        <v>0</v>
      </c>
      <c r="DD30" s="2172"/>
      <c r="DE30" s="2172"/>
      <c r="DF30" s="2172"/>
      <c r="DG30" s="2172"/>
      <c r="DH30" s="2172"/>
      <c r="DI30" s="2172"/>
      <c r="DJ30" s="2172"/>
      <c r="DK30" s="2172"/>
      <c r="DL30" s="2172"/>
      <c r="DM30" s="2172"/>
      <c r="DN30" s="2172"/>
      <c r="DO30" s="2172"/>
      <c r="DP30" s="2172"/>
      <c r="DQ30" s="2172"/>
      <c r="DR30" s="2172"/>
      <c r="DS30" s="2176"/>
      <c r="DT30" s="2176"/>
      <c r="DU30" s="2176"/>
      <c r="DV30" s="2176"/>
      <c r="DW30" s="2176"/>
      <c r="DX30" s="2176"/>
      <c r="DY30" s="2176"/>
      <c r="DZ30" s="2176"/>
      <c r="EA30" s="2176"/>
      <c r="EB30" s="2176"/>
      <c r="EC30" s="2176"/>
      <c r="ED30" s="2176"/>
      <c r="EE30" s="2176"/>
      <c r="EF30" s="2176"/>
      <c r="EG30" s="2176"/>
      <c r="EH30" s="2176"/>
      <c r="EI30" s="2171">
        <f t="shared" si="22"/>
        <v>0</v>
      </c>
      <c r="EK30" s="2163" t="s">
        <v>84</v>
      </c>
      <c r="EL30" s="2162">
        <f t="shared" si="23"/>
        <v>0</v>
      </c>
      <c r="EM30" s="2159">
        <f t="shared" ref="EM30:FQ30" si="34">+EM14</f>
        <v>0</v>
      </c>
      <c r="EN30" s="2159">
        <f t="shared" si="34"/>
        <v>0</v>
      </c>
      <c r="EO30" s="2159">
        <f t="shared" si="34"/>
        <v>0</v>
      </c>
      <c r="EP30" s="2159">
        <f t="shared" si="34"/>
        <v>0</v>
      </c>
      <c r="EQ30" s="2159">
        <f t="shared" si="34"/>
        <v>0</v>
      </c>
      <c r="ER30" s="2159">
        <f t="shared" si="34"/>
        <v>0</v>
      </c>
      <c r="ES30" s="2159">
        <f t="shared" si="34"/>
        <v>0</v>
      </c>
      <c r="ET30" s="2159">
        <f t="shared" si="34"/>
        <v>0</v>
      </c>
      <c r="EU30" s="2159">
        <f t="shared" si="34"/>
        <v>0</v>
      </c>
      <c r="EV30" s="2159">
        <f t="shared" si="34"/>
        <v>0</v>
      </c>
      <c r="EW30" s="2159">
        <f t="shared" si="34"/>
        <v>0</v>
      </c>
      <c r="EX30" s="2159">
        <f t="shared" si="34"/>
        <v>0</v>
      </c>
      <c r="EY30" s="2159">
        <f t="shared" si="34"/>
        <v>0</v>
      </c>
      <c r="EZ30" s="2159">
        <f t="shared" si="34"/>
        <v>0</v>
      </c>
      <c r="FA30" s="2159">
        <f t="shared" si="34"/>
        <v>0</v>
      </c>
      <c r="FB30" s="2159">
        <f t="shared" si="34"/>
        <v>0</v>
      </c>
      <c r="FC30" s="2159">
        <f t="shared" si="34"/>
        <v>0</v>
      </c>
      <c r="FD30" s="2159">
        <f t="shared" si="34"/>
        <v>0</v>
      </c>
      <c r="FE30" s="2159">
        <f t="shared" si="34"/>
        <v>0</v>
      </c>
      <c r="FF30" s="2159">
        <f t="shared" si="34"/>
        <v>0</v>
      </c>
      <c r="FG30" s="2159">
        <f t="shared" si="34"/>
        <v>0</v>
      </c>
      <c r="FH30" s="2159">
        <f t="shared" si="34"/>
        <v>0</v>
      </c>
      <c r="FI30" s="2159">
        <f t="shared" si="34"/>
        <v>0</v>
      </c>
      <c r="FJ30" s="2159">
        <f t="shared" si="34"/>
        <v>0</v>
      </c>
      <c r="FK30" s="2159">
        <f t="shared" si="34"/>
        <v>0</v>
      </c>
      <c r="FL30" s="2159">
        <f t="shared" si="34"/>
        <v>0</v>
      </c>
      <c r="FM30" s="2159">
        <f t="shared" si="34"/>
        <v>0</v>
      </c>
      <c r="FN30" s="2159">
        <f t="shared" si="34"/>
        <v>0</v>
      </c>
      <c r="FO30" s="2159">
        <f t="shared" si="34"/>
        <v>0</v>
      </c>
      <c r="FP30" s="2159">
        <f t="shared" si="34"/>
        <v>0</v>
      </c>
      <c r="FQ30" s="2159">
        <f t="shared" si="34"/>
        <v>0</v>
      </c>
      <c r="FR30" s="2158">
        <f t="shared" si="25"/>
        <v>0</v>
      </c>
    </row>
    <row r="31" spans="1:174" ht="15">
      <c r="A31" s="1249" t="s">
        <v>85</v>
      </c>
      <c r="B31" s="1287">
        <f t="shared" si="15"/>
        <v>0</v>
      </c>
      <c r="C31" s="1761"/>
      <c r="D31" s="1820"/>
      <c r="E31" s="1820"/>
      <c r="F31" s="1820"/>
      <c r="G31" s="1820"/>
      <c r="H31" s="1820"/>
      <c r="I31" s="1820"/>
      <c r="J31" s="1820"/>
      <c r="K31" s="1820"/>
      <c r="L31" s="1820"/>
      <c r="M31" s="1820"/>
      <c r="N31" s="1820"/>
      <c r="O31" s="1820"/>
      <c r="P31" s="1820"/>
      <c r="Q31" s="1820"/>
      <c r="R31" s="2278"/>
      <c r="S31" s="2278"/>
      <c r="T31" s="2278"/>
      <c r="U31" s="2278"/>
      <c r="V31" s="2278"/>
      <c r="W31" s="2278"/>
      <c r="X31" s="2278"/>
      <c r="Y31" s="2278"/>
      <c r="Z31" s="2278"/>
      <c r="AA31" s="2278"/>
      <c r="AB31" s="2278"/>
      <c r="AC31" s="2278"/>
      <c r="AD31" s="2278"/>
      <c r="AE31" s="2278"/>
      <c r="AF31" s="2278"/>
      <c r="AG31" s="1761"/>
      <c r="AH31" s="1488">
        <f t="shared" si="16"/>
        <v>0</v>
      </c>
      <c r="AJ31" s="1746" t="s">
        <v>85</v>
      </c>
      <c r="AK31" s="1749">
        <f t="shared" si="17"/>
        <v>0</v>
      </c>
      <c r="AL31" s="2226"/>
      <c r="AM31" s="2226"/>
      <c r="AN31" s="2226"/>
      <c r="AO31" s="2226"/>
      <c r="AP31" s="2226"/>
      <c r="AQ31" s="2226"/>
      <c r="AR31" s="2226"/>
      <c r="AS31" s="2226"/>
      <c r="AT31" s="2226"/>
      <c r="AU31" s="2226"/>
      <c r="AV31" s="2226"/>
      <c r="AW31" s="2226"/>
      <c r="AX31" s="2192"/>
      <c r="AY31" s="2192"/>
      <c r="AZ31" s="2192"/>
      <c r="BA31" s="2227"/>
      <c r="BB31" s="2227"/>
      <c r="BC31" s="2227"/>
      <c r="BD31" s="2227"/>
      <c r="BE31" s="2227"/>
      <c r="BF31" s="2227"/>
      <c r="BG31" s="2227"/>
      <c r="BH31" s="2227"/>
      <c r="BI31" s="2227"/>
      <c r="BJ31" s="2227"/>
      <c r="BK31" s="2227"/>
      <c r="BL31" s="2227"/>
      <c r="BM31" s="2227"/>
      <c r="BN31" s="2227"/>
      <c r="BO31" s="2227"/>
      <c r="BP31" s="2189"/>
      <c r="BQ31" s="2188">
        <f t="shared" si="18"/>
        <v>0</v>
      </c>
      <c r="BS31" s="1845" t="s">
        <v>85</v>
      </c>
      <c r="BT31" s="1846">
        <f t="shared" si="19"/>
        <v>0</v>
      </c>
      <c r="BU31" s="2225"/>
      <c r="BV31" s="2225"/>
      <c r="BW31" s="2225"/>
      <c r="BX31" s="2225"/>
      <c r="BY31" s="2225"/>
      <c r="BZ31" s="2225"/>
      <c r="CA31" s="2225"/>
      <c r="CB31" s="2225"/>
      <c r="CC31" s="2225"/>
      <c r="CD31" s="2225"/>
      <c r="CE31" s="2225"/>
      <c r="CF31" s="2225"/>
      <c r="CG31" s="2184"/>
      <c r="CH31" s="2184"/>
      <c r="CI31" s="2184"/>
      <c r="CJ31" s="2207"/>
      <c r="CK31" s="2207"/>
      <c r="CL31" s="2207"/>
      <c r="CM31" s="2207"/>
      <c r="CN31" s="2207"/>
      <c r="CO31" s="2207"/>
      <c r="CP31" s="2207"/>
      <c r="CQ31" s="2207"/>
      <c r="CR31" s="2207"/>
      <c r="CS31" s="2207"/>
      <c r="CT31" s="2207"/>
      <c r="CU31" s="2207"/>
      <c r="CV31" s="2207"/>
      <c r="CW31" s="2207"/>
      <c r="CX31" s="2207"/>
      <c r="CY31" s="2181"/>
      <c r="CZ31" s="2180">
        <f t="shared" si="20"/>
        <v>0</v>
      </c>
      <c r="DB31" s="1962" t="s">
        <v>85</v>
      </c>
      <c r="DC31" s="2175">
        <f t="shared" si="21"/>
        <v>0</v>
      </c>
      <c r="DD31" s="2172"/>
      <c r="DE31" s="2176"/>
      <c r="DF31" s="2176"/>
      <c r="DG31" s="2176"/>
      <c r="DH31" s="2176"/>
      <c r="DI31" s="2176"/>
      <c r="DJ31" s="2176"/>
      <c r="DK31" s="2176"/>
      <c r="DL31" s="2176"/>
      <c r="DM31" s="2176"/>
      <c r="DN31" s="2176"/>
      <c r="DO31" s="2176"/>
      <c r="DP31" s="2176"/>
      <c r="DQ31" s="2176"/>
      <c r="DR31" s="2176"/>
      <c r="DS31" s="2206"/>
      <c r="DT31" s="2206"/>
      <c r="DU31" s="2206"/>
      <c r="DV31" s="2206"/>
      <c r="DW31" s="2206"/>
      <c r="DX31" s="2206"/>
      <c r="DY31" s="2206"/>
      <c r="DZ31" s="2206"/>
      <c r="EA31" s="2206"/>
      <c r="EB31" s="2206"/>
      <c r="EC31" s="2206"/>
      <c r="ED31" s="2206"/>
      <c r="EE31" s="2206"/>
      <c r="EF31" s="2206"/>
      <c r="EG31" s="2206"/>
      <c r="EH31" s="2172"/>
      <c r="EI31" s="2171">
        <f t="shared" si="22"/>
        <v>0</v>
      </c>
      <c r="EK31" s="2163" t="s">
        <v>85</v>
      </c>
      <c r="EL31" s="2162">
        <f t="shared" si="23"/>
        <v>0</v>
      </c>
      <c r="EM31" s="2159">
        <f t="shared" ref="EM31:FQ31" si="35">+EM15</f>
        <v>0</v>
      </c>
      <c r="EN31" s="2159">
        <f t="shared" si="35"/>
        <v>0</v>
      </c>
      <c r="EO31" s="2159">
        <f t="shared" si="35"/>
        <v>0</v>
      </c>
      <c r="EP31" s="2159">
        <f t="shared" si="35"/>
        <v>0</v>
      </c>
      <c r="EQ31" s="2159">
        <f t="shared" si="35"/>
        <v>0</v>
      </c>
      <c r="ER31" s="2159">
        <f t="shared" si="35"/>
        <v>0</v>
      </c>
      <c r="ES31" s="2159">
        <f t="shared" si="35"/>
        <v>0</v>
      </c>
      <c r="ET31" s="2159">
        <f t="shared" si="35"/>
        <v>0</v>
      </c>
      <c r="EU31" s="2159">
        <f t="shared" si="35"/>
        <v>0</v>
      </c>
      <c r="EV31" s="2159">
        <f t="shared" si="35"/>
        <v>0</v>
      </c>
      <c r="EW31" s="2159">
        <f t="shared" si="35"/>
        <v>0</v>
      </c>
      <c r="EX31" s="2159">
        <f t="shared" si="35"/>
        <v>0</v>
      </c>
      <c r="EY31" s="2159">
        <f t="shared" si="35"/>
        <v>0</v>
      </c>
      <c r="EZ31" s="2159">
        <f t="shared" si="35"/>
        <v>0</v>
      </c>
      <c r="FA31" s="2159">
        <f t="shared" si="35"/>
        <v>0</v>
      </c>
      <c r="FB31" s="2159">
        <f t="shared" si="35"/>
        <v>0</v>
      </c>
      <c r="FC31" s="2159">
        <f t="shared" si="35"/>
        <v>0</v>
      </c>
      <c r="FD31" s="2159">
        <f t="shared" si="35"/>
        <v>0</v>
      </c>
      <c r="FE31" s="2159">
        <f t="shared" si="35"/>
        <v>0</v>
      </c>
      <c r="FF31" s="2159">
        <f t="shared" si="35"/>
        <v>0</v>
      </c>
      <c r="FG31" s="2159">
        <f t="shared" si="35"/>
        <v>0</v>
      </c>
      <c r="FH31" s="2159">
        <f t="shared" si="35"/>
        <v>0</v>
      </c>
      <c r="FI31" s="2159">
        <f t="shared" si="35"/>
        <v>0</v>
      </c>
      <c r="FJ31" s="2159">
        <f t="shared" si="35"/>
        <v>0</v>
      </c>
      <c r="FK31" s="2159">
        <f t="shared" si="35"/>
        <v>0</v>
      </c>
      <c r="FL31" s="2159">
        <f t="shared" si="35"/>
        <v>0</v>
      </c>
      <c r="FM31" s="2159">
        <f t="shared" si="35"/>
        <v>0</v>
      </c>
      <c r="FN31" s="2159">
        <f t="shared" si="35"/>
        <v>0</v>
      </c>
      <c r="FO31" s="2159">
        <f t="shared" si="35"/>
        <v>0</v>
      </c>
      <c r="FP31" s="2159">
        <f t="shared" si="35"/>
        <v>0</v>
      </c>
      <c r="FQ31" s="2159">
        <f t="shared" si="35"/>
        <v>0</v>
      </c>
      <c r="FR31" s="2158">
        <f t="shared" si="25"/>
        <v>0</v>
      </c>
    </row>
    <row r="32" spans="1:174" ht="15.75" thickBot="1">
      <c r="A32" s="1249" t="s">
        <v>86</v>
      </c>
      <c r="B32" s="1287">
        <f t="shared" si="15"/>
        <v>0</v>
      </c>
      <c r="C32" s="1761"/>
      <c r="D32" s="2278"/>
      <c r="E32" s="2278"/>
      <c r="F32" s="2278"/>
      <c r="G32" s="1761"/>
      <c r="H32" s="1761"/>
      <c r="I32" s="1761"/>
      <c r="J32" s="1761"/>
      <c r="K32" s="1761"/>
      <c r="L32" s="1761"/>
      <c r="M32" s="1761"/>
      <c r="N32" s="1761"/>
      <c r="O32" s="1761"/>
      <c r="P32" s="1761"/>
      <c r="Q32" s="1761"/>
      <c r="R32" s="1761"/>
      <c r="S32" s="1761"/>
      <c r="T32" s="1761"/>
      <c r="U32" s="1761"/>
      <c r="V32" s="1761"/>
      <c r="W32" s="1761"/>
      <c r="X32" s="1761"/>
      <c r="Y32" s="1761"/>
      <c r="Z32" s="1761"/>
      <c r="AA32" s="1761"/>
      <c r="AB32" s="1761"/>
      <c r="AC32" s="1761"/>
      <c r="AD32" s="1761"/>
      <c r="AE32" s="1761"/>
      <c r="AF32" s="1761"/>
      <c r="AG32" s="1761"/>
      <c r="AH32" s="1488">
        <f t="shared" si="16"/>
        <v>0</v>
      </c>
      <c r="AJ32" s="1746" t="s">
        <v>86</v>
      </c>
      <c r="AK32" s="1749">
        <f t="shared" si="17"/>
        <v>0</v>
      </c>
      <c r="AL32" s="2226"/>
      <c r="AM32" s="2226"/>
      <c r="AN32" s="2226"/>
      <c r="AO32" s="2226"/>
      <c r="AP32" s="2226"/>
      <c r="AQ32" s="2226"/>
      <c r="AR32" s="2226"/>
      <c r="AS32" s="2226"/>
      <c r="AT32" s="2226"/>
      <c r="AU32" s="2226"/>
      <c r="AV32" s="2226"/>
      <c r="AW32" s="2226"/>
      <c r="AX32" s="2189"/>
      <c r="AY32" s="2189"/>
      <c r="AZ32" s="2189"/>
      <c r="BA32" s="2189"/>
      <c r="BB32" s="2189"/>
      <c r="BC32" s="2189"/>
      <c r="BD32" s="2189"/>
      <c r="BE32" s="2189"/>
      <c r="BF32" s="2189"/>
      <c r="BG32" s="2189"/>
      <c r="BH32" s="2189"/>
      <c r="BI32" s="2189"/>
      <c r="BJ32" s="2189"/>
      <c r="BK32" s="2189"/>
      <c r="BL32" s="2189"/>
      <c r="BM32" s="2189"/>
      <c r="BN32" s="2189"/>
      <c r="BO32" s="2189"/>
      <c r="BP32" s="2189"/>
      <c r="BQ32" s="2188">
        <f t="shared" si="18"/>
        <v>0</v>
      </c>
      <c r="BS32" s="1845" t="s">
        <v>86</v>
      </c>
      <c r="BT32" s="1846">
        <f t="shared" si="19"/>
        <v>0</v>
      </c>
      <c r="BU32" s="2225"/>
      <c r="BV32" s="2225"/>
      <c r="BW32" s="2225"/>
      <c r="BX32" s="2225"/>
      <c r="BY32" s="2225"/>
      <c r="BZ32" s="2225"/>
      <c r="CA32" s="2225"/>
      <c r="CB32" s="2225"/>
      <c r="CC32" s="2225"/>
      <c r="CD32" s="2225"/>
      <c r="CE32" s="2225"/>
      <c r="CF32" s="2225"/>
      <c r="CG32" s="2181"/>
      <c r="CH32" s="2181"/>
      <c r="CI32" s="2181"/>
      <c r="CJ32" s="2181"/>
      <c r="CK32" s="2181"/>
      <c r="CL32" s="2181"/>
      <c r="CM32" s="2181"/>
      <c r="CN32" s="2181"/>
      <c r="CO32" s="2181"/>
      <c r="CP32" s="2181"/>
      <c r="CQ32" s="2181"/>
      <c r="CR32" s="2181"/>
      <c r="CS32" s="2181"/>
      <c r="CT32" s="2181"/>
      <c r="CU32" s="2181"/>
      <c r="CV32" s="2181"/>
      <c r="CW32" s="2181"/>
      <c r="CX32" s="2181"/>
      <c r="CY32" s="2181"/>
      <c r="CZ32" s="2180">
        <f t="shared" si="20"/>
        <v>0</v>
      </c>
      <c r="DB32" s="1962" t="s">
        <v>86</v>
      </c>
      <c r="DC32" s="2175">
        <f t="shared" si="21"/>
        <v>0</v>
      </c>
      <c r="DD32" s="2172"/>
      <c r="DE32" s="2206"/>
      <c r="DF32" s="2206"/>
      <c r="DG32" s="2206"/>
      <c r="DH32" s="2172"/>
      <c r="DI32" s="2172"/>
      <c r="DJ32" s="2172"/>
      <c r="DK32" s="2172"/>
      <c r="DL32" s="2172"/>
      <c r="DM32" s="2172"/>
      <c r="DN32" s="2172"/>
      <c r="DO32" s="2172"/>
      <c r="DP32" s="2172"/>
      <c r="DQ32" s="2172"/>
      <c r="DR32" s="2172"/>
      <c r="DS32" s="2172"/>
      <c r="DT32" s="2172"/>
      <c r="DU32" s="2172"/>
      <c r="DV32" s="2172"/>
      <c r="DW32" s="2172"/>
      <c r="DX32" s="2172"/>
      <c r="DY32" s="2172"/>
      <c r="DZ32" s="2172"/>
      <c r="EA32" s="2172"/>
      <c r="EB32" s="2172"/>
      <c r="EC32" s="2172"/>
      <c r="ED32" s="2172"/>
      <c r="EE32" s="2172"/>
      <c r="EF32" s="2172"/>
      <c r="EG32" s="2172"/>
      <c r="EH32" s="2172"/>
      <c r="EI32" s="2171">
        <f t="shared" si="22"/>
        <v>0</v>
      </c>
      <c r="EK32" s="2163" t="s">
        <v>86</v>
      </c>
      <c r="EL32" s="2162">
        <f t="shared" si="23"/>
        <v>0</v>
      </c>
      <c r="EM32" s="2159">
        <f t="shared" ref="EM32:FQ32" si="36">+EM16</f>
        <v>0</v>
      </c>
      <c r="EN32" s="2159">
        <f t="shared" si="36"/>
        <v>0</v>
      </c>
      <c r="EO32" s="2159">
        <f t="shared" si="36"/>
        <v>0</v>
      </c>
      <c r="EP32" s="2159">
        <f t="shared" si="36"/>
        <v>0</v>
      </c>
      <c r="EQ32" s="2159">
        <f t="shared" si="36"/>
        <v>0</v>
      </c>
      <c r="ER32" s="2159">
        <f t="shared" si="36"/>
        <v>0</v>
      </c>
      <c r="ES32" s="2159">
        <f t="shared" si="36"/>
        <v>0</v>
      </c>
      <c r="ET32" s="2159">
        <f t="shared" si="36"/>
        <v>0</v>
      </c>
      <c r="EU32" s="2159">
        <f t="shared" si="36"/>
        <v>0</v>
      </c>
      <c r="EV32" s="2159">
        <f t="shared" si="36"/>
        <v>0</v>
      </c>
      <c r="EW32" s="2159">
        <f t="shared" si="36"/>
        <v>0</v>
      </c>
      <c r="EX32" s="2159">
        <f t="shared" si="36"/>
        <v>0</v>
      </c>
      <c r="EY32" s="2159">
        <f t="shared" si="36"/>
        <v>0</v>
      </c>
      <c r="EZ32" s="2159">
        <f t="shared" si="36"/>
        <v>0</v>
      </c>
      <c r="FA32" s="2159">
        <f t="shared" si="36"/>
        <v>0</v>
      </c>
      <c r="FB32" s="2159">
        <f t="shared" si="36"/>
        <v>0</v>
      </c>
      <c r="FC32" s="2159">
        <f t="shared" si="36"/>
        <v>0</v>
      </c>
      <c r="FD32" s="2159">
        <f t="shared" si="36"/>
        <v>0</v>
      </c>
      <c r="FE32" s="2159">
        <f t="shared" si="36"/>
        <v>0</v>
      </c>
      <c r="FF32" s="2159">
        <f t="shared" si="36"/>
        <v>0</v>
      </c>
      <c r="FG32" s="2159">
        <f t="shared" si="36"/>
        <v>0</v>
      </c>
      <c r="FH32" s="2159">
        <f t="shared" si="36"/>
        <v>0</v>
      </c>
      <c r="FI32" s="2159">
        <f t="shared" si="36"/>
        <v>0</v>
      </c>
      <c r="FJ32" s="2159">
        <f t="shared" si="36"/>
        <v>0</v>
      </c>
      <c r="FK32" s="2159">
        <f t="shared" si="36"/>
        <v>0</v>
      </c>
      <c r="FL32" s="2159">
        <f t="shared" si="36"/>
        <v>0</v>
      </c>
      <c r="FM32" s="2159">
        <f t="shared" si="36"/>
        <v>0</v>
      </c>
      <c r="FN32" s="2159">
        <f t="shared" si="36"/>
        <v>0</v>
      </c>
      <c r="FO32" s="2159">
        <f t="shared" si="36"/>
        <v>0</v>
      </c>
      <c r="FP32" s="2159">
        <f t="shared" si="36"/>
        <v>0</v>
      </c>
      <c r="FQ32" s="2159">
        <f t="shared" si="36"/>
        <v>0</v>
      </c>
      <c r="FR32" s="2295">
        <f t="shared" si="25"/>
        <v>0</v>
      </c>
    </row>
    <row r="33" spans="1:174" ht="15.75" thickBot="1">
      <c r="A33" s="1470" t="s">
        <v>74</v>
      </c>
      <c r="B33" s="2277">
        <f t="shared" ref="B33:AH33" si="37">SUM(B21:B32)</f>
        <v>0</v>
      </c>
      <c r="C33" s="1488">
        <f t="shared" si="37"/>
        <v>0</v>
      </c>
      <c r="D33" s="1488">
        <f t="shared" si="37"/>
        <v>0</v>
      </c>
      <c r="E33" s="1488">
        <f t="shared" si="37"/>
        <v>0</v>
      </c>
      <c r="F33" s="1488">
        <f t="shared" si="37"/>
        <v>0</v>
      </c>
      <c r="G33" s="1488">
        <f t="shared" si="37"/>
        <v>0</v>
      </c>
      <c r="H33" s="1488">
        <f t="shared" si="37"/>
        <v>0</v>
      </c>
      <c r="I33" s="1488">
        <f t="shared" si="37"/>
        <v>0</v>
      </c>
      <c r="J33" s="1488">
        <f t="shared" si="37"/>
        <v>0</v>
      </c>
      <c r="K33" s="1488">
        <f t="shared" si="37"/>
        <v>0</v>
      </c>
      <c r="L33" s="1488">
        <f t="shared" si="37"/>
        <v>0</v>
      </c>
      <c r="M33" s="1488">
        <f t="shared" si="37"/>
        <v>0</v>
      </c>
      <c r="N33" s="1488">
        <f t="shared" si="37"/>
        <v>0</v>
      </c>
      <c r="O33" s="1488">
        <f t="shared" si="37"/>
        <v>0</v>
      </c>
      <c r="P33" s="1488">
        <f t="shared" si="37"/>
        <v>0</v>
      </c>
      <c r="Q33" s="1488">
        <f t="shared" si="37"/>
        <v>0</v>
      </c>
      <c r="R33" s="1488">
        <f t="shared" si="37"/>
        <v>0</v>
      </c>
      <c r="S33" s="1488">
        <f t="shared" si="37"/>
        <v>0</v>
      </c>
      <c r="T33" s="1488">
        <f t="shared" si="37"/>
        <v>0</v>
      </c>
      <c r="U33" s="1488">
        <f t="shared" si="37"/>
        <v>0</v>
      </c>
      <c r="V33" s="1488">
        <f t="shared" si="37"/>
        <v>0</v>
      </c>
      <c r="W33" s="1488">
        <f t="shared" si="37"/>
        <v>0</v>
      </c>
      <c r="X33" s="1488">
        <f t="shared" si="37"/>
        <v>0</v>
      </c>
      <c r="Y33" s="1488">
        <f t="shared" si="37"/>
        <v>0</v>
      </c>
      <c r="Z33" s="1488">
        <f t="shared" si="37"/>
        <v>0</v>
      </c>
      <c r="AA33" s="1488">
        <f t="shared" si="37"/>
        <v>0</v>
      </c>
      <c r="AB33" s="1488">
        <f t="shared" si="37"/>
        <v>0</v>
      </c>
      <c r="AC33" s="1488">
        <f t="shared" si="37"/>
        <v>0</v>
      </c>
      <c r="AD33" s="1488">
        <f t="shared" si="37"/>
        <v>0</v>
      </c>
      <c r="AE33" s="1488">
        <f t="shared" si="37"/>
        <v>0</v>
      </c>
      <c r="AF33" s="1488">
        <f t="shared" si="37"/>
        <v>0</v>
      </c>
      <c r="AG33" s="1488">
        <f t="shared" si="37"/>
        <v>0</v>
      </c>
      <c r="AH33" s="1488">
        <f t="shared" si="37"/>
        <v>0</v>
      </c>
      <c r="AJ33" s="2191" t="s">
        <v>74</v>
      </c>
      <c r="AK33" s="2190">
        <f t="shared" ref="AK33:BQ33" si="38">SUM(AK21:AK32)</f>
        <v>0</v>
      </c>
      <c r="AL33" s="2188">
        <f t="shared" si="38"/>
        <v>0</v>
      </c>
      <c r="AM33" s="2188">
        <f t="shared" si="38"/>
        <v>0</v>
      </c>
      <c r="AN33" s="2188">
        <f t="shared" si="38"/>
        <v>0</v>
      </c>
      <c r="AO33" s="2188">
        <f t="shared" si="38"/>
        <v>0</v>
      </c>
      <c r="AP33" s="2188">
        <f t="shared" si="38"/>
        <v>0</v>
      </c>
      <c r="AQ33" s="2188">
        <f t="shared" si="38"/>
        <v>0</v>
      </c>
      <c r="AR33" s="2188">
        <f t="shared" si="38"/>
        <v>0</v>
      </c>
      <c r="AS33" s="2188">
        <f t="shared" si="38"/>
        <v>0</v>
      </c>
      <c r="AT33" s="2188">
        <f t="shared" si="38"/>
        <v>0</v>
      </c>
      <c r="AU33" s="2188">
        <f t="shared" si="38"/>
        <v>0</v>
      </c>
      <c r="AV33" s="2188">
        <f t="shared" si="38"/>
        <v>0</v>
      </c>
      <c r="AW33" s="2188">
        <f t="shared" si="38"/>
        <v>0</v>
      </c>
      <c r="AX33" s="2188">
        <f t="shared" si="38"/>
        <v>0</v>
      </c>
      <c r="AY33" s="2188">
        <f t="shared" si="38"/>
        <v>0</v>
      </c>
      <c r="AZ33" s="2188">
        <f t="shared" si="38"/>
        <v>0</v>
      </c>
      <c r="BA33" s="2188">
        <f t="shared" si="38"/>
        <v>0</v>
      </c>
      <c r="BB33" s="2188">
        <f t="shared" si="38"/>
        <v>0</v>
      </c>
      <c r="BC33" s="2188">
        <f t="shared" si="38"/>
        <v>0</v>
      </c>
      <c r="BD33" s="2188">
        <f t="shared" si="38"/>
        <v>0</v>
      </c>
      <c r="BE33" s="2188">
        <f t="shared" si="38"/>
        <v>0</v>
      </c>
      <c r="BF33" s="2188">
        <f t="shared" si="38"/>
        <v>0</v>
      </c>
      <c r="BG33" s="2188">
        <f t="shared" si="38"/>
        <v>0</v>
      </c>
      <c r="BH33" s="2188">
        <f t="shared" si="38"/>
        <v>0</v>
      </c>
      <c r="BI33" s="2188">
        <f t="shared" si="38"/>
        <v>0</v>
      </c>
      <c r="BJ33" s="2188">
        <f t="shared" si="38"/>
        <v>0</v>
      </c>
      <c r="BK33" s="2188">
        <f t="shared" si="38"/>
        <v>0</v>
      </c>
      <c r="BL33" s="2188">
        <f t="shared" si="38"/>
        <v>0</v>
      </c>
      <c r="BM33" s="2188">
        <f t="shared" si="38"/>
        <v>0</v>
      </c>
      <c r="BN33" s="2188">
        <f t="shared" si="38"/>
        <v>0</v>
      </c>
      <c r="BO33" s="2188">
        <f t="shared" si="38"/>
        <v>0</v>
      </c>
      <c r="BP33" s="2188">
        <f t="shared" si="38"/>
        <v>0</v>
      </c>
      <c r="BQ33" s="2188">
        <f t="shared" si="38"/>
        <v>0</v>
      </c>
      <c r="BS33" s="2183" t="s">
        <v>74</v>
      </c>
      <c r="BT33" s="2182">
        <f t="shared" ref="BT33:CZ33" si="39">SUM(BT21:BT32)</f>
        <v>0</v>
      </c>
      <c r="BU33" s="2180">
        <f t="shared" si="39"/>
        <v>0</v>
      </c>
      <c r="BV33" s="2180">
        <f t="shared" si="39"/>
        <v>0</v>
      </c>
      <c r="BW33" s="2180">
        <f t="shared" si="39"/>
        <v>0</v>
      </c>
      <c r="BX33" s="2180">
        <f t="shared" si="39"/>
        <v>0</v>
      </c>
      <c r="BY33" s="2180">
        <f t="shared" si="39"/>
        <v>0</v>
      </c>
      <c r="BZ33" s="2180">
        <f t="shared" si="39"/>
        <v>0</v>
      </c>
      <c r="CA33" s="2180">
        <f t="shared" si="39"/>
        <v>0</v>
      </c>
      <c r="CB33" s="2180">
        <f t="shared" si="39"/>
        <v>0</v>
      </c>
      <c r="CC33" s="2180">
        <f t="shared" si="39"/>
        <v>0</v>
      </c>
      <c r="CD33" s="2180">
        <f t="shared" si="39"/>
        <v>0</v>
      </c>
      <c r="CE33" s="2180">
        <f t="shared" si="39"/>
        <v>0</v>
      </c>
      <c r="CF33" s="2180">
        <f t="shared" si="39"/>
        <v>0</v>
      </c>
      <c r="CG33" s="2180">
        <f t="shared" si="39"/>
        <v>0</v>
      </c>
      <c r="CH33" s="2180">
        <f t="shared" si="39"/>
        <v>0</v>
      </c>
      <c r="CI33" s="2180">
        <f t="shared" si="39"/>
        <v>0</v>
      </c>
      <c r="CJ33" s="2180">
        <f t="shared" si="39"/>
        <v>0</v>
      </c>
      <c r="CK33" s="2180">
        <f t="shared" si="39"/>
        <v>0</v>
      </c>
      <c r="CL33" s="2180">
        <f t="shared" si="39"/>
        <v>0</v>
      </c>
      <c r="CM33" s="2180">
        <f t="shared" si="39"/>
        <v>0</v>
      </c>
      <c r="CN33" s="2180">
        <f t="shared" si="39"/>
        <v>0</v>
      </c>
      <c r="CO33" s="2180">
        <f t="shared" si="39"/>
        <v>0</v>
      </c>
      <c r="CP33" s="2180">
        <f t="shared" si="39"/>
        <v>0</v>
      </c>
      <c r="CQ33" s="2180">
        <f t="shared" si="39"/>
        <v>0</v>
      </c>
      <c r="CR33" s="2180">
        <f t="shared" si="39"/>
        <v>0</v>
      </c>
      <c r="CS33" s="2180">
        <f t="shared" si="39"/>
        <v>0</v>
      </c>
      <c r="CT33" s="2180">
        <f t="shared" si="39"/>
        <v>0</v>
      </c>
      <c r="CU33" s="2180">
        <f t="shared" si="39"/>
        <v>0</v>
      </c>
      <c r="CV33" s="2180">
        <f t="shared" si="39"/>
        <v>0</v>
      </c>
      <c r="CW33" s="2180">
        <f t="shared" si="39"/>
        <v>0</v>
      </c>
      <c r="CX33" s="2180">
        <f t="shared" si="39"/>
        <v>0</v>
      </c>
      <c r="CY33" s="2180">
        <f t="shared" si="39"/>
        <v>0</v>
      </c>
      <c r="CZ33" s="2180">
        <f t="shared" si="39"/>
        <v>0</v>
      </c>
      <c r="DB33" s="2174" t="s">
        <v>74</v>
      </c>
      <c r="DC33" s="2173">
        <f t="shared" ref="DC33:EI33" si="40">SUM(DC21:DC32)</f>
        <v>0</v>
      </c>
      <c r="DD33" s="2171">
        <f t="shared" si="40"/>
        <v>0</v>
      </c>
      <c r="DE33" s="2171">
        <f t="shared" si="40"/>
        <v>0</v>
      </c>
      <c r="DF33" s="2171">
        <f t="shared" si="40"/>
        <v>0</v>
      </c>
      <c r="DG33" s="2171">
        <f t="shared" si="40"/>
        <v>0</v>
      </c>
      <c r="DH33" s="2171">
        <f t="shared" si="40"/>
        <v>0</v>
      </c>
      <c r="DI33" s="2171">
        <f t="shared" si="40"/>
        <v>0</v>
      </c>
      <c r="DJ33" s="2171">
        <f t="shared" si="40"/>
        <v>0</v>
      </c>
      <c r="DK33" s="2171">
        <f t="shared" si="40"/>
        <v>0</v>
      </c>
      <c r="DL33" s="2171">
        <f t="shared" si="40"/>
        <v>0</v>
      </c>
      <c r="DM33" s="2171">
        <f t="shared" si="40"/>
        <v>0</v>
      </c>
      <c r="DN33" s="2171">
        <f t="shared" si="40"/>
        <v>0</v>
      </c>
      <c r="DO33" s="2171">
        <f t="shared" si="40"/>
        <v>0</v>
      </c>
      <c r="DP33" s="2171">
        <f t="shared" si="40"/>
        <v>0</v>
      </c>
      <c r="DQ33" s="2171">
        <f t="shared" si="40"/>
        <v>0</v>
      </c>
      <c r="DR33" s="2171">
        <f t="shared" si="40"/>
        <v>0</v>
      </c>
      <c r="DS33" s="2171">
        <f t="shared" si="40"/>
        <v>0</v>
      </c>
      <c r="DT33" s="2171">
        <f t="shared" si="40"/>
        <v>0</v>
      </c>
      <c r="DU33" s="2171">
        <f t="shared" si="40"/>
        <v>0</v>
      </c>
      <c r="DV33" s="2171">
        <f t="shared" si="40"/>
        <v>0</v>
      </c>
      <c r="DW33" s="2171">
        <f t="shared" si="40"/>
        <v>0</v>
      </c>
      <c r="DX33" s="2171">
        <f t="shared" si="40"/>
        <v>0</v>
      </c>
      <c r="DY33" s="2171">
        <f t="shared" si="40"/>
        <v>0</v>
      </c>
      <c r="DZ33" s="2171">
        <f t="shared" si="40"/>
        <v>0</v>
      </c>
      <c r="EA33" s="2171">
        <f t="shared" si="40"/>
        <v>0</v>
      </c>
      <c r="EB33" s="2171">
        <f t="shared" si="40"/>
        <v>0</v>
      </c>
      <c r="EC33" s="2171">
        <f t="shared" si="40"/>
        <v>0</v>
      </c>
      <c r="ED33" s="2171">
        <f t="shared" si="40"/>
        <v>0</v>
      </c>
      <c r="EE33" s="2171">
        <f t="shared" si="40"/>
        <v>0</v>
      </c>
      <c r="EF33" s="2171">
        <f t="shared" si="40"/>
        <v>0</v>
      </c>
      <c r="EG33" s="2171">
        <f t="shared" si="40"/>
        <v>0</v>
      </c>
      <c r="EH33" s="2171">
        <f t="shared" si="40"/>
        <v>0</v>
      </c>
      <c r="EI33" s="2171">
        <f t="shared" si="40"/>
        <v>0</v>
      </c>
      <c r="EK33" s="2161" t="s">
        <v>74</v>
      </c>
      <c r="EL33" s="2294">
        <f t="shared" ref="EL33:FR33" si="41">SUM(EL21:EL32)</f>
        <v>72.418000000000006</v>
      </c>
      <c r="EM33" s="2293">
        <f t="shared" si="41"/>
        <v>1.978</v>
      </c>
      <c r="EN33" s="2292">
        <f t="shared" si="41"/>
        <v>0</v>
      </c>
      <c r="EO33" s="2292">
        <f t="shared" si="41"/>
        <v>0.23</v>
      </c>
      <c r="EP33" s="2292">
        <f t="shared" si="41"/>
        <v>0</v>
      </c>
      <c r="EQ33" s="2292">
        <f t="shared" si="41"/>
        <v>0</v>
      </c>
      <c r="ER33" s="2292">
        <f t="shared" si="41"/>
        <v>0.64100000000000001</v>
      </c>
      <c r="ES33" s="2292">
        <f t="shared" si="41"/>
        <v>0</v>
      </c>
      <c r="ET33" s="2292">
        <f t="shared" si="41"/>
        <v>0</v>
      </c>
      <c r="EU33" s="2292">
        <f t="shared" si="41"/>
        <v>4.2649999999999997</v>
      </c>
      <c r="EV33" s="2292">
        <f t="shared" si="41"/>
        <v>0</v>
      </c>
      <c r="EW33" s="2292">
        <f t="shared" si="41"/>
        <v>0</v>
      </c>
      <c r="EX33" s="2292">
        <f t="shared" si="41"/>
        <v>5.6280000000000001</v>
      </c>
      <c r="EY33" s="2292">
        <f t="shared" si="41"/>
        <v>2.9260000000000002</v>
      </c>
      <c r="EZ33" s="2292">
        <f t="shared" si="41"/>
        <v>2.7679999999999998</v>
      </c>
      <c r="FA33" s="2292">
        <f t="shared" si="41"/>
        <v>14.952</v>
      </c>
      <c r="FB33" s="2292">
        <f t="shared" si="41"/>
        <v>0</v>
      </c>
      <c r="FC33" s="2292">
        <f t="shared" si="41"/>
        <v>3.7389999999999999</v>
      </c>
      <c r="FD33" s="2292">
        <f t="shared" si="41"/>
        <v>0</v>
      </c>
      <c r="FE33" s="2292">
        <f t="shared" si="41"/>
        <v>0</v>
      </c>
      <c r="FF33" s="2292">
        <f t="shared" si="41"/>
        <v>3.403</v>
      </c>
      <c r="FG33" s="2292">
        <f t="shared" si="41"/>
        <v>0</v>
      </c>
      <c r="FH33" s="2292">
        <f t="shared" si="41"/>
        <v>0</v>
      </c>
      <c r="FI33" s="2292">
        <f t="shared" si="41"/>
        <v>2.91</v>
      </c>
      <c r="FJ33" s="2292">
        <f t="shared" si="41"/>
        <v>0</v>
      </c>
      <c r="FK33" s="2292">
        <f t="shared" si="41"/>
        <v>0</v>
      </c>
      <c r="FL33" s="2292">
        <f t="shared" si="41"/>
        <v>0</v>
      </c>
      <c r="FM33" s="2292">
        <f t="shared" si="41"/>
        <v>0</v>
      </c>
      <c r="FN33" s="2292">
        <f t="shared" si="41"/>
        <v>3.673</v>
      </c>
      <c r="FO33" s="2292">
        <f t="shared" si="41"/>
        <v>25.305</v>
      </c>
      <c r="FP33" s="2292">
        <f t="shared" si="41"/>
        <v>0</v>
      </c>
      <c r="FQ33" s="2292">
        <f t="shared" si="41"/>
        <v>0</v>
      </c>
      <c r="FR33" s="2291">
        <f t="shared" si="41"/>
        <v>72.418000000000006</v>
      </c>
    </row>
    <row r="34" spans="1:174">
      <c r="A34" s="2124"/>
      <c r="B34" s="2124"/>
      <c r="C34" s="2124"/>
      <c r="D34" s="2124"/>
      <c r="E34" s="2124"/>
      <c r="F34" s="2124"/>
      <c r="G34" s="2124"/>
      <c r="H34" s="2124"/>
      <c r="I34" s="2124"/>
      <c r="J34" s="2124"/>
      <c r="K34" s="2124"/>
      <c r="L34" s="2124"/>
      <c r="M34" s="2124"/>
      <c r="N34" s="2124"/>
      <c r="O34" s="2124"/>
      <c r="P34" s="2124"/>
      <c r="Q34" s="2124"/>
      <c r="R34" s="2124"/>
      <c r="S34" s="2124"/>
      <c r="T34" s="2124"/>
      <c r="U34" s="2124"/>
      <c r="V34" s="2124"/>
      <c r="W34" s="2124"/>
      <c r="X34" s="2124"/>
      <c r="Y34" s="2124"/>
      <c r="Z34" s="2124"/>
      <c r="AA34" s="2124"/>
      <c r="AB34" s="2124"/>
      <c r="AC34" s="2124"/>
      <c r="AD34" s="2124"/>
      <c r="AE34" s="2124"/>
      <c r="AF34" s="2124"/>
      <c r="AG34" s="2124"/>
      <c r="AH34" s="2124"/>
      <c r="AJ34" s="2195"/>
      <c r="AK34" s="2195"/>
      <c r="AL34" s="2195"/>
      <c r="AM34" s="2195"/>
      <c r="AN34" s="2195"/>
      <c r="AO34" s="2195"/>
      <c r="AP34" s="2195"/>
      <c r="AQ34" s="2195"/>
      <c r="AR34" s="2195"/>
      <c r="AS34" s="2195"/>
      <c r="AT34" s="2195"/>
      <c r="AU34" s="2195"/>
      <c r="AV34" s="2195"/>
      <c r="AW34" s="2195"/>
      <c r="AX34" s="2195"/>
      <c r="AY34" s="2195"/>
      <c r="AZ34" s="2195"/>
      <c r="BA34" s="2195"/>
      <c r="BB34" s="2195"/>
      <c r="BC34" s="2195"/>
      <c r="BD34" s="2195"/>
      <c r="BE34" s="2195"/>
      <c r="BF34" s="2195"/>
      <c r="BG34" s="2195"/>
      <c r="BH34" s="2195"/>
      <c r="BI34" s="2195"/>
      <c r="BJ34" s="2195"/>
      <c r="BK34" s="2195"/>
      <c r="BL34" s="2195"/>
      <c r="BM34" s="2195"/>
      <c r="BN34" s="2195"/>
      <c r="BO34" s="2195"/>
      <c r="BP34" s="2195"/>
      <c r="BQ34" s="2195"/>
      <c r="BS34" s="2187"/>
      <c r="BT34" s="2187"/>
      <c r="BU34" s="2187"/>
      <c r="BV34" s="2187"/>
      <c r="BW34" s="2187"/>
      <c r="BX34" s="2187"/>
      <c r="BY34" s="2187"/>
      <c r="BZ34" s="2187"/>
      <c r="CA34" s="2187"/>
      <c r="CB34" s="2187"/>
      <c r="CC34" s="2187"/>
      <c r="CD34" s="2187"/>
      <c r="CE34" s="2187"/>
      <c r="CF34" s="2187"/>
      <c r="CG34" s="2187"/>
      <c r="CH34" s="2187"/>
      <c r="CI34" s="2187"/>
      <c r="CJ34" s="2187"/>
      <c r="CK34" s="2187"/>
      <c r="CL34" s="2187"/>
      <c r="CM34" s="2187"/>
      <c r="CN34" s="2187"/>
      <c r="CO34" s="2187"/>
      <c r="CP34" s="2187"/>
      <c r="CQ34" s="2187"/>
      <c r="CR34" s="2187"/>
      <c r="CS34" s="2187"/>
      <c r="CT34" s="2187"/>
      <c r="CU34" s="2187"/>
      <c r="CV34" s="2187"/>
      <c r="CW34" s="2187"/>
      <c r="CX34" s="2187"/>
      <c r="CY34" s="2187"/>
      <c r="CZ34" s="2187"/>
      <c r="DB34" s="2179"/>
      <c r="DC34" s="2179"/>
      <c r="DD34" s="2179"/>
      <c r="DE34" s="2179"/>
      <c r="DF34" s="2179"/>
      <c r="DG34" s="2179"/>
      <c r="DH34" s="2179"/>
      <c r="DI34" s="2179"/>
      <c r="DJ34" s="2179"/>
      <c r="DK34" s="2179"/>
      <c r="DL34" s="2179"/>
      <c r="DM34" s="2179"/>
      <c r="DN34" s="2179"/>
      <c r="DO34" s="2179"/>
      <c r="DP34" s="2179"/>
      <c r="DQ34" s="2179"/>
      <c r="DR34" s="2179"/>
      <c r="DS34" s="2179"/>
      <c r="DT34" s="2179"/>
      <c r="DU34" s="2179"/>
      <c r="DV34" s="2179"/>
      <c r="DW34" s="2179"/>
      <c r="DX34" s="2179"/>
      <c r="DY34" s="2179"/>
      <c r="DZ34" s="2179"/>
      <c r="EA34" s="2179"/>
      <c r="EB34" s="2179"/>
      <c r="EC34" s="2179"/>
      <c r="ED34" s="2179"/>
      <c r="EE34" s="2179"/>
      <c r="EF34" s="2179"/>
      <c r="EG34" s="2179"/>
      <c r="EH34" s="2179"/>
      <c r="EI34" s="2179"/>
    </row>
    <row r="35" spans="1:174" ht="15">
      <c r="A35" s="3781" t="s">
        <v>640</v>
      </c>
      <c r="B35" s="3782"/>
      <c r="C35" s="3783"/>
      <c r="D35" s="2275"/>
      <c r="E35" s="1433"/>
      <c r="F35" s="1433"/>
      <c r="G35" s="1433"/>
      <c r="H35" s="1433"/>
      <c r="I35" s="1433"/>
      <c r="J35" s="1433"/>
      <c r="K35" s="1433"/>
      <c r="L35" s="1433"/>
      <c r="M35" s="2274"/>
      <c r="N35" s="2273"/>
      <c r="O35" s="1433"/>
      <c r="P35" s="1433"/>
      <c r="Q35" s="1433"/>
      <c r="R35" s="1433"/>
      <c r="S35" s="1433"/>
      <c r="T35" s="1433"/>
      <c r="U35" s="1433"/>
      <c r="V35" s="1433"/>
      <c r="W35" s="1433"/>
      <c r="X35" s="1433"/>
      <c r="Y35" s="1433"/>
      <c r="Z35" s="1433"/>
      <c r="AA35" s="1433"/>
      <c r="AB35" s="1433"/>
      <c r="AC35" s="1433"/>
      <c r="AD35" s="1433"/>
      <c r="AE35" s="1433"/>
      <c r="AF35" s="1433"/>
      <c r="AG35" s="1433"/>
      <c r="AH35" s="1433"/>
      <c r="AJ35" s="3585" t="s">
        <v>640</v>
      </c>
      <c r="AK35" s="3586"/>
      <c r="AL35" s="3587"/>
      <c r="AM35" s="2269"/>
      <c r="AN35" s="2193"/>
      <c r="AO35" s="2193"/>
      <c r="AP35" s="2193"/>
      <c r="AQ35" s="2193"/>
      <c r="AR35" s="2193"/>
      <c r="AS35" s="2193"/>
      <c r="AT35" s="2193"/>
      <c r="AU35" s="2193"/>
      <c r="AV35" s="2194"/>
      <c r="AW35" s="2268"/>
      <c r="AX35" s="2193"/>
      <c r="AY35" s="2193"/>
      <c r="AZ35" s="2193"/>
      <c r="BA35" s="2193"/>
      <c r="BB35" s="2193"/>
      <c r="BC35" s="2193"/>
      <c r="BD35" s="2193"/>
      <c r="BE35" s="2193"/>
      <c r="BF35" s="2193"/>
      <c r="BG35" s="2193"/>
      <c r="BH35" s="2193"/>
      <c r="BI35" s="2193"/>
      <c r="BJ35" s="2193"/>
      <c r="BK35" s="2193"/>
      <c r="BL35" s="2193"/>
      <c r="BM35" s="2193"/>
      <c r="BN35" s="2193"/>
      <c r="BO35" s="2193"/>
      <c r="BP35" s="2193"/>
      <c r="BQ35" s="2193"/>
      <c r="BS35" s="3772" t="s">
        <v>640</v>
      </c>
      <c r="BT35" s="3773"/>
      <c r="BU35" s="3774"/>
      <c r="BV35" s="2267"/>
      <c r="BW35" s="2185"/>
      <c r="BX35" s="2185"/>
      <c r="BY35" s="2185"/>
      <c r="BZ35" s="2185"/>
      <c r="CA35" s="2185"/>
      <c r="CB35" s="2185"/>
      <c r="CC35" s="2185"/>
      <c r="CD35" s="2185"/>
      <c r="CE35" s="2186"/>
      <c r="CF35" s="2266"/>
      <c r="CG35" s="2185"/>
      <c r="CH35" s="2185"/>
      <c r="CI35" s="2185"/>
      <c r="CJ35" s="2185"/>
      <c r="CK35" s="2185"/>
      <c r="CL35" s="2185"/>
      <c r="CM35" s="2185"/>
      <c r="CN35" s="2185"/>
      <c r="CO35" s="2185"/>
      <c r="CP35" s="2185"/>
      <c r="CQ35" s="2185"/>
      <c r="CR35" s="2185"/>
      <c r="CS35" s="2185"/>
      <c r="CT35" s="2185"/>
      <c r="CU35" s="2185"/>
      <c r="CV35" s="2185"/>
      <c r="CW35" s="2185"/>
      <c r="CX35" s="2185"/>
      <c r="CY35" s="2185"/>
      <c r="CZ35" s="2185"/>
      <c r="DB35" s="3775" t="s">
        <v>640</v>
      </c>
      <c r="DC35" s="3776"/>
      <c r="DD35" s="3777"/>
      <c r="DE35" s="2265"/>
      <c r="DF35" s="2177"/>
      <c r="DG35" s="2177"/>
      <c r="DH35" s="2177"/>
      <c r="DI35" s="2177"/>
      <c r="DJ35" s="2177"/>
      <c r="DK35" s="2177"/>
      <c r="DL35" s="2177"/>
      <c r="DM35" s="2177"/>
      <c r="DN35" s="2178"/>
      <c r="DO35" s="2264"/>
      <c r="DP35" s="2177"/>
      <c r="DQ35" s="2177"/>
      <c r="DR35" s="2177"/>
      <c r="DS35" s="2177"/>
      <c r="DT35" s="2177"/>
      <c r="DU35" s="2177"/>
      <c r="DV35" s="2177"/>
      <c r="DW35" s="2177"/>
      <c r="DX35" s="2177"/>
      <c r="DY35" s="2177"/>
      <c r="DZ35" s="2177"/>
      <c r="EA35" s="2177"/>
      <c r="EB35" s="2177"/>
      <c r="EC35" s="2177"/>
      <c r="ED35" s="2177"/>
      <c r="EE35" s="2177"/>
      <c r="EF35" s="2177"/>
      <c r="EG35" s="2177"/>
      <c r="EH35" s="2177"/>
      <c r="EI35" s="2177"/>
    </row>
    <row r="36" spans="1:174" ht="15">
      <c r="A36" s="1249" t="s">
        <v>72</v>
      </c>
      <c r="B36" s="1249" t="s">
        <v>73</v>
      </c>
      <c r="C36" s="1249">
        <v>1</v>
      </c>
      <c r="D36" s="1249">
        <v>2</v>
      </c>
      <c r="E36" s="1249">
        <v>3</v>
      </c>
      <c r="F36" s="1249">
        <v>4</v>
      </c>
      <c r="G36" s="1249">
        <v>5</v>
      </c>
      <c r="H36" s="1249">
        <v>6</v>
      </c>
      <c r="I36" s="1249">
        <v>7</v>
      </c>
      <c r="J36" s="1249">
        <v>8</v>
      </c>
      <c r="K36" s="1249">
        <v>9</v>
      </c>
      <c r="L36" s="1249">
        <v>10</v>
      </c>
      <c r="M36" s="1249">
        <v>11</v>
      </c>
      <c r="N36" s="1249">
        <v>12</v>
      </c>
      <c r="O36" s="1249">
        <v>13</v>
      </c>
      <c r="P36" s="1249">
        <v>14</v>
      </c>
      <c r="Q36" s="1249">
        <v>15</v>
      </c>
      <c r="R36" s="1249">
        <v>16</v>
      </c>
      <c r="S36" s="1249">
        <v>17</v>
      </c>
      <c r="T36" s="1249">
        <v>18</v>
      </c>
      <c r="U36" s="1249">
        <v>19</v>
      </c>
      <c r="V36" s="1249">
        <v>20</v>
      </c>
      <c r="W36" s="1249">
        <v>21</v>
      </c>
      <c r="X36" s="1249">
        <v>22</v>
      </c>
      <c r="Y36" s="1249">
        <v>23</v>
      </c>
      <c r="Z36" s="1249">
        <v>24</v>
      </c>
      <c r="AA36" s="1249">
        <v>25</v>
      </c>
      <c r="AB36" s="1249">
        <v>26</v>
      </c>
      <c r="AC36" s="1249">
        <v>27</v>
      </c>
      <c r="AD36" s="1249">
        <v>28</v>
      </c>
      <c r="AE36" s="1249">
        <v>29</v>
      </c>
      <c r="AF36" s="1249">
        <v>30</v>
      </c>
      <c r="AG36" s="1249">
        <v>31</v>
      </c>
      <c r="AH36" s="1820" t="s">
        <v>74</v>
      </c>
      <c r="AJ36" s="1746" t="s">
        <v>72</v>
      </c>
      <c r="AK36" s="1746" t="s">
        <v>73</v>
      </c>
      <c r="AL36" s="1746">
        <v>1</v>
      </c>
      <c r="AM36" s="1746">
        <v>2</v>
      </c>
      <c r="AN36" s="1746">
        <v>3</v>
      </c>
      <c r="AO36" s="1746">
        <v>4</v>
      </c>
      <c r="AP36" s="1746">
        <v>5</v>
      </c>
      <c r="AQ36" s="1746">
        <v>6</v>
      </c>
      <c r="AR36" s="1746">
        <v>7</v>
      </c>
      <c r="AS36" s="1746">
        <v>8</v>
      </c>
      <c r="AT36" s="1746">
        <v>9</v>
      </c>
      <c r="AU36" s="1746">
        <v>10</v>
      </c>
      <c r="AV36" s="1746">
        <v>11</v>
      </c>
      <c r="AW36" s="1746">
        <v>12</v>
      </c>
      <c r="AX36" s="1746">
        <v>13</v>
      </c>
      <c r="AY36" s="1746">
        <v>14</v>
      </c>
      <c r="AZ36" s="1746">
        <v>15</v>
      </c>
      <c r="BA36" s="1746">
        <v>16</v>
      </c>
      <c r="BB36" s="1746">
        <v>17</v>
      </c>
      <c r="BC36" s="1746">
        <v>18</v>
      </c>
      <c r="BD36" s="1746">
        <v>19</v>
      </c>
      <c r="BE36" s="1746">
        <v>20</v>
      </c>
      <c r="BF36" s="1746">
        <v>21</v>
      </c>
      <c r="BG36" s="1746">
        <v>22</v>
      </c>
      <c r="BH36" s="1746">
        <v>23</v>
      </c>
      <c r="BI36" s="1746">
        <v>24</v>
      </c>
      <c r="BJ36" s="1746">
        <v>25</v>
      </c>
      <c r="BK36" s="1746">
        <v>26</v>
      </c>
      <c r="BL36" s="1746">
        <v>27</v>
      </c>
      <c r="BM36" s="1746">
        <v>28</v>
      </c>
      <c r="BN36" s="1746">
        <v>29</v>
      </c>
      <c r="BO36" s="1746">
        <v>30</v>
      </c>
      <c r="BP36" s="1746">
        <v>31</v>
      </c>
      <c r="BQ36" s="2192" t="s">
        <v>74</v>
      </c>
      <c r="BS36" s="1845" t="s">
        <v>72</v>
      </c>
      <c r="BT36" s="1845" t="s">
        <v>73</v>
      </c>
      <c r="BU36" s="1845">
        <v>1</v>
      </c>
      <c r="BV36" s="1845">
        <v>2</v>
      </c>
      <c r="BW36" s="1845">
        <v>3</v>
      </c>
      <c r="BX36" s="1845">
        <v>4</v>
      </c>
      <c r="BY36" s="1845">
        <v>5</v>
      </c>
      <c r="BZ36" s="1845">
        <v>6</v>
      </c>
      <c r="CA36" s="1845">
        <v>7</v>
      </c>
      <c r="CB36" s="1845">
        <v>8</v>
      </c>
      <c r="CC36" s="1845">
        <v>9</v>
      </c>
      <c r="CD36" s="1845">
        <v>10</v>
      </c>
      <c r="CE36" s="1845">
        <v>11</v>
      </c>
      <c r="CF36" s="1845">
        <v>12</v>
      </c>
      <c r="CG36" s="1845">
        <v>13</v>
      </c>
      <c r="CH36" s="1845">
        <v>14</v>
      </c>
      <c r="CI36" s="1845">
        <v>15</v>
      </c>
      <c r="CJ36" s="1845">
        <v>16</v>
      </c>
      <c r="CK36" s="1845">
        <v>17</v>
      </c>
      <c r="CL36" s="1845">
        <v>18</v>
      </c>
      <c r="CM36" s="1845">
        <v>19</v>
      </c>
      <c r="CN36" s="1845">
        <v>20</v>
      </c>
      <c r="CO36" s="1845">
        <v>21</v>
      </c>
      <c r="CP36" s="1845">
        <v>22</v>
      </c>
      <c r="CQ36" s="1845">
        <v>23</v>
      </c>
      <c r="CR36" s="1845">
        <v>24</v>
      </c>
      <c r="CS36" s="1845">
        <v>25</v>
      </c>
      <c r="CT36" s="1845">
        <v>26</v>
      </c>
      <c r="CU36" s="1845">
        <v>27</v>
      </c>
      <c r="CV36" s="1845">
        <v>28</v>
      </c>
      <c r="CW36" s="1845">
        <v>29</v>
      </c>
      <c r="CX36" s="1845">
        <v>30</v>
      </c>
      <c r="CY36" s="1845">
        <v>31</v>
      </c>
      <c r="CZ36" s="2184" t="s">
        <v>74</v>
      </c>
      <c r="DB36" s="1962" t="s">
        <v>72</v>
      </c>
      <c r="DC36" s="1962" t="s">
        <v>73</v>
      </c>
      <c r="DD36" s="1962">
        <v>1</v>
      </c>
      <c r="DE36" s="1962">
        <v>2</v>
      </c>
      <c r="DF36" s="1962">
        <v>3</v>
      </c>
      <c r="DG36" s="1962">
        <v>4</v>
      </c>
      <c r="DH36" s="1962">
        <v>5</v>
      </c>
      <c r="DI36" s="1962">
        <v>6</v>
      </c>
      <c r="DJ36" s="1962">
        <v>7</v>
      </c>
      <c r="DK36" s="1962">
        <v>8</v>
      </c>
      <c r="DL36" s="1962">
        <v>9</v>
      </c>
      <c r="DM36" s="1962">
        <v>10</v>
      </c>
      <c r="DN36" s="1962">
        <v>11</v>
      </c>
      <c r="DO36" s="1962">
        <v>12</v>
      </c>
      <c r="DP36" s="1962">
        <v>13</v>
      </c>
      <c r="DQ36" s="1962">
        <v>14</v>
      </c>
      <c r="DR36" s="1962">
        <v>15</v>
      </c>
      <c r="DS36" s="1962">
        <v>16</v>
      </c>
      <c r="DT36" s="1962">
        <v>17</v>
      </c>
      <c r="DU36" s="1962">
        <v>18</v>
      </c>
      <c r="DV36" s="1962">
        <v>19</v>
      </c>
      <c r="DW36" s="1962">
        <v>20</v>
      </c>
      <c r="DX36" s="1962">
        <v>21</v>
      </c>
      <c r="DY36" s="1962">
        <v>22</v>
      </c>
      <c r="DZ36" s="1962">
        <v>23</v>
      </c>
      <c r="EA36" s="1962">
        <v>24</v>
      </c>
      <c r="EB36" s="1962">
        <v>25</v>
      </c>
      <c r="EC36" s="1962">
        <v>26</v>
      </c>
      <c r="ED36" s="1962">
        <v>27</v>
      </c>
      <c r="EE36" s="1962">
        <v>28</v>
      </c>
      <c r="EF36" s="1962">
        <v>29</v>
      </c>
      <c r="EG36" s="1962">
        <v>30</v>
      </c>
      <c r="EH36" s="1962">
        <v>31</v>
      </c>
      <c r="EI36" s="2176" t="s">
        <v>74</v>
      </c>
    </row>
    <row r="37" spans="1:174" ht="15">
      <c r="A37" s="1249" t="s">
        <v>75</v>
      </c>
      <c r="B37" s="1287">
        <f t="shared" ref="B37:B48" si="42">+AH37</f>
        <v>0</v>
      </c>
      <c r="C37" s="2271"/>
      <c r="D37" s="2271"/>
      <c r="E37" s="2271"/>
      <c r="F37" s="2271"/>
      <c r="G37" s="2271"/>
      <c r="H37" s="2271"/>
      <c r="I37" s="2271"/>
      <c r="J37" s="2271"/>
      <c r="K37" s="2271"/>
      <c r="L37" s="2271"/>
      <c r="M37" s="2271"/>
      <c r="N37" s="2271"/>
      <c r="O37" s="2271"/>
      <c r="P37" s="2271"/>
      <c r="Q37" s="2271"/>
      <c r="R37" s="2271"/>
      <c r="S37" s="2271"/>
      <c r="T37" s="2271"/>
      <c r="U37" s="2271"/>
      <c r="V37" s="2271"/>
      <c r="W37" s="2271"/>
      <c r="X37" s="2271"/>
      <c r="Y37" s="2271"/>
      <c r="Z37" s="2271"/>
      <c r="AA37" s="2271"/>
      <c r="AB37" s="2271"/>
      <c r="AC37" s="2271"/>
      <c r="AD37" s="2271"/>
      <c r="AE37" s="2271"/>
      <c r="AF37" s="2271"/>
      <c r="AG37" s="2271"/>
      <c r="AH37" s="1488">
        <f t="shared" ref="AH37:AH48" si="43">SUM(C37:AG37)</f>
        <v>0</v>
      </c>
      <c r="AJ37" s="1746" t="s">
        <v>75</v>
      </c>
      <c r="AK37" s="1749">
        <f t="shared" ref="AK37:AK48" si="44">+BQ37</f>
        <v>0</v>
      </c>
      <c r="AL37" s="2226"/>
      <c r="AM37" s="2226"/>
      <c r="AN37" s="2226"/>
      <c r="AO37" s="2226"/>
      <c r="AP37" s="2226"/>
      <c r="AQ37" s="2226"/>
      <c r="AR37" s="2226"/>
      <c r="AS37" s="2226"/>
      <c r="AT37" s="2226"/>
      <c r="AU37" s="2226"/>
      <c r="AV37" s="2226"/>
      <c r="AW37" s="2226"/>
      <c r="AX37" s="2226"/>
      <c r="AY37" s="2226"/>
      <c r="AZ37" s="2226"/>
      <c r="BA37" s="2226"/>
      <c r="BB37" s="2226"/>
      <c r="BC37" s="2226"/>
      <c r="BD37" s="2226"/>
      <c r="BE37" s="2226"/>
      <c r="BF37" s="2226"/>
      <c r="BG37" s="2226"/>
      <c r="BH37" s="2226"/>
      <c r="BI37" s="2226"/>
      <c r="BJ37" s="2226"/>
      <c r="BK37" s="2226"/>
      <c r="BL37" s="2226"/>
      <c r="BM37" s="2226"/>
      <c r="BN37" s="2226"/>
      <c r="BO37" s="2226"/>
      <c r="BP37" s="2226"/>
      <c r="BQ37" s="2188">
        <f t="shared" ref="BQ37:BQ48" si="45">SUM(AL37:BP37)</f>
        <v>0</v>
      </c>
      <c r="BS37" s="1845" t="s">
        <v>75</v>
      </c>
      <c r="BT37" s="1846">
        <f t="shared" ref="BT37:BT48" si="46">+CZ37</f>
        <v>0</v>
      </c>
      <c r="BU37" s="2225"/>
      <c r="BV37" s="2225"/>
      <c r="BW37" s="2225"/>
      <c r="BX37" s="2225"/>
      <c r="BY37" s="2225"/>
      <c r="BZ37" s="2225"/>
      <c r="CA37" s="2225"/>
      <c r="CB37" s="2225"/>
      <c r="CC37" s="2225"/>
      <c r="CD37" s="2225"/>
      <c r="CE37" s="2225"/>
      <c r="CF37" s="2225"/>
      <c r="CG37" s="2225"/>
      <c r="CH37" s="2225"/>
      <c r="CI37" s="2225"/>
      <c r="CJ37" s="2225"/>
      <c r="CK37" s="2225"/>
      <c r="CL37" s="2225"/>
      <c r="CM37" s="2225"/>
      <c r="CN37" s="2225"/>
      <c r="CO37" s="2225"/>
      <c r="CP37" s="2225"/>
      <c r="CQ37" s="2225"/>
      <c r="CR37" s="2225"/>
      <c r="CS37" s="2225"/>
      <c r="CT37" s="2225"/>
      <c r="CU37" s="2225"/>
      <c r="CV37" s="2225"/>
      <c r="CW37" s="2225"/>
      <c r="CX37" s="2225"/>
      <c r="CY37" s="2225"/>
      <c r="CZ37" s="2180">
        <f t="shared" ref="CZ37:CZ48" si="47">SUM(BU37:CY37)</f>
        <v>0</v>
      </c>
      <c r="DB37" s="1962" t="s">
        <v>75</v>
      </c>
      <c r="DC37" s="2175">
        <f t="shared" ref="DC37:DC48" si="48">+EI37</f>
        <v>0</v>
      </c>
      <c r="DD37" s="2261"/>
      <c r="DE37" s="2261"/>
      <c r="DF37" s="2261"/>
      <c r="DG37" s="2261"/>
      <c r="DH37" s="2261"/>
      <c r="DI37" s="2261"/>
      <c r="DJ37" s="2261"/>
      <c r="DK37" s="2261"/>
      <c r="DL37" s="2261"/>
      <c r="DM37" s="2261"/>
      <c r="DN37" s="2261"/>
      <c r="DO37" s="2261"/>
      <c r="DP37" s="2261"/>
      <c r="DQ37" s="2261"/>
      <c r="DR37" s="2261"/>
      <c r="DS37" s="2261"/>
      <c r="DT37" s="2261"/>
      <c r="DU37" s="2261"/>
      <c r="DV37" s="2261"/>
      <c r="DW37" s="2261"/>
      <c r="DX37" s="2261"/>
      <c r="DY37" s="2261"/>
      <c r="DZ37" s="2261"/>
      <c r="EA37" s="2261"/>
      <c r="EB37" s="2261"/>
      <c r="EC37" s="2261"/>
      <c r="ED37" s="2261"/>
      <c r="EE37" s="2261"/>
      <c r="EF37" s="2261"/>
      <c r="EG37" s="2261"/>
      <c r="EH37" s="2261"/>
      <c r="EI37" s="2171">
        <f t="shared" ref="EI37:EI48" si="49">SUM(DD37:EH37)</f>
        <v>0</v>
      </c>
    </row>
    <row r="38" spans="1:174" ht="15">
      <c r="A38" s="1249" t="s">
        <v>76</v>
      </c>
      <c r="B38" s="1287">
        <f t="shared" si="42"/>
        <v>0</v>
      </c>
      <c r="C38" s="2271"/>
      <c r="D38" s="2271"/>
      <c r="E38" s="2271"/>
      <c r="F38" s="2271"/>
      <c r="G38" s="2271"/>
      <c r="H38" s="2271"/>
      <c r="I38" s="2271"/>
      <c r="J38" s="2271"/>
      <c r="K38" s="2271"/>
      <c r="L38" s="2271"/>
      <c r="M38" s="2271"/>
      <c r="N38" s="2271"/>
      <c r="O38" s="2271"/>
      <c r="P38" s="2271"/>
      <c r="Q38" s="2271"/>
      <c r="R38" s="2271"/>
      <c r="S38" s="2271"/>
      <c r="T38" s="2271"/>
      <c r="U38" s="2271"/>
      <c r="V38" s="2271"/>
      <c r="W38" s="2271"/>
      <c r="X38" s="2271"/>
      <c r="Y38" s="2271"/>
      <c r="Z38" s="2271"/>
      <c r="AA38" s="2271"/>
      <c r="AB38" s="2271"/>
      <c r="AC38" s="2271"/>
      <c r="AD38" s="2271"/>
      <c r="AE38" s="2271"/>
      <c r="AF38" s="2271"/>
      <c r="AG38" s="2271"/>
      <c r="AH38" s="1488">
        <f t="shared" si="43"/>
        <v>0</v>
      </c>
      <c r="AJ38" s="1746" t="s">
        <v>76</v>
      </c>
      <c r="AK38" s="1749">
        <f t="shared" si="44"/>
        <v>0</v>
      </c>
      <c r="AL38" s="2226"/>
      <c r="AM38" s="2226"/>
      <c r="AN38" s="2226"/>
      <c r="AO38" s="2226"/>
      <c r="AP38" s="2226"/>
      <c r="AQ38" s="2226"/>
      <c r="AR38" s="2226"/>
      <c r="AS38" s="2226"/>
      <c r="AT38" s="2226"/>
      <c r="AU38" s="2226"/>
      <c r="AV38" s="2226"/>
      <c r="AW38" s="2226"/>
      <c r="AX38" s="2226"/>
      <c r="AY38" s="2226"/>
      <c r="AZ38" s="2226"/>
      <c r="BA38" s="2226"/>
      <c r="BB38" s="2226"/>
      <c r="BC38" s="2226"/>
      <c r="BD38" s="2226"/>
      <c r="BE38" s="2226"/>
      <c r="BF38" s="2226"/>
      <c r="BG38" s="2226"/>
      <c r="BH38" s="2226"/>
      <c r="BI38" s="2226"/>
      <c r="BJ38" s="2226"/>
      <c r="BK38" s="2226"/>
      <c r="BL38" s="2226"/>
      <c r="BM38" s="2226"/>
      <c r="BN38" s="2226"/>
      <c r="BO38" s="2226"/>
      <c r="BP38" s="2226"/>
      <c r="BQ38" s="2188">
        <f t="shared" si="45"/>
        <v>0</v>
      </c>
      <c r="BS38" s="1845" t="s">
        <v>76</v>
      </c>
      <c r="BT38" s="1846">
        <f t="shared" si="46"/>
        <v>0</v>
      </c>
      <c r="BU38" s="2225"/>
      <c r="BV38" s="2225"/>
      <c r="BW38" s="2225"/>
      <c r="BX38" s="2225"/>
      <c r="BY38" s="2225"/>
      <c r="BZ38" s="2225"/>
      <c r="CA38" s="2225"/>
      <c r="CB38" s="2225"/>
      <c r="CC38" s="2225"/>
      <c r="CD38" s="2225"/>
      <c r="CE38" s="2225"/>
      <c r="CF38" s="2225"/>
      <c r="CG38" s="2225"/>
      <c r="CH38" s="2225"/>
      <c r="CI38" s="2225"/>
      <c r="CJ38" s="2225"/>
      <c r="CK38" s="2225"/>
      <c r="CL38" s="2225"/>
      <c r="CM38" s="2225"/>
      <c r="CN38" s="2225"/>
      <c r="CO38" s="2225"/>
      <c r="CP38" s="2225"/>
      <c r="CQ38" s="2225"/>
      <c r="CR38" s="2225"/>
      <c r="CS38" s="2225"/>
      <c r="CT38" s="2225"/>
      <c r="CU38" s="2225"/>
      <c r="CV38" s="2225"/>
      <c r="CW38" s="2225"/>
      <c r="CX38" s="2225"/>
      <c r="CY38" s="2225"/>
      <c r="CZ38" s="2180">
        <f t="shared" si="47"/>
        <v>0</v>
      </c>
      <c r="DB38" s="1962" t="s">
        <v>76</v>
      </c>
      <c r="DC38" s="2175">
        <f t="shared" si="48"/>
        <v>0</v>
      </c>
      <c r="DD38" s="2261"/>
      <c r="DE38" s="2261"/>
      <c r="DF38" s="2261"/>
      <c r="DG38" s="2261"/>
      <c r="DH38" s="2261"/>
      <c r="DI38" s="2261"/>
      <c r="DJ38" s="2261"/>
      <c r="DK38" s="2261"/>
      <c r="DL38" s="2261"/>
      <c r="DM38" s="2261"/>
      <c r="DN38" s="2261"/>
      <c r="DO38" s="2261"/>
      <c r="DP38" s="2261"/>
      <c r="DQ38" s="2261"/>
      <c r="DR38" s="2261"/>
      <c r="DS38" s="2261"/>
      <c r="DT38" s="2261"/>
      <c r="DU38" s="2261"/>
      <c r="DV38" s="2261"/>
      <c r="DW38" s="2261"/>
      <c r="DX38" s="2261"/>
      <c r="DY38" s="2261"/>
      <c r="DZ38" s="2261"/>
      <c r="EA38" s="2261"/>
      <c r="EB38" s="2261"/>
      <c r="EC38" s="2261"/>
      <c r="ED38" s="2261"/>
      <c r="EE38" s="2261"/>
      <c r="EF38" s="2261"/>
      <c r="EG38" s="2261"/>
      <c r="EH38" s="2261"/>
      <c r="EI38" s="2171">
        <f t="shared" si="49"/>
        <v>0</v>
      </c>
    </row>
    <row r="39" spans="1:174" ht="15">
      <c r="A39" s="1249" t="s">
        <v>77</v>
      </c>
      <c r="B39" s="1287">
        <f t="shared" si="42"/>
        <v>0</v>
      </c>
      <c r="C39" s="2271"/>
      <c r="D39" s="2271"/>
      <c r="E39" s="2271"/>
      <c r="F39" s="2271"/>
      <c r="G39" s="2271"/>
      <c r="H39" s="2271"/>
      <c r="I39" s="2271"/>
      <c r="J39" s="2271"/>
      <c r="K39" s="2271"/>
      <c r="L39" s="2271"/>
      <c r="M39" s="2271"/>
      <c r="N39" s="2271"/>
      <c r="O39" s="2271"/>
      <c r="P39" s="2271"/>
      <c r="Q39" s="2271"/>
      <c r="R39" s="2271"/>
      <c r="S39" s="2271"/>
      <c r="T39" s="2271"/>
      <c r="U39" s="2271"/>
      <c r="V39" s="2271"/>
      <c r="W39" s="2271"/>
      <c r="X39" s="2271"/>
      <c r="Y39" s="2271"/>
      <c r="Z39" s="2271"/>
      <c r="AA39" s="2271"/>
      <c r="AB39" s="2271"/>
      <c r="AC39" s="2271"/>
      <c r="AD39" s="2271"/>
      <c r="AE39" s="2271"/>
      <c r="AF39" s="2271"/>
      <c r="AG39" s="2271"/>
      <c r="AH39" s="1488">
        <f t="shared" si="43"/>
        <v>0</v>
      </c>
      <c r="AJ39" s="1746" t="s">
        <v>77</v>
      </c>
      <c r="AK39" s="1749">
        <f t="shared" si="44"/>
        <v>0</v>
      </c>
      <c r="AL39" s="2226"/>
      <c r="AM39" s="2226"/>
      <c r="AN39" s="2226"/>
      <c r="AO39" s="2226"/>
      <c r="AP39" s="2226"/>
      <c r="AQ39" s="2226"/>
      <c r="AR39" s="2226"/>
      <c r="AS39" s="2226"/>
      <c r="AT39" s="2226"/>
      <c r="AU39" s="2226"/>
      <c r="AV39" s="2226"/>
      <c r="AW39" s="2226"/>
      <c r="AX39" s="2226"/>
      <c r="AY39" s="2226"/>
      <c r="AZ39" s="2226"/>
      <c r="BA39" s="2226"/>
      <c r="BB39" s="2226"/>
      <c r="BC39" s="2226"/>
      <c r="BD39" s="2226"/>
      <c r="BE39" s="2226"/>
      <c r="BF39" s="2226"/>
      <c r="BG39" s="2226"/>
      <c r="BH39" s="2226"/>
      <c r="BI39" s="2226"/>
      <c r="BJ39" s="2226"/>
      <c r="BK39" s="2226"/>
      <c r="BL39" s="2226"/>
      <c r="BM39" s="2226"/>
      <c r="BN39" s="2226"/>
      <c r="BO39" s="2226"/>
      <c r="BP39" s="2226"/>
      <c r="BQ39" s="2188">
        <f t="shared" si="45"/>
        <v>0</v>
      </c>
      <c r="BS39" s="1845" t="s">
        <v>77</v>
      </c>
      <c r="BT39" s="1846">
        <f t="shared" si="46"/>
        <v>0</v>
      </c>
      <c r="BU39" s="2225"/>
      <c r="BV39" s="2225"/>
      <c r="BW39" s="2225"/>
      <c r="BX39" s="2225"/>
      <c r="BY39" s="2225"/>
      <c r="BZ39" s="2225"/>
      <c r="CA39" s="2225"/>
      <c r="CB39" s="2225"/>
      <c r="CC39" s="2225"/>
      <c r="CD39" s="2225"/>
      <c r="CE39" s="2225"/>
      <c r="CF39" s="2225"/>
      <c r="CG39" s="2225"/>
      <c r="CH39" s="2225"/>
      <c r="CI39" s="2225"/>
      <c r="CJ39" s="2225"/>
      <c r="CK39" s="2225"/>
      <c r="CL39" s="2225"/>
      <c r="CM39" s="2225"/>
      <c r="CN39" s="2225"/>
      <c r="CO39" s="2225"/>
      <c r="CP39" s="2225"/>
      <c r="CQ39" s="2225"/>
      <c r="CR39" s="2225"/>
      <c r="CS39" s="2225"/>
      <c r="CT39" s="2225"/>
      <c r="CU39" s="2225"/>
      <c r="CV39" s="2225"/>
      <c r="CW39" s="2225"/>
      <c r="CX39" s="2225"/>
      <c r="CY39" s="2225"/>
      <c r="CZ39" s="2180">
        <f t="shared" si="47"/>
        <v>0</v>
      </c>
      <c r="DB39" s="1962" t="s">
        <v>77</v>
      </c>
      <c r="DC39" s="2175">
        <f t="shared" si="48"/>
        <v>0</v>
      </c>
      <c r="DD39" s="2261"/>
      <c r="DE39" s="2261"/>
      <c r="DF39" s="2261"/>
      <c r="DG39" s="2261"/>
      <c r="DH39" s="2261"/>
      <c r="DI39" s="2261"/>
      <c r="DJ39" s="2261"/>
      <c r="DK39" s="2261"/>
      <c r="DL39" s="2261"/>
      <c r="DM39" s="2261"/>
      <c r="DN39" s="2261"/>
      <c r="DO39" s="2261"/>
      <c r="DP39" s="2261"/>
      <c r="DQ39" s="2261"/>
      <c r="DR39" s="2261"/>
      <c r="DS39" s="2261"/>
      <c r="DT39" s="2261"/>
      <c r="DU39" s="2261"/>
      <c r="DV39" s="2261"/>
      <c r="DW39" s="2261"/>
      <c r="DX39" s="2261"/>
      <c r="DY39" s="2261"/>
      <c r="DZ39" s="2261"/>
      <c r="EA39" s="2261"/>
      <c r="EB39" s="2261"/>
      <c r="EC39" s="2261"/>
      <c r="ED39" s="2261"/>
      <c r="EE39" s="2261"/>
      <c r="EF39" s="2261"/>
      <c r="EG39" s="2261"/>
      <c r="EH39" s="2261"/>
      <c r="EI39" s="2171">
        <f t="shared" si="49"/>
        <v>0</v>
      </c>
    </row>
    <row r="40" spans="1:174" ht="15">
      <c r="A40" s="1249" t="s">
        <v>78</v>
      </c>
      <c r="B40" s="1287">
        <f t="shared" si="42"/>
        <v>0</v>
      </c>
      <c r="C40" s="1760"/>
      <c r="D40" s="1760"/>
      <c r="E40" s="1760"/>
      <c r="F40" s="1760"/>
      <c r="G40" s="1760"/>
      <c r="H40" s="1760"/>
      <c r="I40" s="1760"/>
      <c r="J40" s="1760"/>
      <c r="K40" s="1760"/>
      <c r="L40" s="1760"/>
      <c r="M40" s="2271"/>
      <c r="N40" s="2271"/>
      <c r="O40" s="2271"/>
      <c r="P40" s="2271"/>
      <c r="Q40" s="2271"/>
      <c r="R40" s="2271"/>
      <c r="S40" s="2271"/>
      <c r="T40" s="2271"/>
      <c r="U40" s="2271"/>
      <c r="V40" s="2271"/>
      <c r="W40" s="2271"/>
      <c r="X40" s="2271"/>
      <c r="Y40" s="2271"/>
      <c r="Z40" s="2271"/>
      <c r="AA40" s="2271"/>
      <c r="AB40" s="2271"/>
      <c r="AC40" s="2271"/>
      <c r="AD40" s="2271"/>
      <c r="AE40" s="2271"/>
      <c r="AF40" s="2271"/>
      <c r="AG40" s="1760"/>
      <c r="AH40" s="1488">
        <f t="shared" si="43"/>
        <v>0</v>
      </c>
      <c r="AJ40" s="1746" t="s">
        <v>78</v>
      </c>
      <c r="AK40" s="1749">
        <f t="shared" si="44"/>
        <v>0</v>
      </c>
      <c r="AL40" s="2231"/>
      <c r="AM40" s="2231"/>
      <c r="AN40" s="2231"/>
      <c r="AO40" s="2231"/>
      <c r="AP40" s="2231"/>
      <c r="AQ40" s="2231"/>
      <c r="AR40" s="2231"/>
      <c r="AS40" s="2231"/>
      <c r="AT40" s="2231"/>
      <c r="AU40" s="2231"/>
      <c r="AV40" s="2226"/>
      <c r="AW40" s="2226"/>
      <c r="AX40" s="2226"/>
      <c r="AY40" s="2226"/>
      <c r="AZ40" s="2226"/>
      <c r="BA40" s="2226"/>
      <c r="BB40" s="2226"/>
      <c r="BC40" s="2226"/>
      <c r="BD40" s="2226"/>
      <c r="BE40" s="2226"/>
      <c r="BF40" s="2226"/>
      <c r="BG40" s="2226"/>
      <c r="BH40" s="2226"/>
      <c r="BI40" s="2226"/>
      <c r="BJ40" s="2226"/>
      <c r="BK40" s="2226"/>
      <c r="BL40" s="2226"/>
      <c r="BM40" s="2226"/>
      <c r="BN40" s="2226"/>
      <c r="BO40" s="2226"/>
      <c r="BP40" s="2231"/>
      <c r="BQ40" s="2188">
        <f t="shared" si="45"/>
        <v>0</v>
      </c>
      <c r="BS40" s="1845" t="s">
        <v>78</v>
      </c>
      <c r="BT40" s="1846">
        <f t="shared" si="46"/>
        <v>0</v>
      </c>
      <c r="BU40" s="2230"/>
      <c r="BV40" s="2230"/>
      <c r="BW40" s="2230"/>
      <c r="BX40" s="2230"/>
      <c r="BY40" s="2230"/>
      <c r="BZ40" s="2230"/>
      <c r="CA40" s="2230"/>
      <c r="CB40" s="2230"/>
      <c r="CC40" s="2230"/>
      <c r="CD40" s="2230"/>
      <c r="CE40" s="2225"/>
      <c r="CF40" s="2225"/>
      <c r="CG40" s="2225"/>
      <c r="CH40" s="2225"/>
      <c r="CI40" s="2225"/>
      <c r="CJ40" s="2225"/>
      <c r="CK40" s="2225"/>
      <c r="CL40" s="2225"/>
      <c r="CM40" s="2225"/>
      <c r="CN40" s="2225"/>
      <c r="CO40" s="2225"/>
      <c r="CP40" s="2225"/>
      <c r="CQ40" s="2225"/>
      <c r="CR40" s="2225"/>
      <c r="CS40" s="2225"/>
      <c r="CT40" s="2225"/>
      <c r="CU40" s="2225"/>
      <c r="CV40" s="2225"/>
      <c r="CW40" s="2225"/>
      <c r="CX40" s="2225"/>
      <c r="CY40" s="2230"/>
      <c r="CZ40" s="2180">
        <f t="shared" si="47"/>
        <v>0</v>
      </c>
      <c r="DB40" s="1962" t="s">
        <v>78</v>
      </c>
      <c r="DC40" s="2175">
        <f t="shared" si="48"/>
        <v>0</v>
      </c>
      <c r="DD40" s="2262"/>
      <c r="DE40" s="2262"/>
      <c r="DF40" s="2262"/>
      <c r="DG40" s="2262"/>
      <c r="DH40" s="2262"/>
      <c r="DI40" s="2262"/>
      <c r="DJ40" s="2262"/>
      <c r="DK40" s="2262"/>
      <c r="DL40" s="2262"/>
      <c r="DM40" s="2262"/>
      <c r="DN40" s="2261"/>
      <c r="DO40" s="2261"/>
      <c r="DP40" s="2261"/>
      <c r="DQ40" s="2261"/>
      <c r="DR40" s="2261"/>
      <c r="DS40" s="2261"/>
      <c r="DT40" s="2261"/>
      <c r="DU40" s="2261"/>
      <c r="DV40" s="2261"/>
      <c r="DW40" s="2261"/>
      <c r="DX40" s="2261"/>
      <c r="DY40" s="2261"/>
      <c r="DZ40" s="2261"/>
      <c r="EA40" s="2261"/>
      <c r="EB40" s="2261"/>
      <c r="EC40" s="2261"/>
      <c r="ED40" s="2261"/>
      <c r="EE40" s="2261"/>
      <c r="EF40" s="2261"/>
      <c r="EG40" s="2261"/>
      <c r="EH40" s="2262"/>
      <c r="EI40" s="2171">
        <f t="shared" si="49"/>
        <v>0</v>
      </c>
    </row>
    <row r="41" spans="1:174" ht="15">
      <c r="A41" s="1249" t="s">
        <v>79</v>
      </c>
      <c r="B41" s="1287">
        <f t="shared" si="42"/>
        <v>0</v>
      </c>
      <c r="C41" s="1760"/>
      <c r="D41" s="1760"/>
      <c r="E41" s="1760"/>
      <c r="F41" s="2271"/>
      <c r="G41" s="1760"/>
      <c r="H41" s="2271"/>
      <c r="I41" s="1760"/>
      <c r="J41" s="2271"/>
      <c r="K41" s="1760"/>
      <c r="L41" s="1760"/>
      <c r="M41" s="1760"/>
      <c r="N41" s="1760"/>
      <c r="O41" s="1760"/>
      <c r="P41" s="1760"/>
      <c r="Q41" s="1760"/>
      <c r="R41" s="1760"/>
      <c r="S41" s="2271"/>
      <c r="T41" s="1760"/>
      <c r="U41" s="1760"/>
      <c r="V41" s="2271"/>
      <c r="W41" s="1760"/>
      <c r="X41" s="1760"/>
      <c r="Y41" s="2271"/>
      <c r="Z41" s="1760"/>
      <c r="AA41" s="1760"/>
      <c r="AB41" s="2271"/>
      <c r="AC41" s="1760"/>
      <c r="AD41" s="1760"/>
      <c r="AE41" s="2271"/>
      <c r="AF41" s="1760"/>
      <c r="AG41" s="1760"/>
      <c r="AH41" s="1488">
        <f t="shared" si="43"/>
        <v>0</v>
      </c>
      <c r="AJ41" s="1746" t="s">
        <v>79</v>
      </c>
      <c r="AK41" s="1749">
        <f t="shared" si="44"/>
        <v>0</v>
      </c>
      <c r="AL41" s="2231"/>
      <c r="AM41" s="2231"/>
      <c r="AN41" s="2231"/>
      <c r="AO41" s="2226"/>
      <c r="AP41" s="2231"/>
      <c r="AQ41" s="2226"/>
      <c r="AR41" s="2231"/>
      <c r="AS41" s="2226"/>
      <c r="AT41" s="2231"/>
      <c r="AU41" s="2231"/>
      <c r="AV41" s="2231"/>
      <c r="AW41" s="2231"/>
      <c r="AX41" s="2231"/>
      <c r="AY41" s="2231"/>
      <c r="AZ41" s="2231"/>
      <c r="BA41" s="2231"/>
      <c r="BB41" s="2226"/>
      <c r="BC41" s="2231"/>
      <c r="BD41" s="2231"/>
      <c r="BE41" s="2226"/>
      <c r="BF41" s="2231"/>
      <c r="BG41" s="2231"/>
      <c r="BH41" s="2226"/>
      <c r="BI41" s="2231"/>
      <c r="BJ41" s="2231"/>
      <c r="BK41" s="2226"/>
      <c r="BL41" s="2231"/>
      <c r="BM41" s="2231"/>
      <c r="BN41" s="2226"/>
      <c r="BO41" s="2231"/>
      <c r="BP41" s="2231"/>
      <c r="BQ41" s="2188">
        <f t="shared" si="45"/>
        <v>0</v>
      </c>
      <c r="BS41" s="1845" t="s">
        <v>79</v>
      </c>
      <c r="BT41" s="1846">
        <f t="shared" si="46"/>
        <v>0</v>
      </c>
      <c r="BU41" s="2230"/>
      <c r="BV41" s="2230"/>
      <c r="BW41" s="2230"/>
      <c r="BX41" s="2225"/>
      <c r="BY41" s="2230"/>
      <c r="BZ41" s="2225"/>
      <c r="CA41" s="2230"/>
      <c r="CB41" s="2225"/>
      <c r="CC41" s="2230"/>
      <c r="CD41" s="2230"/>
      <c r="CE41" s="2230"/>
      <c r="CF41" s="2230"/>
      <c r="CG41" s="2230"/>
      <c r="CH41" s="2230"/>
      <c r="CI41" s="2230"/>
      <c r="CJ41" s="2230"/>
      <c r="CK41" s="2225"/>
      <c r="CL41" s="2230"/>
      <c r="CM41" s="2230"/>
      <c r="CN41" s="2225"/>
      <c r="CO41" s="2230"/>
      <c r="CP41" s="2230"/>
      <c r="CQ41" s="2225"/>
      <c r="CR41" s="2230"/>
      <c r="CS41" s="2230"/>
      <c r="CT41" s="2225"/>
      <c r="CU41" s="2230"/>
      <c r="CV41" s="2230"/>
      <c r="CW41" s="2225"/>
      <c r="CX41" s="2230"/>
      <c r="CY41" s="2230"/>
      <c r="CZ41" s="2180">
        <f t="shared" si="47"/>
        <v>0</v>
      </c>
      <c r="DB41" s="1962" t="s">
        <v>79</v>
      </c>
      <c r="DC41" s="2175">
        <f t="shared" si="48"/>
        <v>0</v>
      </c>
      <c r="DD41" s="2262"/>
      <c r="DE41" s="2262"/>
      <c r="DF41" s="2262"/>
      <c r="DG41" s="2261"/>
      <c r="DH41" s="2262"/>
      <c r="DI41" s="2261"/>
      <c r="DJ41" s="2262"/>
      <c r="DK41" s="2261"/>
      <c r="DL41" s="2262"/>
      <c r="DM41" s="2262"/>
      <c r="DN41" s="2262"/>
      <c r="DO41" s="2262"/>
      <c r="DP41" s="2262"/>
      <c r="DQ41" s="2262"/>
      <c r="DR41" s="2262"/>
      <c r="DS41" s="2262"/>
      <c r="DT41" s="2261"/>
      <c r="DU41" s="2262"/>
      <c r="DV41" s="2262"/>
      <c r="DW41" s="2261"/>
      <c r="DX41" s="2262"/>
      <c r="DY41" s="2262"/>
      <c r="DZ41" s="2261"/>
      <c r="EA41" s="2262"/>
      <c r="EB41" s="2262"/>
      <c r="EC41" s="2261"/>
      <c r="ED41" s="2262"/>
      <c r="EE41" s="2262"/>
      <c r="EF41" s="2261"/>
      <c r="EG41" s="2262"/>
      <c r="EH41" s="2262"/>
      <c r="EI41" s="2171">
        <f t="shared" si="49"/>
        <v>0</v>
      </c>
    </row>
    <row r="42" spans="1:174" ht="15">
      <c r="A42" s="1249" t="s">
        <v>80</v>
      </c>
      <c r="B42" s="1287">
        <f t="shared" si="42"/>
        <v>0</v>
      </c>
      <c r="C42" s="1760"/>
      <c r="D42" s="1760"/>
      <c r="E42" s="1760"/>
      <c r="F42" s="1760"/>
      <c r="G42" s="1760"/>
      <c r="H42" s="1760"/>
      <c r="I42" s="1760"/>
      <c r="J42" s="1760"/>
      <c r="K42" s="1760"/>
      <c r="L42" s="1760"/>
      <c r="M42" s="1760"/>
      <c r="N42" s="2271"/>
      <c r="O42" s="1760"/>
      <c r="P42" s="2271"/>
      <c r="Q42" s="1760"/>
      <c r="R42" s="2271"/>
      <c r="S42" s="1760"/>
      <c r="T42" s="2271"/>
      <c r="U42" s="1760"/>
      <c r="V42" s="2271"/>
      <c r="W42" s="1760"/>
      <c r="X42" s="2271"/>
      <c r="Y42" s="1760"/>
      <c r="Z42" s="2271"/>
      <c r="AA42" s="1760"/>
      <c r="AB42" s="2271"/>
      <c r="AC42" s="1760"/>
      <c r="AD42" s="2271"/>
      <c r="AE42" s="1760"/>
      <c r="AF42" s="2271"/>
      <c r="AG42" s="1760"/>
      <c r="AH42" s="1488">
        <f t="shared" si="43"/>
        <v>0</v>
      </c>
      <c r="AJ42" s="1746" t="s">
        <v>80</v>
      </c>
      <c r="AK42" s="1749">
        <f t="shared" si="44"/>
        <v>0</v>
      </c>
      <c r="AL42" s="2231"/>
      <c r="AM42" s="2231"/>
      <c r="AN42" s="2231"/>
      <c r="AO42" s="2231"/>
      <c r="AP42" s="2231"/>
      <c r="AQ42" s="2231"/>
      <c r="AR42" s="2231"/>
      <c r="AS42" s="2231"/>
      <c r="AT42" s="2231"/>
      <c r="AU42" s="2231"/>
      <c r="AV42" s="2231"/>
      <c r="AW42" s="2226"/>
      <c r="AX42" s="2231"/>
      <c r="AY42" s="2226"/>
      <c r="AZ42" s="2231"/>
      <c r="BA42" s="2226"/>
      <c r="BB42" s="2231"/>
      <c r="BC42" s="2226"/>
      <c r="BD42" s="2231"/>
      <c r="BE42" s="2226"/>
      <c r="BF42" s="2231"/>
      <c r="BG42" s="2226"/>
      <c r="BH42" s="2231"/>
      <c r="BI42" s="2226"/>
      <c r="BJ42" s="2231"/>
      <c r="BK42" s="2226"/>
      <c r="BL42" s="2231"/>
      <c r="BM42" s="2226"/>
      <c r="BN42" s="2231"/>
      <c r="BO42" s="2226"/>
      <c r="BP42" s="2231"/>
      <c r="BQ42" s="2188">
        <f t="shared" si="45"/>
        <v>0</v>
      </c>
      <c r="BS42" s="1845" t="s">
        <v>80</v>
      </c>
      <c r="BT42" s="1846">
        <f t="shared" si="46"/>
        <v>0</v>
      </c>
      <c r="BU42" s="2230"/>
      <c r="BV42" s="2230"/>
      <c r="BW42" s="2230"/>
      <c r="BX42" s="2230"/>
      <c r="BY42" s="2230"/>
      <c r="BZ42" s="2230"/>
      <c r="CA42" s="2230"/>
      <c r="CB42" s="2230"/>
      <c r="CC42" s="2230"/>
      <c r="CD42" s="2230"/>
      <c r="CE42" s="2230"/>
      <c r="CF42" s="2225"/>
      <c r="CG42" s="2230"/>
      <c r="CH42" s="2225"/>
      <c r="CI42" s="2230"/>
      <c r="CJ42" s="2225"/>
      <c r="CK42" s="2230"/>
      <c r="CL42" s="2225"/>
      <c r="CM42" s="2230"/>
      <c r="CN42" s="2225"/>
      <c r="CO42" s="2230"/>
      <c r="CP42" s="2225"/>
      <c r="CQ42" s="2230"/>
      <c r="CR42" s="2225"/>
      <c r="CS42" s="2230"/>
      <c r="CT42" s="2225"/>
      <c r="CU42" s="2230"/>
      <c r="CV42" s="2225"/>
      <c r="CW42" s="2230"/>
      <c r="CX42" s="2225"/>
      <c r="CY42" s="2230"/>
      <c r="CZ42" s="2180">
        <f t="shared" si="47"/>
        <v>0</v>
      </c>
      <c r="DB42" s="1962" t="s">
        <v>80</v>
      </c>
      <c r="DC42" s="2175">
        <f t="shared" si="48"/>
        <v>0</v>
      </c>
      <c r="DD42" s="2262"/>
      <c r="DE42" s="2262"/>
      <c r="DF42" s="2262"/>
      <c r="DG42" s="2262"/>
      <c r="DH42" s="2262"/>
      <c r="DI42" s="2262"/>
      <c r="DJ42" s="2262"/>
      <c r="DK42" s="2262"/>
      <c r="DL42" s="2262"/>
      <c r="DM42" s="2262"/>
      <c r="DN42" s="2262"/>
      <c r="DO42" s="2261"/>
      <c r="DP42" s="2262"/>
      <c r="DQ42" s="2261"/>
      <c r="DR42" s="2262"/>
      <c r="DS42" s="2261"/>
      <c r="DT42" s="2262"/>
      <c r="DU42" s="2261"/>
      <c r="DV42" s="2262"/>
      <c r="DW42" s="2261"/>
      <c r="DX42" s="2262"/>
      <c r="DY42" s="2261"/>
      <c r="DZ42" s="2262"/>
      <c r="EA42" s="2261"/>
      <c r="EB42" s="2262"/>
      <c r="EC42" s="2261"/>
      <c r="ED42" s="2262"/>
      <c r="EE42" s="2261"/>
      <c r="EF42" s="2262"/>
      <c r="EG42" s="2261"/>
      <c r="EH42" s="2262"/>
      <c r="EI42" s="2171">
        <f t="shared" si="49"/>
        <v>0</v>
      </c>
    </row>
    <row r="43" spans="1:174" ht="15">
      <c r="A43" s="1249" t="s">
        <v>81</v>
      </c>
      <c r="B43" s="1287">
        <f t="shared" si="42"/>
        <v>0</v>
      </c>
      <c r="C43" s="1760"/>
      <c r="D43" s="1760"/>
      <c r="E43" s="1760"/>
      <c r="F43" s="1760"/>
      <c r="G43" s="1760"/>
      <c r="H43" s="1760"/>
      <c r="I43" s="1760"/>
      <c r="J43" s="1760"/>
      <c r="K43" s="1760"/>
      <c r="L43" s="1760"/>
      <c r="M43" s="1760"/>
      <c r="N43" s="1760"/>
      <c r="O43" s="1760"/>
      <c r="P43" s="1760"/>
      <c r="Q43" s="1760"/>
      <c r="R43" s="1760"/>
      <c r="S43" s="1760"/>
      <c r="T43" s="1760"/>
      <c r="U43" s="1760"/>
      <c r="V43" s="1760"/>
      <c r="W43" s="1760"/>
      <c r="X43" s="1760"/>
      <c r="Y43" s="1760"/>
      <c r="Z43" s="1760"/>
      <c r="AA43" s="1760"/>
      <c r="AB43" s="1760"/>
      <c r="AC43" s="1760"/>
      <c r="AD43" s="1760"/>
      <c r="AE43" s="1760"/>
      <c r="AF43" s="1760"/>
      <c r="AG43" s="1760"/>
      <c r="AH43" s="1488">
        <f t="shared" si="43"/>
        <v>0</v>
      </c>
      <c r="AJ43" s="1746" t="s">
        <v>81</v>
      </c>
      <c r="AK43" s="1749">
        <f t="shared" si="44"/>
        <v>0</v>
      </c>
      <c r="AL43" s="2231"/>
      <c r="AM43" s="2231"/>
      <c r="AN43" s="2231"/>
      <c r="AO43" s="2231"/>
      <c r="AP43" s="2231"/>
      <c r="AQ43" s="2231"/>
      <c r="AR43" s="2231"/>
      <c r="AS43" s="2231"/>
      <c r="AT43" s="2231"/>
      <c r="AU43" s="2231"/>
      <c r="AV43" s="2231"/>
      <c r="AW43" s="2231"/>
      <c r="AX43" s="2231"/>
      <c r="AY43" s="2231"/>
      <c r="AZ43" s="2231"/>
      <c r="BA43" s="2231"/>
      <c r="BB43" s="2231"/>
      <c r="BC43" s="2231"/>
      <c r="BD43" s="2231"/>
      <c r="BE43" s="2231"/>
      <c r="BF43" s="2231"/>
      <c r="BG43" s="2231"/>
      <c r="BH43" s="2231"/>
      <c r="BI43" s="2231"/>
      <c r="BJ43" s="2231"/>
      <c r="BK43" s="2231"/>
      <c r="BL43" s="2231"/>
      <c r="BM43" s="2231"/>
      <c r="BN43" s="2231"/>
      <c r="BO43" s="2231"/>
      <c r="BP43" s="2231"/>
      <c r="BQ43" s="2188">
        <f t="shared" si="45"/>
        <v>0</v>
      </c>
      <c r="BS43" s="1845" t="s">
        <v>81</v>
      </c>
      <c r="BT43" s="1846">
        <f t="shared" si="46"/>
        <v>0</v>
      </c>
      <c r="BU43" s="2230"/>
      <c r="BV43" s="2230"/>
      <c r="BW43" s="2230"/>
      <c r="BX43" s="2230"/>
      <c r="BY43" s="2230"/>
      <c r="BZ43" s="2230"/>
      <c r="CA43" s="2230"/>
      <c r="CB43" s="2230"/>
      <c r="CC43" s="2230"/>
      <c r="CD43" s="2230"/>
      <c r="CE43" s="2230"/>
      <c r="CF43" s="2230"/>
      <c r="CG43" s="2230"/>
      <c r="CH43" s="2230"/>
      <c r="CI43" s="2230"/>
      <c r="CJ43" s="2230"/>
      <c r="CK43" s="2230"/>
      <c r="CL43" s="2230"/>
      <c r="CM43" s="2230"/>
      <c r="CN43" s="2230"/>
      <c r="CO43" s="2230"/>
      <c r="CP43" s="2230"/>
      <c r="CQ43" s="2230"/>
      <c r="CR43" s="2230"/>
      <c r="CS43" s="2230"/>
      <c r="CT43" s="2230"/>
      <c r="CU43" s="2230"/>
      <c r="CV43" s="2230"/>
      <c r="CW43" s="2230"/>
      <c r="CX43" s="2230"/>
      <c r="CY43" s="2230"/>
      <c r="CZ43" s="2180">
        <f t="shared" si="47"/>
        <v>0</v>
      </c>
      <c r="DB43" s="1962" t="s">
        <v>81</v>
      </c>
      <c r="DC43" s="2175">
        <f t="shared" si="48"/>
        <v>0</v>
      </c>
      <c r="DD43" s="2262"/>
      <c r="DE43" s="2262"/>
      <c r="DF43" s="2262"/>
      <c r="DG43" s="2262"/>
      <c r="DH43" s="2262"/>
      <c r="DI43" s="2262"/>
      <c r="DJ43" s="2262"/>
      <c r="DK43" s="2262"/>
      <c r="DL43" s="2262"/>
      <c r="DM43" s="2262"/>
      <c r="DN43" s="2262"/>
      <c r="DO43" s="2262"/>
      <c r="DP43" s="2262"/>
      <c r="DQ43" s="2262"/>
      <c r="DR43" s="2262"/>
      <c r="DS43" s="2262"/>
      <c r="DT43" s="2262"/>
      <c r="DU43" s="2262"/>
      <c r="DV43" s="2262"/>
      <c r="DW43" s="2262"/>
      <c r="DX43" s="2262"/>
      <c r="DY43" s="2262"/>
      <c r="DZ43" s="2262"/>
      <c r="EA43" s="2262"/>
      <c r="EB43" s="2262"/>
      <c r="EC43" s="2262"/>
      <c r="ED43" s="2262"/>
      <c r="EE43" s="2262"/>
      <c r="EF43" s="2262"/>
      <c r="EG43" s="2262"/>
      <c r="EH43" s="2262"/>
      <c r="EI43" s="2171">
        <f t="shared" si="49"/>
        <v>0</v>
      </c>
    </row>
    <row r="44" spans="1:174" ht="15">
      <c r="A44" s="1249" t="s">
        <v>82</v>
      </c>
      <c r="B44" s="1287">
        <f t="shared" si="42"/>
        <v>0</v>
      </c>
      <c r="C44" s="2271"/>
      <c r="D44" s="2272"/>
      <c r="E44" s="2271"/>
      <c r="F44" s="2271"/>
      <c r="G44" s="2271"/>
      <c r="H44" s="2271"/>
      <c r="I44" s="2271"/>
      <c r="J44" s="2271"/>
      <c r="K44" s="2271"/>
      <c r="L44" s="2271"/>
      <c r="M44" s="2271"/>
      <c r="N44" s="2271"/>
      <c r="O44" s="2271"/>
      <c r="P44" s="2271"/>
      <c r="Q44" s="2271"/>
      <c r="R44" s="2271"/>
      <c r="S44" s="2271"/>
      <c r="T44" s="2271"/>
      <c r="U44" s="2271"/>
      <c r="V44" s="2271"/>
      <c r="W44" s="2271"/>
      <c r="X44" s="2271"/>
      <c r="Y44" s="2271"/>
      <c r="Z44" s="2271"/>
      <c r="AA44" s="2271"/>
      <c r="AB44" s="2271"/>
      <c r="AC44" s="2271"/>
      <c r="AD44" s="2271"/>
      <c r="AE44" s="2271"/>
      <c r="AF44" s="2271"/>
      <c r="AG44" s="2271"/>
      <c r="AH44" s="1488">
        <f t="shared" si="43"/>
        <v>0</v>
      </c>
      <c r="AJ44" s="1746" t="s">
        <v>82</v>
      </c>
      <c r="AK44" s="1749">
        <f t="shared" si="44"/>
        <v>0</v>
      </c>
      <c r="AL44" s="2226"/>
      <c r="AM44" s="2229"/>
      <c r="AN44" s="2226"/>
      <c r="AO44" s="2226"/>
      <c r="AP44" s="2226"/>
      <c r="AQ44" s="2226"/>
      <c r="AR44" s="2226"/>
      <c r="AS44" s="2226"/>
      <c r="AT44" s="2226"/>
      <c r="AU44" s="2226"/>
      <c r="AV44" s="2226"/>
      <c r="AW44" s="2226"/>
      <c r="AX44" s="2226"/>
      <c r="AY44" s="2226"/>
      <c r="AZ44" s="2226"/>
      <c r="BA44" s="2226"/>
      <c r="BB44" s="2226"/>
      <c r="BC44" s="2226"/>
      <c r="BD44" s="2226"/>
      <c r="BE44" s="2226"/>
      <c r="BF44" s="2226"/>
      <c r="BG44" s="2226"/>
      <c r="BH44" s="2226"/>
      <c r="BI44" s="2226"/>
      <c r="BJ44" s="2226"/>
      <c r="BK44" s="2226"/>
      <c r="BL44" s="2226"/>
      <c r="BM44" s="2226"/>
      <c r="BN44" s="2226"/>
      <c r="BO44" s="2226"/>
      <c r="BP44" s="2226"/>
      <c r="BQ44" s="2188">
        <f t="shared" si="45"/>
        <v>0</v>
      </c>
      <c r="BS44" s="1845" t="s">
        <v>82</v>
      </c>
      <c r="BT44" s="1846">
        <f t="shared" si="46"/>
        <v>0</v>
      </c>
      <c r="BU44" s="2225"/>
      <c r="BV44" s="2228"/>
      <c r="BW44" s="2225"/>
      <c r="BX44" s="2225"/>
      <c r="BY44" s="2225"/>
      <c r="BZ44" s="2225"/>
      <c r="CA44" s="2225"/>
      <c r="CB44" s="2225"/>
      <c r="CC44" s="2225"/>
      <c r="CD44" s="2225"/>
      <c r="CE44" s="2225"/>
      <c r="CF44" s="2225"/>
      <c r="CG44" s="2225"/>
      <c r="CH44" s="2225"/>
      <c r="CI44" s="2225"/>
      <c r="CJ44" s="2225"/>
      <c r="CK44" s="2225"/>
      <c r="CL44" s="2225"/>
      <c r="CM44" s="2225"/>
      <c r="CN44" s="2225"/>
      <c r="CO44" s="2225"/>
      <c r="CP44" s="2225"/>
      <c r="CQ44" s="2225"/>
      <c r="CR44" s="2225"/>
      <c r="CS44" s="2225"/>
      <c r="CT44" s="2225"/>
      <c r="CU44" s="2225"/>
      <c r="CV44" s="2225"/>
      <c r="CW44" s="2225"/>
      <c r="CX44" s="2225"/>
      <c r="CY44" s="2225"/>
      <c r="CZ44" s="2180">
        <f t="shared" si="47"/>
        <v>0</v>
      </c>
      <c r="DB44" s="1962" t="s">
        <v>82</v>
      </c>
      <c r="DC44" s="2175">
        <f t="shared" si="48"/>
        <v>0</v>
      </c>
      <c r="DD44" s="2261"/>
      <c r="DE44" s="2263"/>
      <c r="DF44" s="2261"/>
      <c r="DG44" s="2261"/>
      <c r="DH44" s="2261"/>
      <c r="DI44" s="2261"/>
      <c r="DJ44" s="2261"/>
      <c r="DK44" s="2261"/>
      <c r="DL44" s="2261"/>
      <c r="DM44" s="2261"/>
      <c r="DN44" s="2261"/>
      <c r="DO44" s="2261"/>
      <c r="DP44" s="2261"/>
      <c r="DQ44" s="2261"/>
      <c r="DR44" s="2261"/>
      <c r="DS44" s="2261"/>
      <c r="DT44" s="2261"/>
      <c r="DU44" s="2261"/>
      <c r="DV44" s="2261"/>
      <c r="DW44" s="2261"/>
      <c r="DX44" s="2261"/>
      <c r="DY44" s="2261"/>
      <c r="DZ44" s="2261"/>
      <c r="EA44" s="2261"/>
      <c r="EB44" s="2261"/>
      <c r="EC44" s="2261"/>
      <c r="ED44" s="2261"/>
      <c r="EE44" s="2261"/>
      <c r="EF44" s="2261"/>
      <c r="EG44" s="2261"/>
      <c r="EH44" s="2261"/>
      <c r="EI44" s="2171">
        <f t="shared" si="49"/>
        <v>0</v>
      </c>
    </row>
    <row r="45" spans="1:174" ht="15">
      <c r="A45" s="1249" t="s">
        <v>83</v>
      </c>
      <c r="B45" s="1287">
        <f t="shared" si="42"/>
        <v>0</v>
      </c>
      <c r="C45" s="2271"/>
      <c r="D45" s="2271"/>
      <c r="E45" s="2271"/>
      <c r="F45" s="2271"/>
      <c r="G45" s="2271"/>
      <c r="H45" s="2271"/>
      <c r="I45" s="2271"/>
      <c r="J45" s="2271"/>
      <c r="K45" s="2271"/>
      <c r="L45" s="2271"/>
      <c r="M45" s="2271"/>
      <c r="N45" s="2271"/>
      <c r="O45" s="2271"/>
      <c r="P45" s="2271"/>
      <c r="Q45" s="2271"/>
      <c r="R45" s="2271"/>
      <c r="S45" s="2271"/>
      <c r="T45" s="2271"/>
      <c r="U45" s="2271"/>
      <c r="V45" s="2271"/>
      <c r="W45" s="2271"/>
      <c r="X45" s="2271"/>
      <c r="Y45" s="2271"/>
      <c r="Z45" s="2271"/>
      <c r="AA45" s="2271"/>
      <c r="AB45" s="2271"/>
      <c r="AC45" s="2271"/>
      <c r="AD45" s="2271"/>
      <c r="AE45" s="2271"/>
      <c r="AF45" s="2271"/>
      <c r="AG45" s="2271"/>
      <c r="AH45" s="1488">
        <f t="shared" si="43"/>
        <v>0</v>
      </c>
      <c r="AJ45" s="1746" t="s">
        <v>83</v>
      </c>
      <c r="AK45" s="1749">
        <f t="shared" si="44"/>
        <v>0</v>
      </c>
      <c r="AL45" s="2226"/>
      <c r="AM45" s="2226"/>
      <c r="AN45" s="2226"/>
      <c r="AO45" s="2226"/>
      <c r="AP45" s="2226"/>
      <c r="AQ45" s="2226"/>
      <c r="AR45" s="2226"/>
      <c r="AS45" s="2226"/>
      <c r="AT45" s="2226"/>
      <c r="AU45" s="2226"/>
      <c r="AV45" s="2226"/>
      <c r="AW45" s="2226"/>
      <c r="AX45" s="2226"/>
      <c r="AY45" s="2226"/>
      <c r="AZ45" s="2226"/>
      <c r="BA45" s="2226"/>
      <c r="BB45" s="2226"/>
      <c r="BC45" s="2226"/>
      <c r="BD45" s="2226"/>
      <c r="BE45" s="2226"/>
      <c r="BF45" s="2226"/>
      <c r="BG45" s="2226"/>
      <c r="BH45" s="2226"/>
      <c r="BI45" s="2226"/>
      <c r="BJ45" s="2226"/>
      <c r="BK45" s="2226"/>
      <c r="BL45" s="2226"/>
      <c r="BM45" s="2226"/>
      <c r="BN45" s="2226"/>
      <c r="BO45" s="2226"/>
      <c r="BP45" s="2226"/>
      <c r="BQ45" s="2188">
        <f t="shared" si="45"/>
        <v>0</v>
      </c>
      <c r="BS45" s="1845" t="s">
        <v>83</v>
      </c>
      <c r="BT45" s="1846">
        <f t="shared" si="46"/>
        <v>0</v>
      </c>
      <c r="BU45" s="2225"/>
      <c r="BV45" s="2225"/>
      <c r="BW45" s="2225"/>
      <c r="BX45" s="2225"/>
      <c r="BY45" s="2225"/>
      <c r="BZ45" s="2225"/>
      <c r="CA45" s="2225"/>
      <c r="CB45" s="2225"/>
      <c r="CC45" s="2225"/>
      <c r="CD45" s="2225"/>
      <c r="CE45" s="2225"/>
      <c r="CF45" s="2225"/>
      <c r="CG45" s="2225"/>
      <c r="CH45" s="2225"/>
      <c r="CI45" s="2225"/>
      <c r="CJ45" s="2225"/>
      <c r="CK45" s="2225"/>
      <c r="CL45" s="2225"/>
      <c r="CM45" s="2225"/>
      <c r="CN45" s="2225"/>
      <c r="CO45" s="2225"/>
      <c r="CP45" s="2225"/>
      <c r="CQ45" s="2225"/>
      <c r="CR45" s="2225"/>
      <c r="CS45" s="2225"/>
      <c r="CT45" s="2225"/>
      <c r="CU45" s="2225"/>
      <c r="CV45" s="2225"/>
      <c r="CW45" s="2225"/>
      <c r="CX45" s="2225"/>
      <c r="CY45" s="2225"/>
      <c r="CZ45" s="2180">
        <f t="shared" si="47"/>
        <v>0</v>
      </c>
      <c r="DB45" s="1962" t="s">
        <v>83</v>
      </c>
      <c r="DC45" s="2175">
        <f t="shared" si="48"/>
        <v>0</v>
      </c>
      <c r="DD45" s="2261"/>
      <c r="DE45" s="2261"/>
      <c r="DF45" s="2261"/>
      <c r="DG45" s="2261"/>
      <c r="DH45" s="2261"/>
      <c r="DI45" s="2261"/>
      <c r="DJ45" s="2261"/>
      <c r="DK45" s="2261"/>
      <c r="DL45" s="2261"/>
      <c r="DM45" s="2261"/>
      <c r="DN45" s="2261"/>
      <c r="DO45" s="2261"/>
      <c r="DP45" s="2261"/>
      <c r="DQ45" s="2261"/>
      <c r="DR45" s="2261"/>
      <c r="DS45" s="2261"/>
      <c r="DT45" s="2261"/>
      <c r="DU45" s="2261"/>
      <c r="DV45" s="2261"/>
      <c r="DW45" s="2261"/>
      <c r="DX45" s="2261"/>
      <c r="DY45" s="2261"/>
      <c r="DZ45" s="2261"/>
      <c r="EA45" s="2261"/>
      <c r="EB45" s="2261"/>
      <c r="EC45" s="2261"/>
      <c r="ED45" s="2261"/>
      <c r="EE45" s="2261"/>
      <c r="EF45" s="2261"/>
      <c r="EG45" s="2261"/>
      <c r="EH45" s="2261"/>
      <c r="EI45" s="2171">
        <f t="shared" si="49"/>
        <v>0</v>
      </c>
    </row>
    <row r="46" spans="1:174" ht="15">
      <c r="A46" s="1249" t="s">
        <v>84</v>
      </c>
      <c r="B46" s="1287">
        <f t="shared" si="42"/>
        <v>0</v>
      </c>
      <c r="C46" s="2271"/>
      <c r="D46" s="2271"/>
      <c r="E46" s="2271"/>
      <c r="F46" s="2271"/>
      <c r="G46" s="2271"/>
      <c r="H46" s="2271"/>
      <c r="I46" s="2271"/>
      <c r="J46" s="2271"/>
      <c r="K46" s="2271"/>
      <c r="L46" s="2271"/>
      <c r="M46" s="2271"/>
      <c r="N46" s="2271"/>
      <c r="O46" s="2271"/>
      <c r="P46" s="2271"/>
      <c r="Q46" s="2271"/>
      <c r="R46" s="2271"/>
      <c r="S46" s="2271"/>
      <c r="T46" s="2271"/>
      <c r="U46" s="2271"/>
      <c r="V46" s="2271"/>
      <c r="W46" s="2271"/>
      <c r="X46" s="2271"/>
      <c r="Y46" s="2271"/>
      <c r="Z46" s="2271"/>
      <c r="AA46" s="2271"/>
      <c r="AB46" s="2271"/>
      <c r="AC46" s="2271"/>
      <c r="AD46" s="2271"/>
      <c r="AE46" s="2271"/>
      <c r="AF46" s="2271"/>
      <c r="AG46" s="2271"/>
      <c r="AH46" s="1488">
        <f t="shared" si="43"/>
        <v>0</v>
      </c>
      <c r="AJ46" s="1746" t="s">
        <v>84</v>
      </c>
      <c r="AK46" s="1749">
        <f t="shared" si="44"/>
        <v>0</v>
      </c>
      <c r="AL46" s="2226"/>
      <c r="AM46" s="2226"/>
      <c r="AN46" s="2226"/>
      <c r="AO46" s="2226"/>
      <c r="AP46" s="2226"/>
      <c r="AQ46" s="2226"/>
      <c r="AR46" s="2226"/>
      <c r="AS46" s="2226"/>
      <c r="AT46" s="2226"/>
      <c r="AU46" s="2226"/>
      <c r="AV46" s="2226"/>
      <c r="AW46" s="2226"/>
      <c r="AX46" s="2226"/>
      <c r="AY46" s="2226"/>
      <c r="AZ46" s="2226"/>
      <c r="BA46" s="2226"/>
      <c r="BB46" s="2226"/>
      <c r="BC46" s="2226"/>
      <c r="BD46" s="2226"/>
      <c r="BE46" s="2226"/>
      <c r="BF46" s="2226"/>
      <c r="BG46" s="2226"/>
      <c r="BH46" s="2226"/>
      <c r="BI46" s="2226"/>
      <c r="BJ46" s="2226"/>
      <c r="BK46" s="2226"/>
      <c r="BL46" s="2226"/>
      <c r="BM46" s="2226"/>
      <c r="BN46" s="2226"/>
      <c r="BO46" s="2226"/>
      <c r="BP46" s="2226"/>
      <c r="BQ46" s="2188">
        <f t="shared" si="45"/>
        <v>0</v>
      </c>
      <c r="BS46" s="1845" t="s">
        <v>84</v>
      </c>
      <c r="BT46" s="1846">
        <f t="shared" si="46"/>
        <v>0</v>
      </c>
      <c r="BU46" s="2225"/>
      <c r="BV46" s="2225"/>
      <c r="BW46" s="2225"/>
      <c r="BX46" s="2225"/>
      <c r="BY46" s="2225"/>
      <c r="BZ46" s="2225"/>
      <c r="CA46" s="2225"/>
      <c r="CB46" s="2225"/>
      <c r="CC46" s="2225"/>
      <c r="CD46" s="2225"/>
      <c r="CE46" s="2225"/>
      <c r="CF46" s="2225"/>
      <c r="CG46" s="2225"/>
      <c r="CH46" s="2225"/>
      <c r="CI46" s="2225"/>
      <c r="CJ46" s="2225"/>
      <c r="CK46" s="2225"/>
      <c r="CL46" s="2225"/>
      <c r="CM46" s="2225"/>
      <c r="CN46" s="2225"/>
      <c r="CO46" s="2225"/>
      <c r="CP46" s="2225"/>
      <c r="CQ46" s="2225"/>
      <c r="CR46" s="2225"/>
      <c r="CS46" s="2225"/>
      <c r="CT46" s="2225"/>
      <c r="CU46" s="2225"/>
      <c r="CV46" s="2225"/>
      <c r="CW46" s="2225"/>
      <c r="CX46" s="2225"/>
      <c r="CY46" s="2225"/>
      <c r="CZ46" s="2180">
        <f t="shared" si="47"/>
        <v>0</v>
      </c>
      <c r="DB46" s="1962" t="s">
        <v>84</v>
      </c>
      <c r="DC46" s="2175">
        <f t="shared" si="48"/>
        <v>0</v>
      </c>
      <c r="DD46" s="2261"/>
      <c r="DE46" s="2261"/>
      <c r="DF46" s="2261"/>
      <c r="DG46" s="2261"/>
      <c r="DH46" s="2261"/>
      <c r="DI46" s="2261"/>
      <c r="DJ46" s="2261"/>
      <c r="DK46" s="2261"/>
      <c r="DL46" s="2261"/>
      <c r="DM46" s="2261"/>
      <c r="DN46" s="2261"/>
      <c r="DO46" s="2261"/>
      <c r="DP46" s="2261"/>
      <c r="DQ46" s="2261"/>
      <c r="DR46" s="2261"/>
      <c r="DS46" s="2261"/>
      <c r="DT46" s="2261"/>
      <c r="DU46" s="2261"/>
      <c r="DV46" s="2261"/>
      <c r="DW46" s="2261"/>
      <c r="DX46" s="2261"/>
      <c r="DY46" s="2261"/>
      <c r="DZ46" s="2261"/>
      <c r="EA46" s="2261"/>
      <c r="EB46" s="2261"/>
      <c r="EC46" s="2261"/>
      <c r="ED46" s="2261"/>
      <c r="EE46" s="2261"/>
      <c r="EF46" s="2261"/>
      <c r="EG46" s="2261"/>
      <c r="EH46" s="2261"/>
      <c r="EI46" s="2171">
        <f t="shared" si="49"/>
        <v>0</v>
      </c>
    </row>
    <row r="47" spans="1:174" ht="15">
      <c r="A47" s="1249" t="s">
        <v>85</v>
      </c>
      <c r="B47" s="1287">
        <f t="shared" si="42"/>
        <v>0</v>
      </c>
      <c r="C47" s="2271"/>
      <c r="D47" s="2271"/>
      <c r="E47" s="2271"/>
      <c r="F47" s="2271"/>
      <c r="G47" s="2271"/>
      <c r="H47" s="2271"/>
      <c r="I47" s="2271"/>
      <c r="J47" s="2271"/>
      <c r="K47" s="2271"/>
      <c r="L47" s="2271"/>
      <c r="M47" s="2271"/>
      <c r="N47" s="2271"/>
      <c r="O47" s="2271"/>
      <c r="P47" s="2271"/>
      <c r="Q47" s="2271"/>
      <c r="R47" s="2271"/>
      <c r="S47" s="2271"/>
      <c r="T47" s="2271"/>
      <c r="U47" s="2271"/>
      <c r="V47" s="2271"/>
      <c r="W47" s="2271"/>
      <c r="X47" s="2271"/>
      <c r="Y47" s="2271"/>
      <c r="Z47" s="2271"/>
      <c r="AA47" s="2271"/>
      <c r="AB47" s="2271"/>
      <c r="AC47" s="2271"/>
      <c r="AD47" s="2271"/>
      <c r="AE47" s="2271"/>
      <c r="AF47" s="2271"/>
      <c r="AG47" s="1760"/>
      <c r="AH47" s="1488">
        <f t="shared" si="43"/>
        <v>0</v>
      </c>
      <c r="AJ47" s="1746" t="s">
        <v>85</v>
      </c>
      <c r="AK47" s="1749">
        <f t="shared" si="44"/>
        <v>0</v>
      </c>
      <c r="AL47" s="2226"/>
      <c r="AM47" s="2226"/>
      <c r="AN47" s="2226"/>
      <c r="AO47" s="2226"/>
      <c r="AP47" s="2226"/>
      <c r="AQ47" s="2226"/>
      <c r="AR47" s="2226"/>
      <c r="AS47" s="2226"/>
      <c r="AT47" s="2226"/>
      <c r="AU47" s="2226"/>
      <c r="AV47" s="2226"/>
      <c r="AW47" s="2226"/>
      <c r="AX47" s="2226"/>
      <c r="AY47" s="2226"/>
      <c r="AZ47" s="2226"/>
      <c r="BA47" s="2226"/>
      <c r="BB47" s="2226"/>
      <c r="BC47" s="2226"/>
      <c r="BD47" s="2226"/>
      <c r="BE47" s="2226"/>
      <c r="BF47" s="2226"/>
      <c r="BG47" s="2226"/>
      <c r="BH47" s="2226"/>
      <c r="BI47" s="2226"/>
      <c r="BJ47" s="2226"/>
      <c r="BK47" s="2226"/>
      <c r="BL47" s="2226"/>
      <c r="BM47" s="2226"/>
      <c r="BN47" s="2226"/>
      <c r="BO47" s="2226"/>
      <c r="BP47" s="2231"/>
      <c r="BQ47" s="2188">
        <f t="shared" si="45"/>
        <v>0</v>
      </c>
      <c r="BS47" s="1845" t="s">
        <v>85</v>
      </c>
      <c r="BT47" s="1846">
        <f t="shared" si="46"/>
        <v>0</v>
      </c>
      <c r="BU47" s="2225"/>
      <c r="BV47" s="2225"/>
      <c r="BW47" s="2225"/>
      <c r="BX47" s="2225"/>
      <c r="BY47" s="2225"/>
      <c r="BZ47" s="2225"/>
      <c r="CA47" s="2225"/>
      <c r="CB47" s="2225"/>
      <c r="CC47" s="2225"/>
      <c r="CD47" s="2225"/>
      <c r="CE47" s="2225"/>
      <c r="CF47" s="2225"/>
      <c r="CG47" s="2225"/>
      <c r="CH47" s="2225"/>
      <c r="CI47" s="2225"/>
      <c r="CJ47" s="2225"/>
      <c r="CK47" s="2225"/>
      <c r="CL47" s="2225"/>
      <c r="CM47" s="2225"/>
      <c r="CN47" s="2225"/>
      <c r="CO47" s="2225"/>
      <c r="CP47" s="2225"/>
      <c r="CQ47" s="2225"/>
      <c r="CR47" s="2225"/>
      <c r="CS47" s="2225"/>
      <c r="CT47" s="2225"/>
      <c r="CU47" s="2225"/>
      <c r="CV47" s="2225"/>
      <c r="CW47" s="2225"/>
      <c r="CX47" s="2225"/>
      <c r="CY47" s="2230"/>
      <c r="CZ47" s="2180">
        <f t="shared" si="47"/>
        <v>0</v>
      </c>
      <c r="DB47" s="1962" t="s">
        <v>85</v>
      </c>
      <c r="DC47" s="2175">
        <f t="shared" si="48"/>
        <v>0</v>
      </c>
      <c r="DD47" s="2261"/>
      <c r="DE47" s="2261"/>
      <c r="DF47" s="2261"/>
      <c r="DG47" s="2261"/>
      <c r="DH47" s="2261"/>
      <c r="DI47" s="2261"/>
      <c r="DJ47" s="2261"/>
      <c r="DK47" s="2261"/>
      <c r="DL47" s="2261"/>
      <c r="DM47" s="2261"/>
      <c r="DN47" s="2261"/>
      <c r="DO47" s="2261"/>
      <c r="DP47" s="2261"/>
      <c r="DQ47" s="2261"/>
      <c r="DR47" s="2261"/>
      <c r="DS47" s="2261"/>
      <c r="DT47" s="2261"/>
      <c r="DU47" s="2261"/>
      <c r="DV47" s="2261"/>
      <c r="DW47" s="2261"/>
      <c r="DX47" s="2261"/>
      <c r="DY47" s="2261"/>
      <c r="DZ47" s="2261"/>
      <c r="EA47" s="2261"/>
      <c r="EB47" s="2261"/>
      <c r="EC47" s="2261"/>
      <c r="ED47" s="2261"/>
      <c r="EE47" s="2261"/>
      <c r="EF47" s="2261"/>
      <c r="EG47" s="2261"/>
      <c r="EH47" s="2262"/>
      <c r="EI47" s="2171">
        <f t="shared" si="49"/>
        <v>0</v>
      </c>
    </row>
    <row r="48" spans="1:174" ht="15">
      <c r="A48" s="1249" t="s">
        <v>86</v>
      </c>
      <c r="B48" s="1287">
        <f t="shared" si="42"/>
        <v>0</v>
      </c>
      <c r="C48" s="2271"/>
      <c r="D48" s="2271"/>
      <c r="E48" s="2271"/>
      <c r="F48" s="2271"/>
      <c r="G48" s="2271"/>
      <c r="H48" s="2271"/>
      <c r="I48" s="2271"/>
      <c r="J48" s="2271"/>
      <c r="K48" s="2271"/>
      <c r="L48" s="2271"/>
      <c r="M48" s="2271"/>
      <c r="N48" s="2271"/>
      <c r="O48" s="2271"/>
      <c r="P48" s="2271"/>
      <c r="Q48" s="2271"/>
      <c r="R48" s="2271"/>
      <c r="S48" s="2271"/>
      <c r="T48" s="2271"/>
      <c r="U48" s="2271"/>
      <c r="V48" s="2271"/>
      <c r="W48" s="2271"/>
      <c r="X48" s="2271"/>
      <c r="Y48" s="2271"/>
      <c r="Z48" s="2271"/>
      <c r="AA48" s="2271"/>
      <c r="AB48" s="2271"/>
      <c r="AC48" s="2271"/>
      <c r="AD48" s="2271"/>
      <c r="AE48" s="2271"/>
      <c r="AF48" s="2271"/>
      <c r="AG48" s="2271"/>
      <c r="AH48" s="1488">
        <f t="shared" si="43"/>
        <v>0</v>
      </c>
      <c r="AJ48" s="1746" t="s">
        <v>86</v>
      </c>
      <c r="AK48" s="1749">
        <f t="shared" si="44"/>
        <v>0</v>
      </c>
      <c r="AL48" s="2226"/>
      <c r="AM48" s="2226"/>
      <c r="AN48" s="2226"/>
      <c r="AO48" s="2226"/>
      <c r="AP48" s="2226"/>
      <c r="AQ48" s="2226"/>
      <c r="AR48" s="2226"/>
      <c r="AS48" s="2226"/>
      <c r="AT48" s="2226"/>
      <c r="AU48" s="2226"/>
      <c r="AV48" s="2226"/>
      <c r="AW48" s="2226"/>
      <c r="AX48" s="2226"/>
      <c r="AY48" s="2226"/>
      <c r="AZ48" s="2226"/>
      <c r="BA48" s="2226"/>
      <c r="BB48" s="2226"/>
      <c r="BC48" s="2226"/>
      <c r="BD48" s="2226"/>
      <c r="BE48" s="2226"/>
      <c r="BF48" s="2226"/>
      <c r="BG48" s="2226"/>
      <c r="BH48" s="2226"/>
      <c r="BI48" s="2226"/>
      <c r="BJ48" s="2226"/>
      <c r="BK48" s="2226"/>
      <c r="BL48" s="2226"/>
      <c r="BM48" s="2226"/>
      <c r="BN48" s="2226"/>
      <c r="BO48" s="2226"/>
      <c r="BP48" s="2226"/>
      <c r="BQ48" s="2188">
        <f t="shared" si="45"/>
        <v>0</v>
      </c>
      <c r="BS48" s="1845" t="s">
        <v>86</v>
      </c>
      <c r="BT48" s="1846">
        <f t="shared" si="46"/>
        <v>0</v>
      </c>
      <c r="BU48" s="2225"/>
      <c r="BV48" s="2225"/>
      <c r="BW48" s="2225"/>
      <c r="BX48" s="2225"/>
      <c r="BY48" s="2225"/>
      <c r="BZ48" s="2225"/>
      <c r="CA48" s="2225"/>
      <c r="CB48" s="2225"/>
      <c r="CC48" s="2225"/>
      <c r="CD48" s="2225"/>
      <c r="CE48" s="2225"/>
      <c r="CF48" s="2225"/>
      <c r="CG48" s="2225"/>
      <c r="CH48" s="2225"/>
      <c r="CI48" s="2225"/>
      <c r="CJ48" s="2225"/>
      <c r="CK48" s="2225"/>
      <c r="CL48" s="2225"/>
      <c r="CM48" s="2225"/>
      <c r="CN48" s="2225"/>
      <c r="CO48" s="2225"/>
      <c r="CP48" s="2225"/>
      <c r="CQ48" s="2225"/>
      <c r="CR48" s="2225"/>
      <c r="CS48" s="2225"/>
      <c r="CT48" s="2225"/>
      <c r="CU48" s="2225"/>
      <c r="CV48" s="2225"/>
      <c r="CW48" s="2225"/>
      <c r="CX48" s="2225"/>
      <c r="CY48" s="2225"/>
      <c r="CZ48" s="2180">
        <f t="shared" si="47"/>
        <v>0</v>
      </c>
      <c r="DB48" s="1962" t="s">
        <v>86</v>
      </c>
      <c r="DC48" s="2175">
        <f t="shared" si="48"/>
        <v>0</v>
      </c>
      <c r="DD48" s="2261"/>
      <c r="DE48" s="2261"/>
      <c r="DF48" s="2261"/>
      <c r="DG48" s="2261"/>
      <c r="DH48" s="2261"/>
      <c r="DI48" s="2261"/>
      <c r="DJ48" s="2261"/>
      <c r="DK48" s="2261"/>
      <c r="DL48" s="2261"/>
      <c r="DM48" s="2261"/>
      <c r="DN48" s="2261"/>
      <c r="DO48" s="2261"/>
      <c r="DP48" s="2261"/>
      <c r="DQ48" s="2261"/>
      <c r="DR48" s="2261"/>
      <c r="DS48" s="2261"/>
      <c r="DT48" s="2261"/>
      <c r="DU48" s="2261"/>
      <c r="DV48" s="2261"/>
      <c r="DW48" s="2261"/>
      <c r="DX48" s="2261"/>
      <c r="DY48" s="2261"/>
      <c r="DZ48" s="2261"/>
      <c r="EA48" s="2261"/>
      <c r="EB48" s="2261"/>
      <c r="EC48" s="2261"/>
      <c r="ED48" s="2261"/>
      <c r="EE48" s="2261"/>
      <c r="EF48" s="2261"/>
      <c r="EG48" s="2261"/>
      <c r="EH48" s="2261"/>
      <c r="EI48" s="2171">
        <f t="shared" si="49"/>
        <v>0</v>
      </c>
    </row>
    <row r="49" spans="1:139" ht="15">
      <c r="A49" s="1470" t="s">
        <v>74</v>
      </c>
      <c r="B49" s="2270">
        <f t="shared" ref="B49:AH49" si="50">SUM(B37:B48)</f>
        <v>0</v>
      </c>
      <c r="C49" s="1488">
        <f t="shared" si="50"/>
        <v>0</v>
      </c>
      <c r="D49" s="1488">
        <f t="shared" si="50"/>
        <v>0</v>
      </c>
      <c r="E49" s="1488">
        <f t="shared" si="50"/>
        <v>0</v>
      </c>
      <c r="F49" s="1488">
        <f t="shared" si="50"/>
        <v>0</v>
      </c>
      <c r="G49" s="1488">
        <f t="shared" si="50"/>
        <v>0</v>
      </c>
      <c r="H49" s="1488">
        <f t="shared" si="50"/>
        <v>0</v>
      </c>
      <c r="I49" s="1488">
        <f t="shared" si="50"/>
        <v>0</v>
      </c>
      <c r="J49" s="1488">
        <f t="shared" si="50"/>
        <v>0</v>
      </c>
      <c r="K49" s="1488">
        <f t="shared" si="50"/>
        <v>0</v>
      </c>
      <c r="L49" s="1488">
        <f t="shared" si="50"/>
        <v>0</v>
      </c>
      <c r="M49" s="1488">
        <f t="shared" si="50"/>
        <v>0</v>
      </c>
      <c r="N49" s="1488">
        <f t="shared" si="50"/>
        <v>0</v>
      </c>
      <c r="O49" s="1488">
        <f t="shared" si="50"/>
        <v>0</v>
      </c>
      <c r="P49" s="1488">
        <f t="shared" si="50"/>
        <v>0</v>
      </c>
      <c r="Q49" s="1488">
        <f t="shared" si="50"/>
        <v>0</v>
      </c>
      <c r="R49" s="1488">
        <f t="shared" si="50"/>
        <v>0</v>
      </c>
      <c r="S49" s="1488">
        <f t="shared" si="50"/>
        <v>0</v>
      </c>
      <c r="T49" s="1488">
        <f t="shared" si="50"/>
        <v>0</v>
      </c>
      <c r="U49" s="1488">
        <f t="shared" si="50"/>
        <v>0</v>
      </c>
      <c r="V49" s="1488">
        <f t="shared" si="50"/>
        <v>0</v>
      </c>
      <c r="W49" s="1488">
        <f t="shared" si="50"/>
        <v>0</v>
      </c>
      <c r="X49" s="1488">
        <f t="shared" si="50"/>
        <v>0</v>
      </c>
      <c r="Y49" s="1488">
        <f t="shared" si="50"/>
        <v>0</v>
      </c>
      <c r="Z49" s="1488">
        <f t="shared" si="50"/>
        <v>0</v>
      </c>
      <c r="AA49" s="1488">
        <f t="shared" si="50"/>
        <v>0</v>
      </c>
      <c r="AB49" s="1488">
        <f t="shared" si="50"/>
        <v>0</v>
      </c>
      <c r="AC49" s="1488">
        <f t="shared" si="50"/>
        <v>0</v>
      </c>
      <c r="AD49" s="1488">
        <f t="shared" si="50"/>
        <v>0</v>
      </c>
      <c r="AE49" s="1488">
        <f t="shared" si="50"/>
        <v>0</v>
      </c>
      <c r="AF49" s="1488">
        <f t="shared" si="50"/>
        <v>0</v>
      </c>
      <c r="AG49" s="1488">
        <f t="shared" si="50"/>
        <v>0</v>
      </c>
      <c r="AH49" s="1488">
        <f t="shared" si="50"/>
        <v>0</v>
      </c>
      <c r="AJ49" s="2191" t="s">
        <v>74</v>
      </c>
      <c r="AK49" s="2260">
        <f t="shared" ref="AK49:BQ49" si="51">SUM(AK37:AK48)</f>
        <v>0</v>
      </c>
      <c r="AL49" s="2188">
        <f t="shared" si="51"/>
        <v>0</v>
      </c>
      <c r="AM49" s="2188">
        <f t="shared" si="51"/>
        <v>0</v>
      </c>
      <c r="AN49" s="2188">
        <f t="shared" si="51"/>
        <v>0</v>
      </c>
      <c r="AO49" s="2188">
        <f t="shared" si="51"/>
        <v>0</v>
      </c>
      <c r="AP49" s="2188">
        <f t="shared" si="51"/>
        <v>0</v>
      </c>
      <c r="AQ49" s="2188">
        <f t="shared" si="51"/>
        <v>0</v>
      </c>
      <c r="AR49" s="2188">
        <f t="shared" si="51"/>
        <v>0</v>
      </c>
      <c r="AS49" s="2188">
        <f t="shared" si="51"/>
        <v>0</v>
      </c>
      <c r="AT49" s="2188">
        <f t="shared" si="51"/>
        <v>0</v>
      </c>
      <c r="AU49" s="2188">
        <f t="shared" si="51"/>
        <v>0</v>
      </c>
      <c r="AV49" s="2188">
        <f t="shared" si="51"/>
        <v>0</v>
      </c>
      <c r="AW49" s="2188">
        <f t="shared" si="51"/>
        <v>0</v>
      </c>
      <c r="AX49" s="2188">
        <f t="shared" si="51"/>
        <v>0</v>
      </c>
      <c r="AY49" s="2188">
        <f t="shared" si="51"/>
        <v>0</v>
      </c>
      <c r="AZ49" s="2188">
        <f t="shared" si="51"/>
        <v>0</v>
      </c>
      <c r="BA49" s="2188">
        <f t="shared" si="51"/>
        <v>0</v>
      </c>
      <c r="BB49" s="2188">
        <f t="shared" si="51"/>
        <v>0</v>
      </c>
      <c r="BC49" s="2188">
        <f t="shared" si="51"/>
        <v>0</v>
      </c>
      <c r="BD49" s="2188">
        <f t="shared" si="51"/>
        <v>0</v>
      </c>
      <c r="BE49" s="2188">
        <f t="shared" si="51"/>
        <v>0</v>
      </c>
      <c r="BF49" s="2188">
        <f t="shared" si="51"/>
        <v>0</v>
      </c>
      <c r="BG49" s="2188">
        <f t="shared" si="51"/>
        <v>0</v>
      </c>
      <c r="BH49" s="2188">
        <f t="shared" si="51"/>
        <v>0</v>
      </c>
      <c r="BI49" s="2188">
        <f t="shared" si="51"/>
        <v>0</v>
      </c>
      <c r="BJ49" s="2188">
        <f t="shared" si="51"/>
        <v>0</v>
      </c>
      <c r="BK49" s="2188">
        <f t="shared" si="51"/>
        <v>0</v>
      </c>
      <c r="BL49" s="2188">
        <f t="shared" si="51"/>
        <v>0</v>
      </c>
      <c r="BM49" s="2188">
        <f t="shared" si="51"/>
        <v>0</v>
      </c>
      <c r="BN49" s="2188">
        <f t="shared" si="51"/>
        <v>0</v>
      </c>
      <c r="BO49" s="2188">
        <f t="shared" si="51"/>
        <v>0</v>
      </c>
      <c r="BP49" s="2188">
        <f t="shared" si="51"/>
        <v>0</v>
      </c>
      <c r="BQ49" s="2188">
        <f t="shared" si="51"/>
        <v>0</v>
      </c>
      <c r="BS49" s="2183" t="s">
        <v>74</v>
      </c>
      <c r="BT49" s="2259">
        <f t="shared" ref="BT49:CZ49" si="52">SUM(BT37:BT48)</f>
        <v>0</v>
      </c>
      <c r="BU49" s="2180">
        <f t="shared" si="52"/>
        <v>0</v>
      </c>
      <c r="BV49" s="2180">
        <f t="shared" si="52"/>
        <v>0</v>
      </c>
      <c r="BW49" s="2180">
        <f t="shared" si="52"/>
        <v>0</v>
      </c>
      <c r="BX49" s="2180">
        <f t="shared" si="52"/>
        <v>0</v>
      </c>
      <c r="BY49" s="2180">
        <f t="shared" si="52"/>
        <v>0</v>
      </c>
      <c r="BZ49" s="2180">
        <f t="shared" si="52"/>
        <v>0</v>
      </c>
      <c r="CA49" s="2180">
        <f t="shared" si="52"/>
        <v>0</v>
      </c>
      <c r="CB49" s="2180">
        <f t="shared" si="52"/>
        <v>0</v>
      </c>
      <c r="CC49" s="2180">
        <f t="shared" si="52"/>
        <v>0</v>
      </c>
      <c r="CD49" s="2180">
        <f t="shared" si="52"/>
        <v>0</v>
      </c>
      <c r="CE49" s="2180">
        <f t="shared" si="52"/>
        <v>0</v>
      </c>
      <c r="CF49" s="2180">
        <f t="shared" si="52"/>
        <v>0</v>
      </c>
      <c r="CG49" s="2180">
        <f t="shared" si="52"/>
        <v>0</v>
      </c>
      <c r="CH49" s="2180">
        <f t="shared" si="52"/>
        <v>0</v>
      </c>
      <c r="CI49" s="2180">
        <f t="shared" si="52"/>
        <v>0</v>
      </c>
      <c r="CJ49" s="2180">
        <f t="shared" si="52"/>
        <v>0</v>
      </c>
      <c r="CK49" s="2180">
        <f t="shared" si="52"/>
        <v>0</v>
      </c>
      <c r="CL49" s="2180">
        <f t="shared" si="52"/>
        <v>0</v>
      </c>
      <c r="CM49" s="2180">
        <f t="shared" si="52"/>
        <v>0</v>
      </c>
      <c r="CN49" s="2180">
        <f t="shared" si="52"/>
        <v>0</v>
      </c>
      <c r="CO49" s="2180">
        <f t="shared" si="52"/>
        <v>0</v>
      </c>
      <c r="CP49" s="2180">
        <f t="shared" si="52"/>
        <v>0</v>
      </c>
      <c r="CQ49" s="2180">
        <f t="shared" si="52"/>
        <v>0</v>
      </c>
      <c r="CR49" s="2180">
        <f t="shared" si="52"/>
        <v>0</v>
      </c>
      <c r="CS49" s="2180">
        <f t="shared" si="52"/>
        <v>0</v>
      </c>
      <c r="CT49" s="2180">
        <f t="shared" si="52"/>
        <v>0</v>
      </c>
      <c r="CU49" s="2180">
        <f t="shared" si="52"/>
        <v>0</v>
      </c>
      <c r="CV49" s="2180">
        <f t="shared" si="52"/>
        <v>0</v>
      </c>
      <c r="CW49" s="2180">
        <f t="shared" si="52"/>
        <v>0</v>
      </c>
      <c r="CX49" s="2180">
        <f t="shared" si="52"/>
        <v>0</v>
      </c>
      <c r="CY49" s="2180">
        <f t="shared" si="52"/>
        <v>0</v>
      </c>
      <c r="CZ49" s="2180">
        <f t="shared" si="52"/>
        <v>0</v>
      </c>
      <c r="DB49" s="2174" t="s">
        <v>74</v>
      </c>
      <c r="DC49" s="2258">
        <f t="shared" ref="DC49:EI49" si="53">SUM(DC37:DC48)</f>
        <v>0</v>
      </c>
      <c r="DD49" s="2171">
        <f t="shared" si="53"/>
        <v>0</v>
      </c>
      <c r="DE49" s="2171">
        <f t="shared" si="53"/>
        <v>0</v>
      </c>
      <c r="DF49" s="2171">
        <f t="shared" si="53"/>
        <v>0</v>
      </c>
      <c r="DG49" s="2171">
        <f t="shared" si="53"/>
        <v>0</v>
      </c>
      <c r="DH49" s="2171">
        <f t="shared" si="53"/>
        <v>0</v>
      </c>
      <c r="DI49" s="2171">
        <f t="shared" si="53"/>
        <v>0</v>
      </c>
      <c r="DJ49" s="2171">
        <f t="shared" si="53"/>
        <v>0</v>
      </c>
      <c r="DK49" s="2171">
        <f t="shared" si="53"/>
        <v>0</v>
      </c>
      <c r="DL49" s="2171">
        <f t="shared" si="53"/>
        <v>0</v>
      </c>
      <c r="DM49" s="2171">
        <f t="shared" si="53"/>
        <v>0</v>
      </c>
      <c r="DN49" s="2171">
        <f t="shared" si="53"/>
        <v>0</v>
      </c>
      <c r="DO49" s="2171">
        <f t="shared" si="53"/>
        <v>0</v>
      </c>
      <c r="DP49" s="2171">
        <f t="shared" si="53"/>
        <v>0</v>
      </c>
      <c r="DQ49" s="2171">
        <f t="shared" si="53"/>
        <v>0</v>
      </c>
      <c r="DR49" s="2171">
        <f t="shared" si="53"/>
        <v>0</v>
      </c>
      <c r="DS49" s="2171">
        <f t="shared" si="53"/>
        <v>0</v>
      </c>
      <c r="DT49" s="2171">
        <f t="shared" si="53"/>
        <v>0</v>
      </c>
      <c r="DU49" s="2171">
        <f t="shared" si="53"/>
        <v>0</v>
      </c>
      <c r="DV49" s="2171">
        <f t="shared" si="53"/>
        <v>0</v>
      </c>
      <c r="DW49" s="2171">
        <f t="shared" si="53"/>
        <v>0</v>
      </c>
      <c r="DX49" s="2171">
        <f t="shared" si="53"/>
        <v>0</v>
      </c>
      <c r="DY49" s="2171">
        <f t="shared" si="53"/>
        <v>0</v>
      </c>
      <c r="DZ49" s="2171">
        <f t="shared" si="53"/>
        <v>0</v>
      </c>
      <c r="EA49" s="2171">
        <f t="shared" si="53"/>
        <v>0</v>
      </c>
      <c r="EB49" s="2171">
        <f t="shared" si="53"/>
        <v>0</v>
      </c>
      <c r="EC49" s="2171">
        <f t="shared" si="53"/>
        <v>0</v>
      </c>
      <c r="ED49" s="2171">
        <f t="shared" si="53"/>
        <v>0</v>
      </c>
      <c r="EE49" s="2171">
        <f t="shared" si="53"/>
        <v>0</v>
      </c>
      <c r="EF49" s="2171">
        <f t="shared" si="53"/>
        <v>0</v>
      </c>
      <c r="EG49" s="2171">
        <f t="shared" si="53"/>
        <v>0</v>
      </c>
      <c r="EH49" s="2171">
        <f t="shared" si="53"/>
        <v>0</v>
      </c>
      <c r="EI49" s="2171">
        <f t="shared" si="53"/>
        <v>0</v>
      </c>
    </row>
    <row r="50" spans="1:139" ht="15">
      <c r="A50" s="2124"/>
      <c r="B50" s="2124"/>
      <c r="C50" s="2124"/>
      <c r="D50" s="2124"/>
      <c r="E50" s="2124"/>
      <c r="F50" s="2124"/>
      <c r="G50" s="2124"/>
      <c r="H50" s="2124"/>
      <c r="I50" s="2124"/>
      <c r="J50" s="2124"/>
      <c r="K50" s="2124"/>
      <c r="L50" s="2124"/>
      <c r="M50" s="2124"/>
      <c r="N50" s="2124"/>
      <c r="O50" s="2124"/>
      <c r="P50" s="2124"/>
      <c r="Q50" s="2124"/>
      <c r="R50" s="2124"/>
      <c r="S50" s="2124"/>
      <c r="T50" s="2124"/>
      <c r="U50" s="2124"/>
      <c r="V50" s="2124"/>
      <c r="W50" s="2124"/>
      <c r="X50" s="2124"/>
      <c r="Y50" s="2124"/>
      <c r="Z50" s="2124"/>
      <c r="AA50" s="2124"/>
      <c r="AB50" s="2124"/>
      <c r="AC50" s="2124"/>
      <c r="AD50" s="2124"/>
      <c r="AE50" s="2124"/>
      <c r="AF50" s="2124"/>
      <c r="AG50" s="2124"/>
      <c r="AH50" s="2124"/>
      <c r="AJ50" s="2257"/>
      <c r="AK50" s="2256"/>
      <c r="AL50" s="2249"/>
      <c r="AM50" s="2249"/>
      <c r="AN50" s="2249"/>
      <c r="AO50" s="2249"/>
      <c r="AP50" s="2249"/>
      <c r="AQ50" s="2249"/>
      <c r="AR50" s="2249"/>
      <c r="AS50" s="2249"/>
      <c r="AT50" s="2249"/>
      <c r="AU50" s="2249"/>
      <c r="AV50" s="2249"/>
      <c r="AW50" s="2249"/>
      <c r="AX50" s="2249"/>
      <c r="AY50" s="2249"/>
      <c r="AZ50" s="2249"/>
      <c r="BA50" s="2249"/>
      <c r="BB50" s="2249"/>
      <c r="BC50" s="2249"/>
      <c r="BD50" s="2249"/>
      <c r="BE50" s="2249"/>
      <c r="BF50" s="2249"/>
      <c r="BG50" s="2249"/>
      <c r="BH50" s="2249"/>
      <c r="BI50" s="2249"/>
      <c r="BJ50" s="2249"/>
      <c r="BK50" s="2249"/>
      <c r="BL50" s="2249"/>
      <c r="BM50" s="2249"/>
      <c r="BN50" s="2249"/>
      <c r="BO50" s="2249"/>
      <c r="BP50" s="2249"/>
      <c r="BQ50" s="2249"/>
      <c r="BS50" s="2255"/>
      <c r="BT50" s="2254"/>
      <c r="BU50" s="2245"/>
      <c r="BV50" s="2245"/>
      <c r="BW50" s="2245"/>
      <c r="BX50" s="2245"/>
      <c r="BY50" s="2245"/>
      <c r="BZ50" s="2245"/>
      <c r="CA50" s="2245"/>
      <c r="CB50" s="2245"/>
      <c r="CC50" s="2245"/>
      <c r="CD50" s="2245"/>
      <c r="CE50" s="2245"/>
      <c r="CF50" s="2245"/>
      <c r="CG50" s="2245"/>
      <c r="CH50" s="2245"/>
      <c r="CI50" s="2245"/>
      <c r="CJ50" s="2245"/>
      <c r="CK50" s="2245"/>
      <c r="CL50" s="2245"/>
      <c r="CM50" s="2245"/>
      <c r="CN50" s="2245"/>
      <c r="CO50" s="2245"/>
      <c r="CP50" s="2245"/>
      <c r="CQ50" s="2245"/>
      <c r="CR50" s="2245"/>
      <c r="CS50" s="2245"/>
      <c r="CT50" s="2245"/>
      <c r="CU50" s="2245"/>
      <c r="CV50" s="2245"/>
      <c r="CW50" s="2245"/>
      <c r="CX50" s="2245"/>
      <c r="CY50" s="2245"/>
      <c r="CZ50" s="2245"/>
      <c r="DB50" s="2253"/>
      <c r="DC50" s="2252"/>
      <c r="DD50" s="2244"/>
      <c r="DE50" s="2244"/>
      <c r="DF50" s="2244"/>
      <c r="DG50" s="2244"/>
      <c r="DH50" s="2244"/>
      <c r="DI50" s="2244"/>
      <c r="DJ50" s="2244"/>
      <c r="DK50" s="2244"/>
      <c r="DL50" s="2244"/>
      <c r="DM50" s="2244"/>
      <c r="DN50" s="2244"/>
      <c r="DO50" s="2244"/>
      <c r="DP50" s="2244"/>
      <c r="DQ50" s="2244"/>
      <c r="DR50" s="2244"/>
      <c r="DS50" s="2244"/>
      <c r="DT50" s="2244"/>
      <c r="DU50" s="2244"/>
      <c r="DV50" s="2244"/>
      <c r="DW50" s="2244"/>
      <c r="DX50" s="2244"/>
      <c r="DY50" s="2244"/>
      <c r="DZ50" s="2244"/>
      <c r="EA50" s="2244"/>
      <c r="EB50" s="2244"/>
      <c r="EC50" s="2244"/>
      <c r="ED50" s="2244"/>
      <c r="EE50" s="2244"/>
      <c r="EF50" s="2244"/>
      <c r="EG50" s="2244"/>
      <c r="EH50" s="2244"/>
      <c r="EI50" s="2244"/>
    </row>
    <row r="51" spans="1:139" ht="15">
      <c r="A51" s="3781" t="s">
        <v>639</v>
      </c>
      <c r="B51" s="3782"/>
      <c r="C51" s="3783"/>
      <c r="D51" s="1433"/>
      <c r="E51" s="1433"/>
      <c r="F51" s="1433"/>
      <c r="G51" s="1433"/>
      <c r="H51" s="1433"/>
      <c r="I51" s="1433"/>
      <c r="J51" s="1433"/>
      <c r="K51" s="1433"/>
      <c r="L51" s="1433"/>
      <c r="M51" s="2274"/>
      <c r="N51" s="1433"/>
      <c r="O51" s="1433"/>
      <c r="P51" s="1433"/>
      <c r="Q51" s="1433"/>
      <c r="R51" s="1433"/>
      <c r="S51" s="1433"/>
      <c r="T51" s="1433"/>
      <c r="U51" s="1433"/>
      <c r="V51" s="1433"/>
      <c r="W51" s="1433"/>
      <c r="X51" s="1433"/>
      <c r="Y51" s="1433"/>
      <c r="Z51" s="1433"/>
      <c r="AA51" s="1433"/>
      <c r="AB51" s="1433"/>
      <c r="AC51" s="1433"/>
      <c r="AD51" s="1433"/>
      <c r="AE51" s="1433"/>
      <c r="AF51" s="1433"/>
      <c r="AG51" s="1433"/>
      <c r="AH51" s="1433"/>
      <c r="AJ51" s="3585" t="s">
        <v>639</v>
      </c>
      <c r="AK51" s="3586"/>
      <c r="AL51" s="3587"/>
      <c r="AM51" s="2193"/>
      <c r="AN51" s="2193"/>
      <c r="AO51" s="2193"/>
      <c r="AP51" s="2193"/>
      <c r="AQ51" s="2193"/>
      <c r="AR51" s="2193"/>
      <c r="AS51" s="2193"/>
      <c r="AT51" s="2193"/>
      <c r="AU51" s="2193"/>
      <c r="AV51" s="2194"/>
      <c r="AW51" s="2193"/>
      <c r="AX51" s="2193"/>
      <c r="AY51" s="2193"/>
      <c r="AZ51" s="2193"/>
      <c r="BA51" s="2193"/>
      <c r="BB51" s="2193"/>
      <c r="BC51" s="2193"/>
      <c r="BD51" s="2193"/>
      <c r="BE51" s="2193"/>
      <c r="BF51" s="2193"/>
      <c r="BG51" s="2193"/>
      <c r="BH51" s="2193"/>
      <c r="BI51" s="2193"/>
      <c r="BJ51" s="2193"/>
      <c r="BK51" s="2193"/>
      <c r="BL51" s="2193"/>
      <c r="BM51" s="2193"/>
      <c r="BN51" s="2193"/>
      <c r="BO51" s="2193"/>
      <c r="BP51" s="2193"/>
      <c r="BQ51" s="2193"/>
      <c r="BS51" s="3772" t="s">
        <v>639</v>
      </c>
      <c r="BT51" s="3773"/>
      <c r="BU51" s="3774"/>
      <c r="BV51" s="2185"/>
      <c r="BW51" s="2185"/>
      <c r="BX51" s="2185"/>
      <c r="BY51" s="2185"/>
      <c r="BZ51" s="2185"/>
      <c r="CA51" s="2185"/>
      <c r="CB51" s="2185"/>
      <c r="CC51" s="2185"/>
      <c r="CD51" s="2185"/>
      <c r="CE51" s="2186"/>
      <c r="CF51" s="2185"/>
      <c r="CG51" s="2185"/>
      <c r="CH51" s="2185"/>
      <c r="CI51" s="2185"/>
      <c r="CJ51" s="2185"/>
      <c r="CK51" s="2185"/>
      <c r="CL51" s="2185"/>
      <c r="CM51" s="2185"/>
      <c r="CN51" s="2185"/>
      <c r="CO51" s="2185"/>
      <c r="CP51" s="2185"/>
      <c r="CQ51" s="2185"/>
      <c r="CR51" s="2185"/>
      <c r="CS51" s="2185"/>
      <c r="CT51" s="2185"/>
      <c r="CU51" s="2185"/>
      <c r="CV51" s="2185"/>
      <c r="CW51" s="2185"/>
      <c r="CX51" s="2185"/>
      <c r="CY51" s="2185"/>
      <c r="CZ51" s="2185"/>
      <c r="DB51" s="3775" t="s">
        <v>639</v>
      </c>
      <c r="DC51" s="3776"/>
      <c r="DD51" s="3777"/>
      <c r="DE51" s="2177"/>
      <c r="DF51" s="2177"/>
      <c r="DG51" s="2177"/>
      <c r="DH51" s="2177"/>
      <c r="DI51" s="2177"/>
      <c r="DJ51" s="2177"/>
      <c r="DK51" s="2177"/>
      <c r="DL51" s="2177"/>
      <c r="DM51" s="2177"/>
      <c r="DN51" s="2178"/>
      <c r="DO51" s="2177"/>
      <c r="DP51" s="2177"/>
      <c r="DQ51" s="2177"/>
      <c r="DR51" s="2177"/>
      <c r="DS51" s="2177"/>
      <c r="DT51" s="2177"/>
      <c r="DU51" s="2177"/>
      <c r="DV51" s="2177"/>
      <c r="DW51" s="2177"/>
      <c r="DX51" s="2177"/>
      <c r="DY51" s="2177"/>
      <c r="DZ51" s="2177"/>
      <c r="EA51" s="2177"/>
      <c r="EB51" s="2177"/>
      <c r="EC51" s="2177"/>
      <c r="ED51" s="2177"/>
      <c r="EE51" s="2177"/>
      <c r="EF51" s="2177"/>
      <c r="EG51" s="2177"/>
      <c r="EH51" s="2177"/>
      <c r="EI51" s="2177"/>
    </row>
    <row r="52" spans="1:139" ht="15">
      <c r="A52" s="1249" t="s">
        <v>72</v>
      </c>
      <c r="B52" s="1249" t="s">
        <v>73</v>
      </c>
      <c r="C52" s="1249">
        <v>1</v>
      </c>
      <c r="D52" s="1249">
        <v>2</v>
      </c>
      <c r="E52" s="1249">
        <v>3</v>
      </c>
      <c r="F52" s="1249">
        <v>4</v>
      </c>
      <c r="G52" s="1249">
        <v>5</v>
      </c>
      <c r="H52" s="1249">
        <v>6</v>
      </c>
      <c r="I52" s="1249">
        <v>7</v>
      </c>
      <c r="J52" s="1249">
        <v>8</v>
      </c>
      <c r="K52" s="1249">
        <v>9</v>
      </c>
      <c r="L52" s="1249">
        <v>10</v>
      </c>
      <c r="M52" s="1249">
        <v>11</v>
      </c>
      <c r="N52" s="1249">
        <v>12</v>
      </c>
      <c r="O52" s="1249">
        <v>13</v>
      </c>
      <c r="P52" s="1249">
        <v>14</v>
      </c>
      <c r="Q52" s="1249">
        <v>15</v>
      </c>
      <c r="R52" s="1249">
        <v>16</v>
      </c>
      <c r="S52" s="1249">
        <v>17</v>
      </c>
      <c r="T52" s="1249">
        <v>18</v>
      </c>
      <c r="U52" s="1249">
        <v>19</v>
      </c>
      <c r="V52" s="1249">
        <v>20</v>
      </c>
      <c r="W52" s="1249">
        <v>21</v>
      </c>
      <c r="X52" s="1249">
        <v>22</v>
      </c>
      <c r="Y52" s="1249">
        <v>23</v>
      </c>
      <c r="Z52" s="1249">
        <v>24</v>
      </c>
      <c r="AA52" s="1249">
        <v>25</v>
      </c>
      <c r="AB52" s="1249">
        <v>26</v>
      </c>
      <c r="AC52" s="1249">
        <v>27</v>
      </c>
      <c r="AD52" s="1249">
        <v>28</v>
      </c>
      <c r="AE52" s="1249">
        <v>29</v>
      </c>
      <c r="AF52" s="1249">
        <v>30</v>
      </c>
      <c r="AG52" s="1249">
        <v>31</v>
      </c>
      <c r="AH52" s="1820" t="s">
        <v>74</v>
      </c>
      <c r="AJ52" s="1746" t="s">
        <v>72</v>
      </c>
      <c r="AK52" s="1746" t="s">
        <v>73</v>
      </c>
      <c r="AL52" s="1746">
        <v>1</v>
      </c>
      <c r="AM52" s="1746">
        <v>2</v>
      </c>
      <c r="AN52" s="1746">
        <v>3</v>
      </c>
      <c r="AO52" s="1746">
        <v>4</v>
      </c>
      <c r="AP52" s="1746">
        <v>5</v>
      </c>
      <c r="AQ52" s="1746">
        <v>6</v>
      </c>
      <c r="AR52" s="1746">
        <v>7</v>
      </c>
      <c r="AS52" s="1746">
        <v>8</v>
      </c>
      <c r="AT52" s="1746">
        <v>9</v>
      </c>
      <c r="AU52" s="1746">
        <v>10</v>
      </c>
      <c r="AV52" s="1746">
        <v>11</v>
      </c>
      <c r="AW52" s="1746">
        <v>12</v>
      </c>
      <c r="AX52" s="1746">
        <v>13</v>
      </c>
      <c r="AY52" s="1746">
        <v>14</v>
      </c>
      <c r="AZ52" s="1746">
        <v>15</v>
      </c>
      <c r="BA52" s="1746">
        <v>16</v>
      </c>
      <c r="BB52" s="1746">
        <v>17</v>
      </c>
      <c r="BC52" s="1746">
        <v>18</v>
      </c>
      <c r="BD52" s="1746">
        <v>19</v>
      </c>
      <c r="BE52" s="1746">
        <v>20</v>
      </c>
      <c r="BF52" s="1746">
        <v>21</v>
      </c>
      <c r="BG52" s="1746">
        <v>22</v>
      </c>
      <c r="BH52" s="1746">
        <v>23</v>
      </c>
      <c r="BI52" s="1746">
        <v>24</v>
      </c>
      <c r="BJ52" s="1746">
        <v>25</v>
      </c>
      <c r="BK52" s="1746">
        <v>26</v>
      </c>
      <c r="BL52" s="1746">
        <v>27</v>
      </c>
      <c r="BM52" s="1746">
        <v>28</v>
      </c>
      <c r="BN52" s="1746">
        <v>29</v>
      </c>
      <c r="BO52" s="1746">
        <v>30</v>
      </c>
      <c r="BP52" s="1746">
        <v>31</v>
      </c>
      <c r="BQ52" s="2192" t="s">
        <v>74</v>
      </c>
      <c r="BS52" s="1845" t="s">
        <v>72</v>
      </c>
      <c r="BT52" s="1845" t="s">
        <v>73</v>
      </c>
      <c r="BU52" s="1845">
        <v>1</v>
      </c>
      <c r="BV52" s="1845">
        <v>2</v>
      </c>
      <c r="BW52" s="1845">
        <v>3</v>
      </c>
      <c r="BX52" s="1845">
        <v>4</v>
      </c>
      <c r="BY52" s="1845">
        <v>5</v>
      </c>
      <c r="BZ52" s="1845">
        <v>6</v>
      </c>
      <c r="CA52" s="1845">
        <v>7</v>
      </c>
      <c r="CB52" s="1845">
        <v>8</v>
      </c>
      <c r="CC52" s="1845">
        <v>9</v>
      </c>
      <c r="CD52" s="1845">
        <v>10</v>
      </c>
      <c r="CE52" s="1845">
        <v>11</v>
      </c>
      <c r="CF52" s="1845">
        <v>12</v>
      </c>
      <c r="CG52" s="1845">
        <v>13</v>
      </c>
      <c r="CH52" s="1845">
        <v>14</v>
      </c>
      <c r="CI52" s="1845">
        <v>15</v>
      </c>
      <c r="CJ52" s="1845">
        <v>16</v>
      </c>
      <c r="CK52" s="1845">
        <v>17</v>
      </c>
      <c r="CL52" s="1845">
        <v>18</v>
      </c>
      <c r="CM52" s="1845">
        <v>19</v>
      </c>
      <c r="CN52" s="1845">
        <v>20</v>
      </c>
      <c r="CO52" s="1845">
        <v>21</v>
      </c>
      <c r="CP52" s="1845">
        <v>22</v>
      </c>
      <c r="CQ52" s="1845">
        <v>23</v>
      </c>
      <c r="CR52" s="1845">
        <v>24</v>
      </c>
      <c r="CS52" s="1845">
        <v>25</v>
      </c>
      <c r="CT52" s="1845">
        <v>26</v>
      </c>
      <c r="CU52" s="1845">
        <v>27</v>
      </c>
      <c r="CV52" s="1845">
        <v>28</v>
      </c>
      <c r="CW52" s="1845">
        <v>29</v>
      </c>
      <c r="CX52" s="1845">
        <v>30</v>
      </c>
      <c r="CY52" s="1845">
        <v>31</v>
      </c>
      <c r="CZ52" s="2184" t="s">
        <v>74</v>
      </c>
      <c r="DB52" s="1962" t="s">
        <v>72</v>
      </c>
      <c r="DC52" s="1962" t="s">
        <v>73</v>
      </c>
      <c r="DD52" s="1962">
        <v>1</v>
      </c>
      <c r="DE52" s="1962">
        <v>2</v>
      </c>
      <c r="DF52" s="1962">
        <v>3</v>
      </c>
      <c r="DG52" s="1962">
        <v>4</v>
      </c>
      <c r="DH52" s="1962">
        <v>5</v>
      </c>
      <c r="DI52" s="1962">
        <v>6</v>
      </c>
      <c r="DJ52" s="1962">
        <v>7</v>
      </c>
      <c r="DK52" s="1962">
        <v>8</v>
      </c>
      <c r="DL52" s="1962">
        <v>9</v>
      </c>
      <c r="DM52" s="1962">
        <v>10</v>
      </c>
      <c r="DN52" s="1962">
        <v>11</v>
      </c>
      <c r="DO52" s="1962">
        <v>12</v>
      </c>
      <c r="DP52" s="1962">
        <v>13</v>
      </c>
      <c r="DQ52" s="1962">
        <v>14</v>
      </c>
      <c r="DR52" s="1962">
        <v>15</v>
      </c>
      <c r="DS52" s="1962">
        <v>16</v>
      </c>
      <c r="DT52" s="1962">
        <v>17</v>
      </c>
      <c r="DU52" s="1962">
        <v>18</v>
      </c>
      <c r="DV52" s="1962">
        <v>19</v>
      </c>
      <c r="DW52" s="1962">
        <v>20</v>
      </c>
      <c r="DX52" s="1962">
        <v>21</v>
      </c>
      <c r="DY52" s="1962">
        <v>22</v>
      </c>
      <c r="DZ52" s="1962">
        <v>23</v>
      </c>
      <c r="EA52" s="1962">
        <v>24</v>
      </c>
      <c r="EB52" s="1962">
        <v>25</v>
      </c>
      <c r="EC52" s="1962">
        <v>26</v>
      </c>
      <c r="ED52" s="1962">
        <v>27</v>
      </c>
      <c r="EE52" s="1962">
        <v>28</v>
      </c>
      <c r="EF52" s="1962">
        <v>29</v>
      </c>
      <c r="EG52" s="1962">
        <v>30</v>
      </c>
      <c r="EH52" s="1962">
        <v>31</v>
      </c>
      <c r="EI52" s="2176" t="s">
        <v>74</v>
      </c>
    </row>
    <row r="53" spans="1:139" ht="15">
      <c r="A53" s="1249" t="s">
        <v>75</v>
      </c>
      <c r="B53" s="1287">
        <f t="shared" ref="B53:B64" si="54">+AH53</f>
        <v>0</v>
      </c>
      <c r="C53" s="1761"/>
      <c r="D53" s="1761"/>
      <c r="E53" s="1761"/>
      <c r="F53" s="1761"/>
      <c r="G53" s="1761"/>
      <c r="H53" s="1761"/>
      <c r="I53" s="1761"/>
      <c r="J53" s="1761"/>
      <c r="K53" s="1761"/>
      <c r="L53" s="1761"/>
      <c r="M53" s="1761"/>
      <c r="N53" s="1761"/>
      <c r="O53" s="1761"/>
      <c r="P53" s="1761"/>
      <c r="Q53" s="1761"/>
      <c r="R53" s="1761"/>
      <c r="S53" s="1761"/>
      <c r="T53" s="1761"/>
      <c r="U53" s="1761"/>
      <c r="V53" s="1761"/>
      <c r="W53" s="1761"/>
      <c r="X53" s="1761"/>
      <c r="Y53" s="1761"/>
      <c r="Z53" s="1761"/>
      <c r="AA53" s="1761"/>
      <c r="AB53" s="1761"/>
      <c r="AC53" s="1761"/>
      <c r="AD53" s="1761"/>
      <c r="AE53" s="1761"/>
      <c r="AF53" s="1761"/>
      <c r="AG53" s="1761"/>
      <c r="AH53" s="1488">
        <f t="shared" ref="AH53:AH64" si="55">SUM(C53:AG53)</f>
        <v>0</v>
      </c>
      <c r="AJ53" s="1746" t="s">
        <v>75</v>
      </c>
      <c r="AK53" s="1749">
        <f t="shared" ref="AK53:AK64" si="56">+BQ53</f>
        <v>0</v>
      </c>
      <c r="AL53" s="2189"/>
      <c r="AM53" s="2189"/>
      <c r="AN53" s="2189"/>
      <c r="AO53" s="2189"/>
      <c r="AP53" s="2189"/>
      <c r="AQ53" s="2189"/>
      <c r="AR53" s="2189"/>
      <c r="AS53" s="2189"/>
      <c r="AT53" s="2189"/>
      <c r="AU53" s="2189"/>
      <c r="AV53" s="2189"/>
      <c r="AW53" s="2189"/>
      <c r="AX53" s="2226"/>
      <c r="AY53" s="2226"/>
      <c r="AZ53" s="2226"/>
      <c r="BA53" s="2226"/>
      <c r="BB53" s="2226"/>
      <c r="BC53" s="2226"/>
      <c r="BD53" s="2226"/>
      <c r="BE53" s="2226"/>
      <c r="BF53" s="2226"/>
      <c r="BG53" s="2226"/>
      <c r="BH53" s="2226"/>
      <c r="BI53" s="2226"/>
      <c r="BJ53" s="2189"/>
      <c r="BK53" s="2189"/>
      <c r="BL53" s="2189"/>
      <c r="BM53" s="2189"/>
      <c r="BN53" s="2189"/>
      <c r="BO53" s="2189"/>
      <c r="BP53" s="2189"/>
      <c r="BQ53" s="2188">
        <f t="shared" ref="BQ53:BQ64" si="57">SUM(AL53:BP53)</f>
        <v>0</v>
      </c>
      <c r="BS53" s="1845" t="s">
        <v>75</v>
      </c>
      <c r="BT53" s="1846">
        <f t="shared" ref="BT53:BT64" si="58">+CZ53</f>
        <v>0</v>
      </c>
      <c r="BU53" s="2225"/>
      <c r="BV53" s="2225"/>
      <c r="BW53" s="2225"/>
      <c r="BX53" s="2225"/>
      <c r="BY53" s="2225"/>
      <c r="BZ53" s="2225"/>
      <c r="CA53" s="2225"/>
      <c r="CB53" s="2225"/>
      <c r="CC53" s="2225"/>
      <c r="CD53" s="2225"/>
      <c r="CE53" s="2225"/>
      <c r="CF53" s="2225"/>
      <c r="CG53" s="2181"/>
      <c r="CH53" s="2181"/>
      <c r="CI53" s="2181"/>
      <c r="CJ53" s="2181"/>
      <c r="CK53" s="2181"/>
      <c r="CL53" s="2181"/>
      <c r="CM53" s="2181"/>
      <c r="CN53" s="2181"/>
      <c r="CO53" s="2181"/>
      <c r="CP53" s="2181"/>
      <c r="CQ53" s="2181"/>
      <c r="CR53" s="2181"/>
      <c r="CS53" s="2181"/>
      <c r="CT53" s="2181"/>
      <c r="CU53" s="2181"/>
      <c r="CV53" s="2181"/>
      <c r="CW53" s="2181"/>
      <c r="CX53" s="2181"/>
      <c r="CY53" s="2181"/>
      <c r="CZ53" s="2180">
        <f t="shared" ref="CZ53:CZ64" si="59">SUM(BU53:CY53)</f>
        <v>0</v>
      </c>
      <c r="DB53" s="1962" t="s">
        <v>75</v>
      </c>
      <c r="DC53" s="2175">
        <f t="shared" ref="DC53:DC64" si="60">+EI53</f>
        <v>0</v>
      </c>
      <c r="DD53" s="2172"/>
      <c r="DE53" s="2172"/>
      <c r="DF53" s="2172"/>
      <c r="DG53" s="2172"/>
      <c r="DH53" s="2172"/>
      <c r="DI53" s="2172"/>
      <c r="DJ53" s="2172"/>
      <c r="DK53" s="2172"/>
      <c r="DL53" s="2172"/>
      <c r="DM53" s="2172"/>
      <c r="DN53" s="2172"/>
      <c r="DO53" s="2172"/>
      <c r="DP53" s="2172"/>
      <c r="DQ53" s="2172"/>
      <c r="DR53" s="2172"/>
      <c r="DS53" s="2172"/>
      <c r="DT53" s="2172"/>
      <c r="DU53" s="2172"/>
      <c r="DV53" s="2172"/>
      <c r="DW53" s="2172"/>
      <c r="DX53" s="2172"/>
      <c r="DY53" s="2172"/>
      <c r="DZ53" s="2172"/>
      <c r="EA53" s="2172"/>
      <c r="EB53" s="2172"/>
      <c r="EC53" s="2172"/>
      <c r="ED53" s="2172"/>
      <c r="EE53" s="2172"/>
      <c r="EF53" s="2172"/>
      <c r="EG53" s="2172"/>
      <c r="EH53" s="2172"/>
      <c r="EI53" s="2171">
        <f t="shared" ref="EI53:EI64" si="61">SUM(DD53:EH53)</f>
        <v>0</v>
      </c>
    </row>
    <row r="54" spans="1:139" ht="15">
      <c r="A54" s="1249" t="s">
        <v>76</v>
      </c>
      <c r="B54" s="1287">
        <f t="shared" si="54"/>
        <v>0</v>
      </c>
      <c r="C54" s="1761"/>
      <c r="D54" s="1762"/>
      <c r="E54" s="1762"/>
      <c r="F54" s="1762"/>
      <c r="G54" s="1762"/>
      <c r="H54" s="1762"/>
      <c r="I54" s="1762"/>
      <c r="J54" s="1762"/>
      <c r="K54" s="1762"/>
      <c r="L54" s="1762"/>
      <c r="M54" s="1762"/>
      <c r="N54" s="1762"/>
      <c r="O54" s="1762"/>
      <c r="P54" s="1762"/>
      <c r="Q54" s="1762"/>
      <c r="R54" s="1762"/>
      <c r="S54" s="1762"/>
      <c r="T54" s="1762"/>
      <c r="U54" s="1762"/>
      <c r="V54" s="1762"/>
      <c r="W54" s="1762"/>
      <c r="X54" s="1762"/>
      <c r="Y54" s="1761"/>
      <c r="Z54" s="1761"/>
      <c r="AA54" s="1761"/>
      <c r="AB54" s="1761"/>
      <c r="AC54" s="1761"/>
      <c r="AD54" s="1761"/>
      <c r="AE54" s="1761"/>
      <c r="AF54" s="1761"/>
      <c r="AG54" s="1761"/>
      <c r="AH54" s="1488">
        <f t="shared" si="55"/>
        <v>0</v>
      </c>
      <c r="AJ54" s="1746" t="s">
        <v>76</v>
      </c>
      <c r="AK54" s="1749">
        <f t="shared" si="56"/>
        <v>0</v>
      </c>
      <c r="AL54" s="2189"/>
      <c r="AM54" s="2243"/>
      <c r="AN54" s="2243"/>
      <c r="AO54" s="2243"/>
      <c r="AP54" s="2243"/>
      <c r="AQ54" s="2243"/>
      <c r="AR54" s="2243"/>
      <c r="AS54" s="2243"/>
      <c r="AT54" s="2243"/>
      <c r="AU54" s="2243"/>
      <c r="AV54" s="2243"/>
      <c r="AW54" s="2243"/>
      <c r="AX54" s="2226"/>
      <c r="AY54" s="2226"/>
      <c r="AZ54" s="2226"/>
      <c r="BA54" s="2226"/>
      <c r="BB54" s="2226"/>
      <c r="BC54" s="2226"/>
      <c r="BD54" s="2226"/>
      <c r="BE54" s="2226"/>
      <c r="BF54" s="2226"/>
      <c r="BG54" s="2226"/>
      <c r="BH54" s="2226"/>
      <c r="BI54" s="2226"/>
      <c r="BJ54" s="2189"/>
      <c r="BK54" s="2189"/>
      <c r="BL54" s="2189"/>
      <c r="BM54" s="2189"/>
      <c r="BN54" s="2189"/>
      <c r="BO54" s="2189"/>
      <c r="BP54" s="2189"/>
      <c r="BQ54" s="2188">
        <f t="shared" si="57"/>
        <v>0</v>
      </c>
      <c r="BS54" s="1845" t="s">
        <v>76</v>
      </c>
      <c r="BT54" s="1846">
        <f t="shared" si="58"/>
        <v>0</v>
      </c>
      <c r="BU54" s="2225"/>
      <c r="BV54" s="2225"/>
      <c r="BW54" s="2225"/>
      <c r="BX54" s="2225"/>
      <c r="BY54" s="2225"/>
      <c r="BZ54" s="2225"/>
      <c r="CA54" s="2225"/>
      <c r="CB54" s="2225"/>
      <c r="CC54" s="2225"/>
      <c r="CD54" s="2225"/>
      <c r="CE54" s="2225"/>
      <c r="CF54" s="2225"/>
      <c r="CG54" s="2224"/>
      <c r="CH54" s="2224"/>
      <c r="CI54" s="2224"/>
      <c r="CJ54" s="2224"/>
      <c r="CK54" s="2224"/>
      <c r="CL54" s="2224"/>
      <c r="CM54" s="2224"/>
      <c r="CN54" s="2224"/>
      <c r="CO54" s="2224"/>
      <c r="CP54" s="2224"/>
      <c r="CQ54" s="2181"/>
      <c r="CR54" s="2181"/>
      <c r="CS54" s="2181"/>
      <c r="CT54" s="2181"/>
      <c r="CU54" s="2181"/>
      <c r="CV54" s="2181"/>
      <c r="CW54" s="2181"/>
      <c r="CX54" s="2181"/>
      <c r="CY54" s="2181"/>
      <c r="CZ54" s="2180">
        <f t="shared" si="59"/>
        <v>0</v>
      </c>
      <c r="DB54" s="1962" t="s">
        <v>76</v>
      </c>
      <c r="DC54" s="2175">
        <f t="shared" si="60"/>
        <v>0</v>
      </c>
      <c r="DD54" s="2172"/>
      <c r="DE54" s="2223"/>
      <c r="DF54" s="2223"/>
      <c r="DG54" s="2223"/>
      <c r="DH54" s="2223"/>
      <c r="DI54" s="2223"/>
      <c r="DJ54" s="2223"/>
      <c r="DK54" s="2223"/>
      <c r="DL54" s="2223"/>
      <c r="DM54" s="2223"/>
      <c r="DN54" s="2223"/>
      <c r="DO54" s="2223"/>
      <c r="DP54" s="2223"/>
      <c r="DQ54" s="2223"/>
      <c r="DR54" s="2223"/>
      <c r="DS54" s="2223"/>
      <c r="DT54" s="2223"/>
      <c r="DU54" s="2223"/>
      <c r="DV54" s="2223"/>
      <c r="DW54" s="2223"/>
      <c r="DX54" s="2223"/>
      <c r="DY54" s="2223"/>
      <c r="DZ54" s="2172"/>
      <c r="EA54" s="2172"/>
      <c r="EB54" s="2172"/>
      <c r="EC54" s="2172"/>
      <c r="ED54" s="2172"/>
      <c r="EE54" s="2172"/>
      <c r="EF54" s="2172"/>
      <c r="EG54" s="2172"/>
      <c r="EH54" s="2172"/>
      <c r="EI54" s="2171">
        <f t="shared" si="61"/>
        <v>0</v>
      </c>
    </row>
    <row r="55" spans="1:139" ht="15.75">
      <c r="A55" s="1249" t="s">
        <v>77</v>
      </c>
      <c r="B55" s="1287">
        <f t="shared" si="54"/>
        <v>0</v>
      </c>
      <c r="C55" s="2279"/>
      <c r="D55" s="2279"/>
      <c r="E55" s="2290"/>
      <c r="F55" s="2289"/>
      <c r="G55" s="2288"/>
      <c r="H55" s="2280"/>
      <c r="I55" s="2280"/>
      <c r="J55" s="2279"/>
      <c r="K55" s="2279"/>
      <c r="L55" s="2279"/>
      <c r="M55" s="2279"/>
      <c r="N55" s="2279"/>
      <c r="O55" s="2279"/>
      <c r="P55" s="2280"/>
      <c r="Q55" s="2280"/>
      <c r="R55" s="2280"/>
      <c r="S55" s="2280"/>
      <c r="T55" s="2280"/>
      <c r="U55" s="2280"/>
      <c r="V55" s="2280"/>
      <c r="W55" s="2280"/>
      <c r="X55" s="2280"/>
      <c r="Y55" s="2280"/>
      <c r="Z55" s="2280"/>
      <c r="AA55" s="2280"/>
      <c r="AB55" s="2280"/>
      <c r="AC55" s="2280"/>
      <c r="AD55" s="2280"/>
      <c r="AE55" s="2287"/>
      <c r="AF55" s="2279"/>
      <c r="AG55" s="2279"/>
      <c r="AH55" s="1488">
        <f t="shared" si="55"/>
        <v>0</v>
      </c>
      <c r="AJ55" s="1746" t="s">
        <v>77</v>
      </c>
      <c r="AK55" s="1749">
        <f t="shared" si="56"/>
        <v>0</v>
      </c>
      <c r="AL55" s="2232"/>
      <c r="AM55" s="2232"/>
      <c r="AN55" s="2242"/>
      <c r="AO55" s="2241"/>
      <c r="AP55" s="2240"/>
      <c r="AQ55" s="2233"/>
      <c r="AR55" s="2233"/>
      <c r="AS55" s="2232"/>
      <c r="AT55" s="2232"/>
      <c r="AU55" s="2232"/>
      <c r="AV55" s="2232"/>
      <c r="AW55" s="2232"/>
      <c r="AX55" s="2226"/>
      <c r="AY55" s="2226"/>
      <c r="AZ55" s="2226"/>
      <c r="BA55" s="2226"/>
      <c r="BB55" s="2226"/>
      <c r="BC55" s="2226"/>
      <c r="BD55" s="2226"/>
      <c r="BE55" s="2226"/>
      <c r="BF55" s="2226"/>
      <c r="BG55" s="2226"/>
      <c r="BH55" s="2226"/>
      <c r="BI55" s="2226"/>
      <c r="BJ55" s="2233"/>
      <c r="BK55" s="2233"/>
      <c r="BL55" s="2233"/>
      <c r="BM55" s="2233"/>
      <c r="BN55" s="2286"/>
      <c r="BO55" s="2232"/>
      <c r="BP55" s="2232"/>
      <c r="BQ55" s="2188">
        <f t="shared" si="57"/>
        <v>0</v>
      </c>
      <c r="BS55" s="1845" t="s">
        <v>77</v>
      </c>
      <c r="BT55" s="1846">
        <f t="shared" si="58"/>
        <v>0</v>
      </c>
      <c r="BU55" s="2225"/>
      <c r="BV55" s="2225"/>
      <c r="BW55" s="2225"/>
      <c r="BX55" s="2225"/>
      <c r="BY55" s="2225"/>
      <c r="BZ55" s="2225"/>
      <c r="CA55" s="2225"/>
      <c r="CB55" s="2225"/>
      <c r="CC55" s="2225"/>
      <c r="CD55" s="2225"/>
      <c r="CE55" s="2225"/>
      <c r="CF55" s="2225"/>
      <c r="CG55" s="2216"/>
      <c r="CH55" s="2217"/>
      <c r="CI55" s="2217"/>
      <c r="CJ55" s="2217"/>
      <c r="CK55" s="2217"/>
      <c r="CL55" s="2217"/>
      <c r="CM55" s="2217"/>
      <c r="CN55" s="2217"/>
      <c r="CO55" s="2217"/>
      <c r="CP55" s="2217"/>
      <c r="CQ55" s="2217"/>
      <c r="CR55" s="2217"/>
      <c r="CS55" s="2217"/>
      <c r="CT55" s="2217"/>
      <c r="CU55" s="2217"/>
      <c r="CV55" s="2217"/>
      <c r="CW55" s="2222"/>
      <c r="CX55" s="2216"/>
      <c r="CY55" s="2216"/>
      <c r="CZ55" s="2180">
        <f t="shared" si="59"/>
        <v>0</v>
      </c>
      <c r="DB55" s="1962" t="s">
        <v>77</v>
      </c>
      <c r="DC55" s="2175">
        <f t="shared" si="60"/>
        <v>0</v>
      </c>
      <c r="DD55" s="2208"/>
      <c r="DE55" s="2208"/>
      <c r="DF55" s="2221"/>
      <c r="DG55" s="2220"/>
      <c r="DH55" s="2219"/>
      <c r="DI55" s="2209"/>
      <c r="DJ55" s="2209"/>
      <c r="DK55" s="2208"/>
      <c r="DL55" s="2208"/>
      <c r="DM55" s="2208"/>
      <c r="DN55" s="2208"/>
      <c r="DO55" s="2208"/>
      <c r="DP55" s="2208"/>
      <c r="DQ55" s="2209"/>
      <c r="DR55" s="2209"/>
      <c r="DS55" s="2209"/>
      <c r="DT55" s="2209"/>
      <c r="DU55" s="2209"/>
      <c r="DV55" s="2209"/>
      <c r="DW55" s="2209"/>
      <c r="DX55" s="2209"/>
      <c r="DY55" s="2209"/>
      <c r="DZ55" s="2209"/>
      <c r="EA55" s="2209"/>
      <c r="EB55" s="2209"/>
      <c r="EC55" s="2209"/>
      <c r="ED55" s="2209"/>
      <c r="EE55" s="2209"/>
      <c r="EF55" s="2218"/>
      <c r="EG55" s="2208"/>
      <c r="EH55" s="2208"/>
      <c r="EI55" s="2171">
        <f t="shared" si="61"/>
        <v>0</v>
      </c>
    </row>
    <row r="56" spans="1:139" ht="15">
      <c r="A56" s="1249" t="s">
        <v>78</v>
      </c>
      <c r="B56" s="1287">
        <f t="shared" si="54"/>
        <v>0</v>
      </c>
      <c r="C56" s="2285"/>
      <c r="D56" s="1393"/>
      <c r="E56" s="2284"/>
      <c r="F56" s="2283"/>
      <c r="G56" s="2282"/>
      <c r="H56" s="2281"/>
      <c r="I56" s="2280"/>
      <c r="J56" s="2280"/>
      <c r="K56" s="2280"/>
      <c r="L56" s="2280"/>
      <c r="M56" s="2279"/>
      <c r="N56" s="2279"/>
      <c r="O56" s="2279"/>
      <c r="P56" s="2279"/>
      <c r="Q56" s="2280"/>
      <c r="R56" s="2280"/>
      <c r="S56" s="2280"/>
      <c r="T56" s="2280"/>
      <c r="U56" s="2279"/>
      <c r="V56" s="2280"/>
      <c r="W56" s="2280"/>
      <c r="X56" s="2280"/>
      <c r="Y56" s="2280"/>
      <c r="Z56" s="2280"/>
      <c r="AA56" s="2280"/>
      <c r="AB56" s="2280"/>
      <c r="AC56" s="2279"/>
      <c r="AD56" s="2280"/>
      <c r="AE56" s="2280"/>
      <c r="AF56" s="2279"/>
      <c r="AG56" s="2279"/>
      <c r="AH56" s="1488">
        <f t="shared" si="55"/>
        <v>0</v>
      </c>
      <c r="AJ56" s="1746" t="s">
        <v>78</v>
      </c>
      <c r="AK56" s="1749">
        <f t="shared" si="56"/>
        <v>0</v>
      </c>
      <c r="AL56" s="2239"/>
      <c r="AM56" s="2238"/>
      <c r="AN56" s="2237"/>
      <c r="AO56" s="2236"/>
      <c r="AP56" s="2235"/>
      <c r="AQ56" s="2234"/>
      <c r="AR56" s="2233"/>
      <c r="AS56" s="2233"/>
      <c r="AT56" s="2233"/>
      <c r="AU56" s="2233"/>
      <c r="AV56" s="2232"/>
      <c r="AW56" s="2232"/>
      <c r="AX56" s="2231"/>
      <c r="AY56" s="2231"/>
      <c r="AZ56" s="2231"/>
      <c r="BA56" s="2231"/>
      <c r="BB56" s="2231"/>
      <c r="BC56" s="2231"/>
      <c r="BD56" s="2231"/>
      <c r="BE56" s="2231"/>
      <c r="BF56" s="2231"/>
      <c r="BG56" s="2231"/>
      <c r="BH56" s="2226"/>
      <c r="BI56" s="2226"/>
      <c r="BJ56" s="2233"/>
      <c r="BK56" s="2233"/>
      <c r="BL56" s="2232"/>
      <c r="BM56" s="2233"/>
      <c r="BN56" s="2233"/>
      <c r="BO56" s="2232"/>
      <c r="BP56" s="2232"/>
      <c r="BQ56" s="2188">
        <f t="shared" si="57"/>
        <v>0</v>
      </c>
      <c r="BS56" s="1845" t="s">
        <v>78</v>
      </c>
      <c r="BT56" s="1846">
        <f t="shared" si="58"/>
        <v>0</v>
      </c>
      <c r="BU56" s="2230"/>
      <c r="BV56" s="2230"/>
      <c r="BW56" s="2230"/>
      <c r="BX56" s="2230"/>
      <c r="BY56" s="2230"/>
      <c r="BZ56" s="2230"/>
      <c r="CA56" s="2230"/>
      <c r="CB56" s="2230"/>
      <c r="CC56" s="2230"/>
      <c r="CD56" s="2230"/>
      <c r="CE56" s="2225"/>
      <c r="CF56" s="2225"/>
      <c r="CG56" s="2216"/>
      <c r="CH56" s="2216"/>
      <c r="CI56" s="2217"/>
      <c r="CJ56" s="2217"/>
      <c r="CK56" s="2217"/>
      <c r="CL56" s="2217"/>
      <c r="CM56" s="2216"/>
      <c r="CN56" s="2217"/>
      <c r="CO56" s="2217"/>
      <c r="CP56" s="2217"/>
      <c r="CQ56" s="2217"/>
      <c r="CR56" s="2217"/>
      <c r="CS56" s="2217"/>
      <c r="CT56" s="2217"/>
      <c r="CU56" s="2216"/>
      <c r="CV56" s="2217"/>
      <c r="CW56" s="2217"/>
      <c r="CX56" s="2216"/>
      <c r="CY56" s="2216"/>
      <c r="CZ56" s="2180">
        <f t="shared" si="59"/>
        <v>0</v>
      </c>
      <c r="DB56" s="1962" t="s">
        <v>78</v>
      </c>
      <c r="DC56" s="2175">
        <f t="shared" si="60"/>
        <v>0</v>
      </c>
      <c r="DD56" s="2215"/>
      <c r="DE56" s="2214"/>
      <c r="DF56" s="2213"/>
      <c r="DG56" s="2212"/>
      <c r="DH56" s="2211"/>
      <c r="DI56" s="2210"/>
      <c r="DJ56" s="2209"/>
      <c r="DK56" s="2209"/>
      <c r="DL56" s="2209"/>
      <c r="DM56" s="2209"/>
      <c r="DN56" s="2208"/>
      <c r="DO56" s="2208"/>
      <c r="DP56" s="2208"/>
      <c r="DQ56" s="2208"/>
      <c r="DR56" s="2209"/>
      <c r="DS56" s="2209"/>
      <c r="DT56" s="2209"/>
      <c r="DU56" s="2209"/>
      <c r="DV56" s="2208"/>
      <c r="DW56" s="2209"/>
      <c r="DX56" s="2209"/>
      <c r="DY56" s="2209"/>
      <c r="DZ56" s="2209"/>
      <c r="EA56" s="2209"/>
      <c r="EB56" s="2209"/>
      <c r="EC56" s="2209"/>
      <c r="ED56" s="2208"/>
      <c r="EE56" s="2209"/>
      <c r="EF56" s="2209"/>
      <c r="EG56" s="2208"/>
      <c r="EH56" s="2208"/>
      <c r="EI56" s="2171">
        <f t="shared" si="61"/>
        <v>0</v>
      </c>
    </row>
    <row r="57" spans="1:139" ht="15">
      <c r="A57" s="1249" t="s">
        <v>79</v>
      </c>
      <c r="B57" s="1287">
        <f t="shared" si="54"/>
        <v>0</v>
      </c>
      <c r="C57" s="1761"/>
      <c r="D57" s="1761"/>
      <c r="E57" s="1761"/>
      <c r="F57" s="1761"/>
      <c r="G57" s="1761"/>
      <c r="H57" s="1761"/>
      <c r="I57" s="1761"/>
      <c r="J57" s="1761"/>
      <c r="K57" s="1761"/>
      <c r="L57" s="1761"/>
      <c r="M57" s="1761"/>
      <c r="N57" s="1761"/>
      <c r="O57" s="1761"/>
      <c r="P57" s="1761"/>
      <c r="Q57" s="1761"/>
      <c r="R57" s="1761"/>
      <c r="S57" s="1761"/>
      <c r="T57" s="1761"/>
      <c r="U57" s="1761"/>
      <c r="V57" s="1761"/>
      <c r="W57" s="1761"/>
      <c r="X57" s="1761"/>
      <c r="Y57" s="1761"/>
      <c r="Z57" s="1761"/>
      <c r="AA57" s="1761"/>
      <c r="AB57" s="1761"/>
      <c r="AC57" s="1761"/>
      <c r="AD57" s="1761"/>
      <c r="AE57" s="1761"/>
      <c r="AF57" s="1761"/>
      <c r="AG57" s="1761"/>
      <c r="AH57" s="1488">
        <f t="shared" si="55"/>
        <v>0</v>
      </c>
      <c r="AJ57" s="1746" t="s">
        <v>79</v>
      </c>
      <c r="AK57" s="1749">
        <f t="shared" si="56"/>
        <v>0</v>
      </c>
      <c r="AL57" s="2189"/>
      <c r="AM57" s="2189"/>
      <c r="AN57" s="2189"/>
      <c r="AO57" s="2189"/>
      <c r="AP57" s="2189"/>
      <c r="AQ57" s="2189"/>
      <c r="AR57" s="2189"/>
      <c r="AS57" s="2189"/>
      <c r="AT57" s="2189"/>
      <c r="AU57" s="2189"/>
      <c r="AV57" s="2189"/>
      <c r="AW57" s="2189"/>
      <c r="AX57" s="2231"/>
      <c r="AY57" s="2231"/>
      <c r="AZ57" s="2231"/>
      <c r="BA57" s="2226"/>
      <c r="BB57" s="2231"/>
      <c r="BC57" s="2226"/>
      <c r="BD57" s="2231"/>
      <c r="BE57" s="2226"/>
      <c r="BF57" s="2231"/>
      <c r="BG57" s="2231"/>
      <c r="BH57" s="2231"/>
      <c r="BI57" s="2231"/>
      <c r="BJ57" s="2189"/>
      <c r="BK57" s="2189"/>
      <c r="BL57" s="2189"/>
      <c r="BM57" s="2189"/>
      <c r="BN57" s="2189"/>
      <c r="BO57" s="2189"/>
      <c r="BP57" s="2189"/>
      <c r="BQ57" s="2188">
        <f t="shared" si="57"/>
        <v>0</v>
      </c>
      <c r="BS57" s="1845" t="s">
        <v>79</v>
      </c>
      <c r="BT57" s="1846">
        <f t="shared" si="58"/>
        <v>0</v>
      </c>
      <c r="BU57" s="2230"/>
      <c r="BV57" s="2230"/>
      <c r="BW57" s="2230"/>
      <c r="BX57" s="2225"/>
      <c r="BY57" s="2230"/>
      <c r="BZ57" s="2225"/>
      <c r="CA57" s="2230"/>
      <c r="CB57" s="2225"/>
      <c r="CC57" s="2230"/>
      <c r="CD57" s="2230"/>
      <c r="CE57" s="2230"/>
      <c r="CF57" s="2230"/>
      <c r="CG57" s="2181"/>
      <c r="CH57" s="2181"/>
      <c r="CI57" s="2181"/>
      <c r="CJ57" s="2181"/>
      <c r="CK57" s="2181"/>
      <c r="CL57" s="2181"/>
      <c r="CM57" s="2181"/>
      <c r="CN57" s="2181"/>
      <c r="CO57" s="2181"/>
      <c r="CP57" s="2181"/>
      <c r="CQ57" s="2181"/>
      <c r="CR57" s="2181"/>
      <c r="CS57" s="2181"/>
      <c r="CT57" s="2181"/>
      <c r="CU57" s="2181"/>
      <c r="CV57" s="2181"/>
      <c r="CW57" s="2181"/>
      <c r="CX57" s="2181"/>
      <c r="CY57" s="2181"/>
      <c r="CZ57" s="2180">
        <f t="shared" si="59"/>
        <v>0</v>
      </c>
      <c r="DB57" s="1962" t="s">
        <v>79</v>
      </c>
      <c r="DC57" s="2175">
        <f t="shared" si="60"/>
        <v>0</v>
      </c>
      <c r="DD57" s="2172"/>
      <c r="DE57" s="2172"/>
      <c r="DF57" s="2172"/>
      <c r="DG57" s="2172"/>
      <c r="DH57" s="2172"/>
      <c r="DI57" s="2172"/>
      <c r="DJ57" s="2172"/>
      <c r="DK57" s="2172"/>
      <c r="DL57" s="2172"/>
      <c r="DM57" s="2172"/>
      <c r="DN57" s="2172"/>
      <c r="DO57" s="2172"/>
      <c r="DP57" s="2172"/>
      <c r="DQ57" s="2172"/>
      <c r="DR57" s="2172"/>
      <c r="DS57" s="2172"/>
      <c r="DT57" s="2172"/>
      <c r="DU57" s="2172"/>
      <c r="DV57" s="2172"/>
      <c r="DW57" s="2172"/>
      <c r="DX57" s="2172"/>
      <c r="DY57" s="2172"/>
      <c r="DZ57" s="2172"/>
      <c r="EA57" s="2172"/>
      <c r="EB57" s="2172"/>
      <c r="EC57" s="2172"/>
      <c r="ED57" s="2172"/>
      <c r="EE57" s="2172"/>
      <c r="EF57" s="2172"/>
      <c r="EG57" s="2172"/>
      <c r="EH57" s="2172"/>
      <c r="EI57" s="2171">
        <f t="shared" si="61"/>
        <v>0</v>
      </c>
    </row>
    <row r="58" spans="1:139" ht="15">
      <c r="A58" s="1249" t="s">
        <v>80</v>
      </c>
      <c r="B58" s="1287">
        <f t="shared" si="54"/>
        <v>0</v>
      </c>
      <c r="C58" s="1761"/>
      <c r="D58" s="1761"/>
      <c r="E58" s="1761"/>
      <c r="F58" s="1761"/>
      <c r="G58" s="1761"/>
      <c r="H58" s="1761"/>
      <c r="I58" s="1761"/>
      <c r="J58" s="1761"/>
      <c r="K58" s="1761"/>
      <c r="L58" s="1761"/>
      <c r="M58" s="1761"/>
      <c r="N58" s="1761"/>
      <c r="O58" s="1761"/>
      <c r="P58" s="1761"/>
      <c r="Q58" s="1761"/>
      <c r="R58" s="1761"/>
      <c r="S58" s="1761"/>
      <c r="T58" s="1761"/>
      <c r="U58" s="1761"/>
      <c r="V58" s="1761"/>
      <c r="W58" s="1761"/>
      <c r="X58" s="1761"/>
      <c r="Y58" s="1761"/>
      <c r="Z58" s="1761"/>
      <c r="AA58" s="1761"/>
      <c r="AB58" s="1761"/>
      <c r="AC58" s="1761"/>
      <c r="AD58" s="1761"/>
      <c r="AE58" s="1761"/>
      <c r="AF58" s="1761"/>
      <c r="AG58" s="1761"/>
      <c r="AH58" s="1488">
        <f t="shared" si="55"/>
        <v>0</v>
      </c>
      <c r="AJ58" s="1746" t="s">
        <v>80</v>
      </c>
      <c r="AK58" s="1749">
        <f t="shared" si="56"/>
        <v>0</v>
      </c>
      <c r="AL58" s="2189"/>
      <c r="AM58" s="2189"/>
      <c r="AN58" s="2189"/>
      <c r="AO58" s="2189"/>
      <c r="AP58" s="2189"/>
      <c r="AQ58" s="2189"/>
      <c r="AR58" s="2189"/>
      <c r="AS58" s="2189"/>
      <c r="AT58" s="2189"/>
      <c r="AU58" s="2189"/>
      <c r="AV58" s="2189"/>
      <c r="AW58" s="2189"/>
      <c r="AX58" s="2231"/>
      <c r="AY58" s="2231"/>
      <c r="AZ58" s="2231"/>
      <c r="BA58" s="2231"/>
      <c r="BB58" s="2231"/>
      <c r="BC58" s="2231"/>
      <c r="BD58" s="2231"/>
      <c r="BE58" s="2231"/>
      <c r="BF58" s="2231"/>
      <c r="BG58" s="2231"/>
      <c r="BH58" s="2231"/>
      <c r="BI58" s="2226"/>
      <c r="BJ58" s="2189"/>
      <c r="BK58" s="2189"/>
      <c r="BL58" s="2189"/>
      <c r="BM58" s="2189"/>
      <c r="BN58" s="2189"/>
      <c r="BO58" s="2189"/>
      <c r="BP58" s="2189"/>
      <c r="BQ58" s="2188">
        <f t="shared" si="57"/>
        <v>0</v>
      </c>
      <c r="BS58" s="1845" t="s">
        <v>80</v>
      </c>
      <c r="BT58" s="1846">
        <f t="shared" si="58"/>
        <v>0</v>
      </c>
      <c r="BU58" s="2230"/>
      <c r="BV58" s="2230"/>
      <c r="BW58" s="2230"/>
      <c r="BX58" s="2230"/>
      <c r="BY58" s="2230"/>
      <c r="BZ58" s="2230"/>
      <c r="CA58" s="2230"/>
      <c r="CB58" s="2230"/>
      <c r="CC58" s="2230"/>
      <c r="CD58" s="2230"/>
      <c r="CE58" s="2230"/>
      <c r="CF58" s="2225"/>
      <c r="CG58" s="2181"/>
      <c r="CH58" s="2181"/>
      <c r="CI58" s="2181"/>
      <c r="CJ58" s="2181"/>
      <c r="CK58" s="2181"/>
      <c r="CL58" s="2181"/>
      <c r="CM58" s="2181"/>
      <c r="CN58" s="2181"/>
      <c r="CO58" s="2181"/>
      <c r="CP58" s="2181"/>
      <c r="CQ58" s="2181"/>
      <c r="CR58" s="2181"/>
      <c r="CS58" s="2181"/>
      <c r="CT58" s="2181"/>
      <c r="CU58" s="2181"/>
      <c r="CV58" s="2181"/>
      <c r="CW58" s="2181"/>
      <c r="CX58" s="2181"/>
      <c r="CY58" s="2181"/>
      <c r="CZ58" s="2180">
        <f t="shared" si="59"/>
        <v>0</v>
      </c>
      <c r="DB58" s="1962" t="s">
        <v>80</v>
      </c>
      <c r="DC58" s="2175">
        <f t="shared" si="60"/>
        <v>0</v>
      </c>
      <c r="DD58" s="2172"/>
      <c r="DE58" s="2172"/>
      <c r="DF58" s="2172"/>
      <c r="DG58" s="2172"/>
      <c r="DH58" s="2172"/>
      <c r="DI58" s="2172"/>
      <c r="DJ58" s="2172"/>
      <c r="DK58" s="2172"/>
      <c r="DL58" s="2172"/>
      <c r="DM58" s="2172"/>
      <c r="DN58" s="2172"/>
      <c r="DO58" s="2172"/>
      <c r="DP58" s="2172"/>
      <c r="DQ58" s="2172"/>
      <c r="DR58" s="2172"/>
      <c r="DS58" s="2172"/>
      <c r="DT58" s="2172"/>
      <c r="DU58" s="2172"/>
      <c r="DV58" s="2172"/>
      <c r="DW58" s="2172"/>
      <c r="DX58" s="2172"/>
      <c r="DY58" s="2172"/>
      <c r="DZ58" s="2172"/>
      <c r="EA58" s="2172"/>
      <c r="EB58" s="2172"/>
      <c r="EC58" s="2172"/>
      <c r="ED58" s="2172"/>
      <c r="EE58" s="2172"/>
      <c r="EF58" s="2172"/>
      <c r="EG58" s="2172"/>
      <c r="EH58" s="2172"/>
      <c r="EI58" s="2171">
        <f t="shared" si="61"/>
        <v>0</v>
      </c>
    </row>
    <row r="59" spans="1:139" ht="15">
      <c r="A59" s="1249" t="s">
        <v>81</v>
      </c>
      <c r="B59" s="1287">
        <f t="shared" si="54"/>
        <v>0</v>
      </c>
      <c r="C59" s="1761"/>
      <c r="D59" s="1761"/>
      <c r="E59" s="1761"/>
      <c r="F59" s="1761"/>
      <c r="G59" s="1761"/>
      <c r="H59" s="1761"/>
      <c r="I59" s="1761"/>
      <c r="J59" s="1761"/>
      <c r="K59" s="1761"/>
      <c r="L59" s="1761"/>
      <c r="M59" s="1761"/>
      <c r="N59" s="1761"/>
      <c r="O59" s="1761"/>
      <c r="P59" s="1761"/>
      <c r="Q59" s="1761"/>
      <c r="R59" s="1761"/>
      <c r="S59" s="1761"/>
      <c r="T59" s="1761"/>
      <c r="U59" s="1761"/>
      <c r="V59" s="1761"/>
      <c r="W59" s="1761"/>
      <c r="X59" s="1761"/>
      <c r="Y59" s="1761"/>
      <c r="Z59" s="1761"/>
      <c r="AA59" s="1761"/>
      <c r="AB59" s="1761"/>
      <c r="AC59" s="1761"/>
      <c r="AD59" s="1761"/>
      <c r="AE59" s="1761"/>
      <c r="AF59" s="1761"/>
      <c r="AG59" s="1761"/>
      <c r="AH59" s="1488">
        <f t="shared" si="55"/>
        <v>0</v>
      </c>
      <c r="AJ59" s="1746" t="s">
        <v>81</v>
      </c>
      <c r="AK59" s="1749">
        <f t="shared" si="56"/>
        <v>0</v>
      </c>
      <c r="AL59" s="2189"/>
      <c r="AM59" s="2189"/>
      <c r="AN59" s="2189"/>
      <c r="AO59" s="2189"/>
      <c r="AP59" s="2189"/>
      <c r="AQ59" s="2189"/>
      <c r="AR59" s="2189"/>
      <c r="AS59" s="2189"/>
      <c r="AT59" s="2189"/>
      <c r="AU59" s="2189"/>
      <c r="AV59" s="2189"/>
      <c r="AW59" s="2189"/>
      <c r="AX59" s="2231"/>
      <c r="AY59" s="2231"/>
      <c r="AZ59" s="2231"/>
      <c r="BA59" s="2231"/>
      <c r="BB59" s="2231"/>
      <c r="BC59" s="2231"/>
      <c r="BD59" s="2231"/>
      <c r="BE59" s="2231"/>
      <c r="BF59" s="2231"/>
      <c r="BG59" s="2231"/>
      <c r="BH59" s="2231"/>
      <c r="BI59" s="2231"/>
      <c r="BJ59" s="2189"/>
      <c r="BK59" s="2189"/>
      <c r="BL59" s="2189"/>
      <c r="BM59" s="2189"/>
      <c r="BN59" s="2189"/>
      <c r="BO59" s="2189"/>
      <c r="BP59" s="2189"/>
      <c r="BQ59" s="2188">
        <f t="shared" si="57"/>
        <v>0</v>
      </c>
      <c r="BS59" s="1845" t="s">
        <v>81</v>
      </c>
      <c r="BT59" s="1846">
        <f t="shared" si="58"/>
        <v>0</v>
      </c>
      <c r="BU59" s="2230"/>
      <c r="BV59" s="2230"/>
      <c r="BW59" s="2230"/>
      <c r="BX59" s="2230"/>
      <c r="BY59" s="2230"/>
      <c r="BZ59" s="2230"/>
      <c r="CA59" s="2230"/>
      <c r="CB59" s="2230"/>
      <c r="CC59" s="2230"/>
      <c r="CD59" s="2230"/>
      <c r="CE59" s="2230"/>
      <c r="CF59" s="2230"/>
      <c r="CG59" s="2181"/>
      <c r="CH59" s="2181"/>
      <c r="CI59" s="2181"/>
      <c r="CJ59" s="2181"/>
      <c r="CK59" s="2181"/>
      <c r="CL59" s="2181"/>
      <c r="CM59" s="2181"/>
      <c r="CN59" s="2181"/>
      <c r="CO59" s="2181"/>
      <c r="CP59" s="2181"/>
      <c r="CQ59" s="2181"/>
      <c r="CR59" s="2181"/>
      <c r="CS59" s="2181"/>
      <c r="CT59" s="2181"/>
      <c r="CU59" s="2181"/>
      <c r="CV59" s="2181"/>
      <c r="CW59" s="2181"/>
      <c r="CX59" s="2181"/>
      <c r="CY59" s="2181"/>
      <c r="CZ59" s="2180">
        <f t="shared" si="59"/>
        <v>0</v>
      </c>
      <c r="DB59" s="1962" t="s">
        <v>81</v>
      </c>
      <c r="DC59" s="2175">
        <f t="shared" si="60"/>
        <v>0</v>
      </c>
      <c r="DD59" s="2172"/>
      <c r="DE59" s="2172"/>
      <c r="DF59" s="2172"/>
      <c r="DG59" s="2172"/>
      <c r="DH59" s="2172"/>
      <c r="DI59" s="2172"/>
      <c r="DJ59" s="2172"/>
      <c r="DK59" s="2172"/>
      <c r="DL59" s="2172"/>
      <c r="DM59" s="2172"/>
      <c r="DN59" s="2172"/>
      <c r="DO59" s="2172"/>
      <c r="DP59" s="2172"/>
      <c r="DQ59" s="2172"/>
      <c r="DR59" s="2172"/>
      <c r="DS59" s="2172"/>
      <c r="DT59" s="2172"/>
      <c r="DU59" s="2172"/>
      <c r="DV59" s="2172"/>
      <c r="DW59" s="2172"/>
      <c r="DX59" s="2172"/>
      <c r="DY59" s="2172"/>
      <c r="DZ59" s="2172"/>
      <c r="EA59" s="2172"/>
      <c r="EB59" s="2172"/>
      <c r="EC59" s="2172"/>
      <c r="ED59" s="2172"/>
      <c r="EE59" s="2172"/>
      <c r="EF59" s="2172"/>
      <c r="EG59" s="2172"/>
      <c r="EH59" s="2172"/>
      <c r="EI59" s="2171">
        <f t="shared" si="61"/>
        <v>0</v>
      </c>
    </row>
    <row r="60" spans="1:139" ht="15">
      <c r="A60" s="1249" t="s">
        <v>82</v>
      </c>
      <c r="B60" s="1287">
        <f t="shared" si="54"/>
        <v>0</v>
      </c>
      <c r="C60" s="1761"/>
      <c r="D60" s="1761"/>
      <c r="E60" s="1761"/>
      <c r="F60" s="1761"/>
      <c r="G60" s="1761"/>
      <c r="H60" s="1761"/>
      <c r="I60" s="1761"/>
      <c r="J60" s="1761"/>
      <c r="K60" s="1761"/>
      <c r="L60" s="1761"/>
      <c r="M60" s="1761"/>
      <c r="N60" s="1761"/>
      <c r="O60" s="1761"/>
      <c r="P60" s="1761"/>
      <c r="Q60" s="1761"/>
      <c r="R60" s="1761"/>
      <c r="S60" s="1761"/>
      <c r="T60" s="1761"/>
      <c r="U60" s="1761"/>
      <c r="V60" s="1761"/>
      <c r="W60" s="1761"/>
      <c r="X60" s="1761"/>
      <c r="Y60" s="1761"/>
      <c r="Z60" s="1761"/>
      <c r="AA60" s="1761"/>
      <c r="AB60" s="1761"/>
      <c r="AC60" s="1761"/>
      <c r="AD60" s="1761"/>
      <c r="AE60" s="1761"/>
      <c r="AF60" s="1761"/>
      <c r="AG60" s="1761"/>
      <c r="AH60" s="1488">
        <f t="shared" si="55"/>
        <v>0</v>
      </c>
      <c r="AJ60" s="1746" t="s">
        <v>82</v>
      </c>
      <c r="AK60" s="1749">
        <f t="shared" si="56"/>
        <v>0</v>
      </c>
      <c r="AL60" s="2189"/>
      <c r="AM60" s="2189"/>
      <c r="AN60" s="2189"/>
      <c r="AO60" s="2189"/>
      <c r="AP60" s="2189"/>
      <c r="AQ60" s="2189"/>
      <c r="AR60" s="2189"/>
      <c r="AS60" s="2189"/>
      <c r="AT60" s="2189"/>
      <c r="AU60" s="2189"/>
      <c r="AV60" s="2189"/>
      <c r="AW60" s="2189"/>
      <c r="AX60" s="2226"/>
      <c r="AY60" s="2229"/>
      <c r="AZ60" s="2226"/>
      <c r="BA60" s="2226"/>
      <c r="BB60" s="2226"/>
      <c r="BC60" s="2226"/>
      <c r="BD60" s="2226"/>
      <c r="BE60" s="2226"/>
      <c r="BF60" s="2226"/>
      <c r="BG60" s="2226"/>
      <c r="BH60" s="2226"/>
      <c r="BI60" s="2226"/>
      <c r="BJ60" s="2189"/>
      <c r="BK60" s="2189"/>
      <c r="BL60" s="2189"/>
      <c r="BM60" s="2189"/>
      <c r="BN60" s="2189"/>
      <c r="BO60" s="2189"/>
      <c r="BP60" s="2189"/>
      <c r="BQ60" s="2188">
        <f t="shared" si="57"/>
        <v>0</v>
      </c>
      <c r="BS60" s="1845" t="s">
        <v>82</v>
      </c>
      <c r="BT60" s="1846">
        <f t="shared" si="58"/>
        <v>0</v>
      </c>
      <c r="BU60" s="2225"/>
      <c r="BV60" s="2228"/>
      <c r="BW60" s="2225"/>
      <c r="BX60" s="2225"/>
      <c r="BY60" s="2225"/>
      <c r="BZ60" s="2225"/>
      <c r="CA60" s="2225"/>
      <c r="CB60" s="2225"/>
      <c r="CC60" s="2225"/>
      <c r="CD60" s="2225"/>
      <c r="CE60" s="2225"/>
      <c r="CF60" s="2225"/>
      <c r="CG60" s="2181"/>
      <c r="CH60" s="2181"/>
      <c r="CI60" s="2181"/>
      <c r="CJ60" s="2181"/>
      <c r="CK60" s="2181"/>
      <c r="CL60" s="2181"/>
      <c r="CM60" s="2181"/>
      <c r="CN60" s="2181"/>
      <c r="CO60" s="2181"/>
      <c r="CP60" s="2181"/>
      <c r="CQ60" s="2181"/>
      <c r="CR60" s="2181"/>
      <c r="CS60" s="2181"/>
      <c r="CT60" s="2181"/>
      <c r="CU60" s="2181"/>
      <c r="CV60" s="2181"/>
      <c r="CW60" s="2181"/>
      <c r="CX60" s="2181"/>
      <c r="CY60" s="2181"/>
      <c r="CZ60" s="2180">
        <f t="shared" si="59"/>
        <v>0</v>
      </c>
      <c r="DB60" s="1962" t="s">
        <v>82</v>
      </c>
      <c r="DC60" s="2175">
        <f t="shared" si="60"/>
        <v>0</v>
      </c>
      <c r="DD60" s="2172"/>
      <c r="DE60" s="2172"/>
      <c r="DF60" s="2172"/>
      <c r="DG60" s="2172"/>
      <c r="DH60" s="2172"/>
      <c r="DI60" s="2172"/>
      <c r="DJ60" s="2172"/>
      <c r="DK60" s="2172"/>
      <c r="DL60" s="2172"/>
      <c r="DM60" s="2172"/>
      <c r="DN60" s="2172"/>
      <c r="DO60" s="2172"/>
      <c r="DP60" s="2172"/>
      <c r="DQ60" s="2172"/>
      <c r="DR60" s="2172"/>
      <c r="DS60" s="2172"/>
      <c r="DT60" s="2172"/>
      <c r="DU60" s="2172"/>
      <c r="DV60" s="2172"/>
      <c r="DW60" s="2172"/>
      <c r="DX60" s="2172"/>
      <c r="DY60" s="2172"/>
      <c r="DZ60" s="2172"/>
      <c r="EA60" s="2172"/>
      <c r="EB60" s="2172"/>
      <c r="EC60" s="2172"/>
      <c r="ED60" s="2172"/>
      <c r="EE60" s="2172"/>
      <c r="EF60" s="2172"/>
      <c r="EG60" s="2172"/>
      <c r="EH60" s="2172"/>
      <c r="EI60" s="2171">
        <f t="shared" si="61"/>
        <v>0</v>
      </c>
    </row>
    <row r="61" spans="1:139" ht="15">
      <c r="A61" s="1249" t="s">
        <v>83</v>
      </c>
      <c r="B61" s="1287">
        <f t="shared" si="54"/>
        <v>0</v>
      </c>
      <c r="C61" s="1761"/>
      <c r="D61" s="1761"/>
      <c r="E61" s="1761"/>
      <c r="F61" s="1761"/>
      <c r="G61" s="1761"/>
      <c r="H61" s="1761"/>
      <c r="I61" s="1761"/>
      <c r="J61" s="1761"/>
      <c r="K61" s="1761"/>
      <c r="L61" s="1761"/>
      <c r="M61" s="1761"/>
      <c r="N61" s="1761"/>
      <c r="O61" s="1761"/>
      <c r="P61" s="1761"/>
      <c r="Q61" s="1761"/>
      <c r="R61" s="1761"/>
      <c r="S61" s="1761"/>
      <c r="T61" s="1761"/>
      <c r="U61" s="1761"/>
      <c r="V61" s="1761"/>
      <c r="W61" s="1761"/>
      <c r="X61" s="1761"/>
      <c r="Y61" s="1761"/>
      <c r="Z61" s="1761"/>
      <c r="AA61" s="1761"/>
      <c r="AB61" s="1761"/>
      <c r="AC61" s="1761"/>
      <c r="AD61" s="1761"/>
      <c r="AE61" s="1761"/>
      <c r="AF61" s="1761"/>
      <c r="AG61" s="1761"/>
      <c r="AH61" s="1488">
        <f t="shared" si="55"/>
        <v>0</v>
      </c>
      <c r="AJ61" s="1746" t="s">
        <v>83</v>
      </c>
      <c r="AK61" s="1749">
        <f t="shared" si="56"/>
        <v>0</v>
      </c>
      <c r="AL61" s="2189"/>
      <c r="AM61" s="2189"/>
      <c r="AN61" s="2189"/>
      <c r="AO61" s="2189"/>
      <c r="AP61" s="2189"/>
      <c r="AQ61" s="2189"/>
      <c r="AR61" s="2189"/>
      <c r="AS61" s="2189"/>
      <c r="AT61" s="2189"/>
      <c r="AU61" s="2189"/>
      <c r="AV61" s="2189"/>
      <c r="AW61" s="2189"/>
      <c r="AX61" s="2226"/>
      <c r="AY61" s="2226"/>
      <c r="AZ61" s="2226"/>
      <c r="BA61" s="2226"/>
      <c r="BB61" s="2226"/>
      <c r="BC61" s="2226"/>
      <c r="BD61" s="2226"/>
      <c r="BE61" s="2226"/>
      <c r="BF61" s="2226"/>
      <c r="BG61" s="2226"/>
      <c r="BH61" s="2226"/>
      <c r="BI61" s="2226"/>
      <c r="BJ61" s="2189"/>
      <c r="BK61" s="2189"/>
      <c r="BL61" s="2189"/>
      <c r="BM61" s="2189"/>
      <c r="BN61" s="2189"/>
      <c r="BO61" s="2189"/>
      <c r="BP61" s="2189"/>
      <c r="BQ61" s="2188">
        <f t="shared" si="57"/>
        <v>0</v>
      </c>
      <c r="BS61" s="1845" t="s">
        <v>83</v>
      </c>
      <c r="BT61" s="1846">
        <f t="shared" si="58"/>
        <v>0</v>
      </c>
      <c r="BU61" s="2225"/>
      <c r="BV61" s="2225"/>
      <c r="BW61" s="2225"/>
      <c r="BX61" s="2225"/>
      <c r="BY61" s="2225"/>
      <c r="BZ61" s="2225"/>
      <c r="CA61" s="2225"/>
      <c r="CB61" s="2225"/>
      <c r="CC61" s="2225"/>
      <c r="CD61" s="2225"/>
      <c r="CE61" s="2225"/>
      <c r="CF61" s="2225"/>
      <c r="CG61" s="2181"/>
      <c r="CH61" s="2181"/>
      <c r="CI61" s="2181"/>
      <c r="CJ61" s="2181"/>
      <c r="CK61" s="2181"/>
      <c r="CL61" s="2181"/>
      <c r="CM61" s="2181"/>
      <c r="CN61" s="2181"/>
      <c r="CO61" s="2181"/>
      <c r="CP61" s="2181"/>
      <c r="CQ61" s="2181"/>
      <c r="CR61" s="2181"/>
      <c r="CS61" s="2181"/>
      <c r="CT61" s="2181"/>
      <c r="CU61" s="2181"/>
      <c r="CV61" s="2181"/>
      <c r="CW61" s="2181"/>
      <c r="CX61" s="2181"/>
      <c r="CY61" s="2181"/>
      <c r="CZ61" s="2180">
        <f t="shared" si="59"/>
        <v>0</v>
      </c>
      <c r="DB61" s="1962" t="s">
        <v>83</v>
      </c>
      <c r="DC61" s="2175">
        <f t="shared" si="60"/>
        <v>0</v>
      </c>
      <c r="DD61" s="2172"/>
      <c r="DE61" s="2172"/>
      <c r="DF61" s="2172"/>
      <c r="DG61" s="2172"/>
      <c r="DH61" s="2172"/>
      <c r="DI61" s="2172"/>
      <c r="DJ61" s="2172"/>
      <c r="DK61" s="2172"/>
      <c r="DL61" s="2172"/>
      <c r="DM61" s="2172"/>
      <c r="DN61" s="2172"/>
      <c r="DO61" s="2172"/>
      <c r="DP61" s="2172"/>
      <c r="DQ61" s="2172"/>
      <c r="DR61" s="2172"/>
      <c r="DS61" s="2172"/>
      <c r="DT61" s="2172"/>
      <c r="DU61" s="2172"/>
      <c r="DV61" s="2172"/>
      <c r="DW61" s="2172"/>
      <c r="DX61" s="2172"/>
      <c r="DY61" s="2172"/>
      <c r="DZ61" s="2172"/>
      <c r="EA61" s="2172"/>
      <c r="EB61" s="2172"/>
      <c r="EC61" s="2172"/>
      <c r="ED61" s="2172"/>
      <c r="EE61" s="2172"/>
      <c r="EF61" s="2172"/>
      <c r="EG61" s="2172"/>
      <c r="EH61" s="2172"/>
      <c r="EI61" s="2171">
        <f t="shared" si="61"/>
        <v>0</v>
      </c>
    </row>
    <row r="62" spans="1:139" ht="15">
      <c r="A62" s="1249" t="s">
        <v>84</v>
      </c>
      <c r="B62" s="1287">
        <f t="shared" si="54"/>
        <v>0</v>
      </c>
      <c r="C62" s="1761"/>
      <c r="D62" s="1761"/>
      <c r="E62" s="1761"/>
      <c r="F62" s="1761"/>
      <c r="G62" s="1761"/>
      <c r="H62" s="1761"/>
      <c r="I62" s="1761"/>
      <c r="J62" s="1761"/>
      <c r="K62" s="1761"/>
      <c r="L62" s="1761"/>
      <c r="M62" s="1761"/>
      <c r="N62" s="1761"/>
      <c r="O62" s="1761"/>
      <c r="P62" s="1761"/>
      <c r="Q62" s="1761"/>
      <c r="R62" s="1820"/>
      <c r="S62" s="1820"/>
      <c r="T62" s="1820"/>
      <c r="U62" s="1820"/>
      <c r="V62" s="1820"/>
      <c r="W62" s="1820"/>
      <c r="X62" s="1820"/>
      <c r="Y62" s="1820"/>
      <c r="Z62" s="1820"/>
      <c r="AA62" s="1820"/>
      <c r="AB62" s="1820"/>
      <c r="AC62" s="1820"/>
      <c r="AD62" s="1820"/>
      <c r="AE62" s="1820"/>
      <c r="AF62" s="1820"/>
      <c r="AG62" s="1820"/>
      <c r="AH62" s="1488">
        <f t="shared" si="55"/>
        <v>0</v>
      </c>
      <c r="AJ62" s="1746" t="s">
        <v>84</v>
      </c>
      <c r="AK62" s="1749">
        <f t="shared" si="56"/>
        <v>0</v>
      </c>
      <c r="AL62" s="2189"/>
      <c r="AM62" s="2189"/>
      <c r="AN62" s="2189"/>
      <c r="AO62" s="2189"/>
      <c r="AP62" s="2189"/>
      <c r="AQ62" s="2189"/>
      <c r="AR62" s="2189"/>
      <c r="AS62" s="2189"/>
      <c r="AT62" s="2189"/>
      <c r="AU62" s="2189"/>
      <c r="AV62" s="2189"/>
      <c r="AW62" s="2189"/>
      <c r="AX62" s="2226"/>
      <c r="AY62" s="2226"/>
      <c r="AZ62" s="2226"/>
      <c r="BA62" s="2226"/>
      <c r="BB62" s="2226"/>
      <c r="BC62" s="2226"/>
      <c r="BD62" s="2226"/>
      <c r="BE62" s="2226"/>
      <c r="BF62" s="2226"/>
      <c r="BG62" s="2226"/>
      <c r="BH62" s="2226"/>
      <c r="BI62" s="2226"/>
      <c r="BJ62" s="2192"/>
      <c r="BK62" s="2192"/>
      <c r="BL62" s="2192"/>
      <c r="BM62" s="2192"/>
      <c r="BN62" s="2192"/>
      <c r="BO62" s="2192"/>
      <c r="BP62" s="2192"/>
      <c r="BQ62" s="2188">
        <f t="shared" si="57"/>
        <v>0</v>
      </c>
      <c r="BS62" s="1845" t="s">
        <v>84</v>
      </c>
      <c r="BT62" s="1846">
        <f t="shared" si="58"/>
        <v>0</v>
      </c>
      <c r="BU62" s="2225"/>
      <c r="BV62" s="2225"/>
      <c r="BW62" s="2225"/>
      <c r="BX62" s="2225"/>
      <c r="BY62" s="2225"/>
      <c r="BZ62" s="2225"/>
      <c r="CA62" s="2225"/>
      <c r="CB62" s="2225"/>
      <c r="CC62" s="2225"/>
      <c r="CD62" s="2225"/>
      <c r="CE62" s="2225"/>
      <c r="CF62" s="2225"/>
      <c r="CG62" s="2181"/>
      <c r="CH62" s="2181"/>
      <c r="CI62" s="2181"/>
      <c r="CJ62" s="2184"/>
      <c r="CK62" s="2184"/>
      <c r="CL62" s="2184"/>
      <c r="CM62" s="2184"/>
      <c r="CN62" s="2184"/>
      <c r="CO62" s="2184"/>
      <c r="CP62" s="2184"/>
      <c r="CQ62" s="2184"/>
      <c r="CR62" s="2184"/>
      <c r="CS62" s="2184"/>
      <c r="CT62" s="2184"/>
      <c r="CU62" s="2184"/>
      <c r="CV62" s="2184"/>
      <c r="CW62" s="2184"/>
      <c r="CX62" s="2184"/>
      <c r="CY62" s="2184"/>
      <c r="CZ62" s="2180">
        <f t="shared" si="59"/>
        <v>0</v>
      </c>
      <c r="DB62" s="1962" t="s">
        <v>84</v>
      </c>
      <c r="DC62" s="2175">
        <f t="shared" si="60"/>
        <v>0</v>
      </c>
      <c r="DD62" s="2172"/>
      <c r="DE62" s="2172"/>
      <c r="DF62" s="2172"/>
      <c r="DG62" s="2172"/>
      <c r="DH62" s="2172"/>
      <c r="DI62" s="2172"/>
      <c r="DJ62" s="2172"/>
      <c r="DK62" s="2172"/>
      <c r="DL62" s="2172"/>
      <c r="DM62" s="2172"/>
      <c r="DN62" s="2172"/>
      <c r="DO62" s="2172"/>
      <c r="DP62" s="2172"/>
      <c r="DQ62" s="2172"/>
      <c r="DR62" s="2172"/>
      <c r="DS62" s="2176"/>
      <c r="DT62" s="2176"/>
      <c r="DU62" s="2176"/>
      <c r="DV62" s="2176"/>
      <c r="DW62" s="2176"/>
      <c r="DX62" s="2176"/>
      <c r="DY62" s="2176"/>
      <c r="DZ62" s="2176"/>
      <c r="EA62" s="2176"/>
      <c r="EB62" s="2176"/>
      <c r="EC62" s="2176"/>
      <c r="ED62" s="2176"/>
      <c r="EE62" s="2176"/>
      <c r="EF62" s="2176"/>
      <c r="EG62" s="2176"/>
      <c r="EH62" s="2176"/>
      <c r="EI62" s="2171">
        <f t="shared" si="61"/>
        <v>0</v>
      </c>
    </row>
    <row r="63" spans="1:139" ht="15">
      <c r="A63" s="1249" t="s">
        <v>85</v>
      </c>
      <c r="B63" s="1287">
        <f t="shared" si="54"/>
        <v>0</v>
      </c>
      <c r="C63" s="1761"/>
      <c r="D63" s="1820"/>
      <c r="E63" s="1820"/>
      <c r="F63" s="1820"/>
      <c r="G63" s="1820"/>
      <c r="H63" s="1820"/>
      <c r="I63" s="1820"/>
      <c r="J63" s="1820"/>
      <c r="K63" s="1820"/>
      <c r="L63" s="1820"/>
      <c r="M63" s="1820"/>
      <c r="N63" s="1820"/>
      <c r="O63" s="1820"/>
      <c r="P63" s="1820"/>
      <c r="Q63" s="1820"/>
      <c r="R63" s="2278"/>
      <c r="S63" s="2278"/>
      <c r="T63" s="2278"/>
      <c r="U63" s="2278"/>
      <c r="V63" s="2278"/>
      <c r="W63" s="2278"/>
      <c r="X63" s="2278"/>
      <c r="Y63" s="2278"/>
      <c r="Z63" s="2278"/>
      <c r="AA63" s="2278"/>
      <c r="AB63" s="2278"/>
      <c r="AC63" s="2278"/>
      <c r="AD63" s="2278"/>
      <c r="AE63" s="2278"/>
      <c r="AF63" s="2278"/>
      <c r="AG63" s="1761"/>
      <c r="AH63" s="1488">
        <f t="shared" si="55"/>
        <v>0</v>
      </c>
      <c r="AJ63" s="1746" t="s">
        <v>85</v>
      </c>
      <c r="AK63" s="1749">
        <f t="shared" si="56"/>
        <v>0</v>
      </c>
      <c r="AL63" s="2189"/>
      <c r="AM63" s="2192"/>
      <c r="AN63" s="2192"/>
      <c r="AO63" s="2192"/>
      <c r="AP63" s="2192"/>
      <c r="AQ63" s="2192"/>
      <c r="AR63" s="2192"/>
      <c r="AS63" s="2192"/>
      <c r="AT63" s="2192"/>
      <c r="AU63" s="2192"/>
      <c r="AV63" s="2192"/>
      <c r="AW63" s="2192"/>
      <c r="AX63" s="2226"/>
      <c r="AY63" s="2226"/>
      <c r="AZ63" s="2226"/>
      <c r="BA63" s="2226"/>
      <c r="BB63" s="2226"/>
      <c r="BC63" s="2226"/>
      <c r="BD63" s="2226"/>
      <c r="BE63" s="2226"/>
      <c r="BF63" s="2226"/>
      <c r="BG63" s="2226"/>
      <c r="BH63" s="2226"/>
      <c r="BI63" s="2226"/>
      <c r="BJ63" s="2227"/>
      <c r="BK63" s="2227"/>
      <c r="BL63" s="2227"/>
      <c r="BM63" s="2227"/>
      <c r="BN63" s="2227"/>
      <c r="BO63" s="2227"/>
      <c r="BP63" s="2189"/>
      <c r="BQ63" s="2188">
        <f t="shared" si="57"/>
        <v>0</v>
      </c>
      <c r="BS63" s="1845" t="s">
        <v>85</v>
      </c>
      <c r="BT63" s="1846">
        <f t="shared" si="58"/>
        <v>0</v>
      </c>
      <c r="BU63" s="2225"/>
      <c r="BV63" s="2225"/>
      <c r="BW63" s="2225"/>
      <c r="BX63" s="2225"/>
      <c r="BY63" s="2225"/>
      <c r="BZ63" s="2225"/>
      <c r="CA63" s="2225"/>
      <c r="CB63" s="2225"/>
      <c r="CC63" s="2225"/>
      <c r="CD63" s="2225"/>
      <c r="CE63" s="2225"/>
      <c r="CF63" s="2225"/>
      <c r="CG63" s="2184"/>
      <c r="CH63" s="2184"/>
      <c r="CI63" s="2184"/>
      <c r="CJ63" s="2207"/>
      <c r="CK63" s="2207"/>
      <c r="CL63" s="2207"/>
      <c r="CM63" s="2207"/>
      <c r="CN63" s="2207"/>
      <c r="CO63" s="2207"/>
      <c r="CP63" s="2207"/>
      <c r="CQ63" s="2207"/>
      <c r="CR63" s="2207"/>
      <c r="CS63" s="2207"/>
      <c r="CT63" s="2207"/>
      <c r="CU63" s="2207"/>
      <c r="CV63" s="2207"/>
      <c r="CW63" s="2207"/>
      <c r="CX63" s="2207"/>
      <c r="CY63" s="2181"/>
      <c r="CZ63" s="2180">
        <f t="shared" si="59"/>
        <v>0</v>
      </c>
      <c r="DB63" s="1962" t="s">
        <v>85</v>
      </c>
      <c r="DC63" s="2175">
        <f t="shared" si="60"/>
        <v>0</v>
      </c>
      <c r="DD63" s="2172"/>
      <c r="DE63" s="2176"/>
      <c r="DF63" s="2176"/>
      <c r="DG63" s="2176"/>
      <c r="DH63" s="2176"/>
      <c r="DI63" s="2176"/>
      <c r="DJ63" s="2176"/>
      <c r="DK63" s="2176"/>
      <c r="DL63" s="2176"/>
      <c r="DM63" s="2176"/>
      <c r="DN63" s="2176"/>
      <c r="DO63" s="2176"/>
      <c r="DP63" s="2176"/>
      <c r="DQ63" s="2176"/>
      <c r="DR63" s="2176"/>
      <c r="DS63" s="2206"/>
      <c r="DT63" s="2206"/>
      <c r="DU63" s="2206"/>
      <c r="DV63" s="2206"/>
      <c r="DW63" s="2206"/>
      <c r="DX63" s="2206"/>
      <c r="DY63" s="2206"/>
      <c r="DZ63" s="2206"/>
      <c r="EA63" s="2206"/>
      <c r="EB63" s="2206"/>
      <c r="EC63" s="2206"/>
      <c r="ED63" s="2206"/>
      <c r="EE63" s="2206"/>
      <c r="EF63" s="2206"/>
      <c r="EG63" s="2206"/>
      <c r="EH63" s="2172"/>
      <c r="EI63" s="2171">
        <f t="shared" si="61"/>
        <v>0</v>
      </c>
    </row>
    <row r="64" spans="1:139" ht="15">
      <c r="A64" s="1249" t="s">
        <v>86</v>
      </c>
      <c r="B64" s="1287">
        <f t="shared" si="54"/>
        <v>0</v>
      </c>
      <c r="C64" s="1761"/>
      <c r="D64" s="2278"/>
      <c r="E64" s="2278"/>
      <c r="F64" s="2278"/>
      <c r="G64" s="1761"/>
      <c r="H64" s="1761"/>
      <c r="I64" s="1761"/>
      <c r="J64" s="1761"/>
      <c r="K64" s="1761"/>
      <c r="L64" s="1761"/>
      <c r="M64" s="1761"/>
      <c r="N64" s="1761"/>
      <c r="O64" s="1761"/>
      <c r="P64" s="1761"/>
      <c r="Q64" s="1761"/>
      <c r="R64" s="1761"/>
      <c r="S64" s="1761"/>
      <c r="T64" s="1761"/>
      <c r="U64" s="1761"/>
      <c r="V64" s="1761"/>
      <c r="W64" s="1761"/>
      <c r="X64" s="1761"/>
      <c r="Y64" s="1761"/>
      <c r="Z64" s="1761"/>
      <c r="AA64" s="1761"/>
      <c r="AB64" s="1761"/>
      <c r="AC64" s="1761"/>
      <c r="AD64" s="1761"/>
      <c r="AE64" s="1761"/>
      <c r="AF64" s="1761"/>
      <c r="AG64" s="1761"/>
      <c r="AH64" s="1488">
        <f t="shared" si="55"/>
        <v>0</v>
      </c>
      <c r="AJ64" s="1746" t="s">
        <v>86</v>
      </c>
      <c r="AK64" s="1749">
        <f t="shared" si="56"/>
        <v>0</v>
      </c>
      <c r="AL64" s="2189"/>
      <c r="AM64" s="2227"/>
      <c r="AN64" s="2227"/>
      <c r="AO64" s="2227"/>
      <c r="AP64" s="2189"/>
      <c r="AQ64" s="2189"/>
      <c r="AR64" s="2189"/>
      <c r="AS64" s="2189"/>
      <c r="AT64" s="2189"/>
      <c r="AU64" s="2189"/>
      <c r="AV64" s="2189"/>
      <c r="AW64" s="2189"/>
      <c r="AX64" s="2226"/>
      <c r="AY64" s="2226"/>
      <c r="AZ64" s="2226"/>
      <c r="BA64" s="2226"/>
      <c r="BB64" s="2226"/>
      <c r="BC64" s="2226"/>
      <c r="BD64" s="2226"/>
      <c r="BE64" s="2226"/>
      <c r="BF64" s="2226"/>
      <c r="BG64" s="2226"/>
      <c r="BH64" s="2226"/>
      <c r="BI64" s="2226"/>
      <c r="BJ64" s="2189"/>
      <c r="BK64" s="2189"/>
      <c r="BL64" s="2189"/>
      <c r="BM64" s="2189"/>
      <c r="BN64" s="2189"/>
      <c r="BO64" s="2189"/>
      <c r="BP64" s="2189"/>
      <c r="BQ64" s="2188">
        <f t="shared" si="57"/>
        <v>0</v>
      </c>
      <c r="BS64" s="1845" t="s">
        <v>86</v>
      </c>
      <c r="BT64" s="1846">
        <f t="shared" si="58"/>
        <v>0</v>
      </c>
      <c r="BU64" s="2225"/>
      <c r="BV64" s="2225"/>
      <c r="BW64" s="2225"/>
      <c r="BX64" s="2225"/>
      <c r="BY64" s="2225"/>
      <c r="BZ64" s="2225"/>
      <c r="CA64" s="2225"/>
      <c r="CB64" s="2225"/>
      <c r="CC64" s="2225"/>
      <c r="CD64" s="2225"/>
      <c r="CE64" s="2225"/>
      <c r="CF64" s="2225"/>
      <c r="CG64" s="2181"/>
      <c r="CH64" s="2181"/>
      <c r="CI64" s="2181"/>
      <c r="CJ64" s="2181"/>
      <c r="CK64" s="2181"/>
      <c r="CL64" s="2181"/>
      <c r="CM64" s="2181"/>
      <c r="CN64" s="2181"/>
      <c r="CO64" s="2181"/>
      <c r="CP64" s="2181"/>
      <c r="CQ64" s="2181"/>
      <c r="CR64" s="2181"/>
      <c r="CS64" s="2181"/>
      <c r="CT64" s="2181"/>
      <c r="CU64" s="2181"/>
      <c r="CV64" s="2181"/>
      <c r="CW64" s="2181"/>
      <c r="CX64" s="2181"/>
      <c r="CY64" s="2181"/>
      <c r="CZ64" s="2180">
        <f t="shared" si="59"/>
        <v>0</v>
      </c>
      <c r="DB64" s="1962" t="s">
        <v>86</v>
      </c>
      <c r="DC64" s="2175">
        <f t="shared" si="60"/>
        <v>0</v>
      </c>
      <c r="DD64" s="2172"/>
      <c r="DE64" s="2206"/>
      <c r="DF64" s="2206"/>
      <c r="DG64" s="2206"/>
      <c r="DH64" s="2172"/>
      <c r="DI64" s="2172"/>
      <c r="DJ64" s="2172"/>
      <c r="DK64" s="2172"/>
      <c r="DL64" s="2172"/>
      <c r="DM64" s="2172"/>
      <c r="DN64" s="2172"/>
      <c r="DO64" s="2172"/>
      <c r="DP64" s="2172"/>
      <c r="DQ64" s="2172"/>
      <c r="DR64" s="2172"/>
      <c r="DS64" s="2172"/>
      <c r="DT64" s="2172"/>
      <c r="DU64" s="2172"/>
      <c r="DV64" s="2172"/>
      <c r="DW64" s="2172"/>
      <c r="DX64" s="2172"/>
      <c r="DY64" s="2172"/>
      <c r="DZ64" s="2172"/>
      <c r="EA64" s="2172"/>
      <c r="EB64" s="2172"/>
      <c r="EC64" s="2172"/>
      <c r="ED64" s="2172"/>
      <c r="EE64" s="2172"/>
      <c r="EF64" s="2172"/>
      <c r="EG64" s="2172"/>
      <c r="EH64" s="2172"/>
      <c r="EI64" s="2171">
        <f t="shared" si="61"/>
        <v>0</v>
      </c>
    </row>
    <row r="65" spans="1:139" ht="15">
      <c r="A65" s="1470" t="s">
        <v>74</v>
      </c>
      <c r="B65" s="2277">
        <f t="shared" ref="B65:AH65" si="62">SUM(B53:B64)</f>
        <v>0</v>
      </c>
      <c r="C65" s="1488">
        <f t="shared" si="62"/>
        <v>0</v>
      </c>
      <c r="D65" s="1488">
        <f t="shared" si="62"/>
        <v>0</v>
      </c>
      <c r="E65" s="1488">
        <f t="shared" si="62"/>
        <v>0</v>
      </c>
      <c r="F65" s="1488">
        <f t="shared" si="62"/>
        <v>0</v>
      </c>
      <c r="G65" s="1488">
        <f t="shared" si="62"/>
        <v>0</v>
      </c>
      <c r="H65" s="1488">
        <f t="shared" si="62"/>
        <v>0</v>
      </c>
      <c r="I65" s="1488">
        <f t="shared" si="62"/>
        <v>0</v>
      </c>
      <c r="J65" s="1488">
        <f t="shared" si="62"/>
        <v>0</v>
      </c>
      <c r="K65" s="1488">
        <f t="shared" si="62"/>
        <v>0</v>
      </c>
      <c r="L65" s="1488">
        <f t="shared" si="62"/>
        <v>0</v>
      </c>
      <c r="M65" s="1488">
        <f t="shared" si="62"/>
        <v>0</v>
      </c>
      <c r="N65" s="1488">
        <f t="shared" si="62"/>
        <v>0</v>
      </c>
      <c r="O65" s="1488">
        <f t="shared" si="62"/>
        <v>0</v>
      </c>
      <c r="P65" s="1488">
        <f t="shared" si="62"/>
        <v>0</v>
      </c>
      <c r="Q65" s="1488">
        <f t="shared" si="62"/>
        <v>0</v>
      </c>
      <c r="R65" s="1488">
        <f t="shared" si="62"/>
        <v>0</v>
      </c>
      <c r="S65" s="1488">
        <f t="shared" si="62"/>
        <v>0</v>
      </c>
      <c r="T65" s="1488">
        <f t="shared" si="62"/>
        <v>0</v>
      </c>
      <c r="U65" s="1488">
        <f t="shared" si="62"/>
        <v>0</v>
      </c>
      <c r="V65" s="1488">
        <f t="shared" si="62"/>
        <v>0</v>
      </c>
      <c r="W65" s="1488">
        <f t="shared" si="62"/>
        <v>0</v>
      </c>
      <c r="X65" s="1488">
        <f t="shared" si="62"/>
        <v>0</v>
      </c>
      <c r="Y65" s="1488">
        <f t="shared" si="62"/>
        <v>0</v>
      </c>
      <c r="Z65" s="1488">
        <f t="shared" si="62"/>
        <v>0</v>
      </c>
      <c r="AA65" s="1488">
        <f t="shared" si="62"/>
        <v>0</v>
      </c>
      <c r="AB65" s="1488">
        <f t="shared" si="62"/>
        <v>0</v>
      </c>
      <c r="AC65" s="1488">
        <f t="shared" si="62"/>
        <v>0</v>
      </c>
      <c r="AD65" s="1488">
        <f t="shared" si="62"/>
        <v>0</v>
      </c>
      <c r="AE65" s="1488">
        <f t="shared" si="62"/>
        <v>0</v>
      </c>
      <c r="AF65" s="1488">
        <f t="shared" si="62"/>
        <v>0</v>
      </c>
      <c r="AG65" s="1488">
        <f t="shared" si="62"/>
        <v>0</v>
      </c>
      <c r="AH65" s="1488">
        <f t="shared" si="62"/>
        <v>0</v>
      </c>
      <c r="AJ65" s="2191" t="s">
        <v>74</v>
      </c>
      <c r="AK65" s="2190">
        <f t="shared" ref="AK65:BQ65" si="63">SUM(AK53:AK64)</f>
        <v>0</v>
      </c>
      <c r="AL65" s="2188">
        <f t="shared" si="63"/>
        <v>0</v>
      </c>
      <c r="AM65" s="2188">
        <f t="shared" si="63"/>
        <v>0</v>
      </c>
      <c r="AN65" s="2188">
        <f t="shared" si="63"/>
        <v>0</v>
      </c>
      <c r="AO65" s="2188">
        <f t="shared" si="63"/>
        <v>0</v>
      </c>
      <c r="AP65" s="2188">
        <f t="shared" si="63"/>
        <v>0</v>
      </c>
      <c r="AQ65" s="2188">
        <f t="shared" si="63"/>
        <v>0</v>
      </c>
      <c r="AR65" s="2188">
        <f t="shared" si="63"/>
        <v>0</v>
      </c>
      <c r="AS65" s="2188">
        <f t="shared" si="63"/>
        <v>0</v>
      </c>
      <c r="AT65" s="2188">
        <f t="shared" si="63"/>
        <v>0</v>
      </c>
      <c r="AU65" s="2188">
        <f t="shared" si="63"/>
        <v>0</v>
      </c>
      <c r="AV65" s="2188">
        <f t="shared" si="63"/>
        <v>0</v>
      </c>
      <c r="AW65" s="2188">
        <f t="shared" si="63"/>
        <v>0</v>
      </c>
      <c r="AX65" s="2188">
        <f t="shared" si="63"/>
        <v>0</v>
      </c>
      <c r="AY65" s="2188">
        <f t="shared" si="63"/>
        <v>0</v>
      </c>
      <c r="AZ65" s="2188">
        <f t="shared" si="63"/>
        <v>0</v>
      </c>
      <c r="BA65" s="2188">
        <f t="shared" si="63"/>
        <v>0</v>
      </c>
      <c r="BB65" s="2188">
        <f t="shared" si="63"/>
        <v>0</v>
      </c>
      <c r="BC65" s="2188">
        <f t="shared" si="63"/>
        <v>0</v>
      </c>
      <c r="BD65" s="2188">
        <f t="shared" si="63"/>
        <v>0</v>
      </c>
      <c r="BE65" s="2188">
        <f t="shared" si="63"/>
        <v>0</v>
      </c>
      <c r="BF65" s="2188">
        <f t="shared" si="63"/>
        <v>0</v>
      </c>
      <c r="BG65" s="2188">
        <f t="shared" si="63"/>
        <v>0</v>
      </c>
      <c r="BH65" s="2188">
        <f t="shared" si="63"/>
        <v>0</v>
      </c>
      <c r="BI65" s="2188">
        <f t="shared" si="63"/>
        <v>0</v>
      </c>
      <c r="BJ65" s="2188">
        <f t="shared" si="63"/>
        <v>0</v>
      </c>
      <c r="BK65" s="2188">
        <f t="shared" si="63"/>
        <v>0</v>
      </c>
      <c r="BL65" s="2188">
        <f t="shared" si="63"/>
        <v>0</v>
      </c>
      <c r="BM65" s="2188">
        <f t="shared" si="63"/>
        <v>0</v>
      </c>
      <c r="BN65" s="2188">
        <f t="shared" si="63"/>
        <v>0</v>
      </c>
      <c r="BO65" s="2188">
        <f t="shared" si="63"/>
        <v>0</v>
      </c>
      <c r="BP65" s="2188">
        <f t="shared" si="63"/>
        <v>0</v>
      </c>
      <c r="BQ65" s="2188">
        <f t="shared" si="63"/>
        <v>0</v>
      </c>
      <c r="BS65" s="2183" t="s">
        <v>74</v>
      </c>
      <c r="BT65" s="2182">
        <f t="shared" ref="BT65:CZ65" si="64">SUM(BT53:BT64)</f>
        <v>0</v>
      </c>
      <c r="BU65" s="2180">
        <f t="shared" si="64"/>
        <v>0</v>
      </c>
      <c r="BV65" s="2180">
        <f t="shared" si="64"/>
        <v>0</v>
      </c>
      <c r="BW65" s="2180">
        <f t="shared" si="64"/>
        <v>0</v>
      </c>
      <c r="BX65" s="2180">
        <f t="shared" si="64"/>
        <v>0</v>
      </c>
      <c r="BY65" s="2180">
        <f t="shared" si="64"/>
        <v>0</v>
      </c>
      <c r="BZ65" s="2180">
        <f t="shared" si="64"/>
        <v>0</v>
      </c>
      <c r="CA65" s="2180">
        <f t="shared" si="64"/>
        <v>0</v>
      </c>
      <c r="CB65" s="2180">
        <f t="shared" si="64"/>
        <v>0</v>
      </c>
      <c r="CC65" s="2180">
        <f t="shared" si="64"/>
        <v>0</v>
      </c>
      <c r="CD65" s="2180">
        <f t="shared" si="64"/>
        <v>0</v>
      </c>
      <c r="CE65" s="2180">
        <f t="shared" si="64"/>
        <v>0</v>
      </c>
      <c r="CF65" s="2180">
        <f t="shared" si="64"/>
        <v>0</v>
      </c>
      <c r="CG65" s="2180">
        <f t="shared" si="64"/>
        <v>0</v>
      </c>
      <c r="CH65" s="2180">
        <f t="shared" si="64"/>
        <v>0</v>
      </c>
      <c r="CI65" s="2180">
        <f t="shared" si="64"/>
        <v>0</v>
      </c>
      <c r="CJ65" s="2180">
        <f t="shared" si="64"/>
        <v>0</v>
      </c>
      <c r="CK65" s="2180">
        <f t="shared" si="64"/>
        <v>0</v>
      </c>
      <c r="CL65" s="2180">
        <f t="shared" si="64"/>
        <v>0</v>
      </c>
      <c r="CM65" s="2180">
        <f t="shared" si="64"/>
        <v>0</v>
      </c>
      <c r="CN65" s="2180">
        <f t="shared" si="64"/>
        <v>0</v>
      </c>
      <c r="CO65" s="2180">
        <f t="shared" si="64"/>
        <v>0</v>
      </c>
      <c r="CP65" s="2180">
        <f t="shared" si="64"/>
        <v>0</v>
      </c>
      <c r="CQ65" s="2180">
        <f t="shared" si="64"/>
        <v>0</v>
      </c>
      <c r="CR65" s="2180">
        <f t="shared" si="64"/>
        <v>0</v>
      </c>
      <c r="CS65" s="2180">
        <f t="shared" si="64"/>
        <v>0</v>
      </c>
      <c r="CT65" s="2180">
        <f t="shared" si="64"/>
        <v>0</v>
      </c>
      <c r="CU65" s="2180">
        <f t="shared" si="64"/>
        <v>0</v>
      </c>
      <c r="CV65" s="2180">
        <f t="shared" si="64"/>
        <v>0</v>
      </c>
      <c r="CW65" s="2180">
        <f t="shared" si="64"/>
        <v>0</v>
      </c>
      <c r="CX65" s="2180">
        <f t="shared" si="64"/>
        <v>0</v>
      </c>
      <c r="CY65" s="2180">
        <f t="shared" si="64"/>
        <v>0</v>
      </c>
      <c r="CZ65" s="2180">
        <f t="shared" si="64"/>
        <v>0</v>
      </c>
      <c r="DB65" s="2174" t="s">
        <v>74</v>
      </c>
      <c r="DC65" s="2173">
        <f t="shared" ref="DC65:EI65" si="65">SUM(DC53:DC64)</f>
        <v>0</v>
      </c>
      <c r="DD65" s="2171">
        <f t="shared" si="65"/>
        <v>0</v>
      </c>
      <c r="DE65" s="2171">
        <f t="shared" si="65"/>
        <v>0</v>
      </c>
      <c r="DF65" s="2171">
        <f t="shared" si="65"/>
        <v>0</v>
      </c>
      <c r="DG65" s="2171">
        <f t="shared" si="65"/>
        <v>0</v>
      </c>
      <c r="DH65" s="2171">
        <f t="shared" si="65"/>
        <v>0</v>
      </c>
      <c r="DI65" s="2171">
        <f t="shared" si="65"/>
        <v>0</v>
      </c>
      <c r="DJ65" s="2171">
        <f t="shared" si="65"/>
        <v>0</v>
      </c>
      <c r="DK65" s="2171">
        <f t="shared" si="65"/>
        <v>0</v>
      </c>
      <c r="DL65" s="2171">
        <f t="shared" si="65"/>
        <v>0</v>
      </c>
      <c r="DM65" s="2171">
        <f t="shared" si="65"/>
        <v>0</v>
      </c>
      <c r="DN65" s="2171">
        <f t="shared" si="65"/>
        <v>0</v>
      </c>
      <c r="DO65" s="2171">
        <f t="shared" si="65"/>
        <v>0</v>
      </c>
      <c r="DP65" s="2171">
        <f t="shared" si="65"/>
        <v>0</v>
      </c>
      <c r="DQ65" s="2171">
        <f t="shared" si="65"/>
        <v>0</v>
      </c>
      <c r="DR65" s="2171">
        <f t="shared" si="65"/>
        <v>0</v>
      </c>
      <c r="DS65" s="2171">
        <f t="shared" si="65"/>
        <v>0</v>
      </c>
      <c r="DT65" s="2171">
        <f t="shared" si="65"/>
        <v>0</v>
      </c>
      <c r="DU65" s="2171">
        <f t="shared" si="65"/>
        <v>0</v>
      </c>
      <c r="DV65" s="2171">
        <f t="shared" si="65"/>
        <v>0</v>
      </c>
      <c r="DW65" s="2171">
        <f t="shared" si="65"/>
        <v>0</v>
      </c>
      <c r="DX65" s="2171">
        <f t="shared" si="65"/>
        <v>0</v>
      </c>
      <c r="DY65" s="2171">
        <f t="shared" si="65"/>
        <v>0</v>
      </c>
      <c r="DZ65" s="2171">
        <f t="shared" si="65"/>
        <v>0</v>
      </c>
      <c r="EA65" s="2171">
        <f t="shared" si="65"/>
        <v>0</v>
      </c>
      <c r="EB65" s="2171">
        <f t="shared" si="65"/>
        <v>0</v>
      </c>
      <c r="EC65" s="2171">
        <f t="shared" si="65"/>
        <v>0</v>
      </c>
      <c r="ED65" s="2171">
        <f t="shared" si="65"/>
        <v>0</v>
      </c>
      <c r="EE65" s="2171">
        <f t="shared" si="65"/>
        <v>0</v>
      </c>
      <c r="EF65" s="2171">
        <f t="shared" si="65"/>
        <v>0</v>
      </c>
      <c r="EG65" s="2171">
        <f t="shared" si="65"/>
        <v>0</v>
      </c>
      <c r="EH65" s="2171">
        <f t="shared" si="65"/>
        <v>0</v>
      </c>
      <c r="EI65" s="2171">
        <f t="shared" si="65"/>
        <v>0</v>
      </c>
    </row>
    <row r="66" spans="1:139">
      <c r="A66" s="2124"/>
      <c r="B66" s="2124"/>
      <c r="C66" s="2124"/>
      <c r="D66" s="2124"/>
      <c r="E66" s="2124"/>
      <c r="F66" s="2124"/>
      <c r="G66" s="2124"/>
      <c r="H66" s="2124"/>
      <c r="I66" s="2124"/>
      <c r="J66" s="2124"/>
      <c r="K66" s="2124"/>
      <c r="L66" s="2124"/>
      <c r="M66" s="2124"/>
      <c r="N66" s="2124"/>
      <c r="O66" s="2124"/>
      <c r="P66" s="2124"/>
      <c r="Q66" s="2124"/>
      <c r="R66" s="2124"/>
      <c r="S66" s="2124"/>
      <c r="T66" s="2124"/>
      <c r="U66" s="2124"/>
      <c r="V66" s="2124"/>
      <c r="W66" s="2124"/>
      <c r="X66" s="2124"/>
      <c r="Y66" s="2124"/>
      <c r="Z66" s="2124"/>
      <c r="AA66" s="2124"/>
      <c r="AB66" s="2124"/>
      <c r="AC66" s="2124"/>
      <c r="AD66" s="2124"/>
      <c r="AE66" s="2124"/>
      <c r="AF66" s="2124"/>
      <c r="AG66" s="2124"/>
      <c r="AH66" s="2124"/>
      <c r="AJ66" s="2195"/>
      <c r="AK66" s="2195"/>
      <c r="AL66" s="2195"/>
      <c r="AM66" s="2195"/>
      <c r="AN66" s="2195"/>
      <c r="AO66" s="2195"/>
      <c r="AP66" s="2195"/>
      <c r="AQ66" s="2195"/>
      <c r="AR66" s="2195"/>
      <c r="AS66" s="2195"/>
      <c r="AT66" s="2195"/>
      <c r="AU66" s="2195"/>
      <c r="AV66" s="2195"/>
      <c r="AW66" s="2195"/>
      <c r="AX66" s="2195"/>
      <c r="AY66" s="2195"/>
      <c r="AZ66" s="2195"/>
      <c r="BA66" s="2195"/>
      <c r="BB66" s="2195"/>
      <c r="BC66" s="2195"/>
      <c r="BD66" s="2195"/>
      <c r="BE66" s="2195"/>
      <c r="BF66" s="2195"/>
      <c r="BG66" s="2195"/>
      <c r="BH66" s="2195"/>
      <c r="BI66" s="2195"/>
      <c r="BJ66" s="2195"/>
      <c r="BK66" s="2195"/>
      <c r="BL66" s="2195"/>
      <c r="BM66" s="2195"/>
      <c r="BN66" s="2195"/>
      <c r="BO66" s="2195"/>
      <c r="BP66" s="2195"/>
      <c r="BQ66" s="2195"/>
      <c r="BS66" s="2187"/>
      <c r="BT66" s="2187"/>
      <c r="BU66" s="2187"/>
      <c r="BV66" s="2187"/>
      <c r="BW66" s="2187"/>
      <c r="BX66" s="2187"/>
      <c r="BY66" s="2187"/>
      <c r="BZ66" s="2187"/>
      <c r="CA66" s="2187"/>
      <c r="CB66" s="2187"/>
      <c r="CC66" s="2187"/>
      <c r="CD66" s="2187"/>
      <c r="CE66" s="2187"/>
      <c r="CF66" s="2187"/>
      <c r="CG66" s="2187"/>
      <c r="CH66" s="2187"/>
      <c r="CI66" s="2187"/>
      <c r="CJ66" s="2187"/>
      <c r="CK66" s="2187"/>
      <c r="CL66" s="2187"/>
      <c r="CM66" s="2187"/>
      <c r="CN66" s="2187"/>
      <c r="CO66" s="2187"/>
      <c r="CP66" s="2187"/>
      <c r="CQ66" s="2187"/>
      <c r="CR66" s="2187"/>
      <c r="CS66" s="2187"/>
      <c r="CT66" s="2187"/>
      <c r="CU66" s="2187"/>
      <c r="CV66" s="2187"/>
      <c r="CW66" s="2187"/>
      <c r="CX66" s="2187"/>
      <c r="CY66" s="2187"/>
      <c r="CZ66" s="2187"/>
      <c r="DB66" s="2179"/>
      <c r="DC66" s="2179"/>
      <c r="DD66" s="2179"/>
      <c r="DE66" s="2179"/>
      <c r="DF66" s="2179"/>
      <c r="DG66" s="2179"/>
      <c r="DH66" s="2179"/>
      <c r="DI66" s="2179"/>
      <c r="DJ66" s="2179"/>
      <c r="DK66" s="2179"/>
      <c r="DL66" s="2179"/>
      <c r="DM66" s="2179"/>
      <c r="DN66" s="2179"/>
      <c r="DO66" s="2179"/>
      <c r="DP66" s="2179"/>
      <c r="DQ66" s="2179"/>
      <c r="DR66" s="2179"/>
      <c r="DS66" s="2179"/>
      <c r="DT66" s="2179"/>
      <c r="DU66" s="2179"/>
      <c r="DV66" s="2179"/>
      <c r="DW66" s="2179"/>
      <c r="DX66" s="2179"/>
      <c r="DY66" s="2179"/>
      <c r="DZ66" s="2179"/>
      <c r="EA66" s="2179"/>
      <c r="EB66" s="2179"/>
      <c r="EC66" s="2179"/>
      <c r="ED66" s="2179"/>
      <c r="EE66" s="2179"/>
      <c r="EF66" s="2179"/>
      <c r="EG66" s="2179"/>
      <c r="EH66" s="2179"/>
      <c r="EI66" s="2179"/>
    </row>
    <row r="67" spans="1:139" ht="15">
      <c r="A67" s="3781" t="s">
        <v>638</v>
      </c>
      <c r="B67" s="3782"/>
      <c r="C67" s="3783"/>
      <c r="D67" s="2275"/>
      <c r="E67" s="1433"/>
      <c r="F67" s="1433"/>
      <c r="G67" s="1433"/>
      <c r="H67" s="1433"/>
      <c r="I67" s="1433"/>
      <c r="J67" s="1433"/>
      <c r="K67" s="1433"/>
      <c r="L67" s="1433"/>
      <c r="M67" s="2274"/>
      <c r="N67" s="2273"/>
      <c r="O67" s="1433"/>
      <c r="P67" s="1433"/>
      <c r="Q67" s="1433"/>
      <c r="R67" s="1433"/>
      <c r="S67" s="1433"/>
      <c r="T67" s="1433"/>
      <c r="U67" s="1433"/>
      <c r="V67" s="1433"/>
      <c r="W67" s="1433"/>
      <c r="X67" s="1433"/>
      <c r="Y67" s="1433"/>
      <c r="Z67" s="1433"/>
      <c r="AA67" s="1433"/>
      <c r="AB67" s="1433"/>
      <c r="AC67" s="1433"/>
      <c r="AD67" s="1433"/>
      <c r="AE67" s="1433"/>
      <c r="AF67" s="1433"/>
      <c r="AG67" s="1433"/>
      <c r="AH67" s="1433"/>
      <c r="AJ67" s="3585" t="s">
        <v>638</v>
      </c>
      <c r="AK67" s="3586"/>
      <c r="AL67" s="3587"/>
      <c r="AM67" s="2269"/>
      <c r="AN67" s="2193"/>
      <c r="AO67" s="2193"/>
      <c r="AP67" s="2193"/>
      <c r="AQ67" s="2193"/>
      <c r="AR67" s="2193"/>
      <c r="AS67" s="2193"/>
      <c r="AT67" s="2193"/>
      <c r="AU67" s="2193"/>
      <c r="AV67" s="2194"/>
      <c r="AW67" s="2268"/>
      <c r="AX67" s="2193"/>
      <c r="AY67" s="2193"/>
      <c r="AZ67" s="2193"/>
      <c r="BA67" s="2193"/>
      <c r="BB67" s="2193"/>
      <c r="BC67" s="2193"/>
      <c r="BD67" s="2193"/>
      <c r="BE67" s="2193"/>
      <c r="BF67" s="2193"/>
      <c r="BG67" s="2193"/>
      <c r="BH67" s="2193"/>
      <c r="BI67" s="2193"/>
      <c r="BJ67" s="2193"/>
      <c r="BK67" s="2193"/>
      <c r="BL67" s="2193"/>
      <c r="BM67" s="2193"/>
      <c r="BN67" s="2193"/>
      <c r="BO67" s="2193"/>
      <c r="BP67" s="2193"/>
      <c r="BQ67" s="2193"/>
      <c r="BS67" s="3772" t="s">
        <v>638</v>
      </c>
      <c r="BT67" s="3773"/>
      <c r="BU67" s="3774"/>
      <c r="BV67" s="2267"/>
      <c r="BW67" s="2185"/>
      <c r="BX67" s="2185"/>
      <c r="BY67" s="2185"/>
      <c r="BZ67" s="2185"/>
      <c r="CA67" s="2185"/>
      <c r="CB67" s="2185"/>
      <c r="CC67" s="2185"/>
      <c r="CD67" s="2185"/>
      <c r="CE67" s="2186"/>
      <c r="CF67" s="2266"/>
      <c r="CG67" s="2185"/>
      <c r="CH67" s="2185"/>
      <c r="CI67" s="2185"/>
      <c r="CJ67" s="2185"/>
      <c r="CK67" s="2185"/>
      <c r="CL67" s="2185"/>
      <c r="CM67" s="2185"/>
      <c r="CN67" s="2185"/>
      <c r="CO67" s="2185"/>
      <c r="CP67" s="2185"/>
      <c r="CQ67" s="2185"/>
      <c r="CR67" s="2185"/>
      <c r="CS67" s="2185"/>
      <c r="CT67" s="2185"/>
      <c r="CU67" s="2185"/>
      <c r="CV67" s="2185"/>
      <c r="CW67" s="2185"/>
      <c r="CX67" s="2185"/>
      <c r="CY67" s="2185"/>
      <c r="CZ67" s="2185"/>
      <c r="DB67" s="3775" t="s">
        <v>638</v>
      </c>
      <c r="DC67" s="3776"/>
      <c r="DD67" s="3777"/>
      <c r="DE67" s="2265"/>
      <c r="DF67" s="2177"/>
      <c r="DG67" s="2177"/>
      <c r="DH67" s="2177"/>
      <c r="DI67" s="2177"/>
      <c r="DJ67" s="2177"/>
      <c r="DK67" s="2177"/>
      <c r="DL67" s="2177"/>
      <c r="DM67" s="2177"/>
      <c r="DN67" s="2178"/>
      <c r="DO67" s="2264"/>
      <c r="DP67" s="2177"/>
      <c r="DQ67" s="2177"/>
      <c r="DR67" s="2177"/>
      <c r="DS67" s="2177"/>
      <c r="DT67" s="2177"/>
      <c r="DU67" s="2177"/>
      <c r="DV67" s="2177"/>
      <c r="DW67" s="2177"/>
      <c r="DX67" s="2177"/>
      <c r="DY67" s="2177"/>
      <c r="DZ67" s="2177"/>
      <c r="EA67" s="2177"/>
      <c r="EB67" s="2177"/>
      <c r="EC67" s="2177"/>
      <c r="ED67" s="2177"/>
      <c r="EE67" s="2177"/>
      <c r="EF67" s="2177"/>
      <c r="EG67" s="2177"/>
      <c r="EH67" s="2177"/>
      <c r="EI67" s="2177"/>
    </row>
    <row r="68" spans="1:139" ht="15">
      <c r="A68" s="1249" t="s">
        <v>72</v>
      </c>
      <c r="B68" s="1249" t="s">
        <v>73</v>
      </c>
      <c r="C68" s="1249">
        <v>1</v>
      </c>
      <c r="D68" s="1249">
        <v>2</v>
      </c>
      <c r="E68" s="1249">
        <v>3</v>
      </c>
      <c r="F68" s="1249">
        <v>4</v>
      </c>
      <c r="G68" s="1249">
        <v>5</v>
      </c>
      <c r="H68" s="1249">
        <v>6</v>
      </c>
      <c r="I68" s="1249">
        <v>7</v>
      </c>
      <c r="J68" s="1249">
        <v>8</v>
      </c>
      <c r="K68" s="1249">
        <v>9</v>
      </c>
      <c r="L68" s="1249">
        <v>10</v>
      </c>
      <c r="M68" s="1249">
        <v>11</v>
      </c>
      <c r="N68" s="1249">
        <v>12</v>
      </c>
      <c r="O68" s="1249">
        <v>13</v>
      </c>
      <c r="P68" s="1249">
        <v>14</v>
      </c>
      <c r="Q68" s="1249">
        <v>15</v>
      </c>
      <c r="R68" s="1249">
        <v>16</v>
      </c>
      <c r="S68" s="1249">
        <v>17</v>
      </c>
      <c r="T68" s="1249">
        <v>18</v>
      </c>
      <c r="U68" s="1249">
        <v>19</v>
      </c>
      <c r="V68" s="1249">
        <v>20</v>
      </c>
      <c r="W68" s="1249">
        <v>21</v>
      </c>
      <c r="X68" s="1249">
        <v>22</v>
      </c>
      <c r="Y68" s="1249">
        <v>23</v>
      </c>
      <c r="Z68" s="1249">
        <v>24</v>
      </c>
      <c r="AA68" s="1249">
        <v>25</v>
      </c>
      <c r="AB68" s="1249">
        <v>26</v>
      </c>
      <c r="AC68" s="1249">
        <v>27</v>
      </c>
      <c r="AD68" s="1249">
        <v>28</v>
      </c>
      <c r="AE68" s="1249">
        <v>29</v>
      </c>
      <c r="AF68" s="1249">
        <v>30</v>
      </c>
      <c r="AG68" s="1249">
        <v>31</v>
      </c>
      <c r="AH68" s="1820" t="s">
        <v>74</v>
      </c>
      <c r="AJ68" s="1746" t="s">
        <v>72</v>
      </c>
      <c r="AK68" s="1746" t="s">
        <v>73</v>
      </c>
      <c r="AL68" s="1746">
        <v>1</v>
      </c>
      <c r="AM68" s="1746">
        <v>2</v>
      </c>
      <c r="AN68" s="1746">
        <v>3</v>
      </c>
      <c r="AO68" s="1746">
        <v>4</v>
      </c>
      <c r="AP68" s="1746">
        <v>5</v>
      </c>
      <c r="AQ68" s="1746">
        <v>6</v>
      </c>
      <c r="AR68" s="1746">
        <v>7</v>
      </c>
      <c r="AS68" s="1746">
        <v>8</v>
      </c>
      <c r="AT68" s="1746">
        <v>9</v>
      </c>
      <c r="AU68" s="1746">
        <v>10</v>
      </c>
      <c r="AV68" s="1746">
        <v>11</v>
      </c>
      <c r="AW68" s="1746">
        <v>12</v>
      </c>
      <c r="AX68" s="1746">
        <v>13</v>
      </c>
      <c r="AY68" s="1746">
        <v>14</v>
      </c>
      <c r="AZ68" s="1746">
        <v>15</v>
      </c>
      <c r="BA68" s="1746">
        <v>16</v>
      </c>
      <c r="BB68" s="1746">
        <v>17</v>
      </c>
      <c r="BC68" s="1746">
        <v>18</v>
      </c>
      <c r="BD68" s="1746">
        <v>19</v>
      </c>
      <c r="BE68" s="1746">
        <v>20</v>
      </c>
      <c r="BF68" s="1746">
        <v>21</v>
      </c>
      <c r="BG68" s="1746">
        <v>22</v>
      </c>
      <c r="BH68" s="1746">
        <v>23</v>
      </c>
      <c r="BI68" s="1746">
        <v>24</v>
      </c>
      <c r="BJ68" s="1746">
        <v>25</v>
      </c>
      <c r="BK68" s="1746">
        <v>26</v>
      </c>
      <c r="BL68" s="1746">
        <v>27</v>
      </c>
      <c r="BM68" s="1746">
        <v>28</v>
      </c>
      <c r="BN68" s="1746">
        <v>29</v>
      </c>
      <c r="BO68" s="1746">
        <v>30</v>
      </c>
      <c r="BP68" s="1746">
        <v>31</v>
      </c>
      <c r="BQ68" s="2192" t="s">
        <v>74</v>
      </c>
      <c r="BS68" s="1845" t="s">
        <v>72</v>
      </c>
      <c r="BT68" s="1845" t="s">
        <v>73</v>
      </c>
      <c r="BU68" s="1845">
        <v>1</v>
      </c>
      <c r="BV68" s="1845">
        <v>2</v>
      </c>
      <c r="BW68" s="1845">
        <v>3</v>
      </c>
      <c r="BX68" s="1845">
        <v>4</v>
      </c>
      <c r="BY68" s="1845">
        <v>5</v>
      </c>
      <c r="BZ68" s="1845">
        <v>6</v>
      </c>
      <c r="CA68" s="1845">
        <v>7</v>
      </c>
      <c r="CB68" s="1845">
        <v>8</v>
      </c>
      <c r="CC68" s="1845">
        <v>9</v>
      </c>
      <c r="CD68" s="1845">
        <v>10</v>
      </c>
      <c r="CE68" s="1845">
        <v>11</v>
      </c>
      <c r="CF68" s="1845">
        <v>12</v>
      </c>
      <c r="CG68" s="1845">
        <v>13</v>
      </c>
      <c r="CH68" s="1845">
        <v>14</v>
      </c>
      <c r="CI68" s="1845">
        <v>15</v>
      </c>
      <c r="CJ68" s="1845">
        <v>16</v>
      </c>
      <c r="CK68" s="1845">
        <v>17</v>
      </c>
      <c r="CL68" s="1845">
        <v>18</v>
      </c>
      <c r="CM68" s="1845">
        <v>19</v>
      </c>
      <c r="CN68" s="1845">
        <v>20</v>
      </c>
      <c r="CO68" s="1845">
        <v>21</v>
      </c>
      <c r="CP68" s="1845">
        <v>22</v>
      </c>
      <c r="CQ68" s="1845">
        <v>23</v>
      </c>
      <c r="CR68" s="1845">
        <v>24</v>
      </c>
      <c r="CS68" s="1845">
        <v>25</v>
      </c>
      <c r="CT68" s="1845">
        <v>26</v>
      </c>
      <c r="CU68" s="1845">
        <v>27</v>
      </c>
      <c r="CV68" s="1845">
        <v>28</v>
      </c>
      <c r="CW68" s="1845">
        <v>29</v>
      </c>
      <c r="CX68" s="1845">
        <v>30</v>
      </c>
      <c r="CY68" s="1845">
        <v>31</v>
      </c>
      <c r="CZ68" s="2184" t="s">
        <v>74</v>
      </c>
      <c r="DB68" s="1962" t="s">
        <v>72</v>
      </c>
      <c r="DC68" s="1962" t="s">
        <v>73</v>
      </c>
      <c r="DD68" s="1962">
        <v>1</v>
      </c>
      <c r="DE68" s="1962">
        <v>2</v>
      </c>
      <c r="DF68" s="1962">
        <v>3</v>
      </c>
      <c r="DG68" s="1962">
        <v>4</v>
      </c>
      <c r="DH68" s="1962">
        <v>5</v>
      </c>
      <c r="DI68" s="1962">
        <v>6</v>
      </c>
      <c r="DJ68" s="1962">
        <v>7</v>
      </c>
      <c r="DK68" s="1962">
        <v>8</v>
      </c>
      <c r="DL68" s="1962">
        <v>9</v>
      </c>
      <c r="DM68" s="1962">
        <v>10</v>
      </c>
      <c r="DN68" s="1962">
        <v>11</v>
      </c>
      <c r="DO68" s="1962">
        <v>12</v>
      </c>
      <c r="DP68" s="1962">
        <v>13</v>
      </c>
      <c r="DQ68" s="1962">
        <v>14</v>
      </c>
      <c r="DR68" s="1962">
        <v>15</v>
      </c>
      <c r="DS68" s="1962">
        <v>16</v>
      </c>
      <c r="DT68" s="1962">
        <v>17</v>
      </c>
      <c r="DU68" s="1962">
        <v>18</v>
      </c>
      <c r="DV68" s="1962">
        <v>19</v>
      </c>
      <c r="DW68" s="1962">
        <v>20</v>
      </c>
      <c r="DX68" s="1962">
        <v>21</v>
      </c>
      <c r="DY68" s="1962">
        <v>22</v>
      </c>
      <c r="DZ68" s="1962">
        <v>23</v>
      </c>
      <c r="EA68" s="1962">
        <v>24</v>
      </c>
      <c r="EB68" s="1962">
        <v>25</v>
      </c>
      <c r="EC68" s="1962">
        <v>26</v>
      </c>
      <c r="ED68" s="1962">
        <v>27</v>
      </c>
      <c r="EE68" s="1962">
        <v>28</v>
      </c>
      <c r="EF68" s="1962">
        <v>29</v>
      </c>
      <c r="EG68" s="1962">
        <v>30</v>
      </c>
      <c r="EH68" s="1962">
        <v>31</v>
      </c>
      <c r="EI68" s="2176" t="s">
        <v>74</v>
      </c>
    </row>
    <row r="69" spans="1:139" ht="15">
      <c r="A69" s="1249" t="s">
        <v>75</v>
      </c>
      <c r="B69" s="1287">
        <f t="shared" ref="B69:B80" si="66">+AH69</f>
        <v>0</v>
      </c>
      <c r="C69" s="2271"/>
      <c r="D69" s="2271"/>
      <c r="E69" s="2271"/>
      <c r="F69" s="2271"/>
      <c r="G69" s="2271"/>
      <c r="H69" s="2271"/>
      <c r="I69" s="2271"/>
      <c r="J69" s="2271"/>
      <c r="K69" s="2271"/>
      <c r="L69" s="2271"/>
      <c r="M69" s="2271"/>
      <c r="N69" s="2271"/>
      <c r="O69" s="2271"/>
      <c r="P69" s="2271"/>
      <c r="Q69" s="2271"/>
      <c r="R69" s="2271"/>
      <c r="S69" s="2271"/>
      <c r="T69" s="2271"/>
      <c r="U69" s="2271"/>
      <c r="V69" s="2271"/>
      <c r="W69" s="2271"/>
      <c r="X69" s="2271"/>
      <c r="Y69" s="2271"/>
      <c r="Z69" s="2271"/>
      <c r="AA69" s="2271"/>
      <c r="AB69" s="2271"/>
      <c r="AC69" s="2271"/>
      <c r="AD69" s="2271"/>
      <c r="AE69" s="2271"/>
      <c r="AF69" s="2271"/>
      <c r="AG69" s="2271"/>
      <c r="AH69" s="1488">
        <f t="shared" ref="AH69:AH80" si="67">SUM(C69:AG69)</f>
        <v>0</v>
      </c>
      <c r="AJ69" s="1746" t="s">
        <v>75</v>
      </c>
      <c r="AK69" s="1749">
        <f t="shared" ref="AK69:AK80" si="68">+BQ69</f>
        <v>0</v>
      </c>
      <c r="AL69" s="2226"/>
      <c r="AM69" s="2226"/>
      <c r="AN69" s="2226"/>
      <c r="AO69" s="2226"/>
      <c r="AP69" s="2226"/>
      <c r="AQ69" s="2226"/>
      <c r="AR69" s="2226"/>
      <c r="AS69" s="2226"/>
      <c r="AT69" s="2226"/>
      <c r="AU69" s="2226"/>
      <c r="AV69" s="2226"/>
      <c r="AW69" s="2226"/>
      <c r="AX69" s="2226"/>
      <c r="AY69" s="2226"/>
      <c r="AZ69" s="2226"/>
      <c r="BA69" s="2226"/>
      <c r="BB69" s="2226"/>
      <c r="BC69" s="2226"/>
      <c r="BD69" s="2226"/>
      <c r="BE69" s="2226"/>
      <c r="BF69" s="2226"/>
      <c r="BG69" s="2226"/>
      <c r="BH69" s="2226"/>
      <c r="BI69" s="2226"/>
      <c r="BJ69" s="2226"/>
      <c r="BK69" s="2226"/>
      <c r="BL69" s="2226"/>
      <c r="BM69" s="2226"/>
      <c r="BN69" s="2226"/>
      <c r="BO69" s="2226"/>
      <c r="BP69" s="2226"/>
      <c r="BQ69" s="2188">
        <f t="shared" ref="BQ69:BQ80" si="69">SUM(AL69:BP69)</f>
        <v>0</v>
      </c>
      <c r="BS69" s="1845" t="s">
        <v>75</v>
      </c>
      <c r="BT69" s="2678">
        <f t="shared" ref="BT69:BT80" si="70">+CZ69</f>
        <v>0.93200000000000005</v>
      </c>
      <c r="BU69" s="2388">
        <v>0</v>
      </c>
      <c r="BV69" s="2388">
        <v>0</v>
      </c>
      <c r="BW69" s="2388">
        <v>0</v>
      </c>
      <c r="BX69" s="2388">
        <v>5.7000000000000002E-2</v>
      </c>
      <c r="BY69" s="2388">
        <v>0.03</v>
      </c>
      <c r="BZ69" s="2388">
        <v>8.6999999999999994E-2</v>
      </c>
      <c r="CA69" s="2388">
        <v>4.0000000000000001E-3</v>
      </c>
      <c r="CB69" s="2388">
        <v>0</v>
      </c>
      <c r="CC69" s="2388">
        <v>5.5999999999999994E-2</v>
      </c>
      <c r="CD69" s="2388">
        <v>1.9E-2</v>
      </c>
      <c r="CE69" s="2388">
        <v>8.4999999999999992E-2</v>
      </c>
      <c r="CF69" s="2388">
        <v>0.11600000000000001</v>
      </c>
      <c r="CG69" s="2388">
        <v>0</v>
      </c>
      <c r="CH69" s="2388">
        <v>0</v>
      </c>
      <c r="CI69" s="2388">
        <v>7.1999999999999995E-2</v>
      </c>
      <c r="CJ69" s="2388">
        <v>7.1999999999999995E-2</v>
      </c>
      <c r="CK69" s="2388">
        <v>0.01</v>
      </c>
      <c r="CL69" s="2388">
        <v>0.05</v>
      </c>
      <c r="CM69" s="2388">
        <v>0</v>
      </c>
      <c r="CN69" s="2388">
        <v>0.04</v>
      </c>
      <c r="CO69" s="2388">
        <v>0</v>
      </c>
      <c r="CP69" s="2388">
        <v>0.04</v>
      </c>
      <c r="CQ69" s="2388">
        <v>0.13</v>
      </c>
      <c r="CR69" s="2388">
        <v>0</v>
      </c>
      <c r="CS69" s="2388">
        <v>0</v>
      </c>
      <c r="CT69" s="2388">
        <v>0</v>
      </c>
      <c r="CU69" s="2388">
        <v>5.3999999999999999E-2</v>
      </c>
      <c r="CV69" s="2388">
        <v>0</v>
      </c>
      <c r="CW69" s="2388">
        <v>0</v>
      </c>
      <c r="CX69" s="2388">
        <v>0.01</v>
      </c>
      <c r="CY69" s="2388">
        <v>0</v>
      </c>
      <c r="CZ69" s="2180">
        <f t="shared" ref="CZ69:CZ80" si="71">SUM(BU69:CY69)</f>
        <v>0.93200000000000005</v>
      </c>
      <c r="DB69" s="1962" t="s">
        <v>75</v>
      </c>
      <c r="DC69" s="2175">
        <f t="shared" ref="DC69:DC80" si="72">+EI69</f>
        <v>0</v>
      </c>
      <c r="DD69" s="2261"/>
      <c r="DE69" s="2261"/>
      <c r="DF69" s="2261"/>
      <c r="DG69" s="2261"/>
      <c r="DH69" s="2261"/>
      <c r="DI69" s="2261"/>
      <c r="DJ69" s="2261"/>
      <c r="DK69" s="2261"/>
      <c r="DL69" s="2261"/>
      <c r="DM69" s="2261"/>
      <c r="DN69" s="2261"/>
      <c r="DO69" s="2261"/>
      <c r="DP69" s="2261"/>
      <c r="DQ69" s="2261"/>
      <c r="DR69" s="2261"/>
      <c r="DS69" s="2261"/>
      <c r="DT69" s="2261"/>
      <c r="DU69" s="2261"/>
      <c r="DV69" s="2261"/>
      <c r="DW69" s="2261"/>
      <c r="DX69" s="2261"/>
      <c r="DY69" s="2261"/>
      <c r="DZ69" s="2261"/>
      <c r="EA69" s="2261"/>
      <c r="EB69" s="2261"/>
      <c r="EC69" s="2261"/>
      <c r="ED69" s="2261"/>
      <c r="EE69" s="2261"/>
      <c r="EF69" s="2261"/>
      <c r="EG69" s="2261"/>
      <c r="EH69" s="2261"/>
      <c r="EI69" s="2171">
        <f t="shared" ref="EI69:EI80" si="73">SUM(DD69:EH69)</f>
        <v>0</v>
      </c>
    </row>
    <row r="70" spans="1:139" ht="15">
      <c r="A70" s="1249" t="s">
        <v>76</v>
      </c>
      <c r="B70" s="1287">
        <f t="shared" si="66"/>
        <v>0</v>
      </c>
      <c r="C70" s="2271"/>
      <c r="D70" s="2271"/>
      <c r="E70" s="2271"/>
      <c r="F70" s="2271"/>
      <c r="G70" s="2271"/>
      <c r="H70" s="2271"/>
      <c r="I70" s="2271"/>
      <c r="J70" s="2271"/>
      <c r="K70" s="2271"/>
      <c r="L70" s="2271"/>
      <c r="M70" s="2271"/>
      <c r="N70" s="2271"/>
      <c r="O70" s="2271"/>
      <c r="P70" s="2271"/>
      <c r="Q70" s="2271"/>
      <c r="R70" s="2271"/>
      <c r="S70" s="2271"/>
      <c r="T70" s="2271"/>
      <c r="U70" s="2271"/>
      <c r="V70" s="2271"/>
      <c r="W70" s="2271"/>
      <c r="X70" s="2271"/>
      <c r="Y70" s="2271"/>
      <c r="Z70" s="2271"/>
      <c r="AA70" s="2271"/>
      <c r="AB70" s="2271"/>
      <c r="AC70" s="2271"/>
      <c r="AD70" s="2271"/>
      <c r="AE70" s="2271"/>
      <c r="AF70" s="2271"/>
      <c r="AG70" s="2271"/>
      <c r="AH70" s="1488">
        <f t="shared" si="67"/>
        <v>0</v>
      </c>
      <c r="AJ70" s="1746" t="s">
        <v>76</v>
      </c>
      <c r="AK70" s="1749">
        <f t="shared" si="68"/>
        <v>0</v>
      </c>
      <c r="AL70" s="2226"/>
      <c r="AM70" s="2226"/>
      <c r="AN70" s="2226"/>
      <c r="AO70" s="2226"/>
      <c r="AP70" s="2226"/>
      <c r="AQ70" s="2226"/>
      <c r="AR70" s="2226"/>
      <c r="AS70" s="2226"/>
      <c r="AT70" s="2226"/>
      <c r="AU70" s="2226"/>
      <c r="AV70" s="2226"/>
      <c r="AW70" s="2226"/>
      <c r="AX70" s="2226"/>
      <c r="AY70" s="2226"/>
      <c r="AZ70" s="2226"/>
      <c r="BA70" s="2226"/>
      <c r="BB70" s="2226"/>
      <c r="BC70" s="2226"/>
      <c r="BD70" s="2226"/>
      <c r="BE70" s="2226"/>
      <c r="BF70" s="2226"/>
      <c r="BG70" s="2226"/>
      <c r="BH70" s="2226"/>
      <c r="BI70" s="2226"/>
      <c r="BJ70" s="2226"/>
      <c r="BK70" s="2226"/>
      <c r="BL70" s="2226"/>
      <c r="BM70" s="2226"/>
      <c r="BN70" s="2226"/>
      <c r="BO70" s="2226"/>
      <c r="BP70" s="2226"/>
      <c r="BQ70" s="2188">
        <f t="shared" si="69"/>
        <v>0</v>
      </c>
      <c r="BS70" s="1845" t="s">
        <v>76</v>
      </c>
      <c r="BT70" s="2678">
        <f t="shared" si="70"/>
        <v>0.11100000000000002</v>
      </c>
      <c r="BU70" s="2388">
        <v>0</v>
      </c>
      <c r="BV70" s="2388">
        <v>0.04</v>
      </c>
      <c r="BW70" s="2388">
        <v>0</v>
      </c>
      <c r="BX70" s="2388">
        <v>0</v>
      </c>
      <c r="BY70" s="2388">
        <v>3.0000000000000001E-3</v>
      </c>
      <c r="BZ70" s="2388">
        <v>0</v>
      </c>
      <c r="CA70" s="2388">
        <v>3.3000000000000002E-2</v>
      </c>
      <c r="CB70" s="2388">
        <v>0.01</v>
      </c>
      <c r="CC70" s="2388">
        <v>1.4999999999999999E-2</v>
      </c>
      <c r="CD70" s="2388">
        <v>0</v>
      </c>
      <c r="CE70" s="2388">
        <v>5.0000000000000001E-3</v>
      </c>
      <c r="CF70" s="2388">
        <v>0</v>
      </c>
      <c r="CG70" s="2388">
        <v>0</v>
      </c>
      <c r="CH70" s="2388">
        <v>0</v>
      </c>
      <c r="CI70" s="2388">
        <v>0</v>
      </c>
      <c r="CJ70" s="2388">
        <v>0</v>
      </c>
      <c r="CK70" s="2388">
        <v>0</v>
      </c>
      <c r="CL70" s="2388">
        <v>3.0000000000000001E-3</v>
      </c>
      <c r="CM70" s="2388">
        <v>0</v>
      </c>
      <c r="CN70" s="2388">
        <v>0</v>
      </c>
      <c r="CO70" s="2388">
        <v>2E-3</v>
      </c>
      <c r="CP70" s="2388">
        <v>0</v>
      </c>
      <c r="CQ70" s="2388">
        <v>0</v>
      </c>
      <c r="CR70" s="2388">
        <v>0</v>
      </c>
      <c r="CS70" s="2388">
        <v>0</v>
      </c>
      <c r="CT70" s="2388">
        <v>0</v>
      </c>
      <c r="CU70" s="2388">
        <v>0</v>
      </c>
      <c r="CV70" s="2388">
        <v>0</v>
      </c>
      <c r="CW70" s="2388"/>
      <c r="CX70" s="2388"/>
      <c r="CY70" s="2388"/>
      <c r="CZ70" s="2180">
        <f t="shared" si="71"/>
        <v>0.11100000000000002</v>
      </c>
      <c r="DB70" s="1962" t="s">
        <v>76</v>
      </c>
      <c r="DC70" s="2175">
        <f t="shared" si="72"/>
        <v>0</v>
      </c>
      <c r="DD70" s="2261"/>
      <c r="DE70" s="2261"/>
      <c r="DF70" s="2261"/>
      <c r="DG70" s="2261"/>
      <c r="DH70" s="2261"/>
      <c r="DI70" s="2261"/>
      <c r="DJ70" s="2261"/>
      <c r="DK70" s="2261"/>
      <c r="DL70" s="2261"/>
      <c r="DM70" s="2261"/>
      <c r="DN70" s="2261"/>
      <c r="DO70" s="2261"/>
      <c r="DP70" s="2261"/>
      <c r="DQ70" s="2261"/>
      <c r="DR70" s="2261"/>
      <c r="DS70" s="2261"/>
      <c r="DT70" s="2261"/>
      <c r="DU70" s="2261"/>
      <c r="DV70" s="2261"/>
      <c r="DW70" s="2261"/>
      <c r="DX70" s="2261"/>
      <c r="DY70" s="2261"/>
      <c r="DZ70" s="2261"/>
      <c r="EA70" s="2261"/>
      <c r="EB70" s="2261"/>
      <c r="EC70" s="2261"/>
      <c r="ED70" s="2261"/>
      <c r="EE70" s="2261"/>
      <c r="EF70" s="2261"/>
      <c r="EG70" s="2261"/>
      <c r="EH70" s="2261"/>
      <c r="EI70" s="2171">
        <f t="shared" si="73"/>
        <v>0</v>
      </c>
    </row>
    <row r="71" spans="1:139" ht="15">
      <c r="A71" s="1249" t="s">
        <v>77</v>
      </c>
      <c r="B71" s="1287">
        <f t="shared" si="66"/>
        <v>0</v>
      </c>
      <c r="C71" s="2271"/>
      <c r="D71" s="2271"/>
      <c r="E71" s="2271"/>
      <c r="F71" s="2271"/>
      <c r="G71" s="2271"/>
      <c r="H71" s="2271"/>
      <c r="I71" s="2271"/>
      <c r="J71" s="2271"/>
      <c r="K71" s="2271"/>
      <c r="L71" s="2271"/>
      <c r="M71" s="2271"/>
      <c r="N71" s="2271"/>
      <c r="O71" s="2271"/>
      <c r="P71" s="2271"/>
      <c r="Q71" s="2271"/>
      <c r="R71" s="2271"/>
      <c r="S71" s="2271"/>
      <c r="T71" s="2271"/>
      <c r="U71" s="2271"/>
      <c r="V71" s="2271"/>
      <c r="W71" s="2271"/>
      <c r="X71" s="2271"/>
      <c r="Y71" s="2271"/>
      <c r="Z71" s="2271"/>
      <c r="AA71" s="2271"/>
      <c r="AB71" s="2271"/>
      <c r="AC71" s="2271"/>
      <c r="AD71" s="2271"/>
      <c r="AE71" s="2271"/>
      <c r="AF71" s="2271"/>
      <c r="AG71" s="2271"/>
      <c r="AH71" s="1488">
        <f t="shared" si="67"/>
        <v>0</v>
      </c>
      <c r="AJ71" s="1746" t="s">
        <v>77</v>
      </c>
      <c r="AK71" s="1749">
        <f t="shared" si="68"/>
        <v>0</v>
      </c>
      <c r="AL71" s="2226"/>
      <c r="AM71" s="2226"/>
      <c r="AN71" s="2226"/>
      <c r="AO71" s="2226"/>
      <c r="AP71" s="2226"/>
      <c r="AQ71" s="2226"/>
      <c r="AR71" s="2226"/>
      <c r="AS71" s="2226"/>
      <c r="AT71" s="2226"/>
      <c r="AU71" s="2226"/>
      <c r="AV71" s="2226"/>
      <c r="AW71" s="2226"/>
      <c r="AX71" s="2226"/>
      <c r="AY71" s="2226"/>
      <c r="AZ71" s="2226"/>
      <c r="BA71" s="2226"/>
      <c r="BB71" s="2226"/>
      <c r="BC71" s="2226"/>
      <c r="BD71" s="2226"/>
      <c r="BE71" s="2226"/>
      <c r="BF71" s="2226"/>
      <c r="BG71" s="2226"/>
      <c r="BH71" s="2226"/>
      <c r="BI71" s="2226"/>
      <c r="BJ71" s="2226"/>
      <c r="BK71" s="2226"/>
      <c r="BL71" s="2226"/>
      <c r="BM71" s="2226"/>
      <c r="BN71" s="2226"/>
      <c r="BO71" s="2226"/>
      <c r="BP71" s="2226"/>
      <c r="BQ71" s="2188">
        <f t="shared" si="69"/>
        <v>0</v>
      </c>
      <c r="BS71" s="1845" t="s">
        <v>77</v>
      </c>
      <c r="BT71" s="2678">
        <f t="shared" si="70"/>
        <v>8.6999999999999994E-2</v>
      </c>
      <c r="BU71" s="2225">
        <v>0</v>
      </c>
      <c r="BV71" s="2225">
        <v>0</v>
      </c>
      <c r="BW71" s="2225">
        <v>0</v>
      </c>
      <c r="BX71" s="2225">
        <v>0</v>
      </c>
      <c r="BY71" s="2225">
        <v>0</v>
      </c>
      <c r="BZ71" s="2225">
        <v>0</v>
      </c>
      <c r="CA71" s="2225">
        <v>0</v>
      </c>
      <c r="CB71" s="2225">
        <v>0</v>
      </c>
      <c r="CC71" s="2225">
        <v>0</v>
      </c>
      <c r="CD71" s="2225">
        <v>0</v>
      </c>
      <c r="CE71" s="2225">
        <v>0</v>
      </c>
      <c r="CF71" s="2225">
        <v>0</v>
      </c>
      <c r="CG71" s="2225">
        <v>0</v>
      </c>
      <c r="CH71" s="2225">
        <v>0</v>
      </c>
      <c r="CI71" s="2225">
        <v>0</v>
      </c>
      <c r="CJ71" s="2225">
        <v>0.01</v>
      </c>
      <c r="CK71" s="2225">
        <v>0</v>
      </c>
      <c r="CL71" s="2225">
        <v>0</v>
      </c>
      <c r="CM71" s="2225">
        <v>0.02</v>
      </c>
      <c r="CN71" s="2225">
        <v>0</v>
      </c>
      <c r="CO71" s="2225">
        <v>0.02</v>
      </c>
      <c r="CP71" s="2225">
        <v>0</v>
      </c>
      <c r="CQ71" s="2225">
        <v>0</v>
      </c>
      <c r="CR71" s="2225">
        <v>0</v>
      </c>
      <c r="CS71" s="2225">
        <v>0</v>
      </c>
      <c r="CT71" s="2225">
        <v>0</v>
      </c>
      <c r="CU71" s="2225">
        <v>1.7000000000000001E-2</v>
      </c>
      <c r="CV71" s="2225">
        <v>0.01</v>
      </c>
      <c r="CW71" s="2225">
        <v>0.01</v>
      </c>
      <c r="CX71" s="2225">
        <v>0</v>
      </c>
      <c r="CY71" s="2225"/>
      <c r="CZ71" s="2180">
        <f t="shared" si="71"/>
        <v>8.6999999999999994E-2</v>
      </c>
      <c r="DB71" s="1962" t="s">
        <v>77</v>
      </c>
      <c r="DC71" s="2175">
        <f t="shared" si="72"/>
        <v>0</v>
      </c>
      <c r="DD71" s="2261"/>
      <c r="DE71" s="2261"/>
      <c r="DF71" s="2261"/>
      <c r="DG71" s="2261"/>
      <c r="DH71" s="2261"/>
      <c r="DI71" s="2261"/>
      <c r="DJ71" s="2261"/>
      <c r="DK71" s="2261"/>
      <c r="DL71" s="2261"/>
      <c r="DM71" s="2261"/>
      <c r="DN71" s="2261"/>
      <c r="DO71" s="2261"/>
      <c r="DP71" s="2261"/>
      <c r="DQ71" s="2261"/>
      <c r="DR71" s="2261"/>
      <c r="DS71" s="2261"/>
      <c r="DT71" s="2261"/>
      <c r="DU71" s="2261"/>
      <c r="DV71" s="2261"/>
      <c r="DW71" s="2261"/>
      <c r="DX71" s="2261"/>
      <c r="DY71" s="2261"/>
      <c r="DZ71" s="2261"/>
      <c r="EA71" s="2261"/>
      <c r="EB71" s="2261"/>
      <c r="EC71" s="2261"/>
      <c r="ED71" s="2261"/>
      <c r="EE71" s="2261"/>
      <c r="EF71" s="2261"/>
      <c r="EG71" s="2261"/>
      <c r="EH71" s="2261"/>
      <c r="EI71" s="2171">
        <f t="shared" si="73"/>
        <v>0</v>
      </c>
    </row>
    <row r="72" spans="1:139" ht="15">
      <c r="A72" s="1249" t="s">
        <v>78</v>
      </c>
      <c r="B72" s="1287">
        <f t="shared" si="66"/>
        <v>0</v>
      </c>
      <c r="C72" s="1760"/>
      <c r="D72" s="1760"/>
      <c r="E72" s="1760"/>
      <c r="F72" s="1760"/>
      <c r="G72" s="1760"/>
      <c r="H72" s="1760"/>
      <c r="I72" s="1760"/>
      <c r="J72" s="1760"/>
      <c r="K72" s="1760"/>
      <c r="L72" s="1760"/>
      <c r="M72" s="2271"/>
      <c r="N72" s="2271"/>
      <c r="O72" s="2271"/>
      <c r="P72" s="2271"/>
      <c r="Q72" s="2271"/>
      <c r="R72" s="2271"/>
      <c r="S72" s="2271"/>
      <c r="T72" s="2271"/>
      <c r="U72" s="2271"/>
      <c r="V72" s="2271"/>
      <c r="W72" s="2271"/>
      <c r="X72" s="2271"/>
      <c r="Y72" s="2271"/>
      <c r="Z72" s="2271"/>
      <c r="AA72" s="2271"/>
      <c r="AB72" s="2271"/>
      <c r="AC72" s="2271"/>
      <c r="AD72" s="2271"/>
      <c r="AE72" s="2271"/>
      <c r="AF72" s="2271"/>
      <c r="AG72" s="1760"/>
      <c r="AH72" s="1488">
        <f t="shared" si="67"/>
        <v>0</v>
      </c>
      <c r="AJ72" s="1746" t="s">
        <v>78</v>
      </c>
      <c r="AK72" s="1749">
        <f t="shared" si="68"/>
        <v>0</v>
      </c>
      <c r="AL72" s="2231"/>
      <c r="AM72" s="2231"/>
      <c r="AN72" s="2231"/>
      <c r="AO72" s="2231"/>
      <c r="AP72" s="2231"/>
      <c r="AQ72" s="2231"/>
      <c r="AR72" s="2231"/>
      <c r="AS72" s="2231"/>
      <c r="AT72" s="2231"/>
      <c r="AU72" s="2231"/>
      <c r="AV72" s="2226"/>
      <c r="AW72" s="2226"/>
      <c r="AX72" s="2231"/>
      <c r="AY72" s="2231"/>
      <c r="AZ72" s="2231"/>
      <c r="BA72" s="2231"/>
      <c r="BB72" s="2231"/>
      <c r="BC72" s="2231"/>
      <c r="BD72" s="2231"/>
      <c r="BE72" s="2231"/>
      <c r="BF72" s="2231"/>
      <c r="BG72" s="2231"/>
      <c r="BH72" s="2226"/>
      <c r="BI72" s="2226"/>
      <c r="BJ72" s="2226"/>
      <c r="BK72" s="2226"/>
      <c r="BL72" s="2226"/>
      <c r="BM72" s="2226"/>
      <c r="BN72" s="2226"/>
      <c r="BO72" s="2226"/>
      <c r="BP72" s="2231"/>
      <c r="BQ72" s="2188">
        <f t="shared" si="69"/>
        <v>0</v>
      </c>
      <c r="BS72" s="1845" t="s">
        <v>78</v>
      </c>
      <c r="BT72" s="2678">
        <f t="shared" si="70"/>
        <v>0</v>
      </c>
      <c r="BU72" s="2230">
        <v>0</v>
      </c>
      <c r="BV72" s="2230">
        <v>0</v>
      </c>
      <c r="BW72" s="2230">
        <v>0</v>
      </c>
      <c r="BX72" s="2230">
        <v>0</v>
      </c>
      <c r="BY72" s="2230">
        <v>0</v>
      </c>
      <c r="BZ72" s="2230">
        <v>0</v>
      </c>
      <c r="CA72" s="2230">
        <v>0</v>
      </c>
      <c r="CB72" s="2230">
        <v>0</v>
      </c>
      <c r="CC72" s="2230">
        <v>0</v>
      </c>
      <c r="CD72" s="2230">
        <v>0</v>
      </c>
      <c r="CE72" s="2225">
        <v>0</v>
      </c>
      <c r="CF72" s="2225">
        <v>0</v>
      </c>
      <c r="CG72" s="2225">
        <v>0</v>
      </c>
      <c r="CH72" s="2225">
        <v>0</v>
      </c>
      <c r="CI72" s="2225">
        <v>0</v>
      </c>
      <c r="CJ72" s="2225">
        <v>0</v>
      </c>
      <c r="CK72" s="2225">
        <v>0</v>
      </c>
      <c r="CL72" s="2225">
        <v>0</v>
      </c>
      <c r="CM72" s="2225">
        <v>0</v>
      </c>
      <c r="CN72" s="2225">
        <v>0</v>
      </c>
      <c r="CO72" s="2225">
        <v>0</v>
      </c>
      <c r="CP72" s="2225">
        <v>0</v>
      </c>
      <c r="CQ72" s="2225">
        <v>0</v>
      </c>
      <c r="CR72" s="2225">
        <v>0</v>
      </c>
      <c r="CS72" s="2225">
        <v>0</v>
      </c>
      <c r="CT72" s="2225">
        <v>0</v>
      </c>
      <c r="CU72" s="2225">
        <v>0</v>
      </c>
      <c r="CV72" s="2225">
        <v>0</v>
      </c>
      <c r="CW72" s="2225">
        <v>0</v>
      </c>
      <c r="CX72" s="2225">
        <v>0</v>
      </c>
      <c r="CY72" s="2230"/>
      <c r="CZ72" s="2180">
        <f t="shared" si="71"/>
        <v>0</v>
      </c>
      <c r="DB72" s="1962" t="s">
        <v>78</v>
      </c>
      <c r="DC72" s="2175">
        <f t="shared" si="72"/>
        <v>0</v>
      </c>
      <c r="DD72" s="2262"/>
      <c r="DE72" s="2262"/>
      <c r="DF72" s="2262"/>
      <c r="DG72" s="2262"/>
      <c r="DH72" s="2262"/>
      <c r="DI72" s="2262"/>
      <c r="DJ72" s="2262"/>
      <c r="DK72" s="2262"/>
      <c r="DL72" s="2262"/>
      <c r="DM72" s="2262"/>
      <c r="DN72" s="2261"/>
      <c r="DO72" s="2261"/>
      <c r="DP72" s="2261"/>
      <c r="DQ72" s="2261"/>
      <c r="DR72" s="2261"/>
      <c r="DS72" s="2261"/>
      <c r="DT72" s="2261"/>
      <c r="DU72" s="2261"/>
      <c r="DV72" s="2261"/>
      <c r="DW72" s="2261"/>
      <c r="DX72" s="2261"/>
      <c r="DY72" s="2261"/>
      <c r="DZ72" s="2261"/>
      <c r="EA72" s="2261"/>
      <c r="EB72" s="2261"/>
      <c r="EC72" s="2261"/>
      <c r="ED72" s="2261"/>
      <c r="EE72" s="2261"/>
      <c r="EF72" s="2261"/>
      <c r="EG72" s="2261"/>
      <c r="EH72" s="2262"/>
      <c r="EI72" s="2171">
        <f t="shared" si="73"/>
        <v>0</v>
      </c>
    </row>
    <row r="73" spans="1:139" ht="15">
      <c r="A73" s="1249" t="s">
        <v>79</v>
      </c>
      <c r="B73" s="1287">
        <f t="shared" si="66"/>
        <v>0</v>
      </c>
      <c r="C73" s="1760"/>
      <c r="D73" s="1760"/>
      <c r="E73" s="1760"/>
      <c r="F73" s="2271"/>
      <c r="G73" s="1760"/>
      <c r="H73" s="2271"/>
      <c r="I73" s="1760"/>
      <c r="J73" s="2271"/>
      <c r="K73" s="1760"/>
      <c r="L73" s="1760"/>
      <c r="M73" s="1760"/>
      <c r="N73" s="1760"/>
      <c r="O73" s="1760"/>
      <c r="P73" s="1760"/>
      <c r="Q73" s="1760"/>
      <c r="R73" s="1760"/>
      <c r="S73" s="2271"/>
      <c r="T73" s="1760"/>
      <c r="U73" s="1760"/>
      <c r="V73" s="2271"/>
      <c r="W73" s="1760"/>
      <c r="X73" s="1760"/>
      <c r="Y73" s="2271"/>
      <c r="Z73" s="1760"/>
      <c r="AA73" s="1760"/>
      <c r="AB73" s="2271"/>
      <c r="AC73" s="1760"/>
      <c r="AD73" s="1760"/>
      <c r="AE73" s="2271"/>
      <c r="AF73" s="1760"/>
      <c r="AG73" s="1760"/>
      <c r="AH73" s="1488">
        <f t="shared" si="67"/>
        <v>0</v>
      </c>
      <c r="AJ73" s="1746" t="s">
        <v>79</v>
      </c>
      <c r="AK73" s="1749">
        <f t="shared" si="68"/>
        <v>0</v>
      </c>
      <c r="AL73" s="2231"/>
      <c r="AM73" s="2231"/>
      <c r="AN73" s="2231"/>
      <c r="AO73" s="2226"/>
      <c r="AP73" s="2231"/>
      <c r="AQ73" s="2226"/>
      <c r="AR73" s="2231"/>
      <c r="AS73" s="2226"/>
      <c r="AT73" s="2231"/>
      <c r="AU73" s="2231"/>
      <c r="AV73" s="2231"/>
      <c r="AW73" s="2231"/>
      <c r="AX73" s="2231"/>
      <c r="AY73" s="2231"/>
      <c r="AZ73" s="2231"/>
      <c r="BA73" s="2226"/>
      <c r="BB73" s="2231"/>
      <c r="BC73" s="2226"/>
      <c r="BD73" s="2231"/>
      <c r="BE73" s="2226"/>
      <c r="BF73" s="2231"/>
      <c r="BG73" s="2231"/>
      <c r="BH73" s="2231"/>
      <c r="BI73" s="2231"/>
      <c r="BJ73" s="2231"/>
      <c r="BK73" s="2226"/>
      <c r="BL73" s="2231"/>
      <c r="BM73" s="2231"/>
      <c r="BN73" s="2226"/>
      <c r="BO73" s="2231"/>
      <c r="BP73" s="2231"/>
      <c r="BQ73" s="2188">
        <f t="shared" si="69"/>
        <v>0</v>
      </c>
      <c r="BS73" s="1845" t="s">
        <v>79</v>
      </c>
      <c r="BT73" s="2678">
        <f t="shared" si="70"/>
        <v>0.03</v>
      </c>
      <c r="BU73" s="2230">
        <v>0.02</v>
      </c>
      <c r="BV73" s="2230">
        <v>0</v>
      </c>
      <c r="BW73" s="2230">
        <v>0</v>
      </c>
      <c r="BX73" s="2225">
        <v>0</v>
      </c>
      <c r="BY73" s="2230">
        <v>0</v>
      </c>
      <c r="BZ73" s="2225">
        <v>0</v>
      </c>
      <c r="CA73" s="2230">
        <v>0</v>
      </c>
      <c r="CB73" s="2225">
        <v>0</v>
      </c>
      <c r="CC73" s="2230">
        <v>0</v>
      </c>
      <c r="CD73" s="2230">
        <v>0</v>
      </c>
      <c r="CE73" s="2230">
        <v>0</v>
      </c>
      <c r="CF73" s="2230">
        <v>0</v>
      </c>
      <c r="CG73" s="2230">
        <v>0</v>
      </c>
      <c r="CH73" s="2230">
        <v>0</v>
      </c>
      <c r="CI73" s="2230">
        <v>0</v>
      </c>
      <c r="CJ73" s="2230">
        <v>0</v>
      </c>
      <c r="CK73" s="2225">
        <v>0</v>
      </c>
      <c r="CL73" s="2230">
        <v>0</v>
      </c>
      <c r="CM73" s="2230">
        <v>0</v>
      </c>
      <c r="CN73" s="2225">
        <v>0.01</v>
      </c>
      <c r="CO73" s="2230">
        <v>0</v>
      </c>
      <c r="CP73" s="2230">
        <v>0</v>
      </c>
      <c r="CQ73" s="2225">
        <v>0</v>
      </c>
      <c r="CR73" s="2230">
        <v>0</v>
      </c>
      <c r="CS73" s="2230">
        <v>0</v>
      </c>
      <c r="CT73" s="2225">
        <v>0</v>
      </c>
      <c r="CU73" s="2230">
        <v>0</v>
      </c>
      <c r="CV73" s="2230">
        <v>0</v>
      </c>
      <c r="CW73" s="2225">
        <v>0</v>
      </c>
      <c r="CX73" s="2230">
        <v>0</v>
      </c>
      <c r="CY73" s="2230">
        <v>0</v>
      </c>
      <c r="CZ73" s="2180">
        <f t="shared" si="71"/>
        <v>0.03</v>
      </c>
      <c r="DB73" s="1962" t="s">
        <v>79</v>
      </c>
      <c r="DC73" s="2175">
        <f t="shared" si="72"/>
        <v>1.77</v>
      </c>
      <c r="DD73" s="2262">
        <v>0</v>
      </c>
      <c r="DE73" s="2262">
        <v>0</v>
      </c>
      <c r="DF73" s="2262">
        <v>0</v>
      </c>
      <c r="DG73" s="2261">
        <v>0</v>
      </c>
      <c r="DH73" s="2262">
        <v>0</v>
      </c>
      <c r="DI73" s="2261">
        <v>0</v>
      </c>
      <c r="DJ73" s="2262">
        <v>0</v>
      </c>
      <c r="DK73" s="2261">
        <v>0</v>
      </c>
      <c r="DL73" s="2262">
        <v>1.77</v>
      </c>
      <c r="DM73" s="2262">
        <v>0</v>
      </c>
      <c r="DN73" s="2262">
        <v>0</v>
      </c>
      <c r="DO73" s="2262">
        <v>0</v>
      </c>
      <c r="DP73" s="2262">
        <v>0</v>
      </c>
      <c r="DQ73" s="2262">
        <v>0</v>
      </c>
      <c r="DR73" s="2262">
        <v>0</v>
      </c>
      <c r="DS73" s="2262">
        <v>0</v>
      </c>
      <c r="DT73" s="2261">
        <v>0</v>
      </c>
      <c r="DU73" s="2262">
        <v>0</v>
      </c>
      <c r="DV73" s="2262">
        <v>0</v>
      </c>
      <c r="DW73" s="2261">
        <v>0</v>
      </c>
      <c r="DX73" s="2262">
        <v>0</v>
      </c>
      <c r="DY73" s="2262">
        <v>0</v>
      </c>
      <c r="DZ73" s="2261">
        <v>0</v>
      </c>
      <c r="EA73" s="2262">
        <v>0</v>
      </c>
      <c r="EB73" s="2262">
        <v>0</v>
      </c>
      <c r="EC73" s="2261">
        <v>0</v>
      </c>
      <c r="ED73" s="2262">
        <v>0</v>
      </c>
      <c r="EE73" s="2262">
        <v>0</v>
      </c>
      <c r="EF73" s="2261">
        <v>0</v>
      </c>
      <c r="EG73" s="2262">
        <v>0</v>
      </c>
      <c r="EH73" s="2262">
        <v>0</v>
      </c>
      <c r="EI73" s="2171">
        <f t="shared" si="73"/>
        <v>1.77</v>
      </c>
    </row>
    <row r="74" spans="1:139" ht="15">
      <c r="A74" s="1249" t="s">
        <v>80</v>
      </c>
      <c r="B74" s="1287">
        <f t="shared" si="66"/>
        <v>0</v>
      </c>
      <c r="C74" s="1760"/>
      <c r="D74" s="1760"/>
      <c r="E74" s="1760"/>
      <c r="F74" s="1760"/>
      <c r="G74" s="1760"/>
      <c r="H74" s="1760"/>
      <c r="I74" s="1760"/>
      <c r="J74" s="1760"/>
      <c r="K74" s="1760"/>
      <c r="L74" s="1760"/>
      <c r="M74" s="1760"/>
      <c r="N74" s="2271"/>
      <c r="O74" s="1760"/>
      <c r="P74" s="2271"/>
      <c r="Q74" s="1760"/>
      <c r="R74" s="2271"/>
      <c r="S74" s="1760"/>
      <c r="T74" s="2271"/>
      <c r="U74" s="1760"/>
      <c r="V74" s="2271"/>
      <c r="W74" s="1760"/>
      <c r="X74" s="2271"/>
      <c r="Y74" s="1760"/>
      <c r="Z74" s="2271"/>
      <c r="AA74" s="1760"/>
      <c r="AB74" s="2271"/>
      <c r="AC74" s="1760"/>
      <c r="AD74" s="2271"/>
      <c r="AE74" s="1760"/>
      <c r="AF74" s="2271"/>
      <c r="AG74" s="1760"/>
      <c r="AH74" s="1488">
        <f t="shared" si="67"/>
        <v>0</v>
      </c>
      <c r="AJ74" s="1746" t="s">
        <v>80</v>
      </c>
      <c r="AK74" s="1749">
        <f t="shared" si="68"/>
        <v>0</v>
      </c>
      <c r="AL74" s="2231"/>
      <c r="AM74" s="2231"/>
      <c r="AN74" s="2231"/>
      <c r="AO74" s="2231"/>
      <c r="AP74" s="2231"/>
      <c r="AQ74" s="2231"/>
      <c r="AR74" s="2231"/>
      <c r="AS74" s="2231"/>
      <c r="AT74" s="2231"/>
      <c r="AU74" s="2231"/>
      <c r="AV74" s="2231"/>
      <c r="AW74" s="2226"/>
      <c r="AX74" s="2231"/>
      <c r="AY74" s="2231"/>
      <c r="AZ74" s="2231"/>
      <c r="BA74" s="2231"/>
      <c r="BB74" s="2231"/>
      <c r="BC74" s="2231"/>
      <c r="BD74" s="2231"/>
      <c r="BE74" s="2231"/>
      <c r="BF74" s="2231"/>
      <c r="BG74" s="2231"/>
      <c r="BH74" s="2231"/>
      <c r="BI74" s="2226"/>
      <c r="BJ74" s="2231"/>
      <c r="BK74" s="2226"/>
      <c r="BL74" s="2231"/>
      <c r="BM74" s="2226"/>
      <c r="BN74" s="2231"/>
      <c r="BO74" s="2226"/>
      <c r="BP74" s="2231"/>
      <c r="BQ74" s="2188">
        <f t="shared" si="69"/>
        <v>0</v>
      </c>
      <c r="BS74" s="1845" t="s">
        <v>80</v>
      </c>
      <c r="BT74" s="2678">
        <f t="shared" si="70"/>
        <v>0.87999999999999989</v>
      </c>
      <c r="BU74" s="2230">
        <v>0</v>
      </c>
      <c r="BV74" s="2230">
        <v>0</v>
      </c>
      <c r="BW74" s="2230">
        <v>0</v>
      </c>
      <c r="BX74" s="2230">
        <v>0.15</v>
      </c>
      <c r="BY74" s="2230">
        <v>0.08</v>
      </c>
      <c r="BZ74" s="2230">
        <v>0.2</v>
      </c>
      <c r="CA74" s="2230">
        <v>0.15</v>
      </c>
      <c r="CB74" s="2230">
        <v>0.3</v>
      </c>
      <c r="CC74" s="2230">
        <v>0</v>
      </c>
      <c r="CD74" s="2230">
        <v>0</v>
      </c>
      <c r="CE74" s="2230">
        <v>0</v>
      </c>
      <c r="CF74" s="2225">
        <v>0</v>
      </c>
      <c r="CG74" s="2230">
        <v>0</v>
      </c>
      <c r="CH74" s="2225">
        <v>0</v>
      </c>
      <c r="CI74" s="2230">
        <v>0</v>
      </c>
      <c r="CJ74" s="2225">
        <v>0</v>
      </c>
      <c r="CK74" s="2230">
        <v>0</v>
      </c>
      <c r="CL74" s="2225">
        <v>0</v>
      </c>
      <c r="CM74" s="2230">
        <v>0</v>
      </c>
      <c r="CN74" s="2225">
        <v>0</v>
      </c>
      <c r="CO74" s="2230">
        <v>0</v>
      </c>
      <c r="CP74" s="2225">
        <v>0</v>
      </c>
      <c r="CQ74" s="2230">
        <v>0</v>
      </c>
      <c r="CR74" s="2225">
        <v>0</v>
      </c>
      <c r="CS74" s="2230">
        <v>0</v>
      </c>
      <c r="CT74" s="2225">
        <v>0</v>
      </c>
      <c r="CU74" s="2230">
        <v>0</v>
      </c>
      <c r="CV74" s="2225">
        <v>0</v>
      </c>
      <c r="CW74" s="2230">
        <v>0</v>
      </c>
      <c r="CX74" s="2225"/>
      <c r="CY74" s="2230"/>
      <c r="CZ74" s="2180">
        <f t="shared" si="71"/>
        <v>0.87999999999999989</v>
      </c>
      <c r="DB74" s="1962" t="s">
        <v>80</v>
      </c>
      <c r="DC74" s="2175">
        <f t="shared" si="72"/>
        <v>0</v>
      </c>
      <c r="DD74" s="2262"/>
      <c r="DE74" s="2262"/>
      <c r="DF74" s="2262"/>
      <c r="DG74" s="2262"/>
      <c r="DH74" s="2262"/>
      <c r="DI74" s="2262"/>
      <c r="DJ74" s="2262"/>
      <c r="DK74" s="2262"/>
      <c r="DL74" s="2262"/>
      <c r="DM74" s="2262"/>
      <c r="DN74" s="2262"/>
      <c r="DO74" s="2261"/>
      <c r="DP74" s="2262"/>
      <c r="DQ74" s="2261"/>
      <c r="DR74" s="2262"/>
      <c r="DS74" s="2261"/>
      <c r="DT74" s="2262"/>
      <c r="DU74" s="2261"/>
      <c r="DV74" s="2262"/>
      <c r="DW74" s="2261"/>
      <c r="DX74" s="2262"/>
      <c r="DY74" s="2261"/>
      <c r="DZ74" s="2262"/>
      <c r="EA74" s="2261"/>
      <c r="EB74" s="2262"/>
      <c r="EC74" s="2261"/>
      <c r="ED74" s="2262"/>
      <c r="EE74" s="2261"/>
      <c r="EF74" s="2262"/>
      <c r="EG74" s="2261"/>
      <c r="EH74" s="2262"/>
      <c r="EI74" s="2171">
        <f t="shared" si="73"/>
        <v>0</v>
      </c>
    </row>
    <row r="75" spans="1:139" ht="15">
      <c r="A75" s="1249" t="s">
        <v>81</v>
      </c>
      <c r="B75" s="1287">
        <f t="shared" si="66"/>
        <v>0</v>
      </c>
      <c r="C75" s="1760"/>
      <c r="D75" s="1760"/>
      <c r="E75" s="1760"/>
      <c r="F75" s="1760"/>
      <c r="G75" s="1760"/>
      <c r="H75" s="1760"/>
      <c r="I75" s="1760"/>
      <c r="J75" s="1760"/>
      <c r="K75" s="1760"/>
      <c r="L75" s="1760"/>
      <c r="M75" s="1760"/>
      <c r="N75" s="1760"/>
      <c r="O75" s="1760"/>
      <c r="P75" s="1760"/>
      <c r="Q75" s="1760"/>
      <c r="R75" s="1760"/>
      <c r="S75" s="1760"/>
      <c r="T75" s="1760"/>
      <c r="U75" s="1760"/>
      <c r="V75" s="1760"/>
      <c r="W75" s="1760"/>
      <c r="X75" s="1760"/>
      <c r="Y75" s="1760"/>
      <c r="Z75" s="1760"/>
      <c r="AA75" s="1760"/>
      <c r="AB75" s="1760"/>
      <c r="AC75" s="1760"/>
      <c r="AD75" s="1760"/>
      <c r="AE75" s="1760"/>
      <c r="AF75" s="1760"/>
      <c r="AG75" s="1760"/>
      <c r="AH75" s="1488">
        <f t="shared" si="67"/>
        <v>0</v>
      </c>
      <c r="AJ75" s="1746" t="s">
        <v>81</v>
      </c>
      <c r="AK75" s="1749">
        <f t="shared" si="68"/>
        <v>0</v>
      </c>
      <c r="AL75" s="2231"/>
      <c r="AM75" s="2231"/>
      <c r="AN75" s="2231"/>
      <c r="AO75" s="2231"/>
      <c r="AP75" s="2231"/>
      <c r="AQ75" s="2231"/>
      <c r="AR75" s="2231"/>
      <c r="AS75" s="2231"/>
      <c r="AT75" s="2231"/>
      <c r="AU75" s="2231"/>
      <c r="AV75" s="2231"/>
      <c r="AW75" s="2231"/>
      <c r="AX75" s="2231"/>
      <c r="AY75" s="2231"/>
      <c r="AZ75" s="2231"/>
      <c r="BA75" s="2231"/>
      <c r="BB75" s="2231"/>
      <c r="BC75" s="2231"/>
      <c r="BD75" s="2231"/>
      <c r="BE75" s="2231"/>
      <c r="BF75" s="2231"/>
      <c r="BG75" s="2231"/>
      <c r="BH75" s="2231"/>
      <c r="BI75" s="2231"/>
      <c r="BJ75" s="2231"/>
      <c r="BK75" s="2231"/>
      <c r="BL75" s="2231"/>
      <c r="BM75" s="2231"/>
      <c r="BN75" s="2231"/>
      <c r="BO75" s="2231"/>
      <c r="BP75" s="2231"/>
      <c r="BQ75" s="2188">
        <f t="shared" si="69"/>
        <v>0</v>
      </c>
      <c r="BS75" s="1845" t="s">
        <v>81</v>
      </c>
      <c r="BT75" s="2678">
        <f t="shared" si="70"/>
        <v>0</v>
      </c>
      <c r="BU75" s="2230">
        <v>0</v>
      </c>
      <c r="BV75" s="2230">
        <v>0</v>
      </c>
      <c r="BW75" s="2230">
        <v>0</v>
      </c>
      <c r="BX75" s="2230">
        <v>0</v>
      </c>
      <c r="BY75" s="2230">
        <v>0</v>
      </c>
      <c r="BZ75" s="2230">
        <v>0</v>
      </c>
      <c r="CA75" s="2230">
        <v>0</v>
      </c>
      <c r="CB75" s="2230">
        <v>0</v>
      </c>
      <c r="CC75" s="2230">
        <v>0</v>
      </c>
      <c r="CD75" s="2230">
        <v>0</v>
      </c>
      <c r="CE75" s="2230">
        <v>0</v>
      </c>
      <c r="CF75" s="2230">
        <v>0</v>
      </c>
      <c r="CG75" s="2230">
        <v>0</v>
      </c>
      <c r="CH75" s="2230">
        <v>0</v>
      </c>
      <c r="CI75" s="2230">
        <v>0</v>
      </c>
      <c r="CJ75" s="2230">
        <v>0</v>
      </c>
      <c r="CK75" s="2230">
        <v>0</v>
      </c>
      <c r="CL75" s="2230">
        <v>0</v>
      </c>
      <c r="CM75" s="2230">
        <v>0</v>
      </c>
      <c r="CN75" s="2230">
        <v>0</v>
      </c>
      <c r="CO75" s="2230">
        <v>0</v>
      </c>
      <c r="CP75" s="2230">
        <v>0</v>
      </c>
      <c r="CQ75" s="2230">
        <v>0</v>
      </c>
      <c r="CR75" s="2230">
        <v>0</v>
      </c>
      <c r="CS75" s="2230">
        <v>0</v>
      </c>
      <c r="CT75" s="2230">
        <v>0</v>
      </c>
      <c r="CU75" s="2230">
        <v>0</v>
      </c>
      <c r="CV75" s="2230">
        <v>0</v>
      </c>
      <c r="CW75" s="2230">
        <v>0</v>
      </c>
      <c r="CX75" s="2230">
        <v>0</v>
      </c>
      <c r="CY75" s="2230"/>
      <c r="CZ75" s="2180">
        <f t="shared" si="71"/>
        <v>0</v>
      </c>
      <c r="DB75" s="1962" t="s">
        <v>81</v>
      </c>
      <c r="DC75" s="2175">
        <f t="shared" si="72"/>
        <v>0</v>
      </c>
      <c r="DD75" s="2262"/>
      <c r="DE75" s="2262"/>
      <c r="DF75" s="2262"/>
      <c r="DG75" s="2262"/>
      <c r="DH75" s="2262"/>
      <c r="DI75" s="2262"/>
      <c r="DJ75" s="2262"/>
      <c r="DK75" s="2262"/>
      <c r="DL75" s="2262"/>
      <c r="DM75" s="2262"/>
      <c r="DN75" s="2262"/>
      <c r="DO75" s="2262"/>
      <c r="DP75" s="2262"/>
      <c r="DQ75" s="2262"/>
      <c r="DR75" s="2262"/>
      <c r="DS75" s="2262"/>
      <c r="DT75" s="2262"/>
      <c r="DU75" s="2262"/>
      <c r="DV75" s="2262"/>
      <c r="DW75" s="2262"/>
      <c r="DX75" s="2262"/>
      <c r="DY75" s="2262"/>
      <c r="DZ75" s="2262"/>
      <c r="EA75" s="2262"/>
      <c r="EB75" s="2262"/>
      <c r="EC75" s="2262"/>
      <c r="ED75" s="2262"/>
      <c r="EE75" s="2262"/>
      <c r="EF75" s="2262"/>
      <c r="EG75" s="2262"/>
      <c r="EH75" s="2262"/>
      <c r="EI75" s="2171">
        <f t="shared" si="73"/>
        <v>0</v>
      </c>
    </row>
    <row r="76" spans="1:139" ht="15">
      <c r="A76" s="1249" t="s">
        <v>82</v>
      </c>
      <c r="B76" s="1287">
        <f t="shared" si="66"/>
        <v>0</v>
      </c>
      <c r="C76" s="2271"/>
      <c r="D76" s="2272"/>
      <c r="E76" s="2271"/>
      <c r="F76" s="2271"/>
      <c r="G76" s="2271"/>
      <c r="H76" s="2271"/>
      <c r="I76" s="2271"/>
      <c r="J76" s="2271"/>
      <c r="K76" s="2271"/>
      <c r="L76" s="2271"/>
      <c r="M76" s="2271"/>
      <c r="N76" s="2271"/>
      <c r="O76" s="2271"/>
      <c r="P76" s="2271"/>
      <c r="Q76" s="2271"/>
      <c r="R76" s="2271"/>
      <c r="S76" s="2271"/>
      <c r="T76" s="2271"/>
      <c r="U76" s="2271"/>
      <c r="V76" s="2271"/>
      <c r="W76" s="2271"/>
      <c r="X76" s="2271"/>
      <c r="Y76" s="2271"/>
      <c r="Z76" s="2271"/>
      <c r="AA76" s="2271"/>
      <c r="AB76" s="2271"/>
      <c r="AC76" s="2271"/>
      <c r="AD76" s="2271"/>
      <c r="AE76" s="2271"/>
      <c r="AF76" s="2271"/>
      <c r="AG76" s="2271"/>
      <c r="AH76" s="1488">
        <f t="shared" si="67"/>
        <v>0</v>
      </c>
      <c r="AJ76" s="1746" t="s">
        <v>82</v>
      </c>
      <c r="AK76" s="1749">
        <f t="shared" si="68"/>
        <v>0</v>
      </c>
      <c r="AL76" s="2226"/>
      <c r="AM76" s="2229"/>
      <c r="AN76" s="2226"/>
      <c r="AO76" s="2226"/>
      <c r="AP76" s="2226"/>
      <c r="AQ76" s="2226"/>
      <c r="AR76" s="2226"/>
      <c r="AS76" s="2226"/>
      <c r="AT76" s="2226"/>
      <c r="AU76" s="2226"/>
      <c r="AV76" s="2226"/>
      <c r="AW76" s="2226"/>
      <c r="AX76" s="2226"/>
      <c r="AY76" s="2229"/>
      <c r="AZ76" s="2226"/>
      <c r="BA76" s="2226"/>
      <c r="BB76" s="2226"/>
      <c r="BC76" s="2226"/>
      <c r="BD76" s="2226"/>
      <c r="BE76" s="2226"/>
      <c r="BF76" s="2226"/>
      <c r="BG76" s="2226"/>
      <c r="BH76" s="2226"/>
      <c r="BI76" s="2226"/>
      <c r="BJ76" s="2226"/>
      <c r="BK76" s="2226"/>
      <c r="BL76" s="2226"/>
      <c r="BM76" s="2226"/>
      <c r="BN76" s="2226"/>
      <c r="BO76" s="2226"/>
      <c r="BP76" s="2226"/>
      <c r="BQ76" s="2188">
        <f t="shared" si="69"/>
        <v>0</v>
      </c>
      <c r="BS76" s="1845" t="s">
        <v>82</v>
      </c>
      <c r="BT76" s="2678">
        <f t="shared" si="70"/>
        <v>2.8000000000000001E-2</v>
      </c>
      <c r="BU76" s="2225">
        <v>0</v>
      </c>
      <c r="BV76" s="2228">
        <v>0</v>
      </c>
      <c r="BW76" s="2225">
        <v>0</v>
      </c>
      <c r="BX76" s="2225">
        <v>0</v>
      </c>
      <c r="BY76" s="2225">
        <v>0</v>
      </c>
      <c r="BZ76" s="2225">
        <v>0</v>
      </c>
      <c r="CA76" s="2225">
        <v>0</v>
      </c>
      <c r="CB76" s="2225">
        <v>0</v>
      </c>
      <c r="CC76" s="2225">
        <v>0</v>
      </c>
      <c r="CD76" s="2225">
        <v>0</v>
      </c>
      <c r="CE76" s="2225">
        <v>0</v>
      </c>
      <c r="CF76" s="2225">
        <v>0</v>
      </c>
      <c r="CG76" s="2225">
        <v>0</v>
      </c>
      <c r="CH76" s="2225">
        <v>0</v>
      </c>
      <c r="CI76" s="2225">
        <v>0</v>
      </c>
      <c r="CJ76" s="2225">
        <v>0</v>
      </c>
      <c r="CK76" s="2225">
        <v>0</v>
      </c>
      <c r="CL76" s="2225">
        <v>0</v>
      </c>
      <c r="CM76" s="2225">
        <v>0</v>
      </c>
      <c r="CN76" s="2225">
        <v>0</v>
      </c>
      <c r="CO76" s="2225">
        <v>0</v>
      </c>
      <c r="CP76" s="2225">
        <v>2.8000000000000001E-2</v>
      </c>
      <c r="CQ76" s="2225">
        <v>0</v>
      </c>
      <c r="CR76" s="2225">
        <v>0</v>
      </c>
      <c r="CS76" s="2225">
        <v>0</v>
      </c>
      <c r="CT76" s="2225">
        <v>0</v>
      </c>
      <c r="CU76" s="2225">
        <v>0</v>
      </c>
      <c r="CV76" s="2225">
        <v>0</v>
      </c>
      <c r="CW76" s="2225">
        <v>0</v>
      </c>
      <c r="CX76" s="2225">
        <v>0</v>
      </c>
      <c r="CY76" s="2225">
        <v>0</v>
      </c>
      <c r="CZ76" s="2180">
        <f t="shared" si="71"/>
        <v>2.8000000000000001E-2</v>
      </c>
      <c r="DB76" s="1962" t="s">
        <v>82</v>
      </c>
      <c r="DC76" s="2175">
        <f t="shared" si="72"/>
        <v>0</v>
      </c>
      <c r="DD76" s="2261"/>
      <c r="DE76" s="2263"/>
      <c r="DF76" s="2261"/>
      <c r="DG76" s="2261"/>
      <c r="DH76" s="2261"/>
      <c r="DI76" s="2261"/>
      <c r="DJ76" s="2261"/>
      <c r="DK76" s="2261"/>
      <c r="DL76" s="2261"/>
      <c r="DM76" s="2261"/>
      <c r="DN76" s="2261"/>
      <c r="DO76" s="2261"/>
      <c r="DP76" s="2261"/>
      <c r="DQ76" s="2261"/>
      <c r="DR76" s="2261"/>
      <c r="DS76" s="2261"/>
      <c r="DT76" s="2261"/>
      <c r="DU76" s="2261"/>
      <c r="DV76" s="2261"/>
      <c r="DW76" s="2261"/>
      <c r="DX76" s="2261"/>
      <c r="DY76" s="2261"/>
      <c r="DZ76" s="2261"/>
      <c r="EA76" s="2261"/>
      <c r="EB76" s="2261"/>
      <c r="EC76" s="2261"/>
      <c r="ED76" s="2261"/>
      <c r="EE76" s="2261"/>
      <c r="EF76" s="2261"/>
      <c r="EG76" s="2261"/>
      <c r="EH76" s="2261"/>
      <c r="EI76" s="2171">
        <f t="shared" si="73"/>
        <v>0</v>
      </c>
    </row>
    <row r="77" spans="1:139" ht="15">
      <c r="A77" s="1249" t="s">
        <v>83</v>
      </c>
      <c r="B77" s="1287">
        <f t="shared" si="66"/>
        <v>0</v>
      </c>
      <c r="C77" s="2271"/>
      <c r="D77" s="2271"/>
      <c r="E77" s="2271"/>
      <c r="F77" s="2271"/>
      <c r="G77" s="2271"/>
      <c r="H77" s="2271"/>
      <c r="I77" s="2271"/>
      <c r="J77" s="2271"/>
      <c r="K77" s="2271"/>
      <c r="L77" s="2271"/>
      <c r="M77" s="2271"/>
      <c r="N77" s="2271"/>
      <c r="O77" s="2271"/>
      <c r="P77" s="2271"/>
      <c r="Q77" s="2271"/>
      <c r="R77" s="2271"/>
      <c r="S77" s="2271"/>
      <c r="T77" s="2271"/>
      <c r="U77" s="2271"/>
      <c r="V77" s="2271"/>
      <c r="W77" s="2271"/>
      <c r="X77" s="2271"/>
      <c r="Y77" s="2271"/>
      <c r="Z77" s="2271"/>
      <c r="AA77" s="2271"/>
      <c r="AB77" s="2271"/>
      <c r="AC77" s="2271"/>
      <c r="AD77" s="2271"/>
      <c r="AE77" s="2271"/>
      <c r="AF77" s="2271"/>
      <c r="AG77" s="2271"/>
      <c r="AH77" s="1488">
        <f t="shared" si="67"/>
        <v>0</v>
      </c>
      <c r="AJ77" s="1746" t="s">
        <v>83</v>
      </c>
      <c r="AK77" s="1749">
        <f t="shared" si="68"/>
        <v>0</v>
      </c>
      <c r="AL77" s="2226"/>
      <c r="AM77" s="2226"/>
      <c r="AN77" s="2226"/>
      <c r="AO77" s="2226"/>
      <c r="AP77" s="2226"/>
      <c r="AQ77" s="2226"/>
      <c r="AR77" s="2226"/>
      <c r="AS77" s="2226"/>
      <c r="AT77" s="2226"/>
      <c r="AU77" s="2226"/>
      <c r="AV77" s="2226"/>
      <c r="AW77" s="2226"/>
      <c r="AX77" s="2226"/>
      <c r="AY77" s="2226"/>
      <c r="AZ77" s="2226"/>
      <c r="BA77" s="2226"/>
      <c r="BB77" s="2226"/>
      <c r="BC77" s="2226"/>
      <c r="BD77" s="2226"/>
      <c r="BE77" s="2226"/>
      <c r="BF77" s="2226"/>
      <c r="BG77" s="2226"/>
      <c r="BH77" s="2226"/>
      <c r="BI77" s="2226"/>
      <c r="BJ77" s="2226"/>
      <c r="BK77" s="2226"/>
      <c r="BL77" s="2226"/>
      <c r="BM77" s="2226"/>
      <c r="BN77" s="2226"/>
      <c r="BO77" s="2226"/>
      <c r="BP77" s="2226"/>
      <c r="BQ77" s="2188">
        <f t="shared" si="69"/>
        <v>0</v>
      </c>
      <c r="BS77" s="1845" t="s">
        <v>83</v>
      </c>
      <c r="BT77" s="2678">
        <f t="shared" si="70"/>
        <v>1.8000000000000002E-2</v>
      </c>
      <c r="BU77" s="2225">
        <v>0</v>
      </c>
      <c r="BV77" s="2225">
        <v>0</v>
      </c>
      <c r="BW77" s="2225">
        <v>0</v>
      </c>
      <c r="BX77" s="2225">
        <v>0</v>
      </c>
      <c r="BY77" s="2225">
        <v>0</v>
      </c>
      <c r="BZ77" s="2225">
        <v>0</v>
      </c>
      <c r="CA77" s="2225">
        <v>0</v>
      </c>
      <c r="CB77" s="2225">
        <v>0</v>
      </c>
      <c r="CC77" s="2225">
        <v>0</v>
      </c>
      <c r="CD77" s="2225">
        <v>0</v>
      </c>
      <c r="CE77" s="2225">
        <v>0</v>
      </c>
      <c r="CF77" s="2225">
        <v>0</v>
      </c>
      <c r="CG77" s="2225">
        <v>0</v>
      </c>
      <c r="CH77" s="2225">
        <v>0</v>
      </c>
      <c r="CI77" s="2225">
        <v>0</v>
      </c>
      <c r="CJ77" s="2225">
        <v>0</v>
      </c>
      <c r="CK77" s="2225">
        <v>0</v>
      </c>
      <c r="CL77" s="2225">
        <v>0</v>
      </c>
      <c r="CM77" s="2225">
        <v>0</v>
      </c>
      <c r="CN77" s="2225">
        <v>0</v>
      </c>
      <c r="CO77" s="2225">
        <v>0</v>
      </c>
      <c r="CP77" s="2225">
        <v>0</v>
      </c>
      <c r="CQ77" s="2225">
        <v>0</v>
      </c>
      <c r="CR77" s="2225">
        <v>0</v>
      </c>
      <c r="CS77" s="2225">
        <v>0</v>
      </c>
      <c r="CT77" s="2225">
        <v>0</v>
      </c>
      <c r="CU77" s="2225">
        <v>8.0000000000000002E-3</v>
      </c>
      <c r="CV77" s="2225">
        <v>0.01</v>
      </c>
      <c r="CW77" s="2225">
        <v>0</v>
      </c>
      <c r="CX77" s="2225">
        <v>0</v>
      </c>
      <c r="CY77" s="2225"/>
      <c r="CZ77" s="2180">
        <f t="shared" si="71"/>
        <v>1.8000000000000002E-2</v>
      </c>
      <c r="DB77" s="1962" t="s">
        <v>83</v>
      </c>
      <c r="DC77" s="2175">
        <f t="shared" si="72"/>
        <v>0</v>
      </c>
      <c r="DD77" s="2261"/>
      <c r="DE77" s="2261"/>
      <c r="DF77" s="2261"/>
      <c r="DG77" s="2261"/>
      <c r="DH77" s="2261"/>
      <c r="DI77" s="2261"/>
      <c r="DJ77" s="2261"/>
      <c r="DK77" s="2261"/>
      <c r="DL77" s="2261"/>
      <c r="DM77" s="2261"/>
      <c r="DN77" s="2261"/>
      <c r="DO77" s="2261"/>
      <c r="DP77" s="2261"/>
      <c r="DQ77" s="2261"/>
      <c r="DR77" s="2261"/>
      <c r="DS77" s="2261"/>
      <c r="DT77" s="2261"/>
      <c r="DU77" s="2261"/>
      <c r="DV77" s="2261"/>
      <c r="DW77" s="2261"/>
      <c r="DX77" s="2261"/>
      <c r="DY77" s="2261"/>
      <c r="DZ77" s="2261"/>
      <c r="EA77" s="2261"/>
      <c r="EB77" s="2261"/>
      <c r="EC77" s="2261"/>
      <c r="ED77" s="2261"/>
      <c r="EE77" s="2261"/>
      <c r="EF77" s="2261"/>
      <c r="EG77" s="2261"/>
      <c r="EH77" s="2261"/>
      <c r="EI77" s="2171">
        <f t="shared" si="73"/>
        <v>0</v>
      </c>
    </row>
    <row r="78" spans="1:139" ht="15">
      <c r="A78" s="1249" t="s">
        <v>84</v>
      </c>
      <c r="B78" s="1287">
        <f t="shared" si="66"/>
        <v>0</v>
      </c>
      <c r="C78" s="2271"/>
      <c r="D78" s="2271"/>
      <c r="E78" s="2271"/>
      <c r="F78" s="2271"/>
      <c r="G78" s="2271"/>
      <c r="H78" s="2271"/>
      <c r="I78" s="2271"/>
      <c r="J78" s="2271"/>
      <c r="K78" s="2271"/>
      <c r="L78" s="2271"/>
      <c r="M78" s="2271"/>
      <c r="N78" s="2271"/>
      <c r="O78" s="2271"/>
      <c r="P78" s="2271"/>
      <c r="Q78" s="2271"/>
      <c r="R78" s="2271"/>
      <c r="S78" s="2271"/>
      <c r="T78" s="2271"/>
      <c r="U78" s="2271"/>
      <c r="V78" s="2271"/>
      <c r="W78" s="2271"/>
      <c r="X78" s="2271"/>
      <c r="Y78" s="2271"/>
      <c r="Z78" s="2271"/>
      <c r="AA78" s="2271"/>
      <c r="AB78" s="2271"/>
      <c r="AC78" s="2271"/>
      <c r="AD78" s="2271"/>
      <c r="AE78" s="2271"/>
      <c r="AF78" s="2271"/>
      <c r="AG78" s="2271"/>
      <c r="AH78" s="1488">
        <f t="shared" si="67"/>
        <v>0</v>
      </c>
      <c r="AJ78" s="1746" t="s">
        <v>84</v>
      </c>
      <c r="AK78" s="1749">
        <f t="shared" si="68"/>
        <v>0</v>
      </c>
      <c r="AL78" s="2226"/>
      <c r="AM78" s="2226"/>
      <c r="AN78" s="2226"/>
      <c r="AO78" s="2226"/>
      <c r="AP78" s="2226"/>
      <c r="AQ78" s="2226"/>
      <c r="AR78" s="2226"/>
      <c r="AS78" s="2226"/>
      <c r="AT78" s="2226"/>
      <c r="AU78" s="2226"/>
      <c r="AV78" s="2226"/>
      <c r="AW78" s="2226"/>
      <c r="AX78" s="2226"/>
      <c r="AY78" s="2226"/>
      <c r="AZ78" s="2226"/>
      <c r="BA78" s="2226"/>
      <c r="BB78" s="2226"/>
      <c r="BC78" s="2226"/>
      <c r="BD78" s="2226"/>
      <c r="BE78" s="2226"/>
      <c r="BF78" s="2226"/>
      <c r="BG78" s="2226"/>
      <c r="BH78" s="2226"/>
      <c r="BI78" s="2226"/>
      <c r="BJ78" s="2226"/>
      <c r="BK78" s="2226"/>
      <c r="BL78" s="2226"/>
      <c r="BM78" s="2226"/>
      <c r="BN78" s="2226"/>
      <c r="BO78" s="2226"/>
      <c r="BP78" s="2226"/>
      <c r="BQ78" s="2188">
        <f t="shared" si="69"/>
        <v>0</v>
      </c>
      <c r="BS78" s="1845" t="s">
        <v>84</v>
      </c>
      <c r="BT78" s="2678">
        <f t="shared" si="70"/>
        <v>1.7999999999999999E-2</v>
      </c>
      <c r="BU78" s="2225">
        <v>0</v>
      </c>
      <c r="BV78" s="2225">
        <v>0</v>
      </c>
      <c r="BW78" s="2225">
        <v>0</v>
      </c>
      <c r="BX78" s="2225">
        <v>3.0000000000000001E-3</v>
      </c>
      <c r="BY78" s="2225">
        <v>0</v>
      </c>
      <c r="BZ78" s="2225">
        <v>0</v>
      </c>
      <c r="CA78" s="2225">
        <v>0</v>
      </c>
      <c r="CB78" s="2225">
        <v>0</v>
      </c>
      <c r="CC78" s="2225">
        <v>0</v>
      </c>
      <c r="CD78" s="2225">
        <v>0</v>
      </c>
      <c r="CE78" s="2225">
        <v>0</v>
      </c>
      <c r="CF78" s="2225">
        <v>0</v>
      </c>
      <c r="CG78" s="2225">
        <v>0</v>
      </c>
      <c r="CH78" s="2225">
        <v>0</v>
      </c>
      <c r="CI78" s="2225">
        <v>0</v>
      </c>
      <c r="CJ78" s="2225">
        <v>1.4999999999999999E-2</v>
      </c>
      <c r="CK78" s="2225">
        <v>0</v>
      </c>
      <c r="CL78" s="2225">
        <v>0</v>
      </c>
      <c r="CM78" s="2225">
        <v>0</v>
      </c>
      <c r="CN78" s="2225">
        <v>0</v>
      </c>
      <c r="CO78" s="2225">
        <v>0</v>
      </c>
      <c r="CP78" s="2225">
        <v>0</v>
      </c>
      <c r="CQ78" s="2225">
        <v>0</v>
      </c>
      <c r="CR78" s="2225">
        <v>0</v>
      </c>
      <c r="CS78" s="2225">
        <v>0</v>
      </c>
      <c r="CT78" s="2225">
        <v>0</v>
      </c>
      <c r="CU78" s="2225">
        <v>0</v>
      </c>
      <c r="CV78" s="2225">
        <v>0</v>
      </c>
      <c r="CW78" s="2225">
        <v>0</v>
      </c>
      <c r="CX78" s="2225">
        <v>0</v>
      </c>
      <c r="CY78" s="2225"/>
      <c r="CZ78" s="2180">
        <f t="shared" si="71"/>
        <v>1.7999999999999999E-2</v>
      </c>
      <c r="DB78" s="1962" t="s">
        <v>84</v>
      </c>
      <c r="DC78" s="2175">
        <f t="shared" si="72"/>
        <v>0</v>
      </c>
      <c r="DD78" s="2261"/>
      <c r="DE78" s="2261"/>
      <c r="DF78" s="2261"/>
      <c r="DG78" s="2261"/>
      <c r="DH78" s="2261"/>
      <c r="DI78" s="2261"/>
      <c r="DJ78" s="2261"/>
      <c r="DK78" s="2261"/>
      <c r="DL78" s="2261"/>
      <c r="DM78" s="2261"/>
      <c r="DN78" s="2261"/>
      <c r="DO78" s="2261"/>
      <c r="DP78" s="2261"/>
      <c r="DQ78" s="2261"/>
      <c r="DR78" s="2261"/>
      <c r="DS78" s="2261"/>
      <c r="DT78" s="2261"/>
      <c r="DU78" s="2261"/>
      <c r="DV78" s="2261"/>
      <c r="DW78" s="2261"/>
      <c r="DX78" s="2261"/>
      <c r="DY78" s="2261"/>
      <c r="DZ78" s="2261"/>
      <c r="EA78" s="2261"/>
      <c r="EB78" s="2261"/>
      <c r="EC78" s="2261"/>
      <c r="ED78" s="2261"/>
      <c r="EE78" s="2261"/>
      <c r="EF78" s="2261"/>
      <c r="EG78" s="2261"/>
      <c r="EH78" s="2261"/>
      <c r="EI78" s="2171">
        <f t="shared" si="73"/>
        <v>0</v>
      </c>
    </row>
    <row r="79" spans="1:139" ht="15">
      <c r="A79" s="1249" t="s">
        <v>85</v>
      </c>
      <c r="B79" s="1287">
        <f t="shared" si="66"/>
        <v>0</v>
      </c>
      <c r="C79" s="2271"/>
      <c r="D79" s="2271"/>
      <c r="E79" s="2271"/>
      <c r="F79" s="2271"/>
      <c r="G79" s="2271"/>
      <c r="H79" s="2271"/>
      <c r="I79" s="2271"/>
      <c r="J79" s="2271"/>
      <c r="K79" s="2271"/>
      <c r="L79" s="2271"/>
      <c r="M79" s="2271"/>
      <c r="N79" s="2271"/>
      <c r="O79" s="2271"/>
      <c r="P79" s="2271"/>
      <c r="Q79" s="2271"/>
      <c r="R79" s="2271"/>
      <c r="S79" s="2271"/>
      <c r="T79" s="2271"/>
      <c r="U79" s="2271"/>
      <c r="V79" s="2271"/>
      <c r="W79" s="2271"/>
      <c r="X79" s="2271"/>
      <c r="Y79" s="2271"/>
      <c r="Z79" s="2271"/>
      <c r="AA79" s="2271"/>
      <c r="AB79" s="2271"/>
      <c r="AC79" s="2271"/>
      <c r="AD79" s="2271"/>
      <c r="AE79" s="2271"/>
      <c r="AF79" s="2271"/>
      <c r="AG79" s="1760"/>
      <c r="AH79" s="1488">
        <f t="shared" si="67"/>
        <v>0</v>
      </c>
      <c r="AJ79" s="1746" t="s">
        <v>85</v>
      </c>
      <c r="AK79" s="1749">
        <f t="shared" si="68"/>
        <v>0</v>
      </c>
      <c r="AL79" s="2226"/>
      <c r="AM79" s="2226"/>
      <c r="AN79" s="2226"/>
      <c r="AO79" s="2226"/>
      <c r="AP79" s="2226"/>
      <c r="AQ79" s="2226"/>
      <c r="AR79" s="2226"/>
      <c r="AS79" s="2226"/>
      <c r="AT79" s="2226"/>
      <c r="AU79" s="2226"/>
      <c r="AV79" s="2226"/>
      <c r="AW79" s="2226"/>
      <c r="AX79" s="2226"/>
      <c r="AY79" s="2226"/>
      <c r="AZ79" s="2226"/>
      <c r="BA79" s="2226"/>
      <c r="BB79" s="2226"/>
      <c r="BC79" s="2226"/>
      <c r="BD79" s="2226"/>
      <c r="BE79" s="2226"/>
      <c r="BF79" s="2226"/>
      <c r="BG79" s="2226"/>
      <c r="BH79" s="2226"/>
      <c r="BI79" s="2226"/>
      <c r="BJ79" s="2226"/>
      <c r="BK79" s="2226"/>
      <c r="BL79" s="2226"/>
      <c r="BM79" s="2226"/>
      <c r="BN79" s="2226"/>
      <c r="BO79" s="2226"/>
      <c r="BP79" s="2231"/>
      <c r="BQ79" s="2188">
        <f t="shared" si="69"/>
        <v>0</v>
      </c>
      <c r="BS79" s="1845" t="s">
        <v>85</v>
      </c>
      <c r="BT79" s="2678">
        <f t="shared" si="70"/>
        <v>1.2530000000000001</v>
      </c>
      <c r="BU79" s="2225"/>
      <c r="BV79" s="2225"/>
      <c r="BW79" s="2225">
        <v>0.1</v>
      </c>
      <c r="BX79" s="2225"/>
      <c r="BY79" s="2225"/>
      <c r="BZ79" s="2225">
        <v>0.2</v>
      </c>
      <c r="CA79" s="2225"/>
      <c r="CB79" s="2225"/>
      <c r="CC79" s="2225">
        <v>0.25</v>
      </c>
      <c r="CD79" s="2225"/>
      <c r="CE79" s="2225"/>
      <c r="CF79" s="2225">
        <v>1.4999999999999999E-2</v>
      </c>
      <c r="CG79" s="2225">
        <v>0.03</v>
      </c>
      <c r="CH79" s="2225">
        <v>1.6E-2</v>
      </c>
      <c r="CI79" s="2225"/>
      <c r="CJ79" s="2225">
        <v>8.0000000000000002E-3</v>
      </c>
      <c r="CK79" s="2225"/>
      <c r="CL79" s="2225"/>
      <c r="CM79" s="2225"/>
      <c r="CN79" s="2225">
        <v>3.2000000000000001E-2</v>
      </c>
      <c r="CO79" s="2225">
        <v>0.3</v>
      </c>
      <c r="CP79" s="2225"/>
      <c r="CQ79" s="2225">
        <v>0.3</v>
      </c>
      <c r="CR79" s="2225"/>
      <c r="CS79" s="2225"/>
      <c r="CT79" s="2225"/>
      <c r="CU79" s="2225"/>
      <c r="CV79" s="2225"/>
      <c r="CW79" s="2225">
        <v>2E-3</v>
      </c>
      <c r="CX79" s="2225">
        <v>0</v>
      </c>
      <c r="CY79" s="2230"/>
      <c r="CZ79" s="2180">
        <f t="shared" si="71"/>
        <v>1.2530000000000001</v>
      </c>
      <c r="DB79" s="1962" t="s">
        <v>85</v>
      </c>
      <c r="DC79" s="2175">
        <f t="shared" si="72"/>
        <v>0</v>
      </c>
      <c r="DD79" s="2261"/>
      <c r="DE79" s="2261"/>
      <c r="DF79" s="2261"/>
      <c r="DG79" s="2261"/>
      <c r="DH79" s="2261"/>
      <c r="DI79" s="2261"/>
      <c r="DJ79" s="2261"/>
      <c r="DK79" s="2261"/>
      <c r="DL79" s="2261"/>
      <c r="DM79" s="2261"/>
      <c r="DN79" s="2261"/>
      <c r="DO79" s="2261"/>
      <c r="DP79" s="2261"/>
      <c r="DQ79" s="2261"/>
      <c r="DR79" s="2261"/>
      <c r="DS79" s="2261"/>
      <c r="DT79" s="2261"/>
      <c r="DU79" s="2261"/>
      <c r="DV79" s="2261"/>
      <c r="DW79" s="2261"/>
      <c r="DX79" s="2261"/>
      <c r="DY79" s="2261"/>
      <c r="DZ79" s="2261"/>
      <c r="EA79" s="2261"/>
      <c r="EB79" s="2261"/>
      <c r="EC79" s="2261"/>
      <c r="ED79" s="2261"/>
      <c r="EE79" s="2261"/>
      <c r="EF79" s="2261"/>
      <c r="EG79" s="2261"/>
      <c r="EH79" s="2262"/>
      <c r="EI79" s="2171">
        <f t="shared" si="73"/>
        <v>0</v>
      </c>
    </row>
    <row r="80" spans="1:139" ht="15">
      <c r="A80" s="1249" t="s">
        <v>86</v>
      </c>
      <c r="B80" s="1287">
        <f t="shared" si="66"/>
        <v>0</v>
      </c>
      <c r="C80" s="2271"/>
      <c r="D80" s="2271"/>
      <c r="E80" s="2271"/>
      <c r="F80" s="2271"/>
      <c r="G80" s="2271"/>
      <c r="H80" s="2271"/>
      <c r="I80" s="2271"/>
      <c r="J80" s="2271"/>
      <c r="K80" s="2271"/>
      <c r="L80" s="2271"/>
      <c r="M80" s="2271"/>
      <c r="N80" s="2271"/>
      <c r="O80" s="2271"/>
      <c r="P80" s="2271"/>
      <c r="Q80" s="2271"/>
      <c r="R80" s="2271"/>
      <c r="S80" s="2271"/>
      <c r="T80" s="2271"/>
      <c r="U80" s="2271"/>
      <c r="V80" s="2271"/>
      <c r="W80" s="2271"/>
      <c r="X80" s="2271"/>
      <c r="Y80" s="2271"/>
      <c r="Z80" s="2271"/>
      <c r="AA80" s="2271"/>
      <c r="AB80" s="2271"/>
      <c r="AC80" s="2271"/>
      <c r="AD80" s="2271"/>
      <c r="AE80" s="2271"/>
      <c r="AF80" s="2271"/>
      <c r="AG80" s="2271"/>
      <c r="AH80" s="1488">
        <f t="shared" si="67"/>
        <v>0</v>
      </c>
      <c r="AJ80" s="1746" t="s">
        <v>86</v>
      </c>
      <c r="AK80" s="1749">
        <f t="shared" si="68"/>
        <v>0</v>
      </c>
      <c r="AL80" s="2226"/>
      <c r="AM80" s="2226"/>
      <c r="AN80" s="2226"/>
      <c r="AO80" s="2226"/>
      <c r="AP80" s="2226"/>
      <c r="AQ80" s="2226"/>
      <c r="AR80" s="2226"/>
      <c r="AS80" s="2226"/>
      <c r="AT80" s="2226"/>
      <c r="AU80" s="2226"/>
      <c r="AV80" s="2226"/>
      <c r="AW80" s="2226"/>
      <c r="AX80" s="2226"/>
      <c r="AY80" s="2226"/>
      <c r="AZ80" s="2226"/>
      <c r="BA80" s="2226"/>
      <c r="BB80" s="2226"/>
      <c r="BC80" s="2226"/>
      <c r="BD80" s="2226"/>
      <c r="BE80" s="2226"/>
      <c r="BF80" s="2226"/>
      <c r="BG80" s="2226"/>
      <c r="BH80" s="2226"/>
      <c r="BI80" s="2226"/>
      <c r="BJ80" s="2226"/>
      <c r="BK80" s="2226"/>
      <c r="BL80" s="2226"/>
      <c r="BM80" s="2226"/>
      <c r="BN80" s="2226"/>
      <c r="BO80" s="2226"/>
      <c r="BP80" s="2226"/>
      <c r="BQ80" s="2188">
        <f t="shared" si="69"/>
        <v>0</v>
      </c>
      <c r="BS80" s="1845" t="s">
        <v>86</v>
      </c>
      <c r="BT80" s="2678">
        <f t="shared" si="70"/>
        <v>0.625</v>
      </c>
      <c r="BU80" s="2225"/>
      <c r="BV80" s="2225"/>
      <c r="BW80" s="2225"/>
      <c r="BX80" s="2225"/>
      <c r="BY80" s="2225"/>
      <c r="BZ80" s="2225">
        <v>0.02</v>
      </c>
      <c r="CA80" s="2225">
        <v>0.02</v>
      </c>
      <c r="CB80" s="2225"/>
      <c r="CC80" s="2225"/>
      <c r="CD80" s="2225">
        <v>0.03</v>
      </c>
      <c r="CE80" s="2225"/>
      <c r="CF80" s="2225">
        <v>1.4999999999999999E-2</v>
      </c>
      <c r="CG80" s="2225"/>
      <c r="CH80" s="2225"/>
      <c r="CI80" s="2225"/>
      <c r="CJ80" s="2225"/>
      <c r="CK80" s="2225"/>
      <c r="CL80" s="2225"/>
      <c r="CM80" s="2225">
        <v>0.02</v>
      </c>
      <c r="CN80" s="2225"/>
      <c r="CO80" s="2225"/>
      <c r="CP80" s="2225">
        <v>0.2</v>
      </c>
      <c r="CQ80" s="2225"/>
      <c r="CR80" s="2225"/>
      <c r="CS80" s="2225"/>
      <c r="CT80" s="2225"/>
      <c r="CU80" s="2225"/>
      <c r="CV80" s="2225">
        <v>0.3</v>
      </c>
      <c r="CW80" s="2225"/>
      <c r="CX80" s="2225"/>
      <c r="CY80" s="2225">
        <v>0.02</v>
      </c>
      <c r="CZ80" s="2180">
        <f t="shared" si="71"/>
        <v>0.625</v>
      </c>
      <c r="DB80" s="1962" t="s">
        <v>86</v>
      </c>
      <c r="DC80" s="2175">
        <f t="shared" si="72"/>
        <v>0</v>
      </c>
      <c r="DD80" s="2261"/>
      <c r="DE80" s="2261"/>
      <c r="DF80" s="2261"/>
      <c r="DG80" s="2261"/>
      <c r="DH80" s="2261"/>
      <c r="DI80" s="2261"/>
      <c r="DJ80" s="2261"/>
      <c r="DK80" s="2261"/>
      <c r="DL80" s="2261"/>
      <c r="DM80" s="2261"/>
      <c r="DN80" s="2261"/>
      <c r="DO80" s="2261"/>
      <c r="DP80" s="2261"/>
      <c r="DQ80" s="2261"/>
      <c r="DR80" s="2261"/>
      <c r="DS80" s="2261"/>
      <c r="DT80" s="2261"/>
      <c r="DU80" s="2261"/>
      <c r="DV80" s="2261"/>
      <c r="DW80" s="2261"/>
      <c r="DX80" s="2261"/>
      <c r="DY80" s="2261"/>
      <c r="DZ80" s="2261"/>
      <c r="EA80" s="2261"/>
      <c r="EB80" s="2261"/>
      <c r="EC80" s="2261"/>
      <c r="ED80" s="2261"/>
      <c r="EE80" s="2261"/>
      <c r="EF80" s="2261"/>
      <c r="EG80" s="2261"/>
      <c r="EH80" s="2261"/>
      <c r="EI80" s="2171">
        <f t="shared" si="73"/>
        <v>0</v>
      </c>
    </row>
    <row r="81" spans="1:139" ht="15">
      <c r="A81" s="1470" t="s">
        <v>74</v>
      </c>
      <c r="B81" s="2270">
        <f t="shared" ref="B81:AH81" si="74">SUM(B69:B80)</f>
        <v>0</v>
      </c>
      <c r="C81" s="1488">
        <f t="shared" si="74"/>
        <v>0</v>
      </c>
      <c r="D81" s="1488">
        <f t="shared" si="74"/>
        <v>0</v>
      </c>
      <c r="E81" s="1488">
        <f t="shared" si="74"/>
        <v>0</v>
      </c>
      <c r="F81" s="1488">
        <f t="shared" si="74"/>
        <v>0</v>
      </c>
      <c r="G81" s="1488">
        <f t="shared" si="74"/>
        <v>0</v>
      </c>
      <c r="H81" s="1488">
        <f t="shared" si="74"/>
        <v>0</v>
      </c>
      <c r="I81" s="1488">
        <f t="shared" si="74"/>
        <v>0</v>
      </c>
      <c r="J81" s="1488">
        <f t="shared" si="74"/>
        <v>0</v>
      </c>
      <c r="K81" s="1488">
        <f t="shared" si="74"/>
        <v>0</v>
      </c>
      <c r="L81" s="1488">
        <f t="shared" si="74"/>
        <v>0</v>
      </c>
      <c r="M81" s="1488">
        <f t="shared" si="74"/>
        <v>0</v>
      </c>
      <c r="N81" s="1488">
        <f t="shared" si="74"/>
        <v>0</v>
      </c>
      <c r="O81" s="1488">
        <f t="shared" si="74"/>
        <v>0</v>
      </c>
      <c r="P81" s="1488">
        <f t="shared" si="74"/>
        <v>0</v>
      </c>
      <c r="Q81" s="1488">
        <f t="shared" si="74"/>
        <v>0</v>
      </c>
      <c r="R81" s="1488">
        <f t="shared" si="74"/>
        <v>0</v>
      </c>
      <c r="S81" s="1488">
        <f t="shared" si="74"/>
        <v>0</v>
      </c>
      <c r="T81" s="1488">
        <f t="shared" si="74"/>
        <v>0</v>
      </c>
      <c r="U81" s="1488">
        <f t="shared" si="74"/>
        <v>0</v>
      </c>
      <c r="V81" s="1488">
        <f t="shared" si="74"/>
        <v>0</v>
      </c>
      <c r="W81" s="1488">
        <f t="shared" si="74"/>
        <v>0</v>
      </c>
      <c r="X81" s="1488">
        <f t="shared" si="74"/>
        <v>0</v>
      </c>
      <c r="Y81" s="1488">
        <f t="shared" si="74"/>
        <v>0</v>
      </c>
      <c r="Z81" s="1488">
        <f t="shared" si="74"/>
        <v>0</v>
      </c>
      <c r="AA81" s="1488">
        <f t="shared" si="74"/>
        <v>0</v>
      </c>
      <c r="AB81" s="1488">
        <f t="shared" si="74"/>
        <v>0</v>
      </c>
      <c r="AC81" s="1488">
        <f t="shared" si="74"/>
        <v>0</v>
      </c>
      <c r="AD81" s="1488">
        <f t="shared" si="74"/>
        <v>0</v>
      </c>
      <c r="AE81" s="1488">
        <f t="shared" si="74"/>
        <v>0</v>
      </c>
      <c r="AF81" s="1488">
        <f t="shared" si="74"/>
        <v>0</v>
      </c>
      <c r="AG81" s="1488">
        <f t="shared" si="74"/>
        <v>0</v>
      </c>
      <c r="AH81" s="1488">
        <f t="shared" si="74"/>
        <v>0</v>
      </c>
      <c r="AJ81" s="2191" t="s">
        <v>74</v>
      </c>
      <c r="AK81" s="2260">
        <f t="shared" ref="AK81:BQ81" si="75">SUM(AK69:AK80)</f>
        <v>0</v>
      </c>
      <c r="AL81" s="2188">
        <f t="shared" si="75"/>
        <v>0</v>
      </c>
      <c r="AM81" s="2188">
        <f t="shared" si="75"/>
        <v>0</v>
      </c>
      <c r="AN81" s="2188">
        <f t="shared" si="75"/>
        <v>0</v>
      </c>
      <c r="AO81" s="2188">
        <f t="shared" si="75"/>
        <v>0</v>
      </c>
      <c r="AP81" s="2188">
        <f t="shared" si="75"/>
        <v>0</v>
      </c>
      <c r="AQ81" s="2188">
        <f t="shared" si="75"/>
        <v>0</v>
      </c>
      <c r="AR81" s="2188">
        <f t="shared" si="75"/>
        <v>0</v>
      </c>
      <c r="AS81" s="2188">
        <f t="shared" si="75"/>
        <v>0</v>
      </c>
      <c r="AT81" s="2188">
        <f t="shared" si="75"/>
        <v>0</v>
      </c>
      <c r="AU81" s="2188">
        <f t="shared" si="75"/>
        <v>0</v>
      </c>
      <c r="AV81" s="2188">
        <f t="shared" si="75"/>
        <v>0</v>
      </c>
      <c r="AW81" s="2188">
        <f t="shared" si="75"/>
        <v>0</v>
      </c>
      <c r="AX81" s="2188">
        <f t="shared" si="75"/>
        <v>0</v>
      </c>
      <c r="AY81" s="2188">
        <f t="shared" si="75"/>
        <v>0</v>
      </c>
      <c r="AZ81" s="2188">
        <f t="shared" si="75"/>
        <v>0</v>
      </c>
      <c r="BA81" s="2188">
        <f t="shared" si="75"/>
        <v>0</v>
      </c>
      <c r="BB81" s="2188">
        <f t="shared" si="75"/>
        <v>0</v>
      </c>
      <c r="BC81" s="2188">
        <f t="shared" si="75"/>
        <v>0</v>
      </c>
      <c r="BD81" s="2188">
        <f t="shared" si="75"/>
        <v>0</v>
      </c>
      <c r="BE81" s="2188">
        <f t="shared" si="75"/>
        <v>0</v>
      </c>
      <c r="BF81" s="2188">
        <f t="shared" si="75"/>
        <v>0</v>
      </c>
      <c r="BG81" s="2188">
        <f t="shared" si="75"/>
        <v>0</v>
      </c>
      <c r="BH81" s="2188">
        <f t="shared" si="75"/>
        <v>0</v>
      </c>
      <c r="BI81" s="2188">
        <f t="shared" si="75"/>
        <v>0</v>
      </c>
      <c r="BJ81" s="2188">
        <f t="shared" si="75"/>
        <v>0</v>
      </c>
      <c r="BK81" s="2188">
        <f t="shared" si="75"/>
        <v>0</v>
      </c>
      <c r="BL81" s="2188">
        <f t="shared" si="75"/>
        <v>0</v>
      </c>
      <c r="BM81" s="2188">
        <f t="shared" si="75"/>
        <v>0</v>
      </c>
      <c r="BN81" s="2188">
        <f t="shared" si="75"/>
        <v>0</v>
      </c>
      <c r="BO81" s="2188">
        <f t="shared" si="75"/>
        <v>0</v>
      </c>
      <c r="BP81" s="2188">
        <f t="shared" si="75"/>
        <v>0</v>
      </c>
      <c r="BQ81" s="2188">
        <f t="shared" si="75"/>
        <v>0</v>
      </c>
      <c r="BS81" s="2183" t="s">
        <v>74</v>
      </c>
      <c r="BT81" s="2259">
        <f t="shared" ref="BT81:CZ81" si="76">SUM(BT69:BT80)</f>
        <v>3.9819999999999998</v>
      </c>
      <c r="BU81" s="2180">
        <f t="shared" si="76"/>
        <v>0.02</v>
      </c>
      <c r="BV81" s="2180">
        <f t="shared" si="76"/>
        <v>0.04</v>
      </c>
      <c r="BW81" s="2180">
        <f t="shared" si="76"/>
        <v>0.1</v>
      </c>
      <c r="BX81" s="2180">
        <f t="shared" si="76"/>
        <v>0.21</v>
      </c>
      <c r="BY81" s="2180">
        <f t="shared" si="76"/>
        <v>0.113</v>
      </c>
      <c r="BZ81" s="2180">
        <f t="shared" si="76"/>
        <v>0.50700000000000001</v>
      </c>
      <c r="CA81" s="2180">
        <f t="shared" si="76"/>
        <v>0.20699999999999999</v>
      </c>
      <c r="CB81" s="2180">
        <f t="shared" si="76"/>
        <v>0.31</v>
      </c>
      <c r="CC81" s="2180">
        <f t="shared" si="76"/>
        <v>0.32100000000000001</v>
      </c>
      <c r="CD81" s="2180">
        <f t="shared" si="76"/>
        <v>4.9000000000000002E-2</v>
      </c>
      <c r="CE81" s="2180">
        <f t="shared" si="76"/>
        <v>0.09</v>
      </c>
      <c r="CF81" s="2180">
        <f t="shared" si="76"/>
        <v>0.14600000000000002</v>
      </c>
      <c r="CG81" s="2180">
        <f t="shared" si="76"/>
        <v>0.03</v>
      </c>
      <c r="CH81" s="2180">
        <f t="shared" si="76"/>
        <v>1.6E-2</v>
      </c>
      <c r="CI81" s="2180">
        <f t="shared" si="76"/>
        <v>7.1999999999999995E-2</v>
      </c>
      <c r="CJ81" s="2180">
        <f t="shared" si="76"/>
        <v>0.10499999999999998</v>
      </c>
      <c r="CK81" s="2180">
        <f t="shared" si="76"/>
        <v>0.01</v>
      </c>
      <c r="CL81" s="2180">
        <f t="shared" si="76"/>
        <v>5.3000000000000005E-2</v>
      </c>
      <c r="CM81" s="2180">
        <f t="shared" si="76"/>
        <v>0.04</v>
      </c>
      <c r="CN81" s="2180">
        <f t="shared" si="76"/>
        <v>8.2000000000000003E-2</v>
      </c>
      <c r="CO81" s="2180">
        <f t="shared" si="76"/>
        <v>0.32200000000000001</v>
      </c>
      <c r="CP81" s="2180">
        <f t="shared" si="76"/>
        <v>0.26800000000000002</v>
      </c>
      <c r="CQ81" s="2180">
        <f t="shared" si="76"/>
        <v>0.43</v>
      </c>
      <c r="CR81" s="2180">
        <f t="shared" si="76"/>
        <v>0</v>
      </c>
      <c r="CS81" s="2180">
        <f t="shared" si="76"/>
        <v>0</v>
      </c>
      <c r="CT81" s="2180">
        <f t="shared" si="76"/>
        <v>0</v>
      </c>
      <c r="CU81" s="2180">
        <f t="shared" si="76"/>
        <v>7.9000000000000015E-2</v>
      </c>
      <c r="CV81" s="2180">
        <f t="shared" si="76"/>
        <v>0.32</v>
      </c>
      <c r="CW81" s="2180">
        <f t="shared" si="76"/>
        <v>1.2E-2</v>
      </c>
      <c r="CX81" s="2180">
        <f t="shared" si="76"/>
        <v>0.01</v>
      </c>
      <c r="CY81" s="2180">
        <f t="shared" si="76"/>
        <v>0.02</v>
      </c>
      <c r="CZ81" s="2180">
        <f t="shared" si="76"/>
        <v>3.9819999999999998</v>
      </c>
      <c r="DB81" s="2174" t="s">
        <v>74</v>
      </c>
      <c r="DC81" s="2258">
        <f t="shared" ref="DC81:EI81" si="77">SUM(DC69:DC80)</f>
        <v>1.77</v>
      </c>
      <c r="DD81" s="2171">
        <f t="shared" si="77"/>
        <v>0</v>
      </c>
      <c r="DE81" s="2171">
        <f t="shared" si="77"/>
        <v>0</v>
      </c>
      <c r="DF81" s="2171">
        <f t="shared" si="77"/>
        <v>0</v>
      </c>
      <c r="DG81" s="2171">
        <f t="shared" si="77"/>
        <v>0</v>
      </c>
      <c r="DH81" s="2171">
        <f t="shared" si="77"/>
        <v>0</v>
      </c>
      <c r="DI81" s="2171">
        <f t="shared" si="77"/>
        <v>0</v>
      </c>
      <c r="DJ81" s="2171">
        <f t="shared" si="77"/>
        <v>0</v>
      </c>
      <c r="DK81" s="2171">
        <f t="shared" si="77"/>
        <v>0</v>
      </c>
      <c r="DL81" s="2171">
        <f t="shared" si="77"/>
        <v>1.77</v>
      </c>
      <c r="DM81" s="2171">
        <f t="shared" si="77"/>
        <v>0</v>
      </c>
      <c r="DN81" s="2171">
        <f t="shared" si="77"/>
        <v>0</v>
      </c>
      <c r="DO81" s="2171">
        <f t="shared" si="77"/>
        <v>0</v>
      </c>
      <c r="DP81" s="2171">
        <f t="shared" si="77"/>
        <v>0</v>
      </c>
      <c r="DQ81" s="2171">
        <f t="shared" si="77"/>
        <v>0</v>
      </c>
      <c r="DR81" s="2171">
        <f t="shared" si="77"/>
        <v>0</v>
      </c>
      <c r="DS81" s="2171">
        <f t="shared" si="77"/>
        <v>0</v>
      </c>
      <c r="DT81" s="2171">
        <f t="shared" si="77"/>
        <v>0</v>
      </c>
      <c r="DU81" s="2171">
        <f t="shared" si="77"/>
        <v>0</v>
      </c>
      <c r="DV81" s="2171">
        <f t="shared" si="77"/>
        <v>0</v>
      </c>
      <c r="DW81" s="2171">
        <f t="shared" si="77"/>
        <v>0</v>
      </c>
      <c r="DX81" s="2171">
        <f t="shared" si="77"/>
        <v>0</v>
      </c>
      <c r="DY81" s="2171">
        <f t="shared" si="77"/>
        <v>0</v>
      </c>
      <c r="DZ81" s="2171">
        <f t="shared" si="77"/>
        <v>0</v>
      </c>
      <c r="EA81" s="2171">
        <f t="shared" si="77"/>
        <v>0</v>
      </c>
      <c r="EB81" s="2171">
        <f t="shared" si="77"/>
        <v>0</v>
      </c>
      <c r="EC81" s="2171">
        <f t="shared" si="77"/>
        <v>0</v>
      </c>
      <c r="ED81" s="2171">
        <f t="shared" si="77"/>
        <v>0</v>
      </c>
      <c r="EE81" s="2171">
        <f t="shared" si="77"/>
        <v>0</v>
      </c>
      <c r="EF81" s="2171">
        <f t="shared" si="77"/>
        <v>0</v>
      </c>
      <c r="EG81" s="2171">
        <f t="shared" si="77"/>
        <v>0</v>
      </c>
      <c r="EH81" s="2171">
        <f t="shared" si="77"/>
        <v>0</v>
      </c>
      <c r="EI81" s="2171">
        <f t="shared" si="77"/>
        <v>1.77</v>
      </c>
    </row>
    <row r="82" spans="1:139" ht="15">
      <c r="A82" s="2320"/>
      <c r="B82" s="2321"/>
      <c r="C82" s="2322"/>
      <c r="D82" s="2322"/>
      <c r="E82" s="2322"/>
      <c r="F82" s="2322"/>
      <c r="G82" s="2322"/>
      <c r="H82" s="2322"/>
      <c r="I82" s="2322"/>
      <c r="J82" s="2322"/>
      <c r="K82" s="2322"/>
      <c r="L82" s="2322"/>
      <c r="M82" s="2322"/>
      <c r="N82" s="2322"/>
      <c r="O82" s="2322"/>
      <c r="P82" s="2322"/>
      <c r="Q82" s="2322"/>
      <c r="R82" s="2322"/>
      <c r="S82" s="2322"/>
      <c r="T82" s="2322"/>
      <c r="U82" s="2322"/>
      <c r="V82" s="2322"/>
      <c r="W82" s="2322"/>
      <c r="X82" s="2322"/>
      <c r="Y82" s="2322"/>
      <c r="Z82" s="2322"/>
      <c r="AA82" s="2322"/>
      <c r="AB82" s="2322"/>
      <c r="AC82" s="2322"/>
      <c r="AD82" s="2322"/>
      <c r="AE82" s="2322"/>
      <c r="AF82" s="2322"/>
      <c r="AG82" s="2322"/>
      <c r="AH82" s="2322"/>
      <c r="AJ82" s="2257"/>
      <c r="AK82" s="2256"/>
      <c r="AL82" s="2249"/>
      <c r="AM82" s="2249"/>
      <c r="AN82" s="2249"/>
      <c r="AO82" s="2249"/>
      <c r="AP82" s="2249"/>
      <c r="AQ82" s="2249"/>
      <c r="AR82" s="2249"/>
      <c r="AS82" s="2249"/>
      <c r="AT82" s="2249"/>
      <c r="AU82" s="2249"/>
      <c r="AV82" s="2249"/>
      <c r="AW82" s="2249"/>
      <c r="AX82" s="2249"/>
      <c r="AY82" s="2249"/>
      <c r="AZ82" s="2249"/>
      <c r="BA82" s="2249"/>
      <c r="BB82" s="2249"/>
      <c r="BC82" s="2249"/>
      <c r="BD82" s="2249"/>
      <c r="BE82" s="2249"/>
      <c r="BF82" s="2249"/>
      <c r="BG82" s="2249"/>
      <c r="BH82" s="2249"/>
      <c r="BI82" s="2249"/>
      <c r="BJ82" s="2249"/>
      <c r="BK82" s="2249"/>
      <c r="BL82" s="2249"/>
      <c r="BM82" s="2249"/>
      <c r="BN82" s="2249"/>
      <c r="BO82" s="2249"/>
      <c r="BP82" s="2249"/>
      <c r="BQ82" s="2249"/>
      <c r="BS82" s="2255"/>
      <c r="BT82" s="2254"/>
      <c r="BU82" s="2245"/>
      <c r="BV82" s="2245"/>
      <c r="BW82" s="2245"/>
      <c r="BX82" s="2245"/>
      <c r="BY82" s="2245"/>
      <c r="BZ82" s="2245"/>
      <c r="CA82" s="2245"/>
      <c r="CB82" s="2245"/>
      <c r="CC82" s="2245"/>
      <c r="CD82" s="2245"/>
      <c r="CE82" s="2245"/>
      <c r="CF82" s="2245"/>
      <c r="CG82" s="2245"/>
      <c r="CH82" s="2245"/>
      <c r="CI82" s="2245"/>
      <c r="CJ82" s="2245"/>
      <c r="CK82" s="2245"/>
      <c r="CL82" s="2245"/>
      <c r="CM82" s="2245"/>
      <c r="CN82" s="2245"/>
      <c r="CO82" s="2245"/>
      <c r="CP82" s="2245"/>
      <c r="CQ82" s="2245"/>
      <c r="CR82" s="2245"/>
      <c r="CS82" s="2245"/>
      <c r="CT82" s="2245"/>
      <c r="CU82" s="2245"/>
      <c r="CV82" s="2245"/>
      <c r="CW82" s="2245"/>
      <c r="CX82" s="2245"/>
      <c r="CY82" s="2245"/>
      <c r="CZ82" s="2245"/>
      <c r="DB82" s="2253"/>
      <c r="DC82" s="2252"/>
      <c r="DD82" s="2244"/>
      <c r="DE82" s="2244"/>
      <c r="DF82" s="2244"/>
      <c r="DG82" s="2244"/>
      <c r="DH82" s="2244"/>
      <c r="DI82" s="2244"/>
      <c r="DJ82" s="2244"/>
      <c r="DK82" s="2244"/>
      <c r="DL82" s="2244"/>
      <c r="DM82" s="2244"/>
      <c r="DN82" s="2244"/>
      <c r="DO82" s="2244"/>
      <c r="DP82" s="2244"/>
      <c r="DQ82" s="2244"/>
      <c r="DR82" s="2244"/>
      <c r="DS82" s="2244"/>
      <c r="DT82" s="2244"/>
      <c r="DU82" s="2244"/>
      <c r="DV82" s="2244"/>
      <c r="DW82" s="2244"/>
      <c r="DX82" s="2244"/>
      <c r="DY82" s="2244"/>
      <c r="DZ82" s="2244"/>
      <c r="EA82" s="2244"/>
      <c r="EB82" s="2244"/>
      <c r="EC82" s="2244"/>
      <c r="ED82" s="2244"/>
      <c r="EE82" s="2244"/>
      <c r="EF82" s="2244"/>
      <c r="EG82" s="2244"/>
      <c r="EH82" s="2244"/>
      <c r="EI82" s="2244"/>
    </row>
    <row r="83" spans="1:139" ht="15">
      <c r="A83" s="3634" t="s">
        <v>95</v>
      </c>
      <c r="B83" s="3635"/>
      <c r="C83" s="3636"/>
      <c r="D83" s="2323"/>
      <c r="E83" s="2323"/>
      <c r="F83" s="2323"/>
      <c r="G83" s="2323"/>
      <c r="H83" s="2323"/>
      <c r="I83" s="2323"/>
      <c r="J83" s="2323"/>
      <c r="K83" s="2323"/>
      <c r="L83" s="2323"/>
      <c r="M83" s="2324"/>
      <c r="N83" s="2323"/>
      <c r="O83" s="2323"/>
      <c r="P83" s="2323"/>
      <c r="Q83" s="2323"/>
      <c r="R83" s="2323"/>
      <c r="S83" s="2323"/>
      <c r="T83" s="2323"/>
      <c r="U83" s="2323"/>
      <c r="V83" s="2323"/>
      <c r="W83" s="2323"/>
      <c r="X83" s="2323"/>
      <c r="Y83" s="2323"/>
      <c r="Z83" s="2323"/>
      <c r="AA83" s="2323"/>
      <c r="AB83" s="2323"/>
      <c r="AC83" s="2323"/>
      <c r="AD83" s="2323"/>
      <c r="AE83" s="2323"/>
      <c r="AF83" s="2323"/>
      <c r="AG83" s="2323"/>
      <c r="AH83" s="2323"/>
      <c r="AJ83" s="3585" t="s">
        <v>95</v>
      </c>
      <c r="AK83" s="3586"/>
      <c r="AL83" s="3587"/>
      <c r="AM83" s="2193"/>
      <c r="AN83" s="2193"/>
      <c r="AO83" s="2193"/>
      <c r="AP83" s="2193"/>
      <c r="AQ83" s="2193"/>
      <c r="AR83" s="2193"/>
      <c r="AS83" s="2193"/>
      <c r="AT83" s="2193"/>
      <c r="AU83" s="2193"/>
      <c r="AV83" s="2194"/>
      <c r="AW83" s="2193"/>
      <c r="AX83" s="2193"/>
      <c r="AY83" s="2193"/>
      <c r="AZ83" s="2193"/>
      <c r="BA83" s="2193"/>
      <c r="BB83" s="2193"/>
      <c r="BC83" s="2193"/>
      <c r="BD83" s="2193"/>
      <c r="BE83" s="2193"/>
      <c r="BF83" s="2193"/>
      <c r="BG83" s="2193"/>
      <c r="BH83" s="2193"/>
      <c r="BI83" s="2193"/>
      <c r="BJ83" s="2193"/>
      <c r="BK83" s="2193"/>
      <c r="BL83" s="2193"/>
      <c r="BM83" s="2193"/>
      <c r="BN83" s="2193"/>
      <c r="BO83" s="2193"/>
      <c r="BP83" s="2193"/>
      <c r="BQ83" s="2193"/>
      <c r="BS83" s="3772" t="s">
        <v>95</v>
      </c>
      <c r="BT83" s="3773"/>
      <c r="BU83" s="3774"/>
      <c r="BV83" s="2185"/>
      <c r="BW83" s="2185"/>
      <c r="BX83" s="2185"/>
      <c r="BY83" s="2185"/>
      <c r="BZ83" s="2185"/>
      <c r="CA83" s="2185"/>
      <c r="CB83" s="2185"/>
      <c r="CC83" s="2185"/>
      <c r="CD83" s="2185"/>
      <c r="CE83" s="2186"/>
      <c r="CF83" s="2185"/>
      <c r="CG83" s="2185"/>
      <c r="CH83" s="2185"/>
      <c r="CI83" s="2185"/>
      <c r="CJ83" s="2185"/>
      <c r="CK83" s="2185"/>
      <c r="CL83" s="2185"/>
      <c r="CM83" s="2185"/>
      <c r="CN83" s="2185"/>
      <c r="CO83" s="2185"/>
      <c r="CP83" s="2185"/>
      <c r="CQ83" s="2185"/>
      <c r="CR83" s="2185"/>
      <c r="CS83" s="2185"/>
      <c r="CT83" s="2185"/>
      <c r="CU83" s="2185"/>
      <c r="CV83" s="2185"/>
      <c r="CW83" s="2185"/>
      <c r="CX83" s="2185"/>
      <c r="CY83" s="2185"/>
      <c r="CZ83" s="2185"/>
      <c r="DB83" s="3781" t="s">
        <v>95</v>
      </c>
      <c r="DC83" s="3782"/>
      <c r="DD83" s="3783"/>
      <c r="DE83" s="1433"/>
      <c r="DF83" s="1433"/>
      <c r="DG83" s="1433"/>
      <c r="DH83" s="1433"/>
      <c r="DI83" s="1433"/>
      <c r="DJ83" s="1433"/>
      <c r="DK83" s="1433"/>
      <c r="DL83" s="1433"/>
      <c r="DM83" s="1433"/>
      <c r="DN83" s="2274"/>
      <c r="DO83" s="1433"/>
      <c r="DP83" s="1433"/>
      <c r="DQ83" s="1433"/>
      <c r="DR83" s="1433"/>
      <c r="DS83" s="1433"/>
      <c r="DT83" s="1433"/>
      <c r="DU83" s="1433"/>
      <c r="DV83" s="1433"/>
      <c r="DW83" s="1433"/>
      <c r="DX83" s="1433"/>
      <c r="DY83" s="1433"/>
      <c r="DZ83" s="1433"/>
      <c r="EA83" s="1433"/>
      <c r="EB83" s="1433"/>
      <c r="EC83" s="1433"/>
      <c r="ED83" s="1433"/>
      <c r="EE83" s="1433"/>
      <c r="EF83" s="1433"/>
      <c r="EG83" s="1433"/>
      <c r="EH83" s="1433"/>
      <c r="EI83" s="1433"/>
    </row>
    <row r="84" spans="1:139" ht="15">
      <c r="A84" s="1233" t="s">
        <v>72</v>
      </c>
      <c r="B84" s="1233" t="s">
        <v>73</v>
      </c>
      <c r="C84" s="1233">
        <v>1</v>
      </c>
      <c r="D84" s="1233">
        <v>2</v>
      </c>
      <c r="E84" s="1233">
        <v>3</v>
      </c>
      <c r="F84" s="1233">
        <v>4</v>
      </c>
      <c r="G84" s="1233">
        <v>5</v>
      </c>
      <c r="H84" s="1233">
        <v>6</v>
      </c>
      <c r="I84" s="1233">
        <v>7</v>
      </c>
      <c r="J84" s="1233">
        <v>8</v>
      </c>
      <c r="K84" s="1233">
        <v>9</v>
      </c>
      <c r="L84" s="1233">
        <v>10</v>
      </c>
      <c r="M84" s="1233">
        <v>11</v>
      </c>
      <c r="N84" s="1233">
        <v>12</v>
      </c>
      <c r="O84" s="1233">
        <v>13</v>
      </c>
      <c r="P84" s="1233">
        <v>14</v>
      </c>
      <c r="Q84" s="1233">
        <v>15</v>
      </c>
      <c r="R84" s="1233">
        <v>16</v>
      </c>
      <c r="S84" s="1233">
        <v>17</v>
      </c>
      <c r="T84" s="1233">
        <v>18</v>
      </c>
      <c r="U84" s="1233">
        <v>19</v>
      </c>
      <c r="V84" s="1233">
        <v>20</v>
      </c>
      <c r="W84" s="1233">
        <v>21</v>
      </c>
      <c r="X84" s="1233">
        <v>22</v>
      </c>
      <c r="Y84" s="1233">
        <v>23</v>
      </c>
      <c r="Z84" s="1233">
        <v>24</v>
      </c>
      <c r="AA84" s="1233">
        <v>25</v>
      </c>
      <c r="AB84" s="1233">
        <v>26</v>
      </c>
      <c r="AC84" s="1233">
        <v>27</v>
      </c>
      <c r="AD84" s="1233">
        <v>28</v>
      </c>
      <c r="AE84" s="1233">
        <v>29</v>
      </c>
      <c r="AF84" s="1233">
        <v>30</v>
      </c>
      <c r="AG84" s="1233">
        <v>31</v>
      </c>
      <c r="AH84" s="2325" t="s">
        <v>74</v>
      </c>
      <c r="AJ84" s="1746" t="s">
        <v>72</v>
      </c>
      <c r="AK84" s="1746" t="s">
        <v>73</v>
      </c>
      <c r="AL84" s="1746">
        <v>1</v>
      </c>
      <c r="AM84" s="1746">
        <v>2</v>
      </c>
      <c r="AN84" s="1746">
        <v>3</v>
      </c>
      <c r="AO84" s="1746">
        <v>4</v>
      </c>
      <c r="AP84" s="1746">
        <v>5</v>
      </c>
      <c r="AQ84" s="1746">
        <v>6</v>
      </c>
      <c r="AR84" s="1746">
        <v>7</v>
      </c>
      <c r="AS84" s="1746">
        <v>8</v>
      </c>
      <c r="AT84" s="1746">
        <v>9</v>
      </c>
      <c r="AU84" s="1746">
        <v>10</v>
      </c>
      <c r="AV84" s="1746">
        <v>11</v>
      </c>
      <c r="AW84" s="1746">
        <v>12</v>
      </c>
      <c r="AX84" s="1746">
        <v>13</v>
      </c>
      <c r="AY84" s="1746">
        <v>14</v>
      </c>
      <c r="AZ84" s="1746">
        <v>15</v>
      </c>
      <c r="BA84" s="1746">
        <v>16</v>
      </c>
      <c r="BB84" s="1746">
        <v>17</v>
      </c>
      <c r="BC84" s="1746">
        <v>18</v>
      </c>
      <c r="BD84" s="1746">
        <v>19</v>
      </c>
      <c r="BE84" s="1746">
        <v>20</v>
      </c>
      <c r="BF84" s="1746">
        <v>21</v>
      </c>
      <c r="BG84" s="1746">
        <v>22</v>
      </c>
      <c r="BH84" s="1746">
        <v>23</v>
      </c>
      <c r="BI84" s="1746">
        <v>24</v>
      </c>
      <c r="BJ84" s="1746">
        <v>25</v>
      </c>
      <c r="BK84" s="1746">
        <v>26</v>
      </c>
      <c r="BL84" s="1746">
        <v>27</v>
      </c>
      <c r="BM84" s="1746">
        <v>28</v>
      </c>
      <c r="BN84" s="1746">
        <v>29</v>
      </c>
      <c r="BO84" s="1746">
        <v>30</v>
      </c>
      <c r="BP84" s="1746">
        <v>31</v>
      </c>
      <c r="BQ84" s="2192" t="s">
        <v>74</v>
      </c>
      <c r="BS84" s="1845" t="s">
        <v>72</v>
      </c>
      <c r="BT84" s="1845" t="s">
        <v>73</v>
      </c>
      <c r="BU84" s="1845">
        <v>1</v>
      </c>
      <c r="BV84" s="1845">
        <v>2</v>
      </c>
      <c r="BW84" s="1845">
        <v>3</v>
      </c>
      <c r="BX84" s="1845">
        <v>4</v>
      </c>
      <c r="BY84" s="1845">
        <v>5</v>
      </c>
      <c r="BZ84" s="1845">
        <v>6</v>
      </c>
      <c r="CA84" s="1845">
        <v>7</v>
      </c>
      <c r="CB84" s="1845">
        <v>8</v>
      </c>
      <c r="CC84" s="1845">
        <v>9</v>
      </c>
      <c r="CD84" s="1845">
        <v>10</v>
      </c>
      <c r="CE84" s="1845">
        <v>11</v>
      </c>
      <c r="CF84" s="1845">
        <v>12</v>
      </c>
      <c r="CG84" s="1845">
        <v>13</v>
      </c>
      <c r="CH84" s="1845">
        <v>14</v>
      </c>
      <c r="CI84" s="1845">
        <v>15</v>
      </c>
      <c r="CJ84" s="1845">
        <v>16</v>
      </c>
      <c r="CK84" s="1845">
        <v>17</v>
      </c>
      <c r="CL84" s="1845">
        <v>18</v>
      </c>
      <c r="CM84" s="1845">
        <v>19</v>
      </c>
      <c r="CN84" s="1845">
        <v>20</v>
      </c>
      <c r="CO84" s="1845">
        <v>21</v>
      </c>
      <c r="CP84" s="1845">
        <v>22</v>
      </c>
      <c r="CQ84" s="1845">
        <v>23</v>
      </c>
      <c r="CR84" s="1845">
        <v>24</v>
      </c>
      <c r="CS84" s="1845">
        <v>25</v>
      </c>
      <c r="CT84" s="1845">
        <v>26</v>
      </c>
      <c r="CU84" s="1845">
        <v>27</v>
      </c>
      <c r="CV84" s="1845">
        <v>28</v>
      </c>
      <c r="CW84" s="1845">
        <v>29</v>
      </c>
      <c r="CX84" s="1845">
        <v>30</v>
      </c>
      <c r="CY84" s="1845">
        <v>31</v>
      </c>
      <c r="CZ84" s="2184" t="s">
        <v>74</v>
      </c>
      <c r="DB84" s="1249" t="s">
        <v>72</v>
      </c>
      <c r="DC84" s="1249" t="s">
        <v>73</v>
      </c>
      <c r="DD84" s="1249">
        <v>1</v>
      </c>
      <c r="DE84" s="1249">
        <v>2</v>
      </c>
      <c r="DF84" s="1249">
        <v>3</v>
      </c>
      <c r="DG84" s="1249">
        <v>4</v>
      </c>
      <c r="DH84" s="1249">
        <v>5</v>
      </c>
      <c r="DI84" s="1249">
        <v>6</v>
      </c>
      <c r="DJ84" s="1249">
        <v>7</v>
      </c>
      <c r="DK84" s="1249">
        <v>8</v>
      </c>
      <c r="DL84" s="1249">
        <v>9</v>
      </c>
      <c r="DM84" s="1249">
        <v>10</v>
      </c>
      <c r="DN84" s="1249">
        <v>11</v>
      </c>
      <c r="DO84" s="1249">
        <v>12</v>
      </c>
      <c r="DP84" s="1249">
        <v>13</v>
      </c>
      <c r="DQ84" s="1249">
        <v>14</v>
      </c>
      <c r="DR84" s="1249">
        <v>15</v>
      </c>
      <c r="DS84" s="1249">
        <v>16</v>
      </c>
      <c r="DT84" s="1249">
        <v>17</v>
      </c>
      <c r="DU84" s="1249">
        <v>18</v>
      </c>
      <c r="DV84" s="1249">
        <v>19</v>
      </c>
      <c r="DW84" s="1249">
        <v>20</v>
      </c>
      <c r="DX84" s="1249">
        <v>21</v>
      </c>
      <c r="DY84" s="1249">
        <v>22</v>
      </c>
      <c r="DZ84" s="1249">
        <v>23</v>
      </c>
      <c r="EA84" s="1249">
        <v>24</v>
      </c>
      <c r="EB84" s="1249">
        <v>25</v>
      </c>
      <c r="EC84" s="1249">
        <v>26</v>
      </c>
      <c r="ED84" s="1249">
        <v>27</v>
      </c>
      <c r="EE84" s="1249">
        <v>28</v>
      </c>
      <c r="EF84" s="1249">
        <v>29</v>
      </c>
      <c r="EG84" s="1249">
        <v>30</v>
      </c>
      <c r="EH84" s="1249">
        <v>31</v>
      </c>
      <c r="EI84" s="1820" t="s">
        <v>74</v>
      </c>
    </row>
    <row r="85" spans="1:139" ht="15">
      <c r="A85" s="1233" t="s">
        <v>75</v>
      </c>
      <c r="B85" s="1280">
        <f t="shared" ref="B85:B96" si="78">+AH85</f>
        <v>0</v>
      </c>
      <c r="C85" s="2326"/>
      <c r="D85" s="2326"/>
      <c r="E85" s="2326"/>
      <c r="F85" s="2326"/>
      <c r="G85" s="2326"/>
      <c r="H85" s="2326"/>
      <c r="I85" s="2326"/>
      <c r="J85" s="2326"/>
      <c r="K85" s="2326"/>
      <c r="L85" s="2326"/>
      <c r="M85" s="2326"/>
      <c r="N85" s="2326"/>
      <c r="O85" s="2326"/>
      <c r="P85" s="2326"/>
      <c r="Q85" s="2326"/>
      <c r="R85" s="2326"/>
      <c r="S85" s="2326"/>
      <c r="T85" s="2326"/>
      <c r="U85" s="2326"/>
      <c r="V85" s="2326"/>
      <c r="W85" s="2326"/>
      <c r="X85" s="2326"/>
      <c r="Y85" s="2326"/>
      <c r="Z85" s="2326"/>
      <c r="AA85" s="2326"/>
      <c r="AB85" s="2326"/>
      <c r="AC85" s="2326"/>
      <c r="AD85" s="2326"/>
      <c r="AE85" s="2326"/>
      <c r="AF85" s="2326"/>
      <c r="AG85" s="2326"/>
      <c r="AH85" s="2327">
        <f t="shared" ref="AH85:AH96" si="79">SUM(C85:AG85)</f>
        <v>0</v>
      </c>
      <c r="AJ85" s="1746" t="s">
        <v>75</v>
      </c>
      <c r="AK85" s="1749">
        <f t="shared" ref="AK85:AK96" si="80">+BQ85</f>
        <v>0</v>
      </c>
      <c r="AL85" s="2189"/>
      <c r="AM85" s="2189"/>
      <c r="AN85" s="2189"/>
      <c r="AO85" s="2189"/>
      <c r="AP85" s="2189"/>
      <c r="AQ85" s="2189"/>
      <c r="AR85" s="2189"/>
      <c r="AS85" s="2189"/>
      <c r="AT85" s="2189"/>
      <c r="AU85" s="2189"/>
      <c r="AV85" s="2189"/>
      <c r="AW85" s="2189"/>
      <c r="AX85" s="2189"/>
      <c r="AY85" s="2189"/>
      <c r="AZ85" s="2189"/>
      <c r="BA85" s="2189"/>
      <c r="BB85" s="2189"/>
      <c r="BC85" s="2189"/>
      <c r="BD85" s="2189"/>
      <c r="BE85" s="2226"/>
      <c r="BF85" s="2226"/>
      <c r="BG85" s="2226"/>
      <c r="BH85" s="2226"/>
      <c r="BI85" s="2226"/>
      <c r="BJ85" s="2226"/>
      <c r="BK85" s="2226"/>
      <c r="BL85" s="2226"/>
      <c r="BM85" s="2226"/>
      <c r="BN85" s="2226"/>
      <c r="BO85" s="2226"/>
      <c r="BP85" s="2226"/>
      <c r="BQ85" s="2188">
        <f t="shared" ref="BQ85:BQ96" si="81">SUM(AL85:BP85)</f>
        <v>0</v>
      </c>
      <c r="BS85" s="1845" t="s">
        <v>75</v>
      </c>
      <c r="BT85" s="1846">
        <f t="shared" ref="BT85:BT96" si="82">+CZ85</f>
        <v>0</v>
      </c>
      <c r="BU85" s="2225"/>
      <c r="BV85" s="2225"/>
      <c r="BW85" s="2225"/>
      <c r="BX85" s="2225"/>
      <c r="BY85" s="2225"/>
      <c r="BZ85" s="2225"/>
      <c r="CA85" s="2225"/>
      <c r="CB85" s="2225"/>
      <c r="CC85" s="2225"/>
      <c r="CD85" s="2225"/>
      <c r="CE85" s="2225"/>
      <c r="CF85" s="2225"/>
      <c r="CG85" s="2181"/>
      <c r="CH85" s="2181"/>
      <c r="CI85" s="2181"/>
      <c r="CJ85" s="2181"/>
      <c r="CK85" s="2181"/>
      <c r="CL85" s="2181"/>
      <c r="CM85" s="2181"/>
      <c r="CN85" s="2181"/>
      <c r="CO85" s="2181"/>
      <c r="CP85" s="2181"/>
      <c r="CQ85" s="2181"/>
      <c r="CR85" s="2181"/>
      <c r="CS85" s="2181"/>
      <c r="CT85" s="2181"/>
      <c r="CU85" s="2181"/>
      <c r="CV85" s="2181"/>
      <c r="CW85" s="2181"/>
      <c r="CX85" s="2181"/>
      <c r="CY85" s="2181"/>
      <c r="CZ85" s="2180">
        <f t="shared" ref="CZ85:CZ96" si="83">SUM(BU85:CY85)</f>
        <v>0</v>
      </c>
      <c r="DB85" s="1249" t="s">
        <v>75</v>
      </c>
      <c r="DC85" s="1287">
        <f t="shared" ref="DC85:DC96" si="84">+EI85</f>
        <v>0</v>
      </c>
      <c r="DD85" s="1761"/>
      <c r="DE85" s="1761"/>
      <c r="DF85" s="1761"/>
      <c r="DG85" s="1761"/>
      <c r="DH85" s="1761"/>
      <c r="DI85" s="1761"/>
      <c r="DJ85" s="1761"/>
      <c r="DK85" s="1761"/>
      <c r="DL85" s="1761"/>
      <c r="DM85" s="1761"/>
      <c r="DN85" s="1761"/>
      <c r="DO85" s="1761"/>
      <c r="DP85" s="1761"/>
      <c r="DQ85" s="1761"/>
      <c r="DR85" s="1761"/>
      <c r="DS85" s="1761"/>
      <c r="DT85" s="1761"/>
      <c r="DU85" s="1761"/>
      <c r="DV85" s="1761"/>
      <c r="DW85" s="1761"/>
      <c r="DX85" s="1761"/>
      <c r="DY85" s="1761"/>
      <c r="DZ85" s="1761"/>
      <c r="EA85" s="1761"/>
      <c r="EB85" s="1761"/>
      <c r="EC85" s="1761"/>
      <c r="ED85" s="1761"/>
      <c r="EE85" s="1761"/>
      <c r="EF85" s="1761"/>
      <c r="EG85" s="1761"/>
      <c r="EH85" s="1761"/>
      <c r="EI85" s="1488">
        <f t="shared" ref="EI85:EI96" si="85">SUM(DD85:EH85)</f>
        <v>0</v>
      </c>
    </row>
    <row r="86" spans="1:139" ht="15">
      <c r="A86" s="1233" t="s">
        <v>76</v>
      </c>
      <c r="B86" s="1280">
        <f t="shared" si="78"/>
        <v>0</v>
      </c>
      <c r="C86" s="2326"/>
      <c r="D86" s="2328"/>
      <c r="E86" s="2328"/>
      <c r="F86" s="2328"/>
      <c r="G86" s="2328"/>
      <c r="H86" s="2328"/>
      <c r="I86" s="2328"/>
      <c r="J86" s="2328"/>
      <c r="K86" s="2328"/>
      <c r="L86" s="2328"/>
      <c r="M86" s="2328"/>
      <c r="N86" s="2328"/>
      <c r="O86" s="2328"/>
      <c r="P86" s="2328"/>
      <c r="Q86" s="2328"/>
      <c r="R86" s="2328"/>
      <c r="S86" s="2328"/>
      <c r="T86" s="2328"/>
      <c r="U86" s="2328"/>
      <c r="V86" s="2328"/>
      <c r="W86" s="2328"/>
      <c r="X86" s="2328"/>
      <c r="Y86" s="2326"/>
      <c r="Z86" s="2326"/>
      <c r="AA86" s="2326"/>
      <c r="AB86" s="2326"/>
      <c r="AC86" s="2326"/>
      <c r="AD86" s="2326"/>
      <c r="AE86" s="2326"/>
      <c r="AF86" s="2326"/>
      <c r="AG86" s="2326"/>
      <c r="AH86" s="2327">
        <f t="shared" si="79"/>
        <v>0</v>
      </c>
      <c r="AJ86" s="1746" t="s">
        <v>76</v>
      </c>
      <c r="AK86" s="1749">
        <f t="shared" si="80"/>
        <v>0</v>
      </c>
      <c r="AL86" s="2189"/>
      <c r="AM86" s="2243"/>
      <c r="AN86" s="2243"/>
      <c r="AO86" s="2243"/>
      <c r="AP86" s="2243"/>
      <c r="AQ86" s="2243"/>
      <c r="AR86" s="2243"/>
      <c r="AS86" s="2243"/>
      <c r="AT86" s="2243"/>
      <c r="AU86" s="2243"/>
      <c r="AV86" s="2243"/>
      <c r="AW86" s="2243"/>
      <c r="AX86" s="2243"/>
      <c r="AY86" s="2243"/>
      <c r="AZ86" s="2243"/>
      <c r="BA86" s="2243"/>
      <c r="BB86" s="2243"/>
      <c r="BC86" s="2243"/>
      <c r="BD86" s="2243"/>
      <c r="BE86" s="2226"/>
      <c r="BF86" s="2226"/>
      <c r="BG86" s="2226"/>
      <c r="BH86" s="2226"/>
      <c r="BI86" s="2226"/>
      <c r="BJ86" s="2226"/>
      <c r="BK86" s="2226"/>
      <c r="BL86" s="2226"/>
      <c r="BM86" s="2226"/>
      <c r="BN86" s="2226"/>
      <c r="BO86" s="2226"/>
      <c r="BP86" s="2226"/>
      <c r="BQ86" s="2188">
        <f t="shared" si="81"/>
        <v>0</v>
      </c>
      <c r="BS86" s="1845" t="s">
        <v>76</v>
      </c>
      <c r="BT86" s="1846">
        <f t="shared" si="82"/>
        <v>0</v>
      </c>
      <c r="BU86" s="2225"/>
      <c r="BV86" s="2225"/>
      <c r="BW86" s="2225"/>
      <c r="BX86" s="2225"/>
      <c r="BY86" s="2225"/>
      <c r="BZ86" s="2225"/>
      <c r="CA86" s="2225"/>
      <c r="CB86" s="2225"/>
      <c r="CC86" s="2225"/>
      <c r="CD86" s="2225"/>
      <c r="CE86" s="2225"/>
      <c r="CF86" s="2225"/>
      <c r="CG86" s="2224"/>
      <c r="CH86" s="2224"/>
      <c r="CI86" s="2224"/>
      <c r="CJ86" s="2224"/>
      <c r="CK86" s="2224"/>
      <c r="CL86" s="2224"/>
      <c r="CM86" s="2224"/>
      <c r="CN86" s="2224"/>
      <c r="CO86" s="2224"/>
      <c r="CP86" s="2224"/>
      <c r="CQ86" s="2181"/>
      <c r="CR86" s="2181"/>
      <c r="CS86" s="2181"/>
      <c r="CT86" s="2181"/>
      <c r="CU86" s="2181"/>
      <c r="CV86" s="2181"/>
      <c r="CW86" s="2181"/>
      <c r="CX86" s="2181"/>
      <c r="CY86" s="2181"/>
      <c r="CZ86" s="2180">
        <f t="shared" si="83"/>
        <v>0</v>
      </c>
      <c r="DB86" s="1249" t="s">
        <v>76</v>
      </c>
      <c r="DC86" s="1287">
        <f t="shared" si="84"/>
        <v>0</v>
      </c>
      <c r="DD86" s="1761"/>
      <c r="DE86" s="1762"/>
      <c r="DF86" s="1762"/>
      <c r="DG86" s="1762"/>
      <c r="DH86" s="1762"/>
      <c r="DI86" s="1762"/>
      <c r="DJ86" s="1762"/>
      <c r="DK86" s="1762"/>
      <c r="DL86" s="1762"/>
      <c r="DM86" s="1762"/>
      <c r="DN86" s="1762"/>
      <c r="DO86" s="1762"/>
      <c r="DP86" s="1762"/>
      <c r="DQ86" s="1762"/>
      <c r="DR86" s="1762"/>
      <c r="DS86" s="1762"/>
      <c r="DT86" s="1762"/>
      <c r="DU86" s="1762"/>
      <c r="DV86" s="1762"/>
      <c r="DW86" s="1762"/>
      <c r="DX86" s="1762"/>
      <c r="DY86" s="1762"/>
      <c r="DZ86" s="1761"/>
      <c r="EA86" s="1761"/>
      <c r="EB86" s="1761"/>
      <c r="EC86" s="1761"/>
      <c r="ED86" s="1761"/>
      <c r="EE86" s="1761"/>
      <c r="EF86" s="1761"/>
      <c r="EG86" s="1761"/>
      <c r="EH86" s="1761"/>
      <c r="EI86" s="1488">
        <f t="shared" si="85"/>
        <v>0</v>
      </c>
    </row>
    <row r="87" spans="1:139" ht="15.75">
      <c r="A87" s="1233" t="s">
        <v>77</v>
      </c>
      <c r="B87" s="1280">
        <f t="shared" si="78"/>
        <v>0</v>
      </c>
      <c r="C87" s="2329"/>
      <c r="D87" s="2329"/>
      <c r="E87" s="2330"/>
      <c r="F87" s="2331"/>
      <c r="G87" s="2332"/>
      <c r="H87" s="2333"/>
      <c r="I87" s="2333"/>
      <c r="J87" s="2329"/>
      <c r="K87" s="2329"/>
      <c r="L87" s="2329"/>
      <c r="M87" s="2329"/>
      <c r="N87" s="2329"/>
      <c r="O87" s="2329"/>
      <c r="P87" s="2333"/>
      <c r="Q87" s="2333"/>
      <c r="R87" s="2333"/>
      <c r="S87" s="2333"/>
      <c r="T87" s="2333"/>
      <c r="U87" s="2333"/>
      <c r="V87" s="2333"/>
      <c r="W87" s="2333"/>
      <c r="X87" s="2333"/>
      <c r="Y87" s="2333"/>
      <c r="Z87" s="2333"/>
      <c r="AA87" s="2333"/>
      <c r="AB87" s="2333"/>
      <c r="AC87" s="2333"/>
      <c r="AD87" s="2333"/>
      <c r="AE87" s="2334"/>
      <c r="AF87" s="2329"/>
      <c r="AG87" s="2329"/>
      <c r="AH87" s="2327">
        <f t="shared" si="79"/>
        <v>0</v>
      </c>
      <c r="AJ87" s="1746" t="s">
        <v>77</v>
      </c>
      <c r="AK87" s="1749">
        <f t="shared" si="80"/>
        <v>0</v>
      </c>
      <c r="AL87" s="2232"/>
      <c r="AM87" s="2232"/>
      <c r="AN87" s="2242"/>
      <c r="AO87" s="2241"/>
      <c r="AP87" s="2240"/>
      <c r="AQ87" s="2233"/>
      <c r="AR87" s="2233"/>
      <c r="AS87" s="2232"/>
      <c r="AT87" s="2232"/>
      <c r="AU87" s="2232"/>
      <c r="AV87" s="2232"/>
      <c r="AW87" s="2232"/>
      <c r="AX87" s="2232"/>
      <c r="AY87" s="2233"/>
      <c r="AZ87" s="2233"/>
      <c r="BA87" s="2233"/>
      <c r="BB87" s="2233"/>
      <c r="BC87" s="2233"/>
      <c r="BD87" s="2233"/>
      <c r="BE87" s="2226"/>
      <c r="BF87" s="2226"/>
      <c r="BG87" s="2226"/>
      <c r="BH87" s="2226"/>
      <c r="BI87" s="2226"/>
      <c r="BJ87" s="2226"/>
      <c r="BK87" s="2226"/>
      <c r="BL87" s="2226"/>
      <c r="BM87" s="2226"/>
      <c r="BN87" s="2226"/>
      <c r="BO87" s="2226"/>
      <c r="BP87" s="2226"/>
      <c r="BQ87" s="2188">
        <f t="shared" si="81"/>
        <v>0</v>
      </c>
      <c r="BS87" s="1845" t="s">
        <v>77</v>
      </c>
      <c r="BT87" s="1846">
        <f t="shared" si="82"/>
        <v>0</v>
      </c>
      <c r="BU87" s="2225"/>
      <c r="BV87" s="2225"/>
      <c r="BW87" s="2225"/>
      <c r="BX87" s="2225"/>
      <c r="BY87" s="2225"/>
      <c r="BZ87" s="2225"/>
      <c r="CA87" s="2225"/>
      <c r="CB87" s="2225"/>
      <c r="CC87" s="2225"/>
      <c r="CD87" s="2225"/>
      <c r="CE87" s="2225"/>
      <c r="CF87" s="2225"/>
      <c r="CG87" s="2216"/>
      <c r="CH87" s="2217"/>
      <c r="CI87" s="2217"/>
      <c r="CJ87" s="2217"/>
      <c r="CK87" s="2217"/>
      <c r="CL87" s="2217"/>
      <c r="CM87" s="2217"/>
      <c r="CN87" s="2217"/>
      <c r="CO87" s="2217"/>
      <c r="CP87" s="2217"/>
      <c r="CQ87" s="2217"/>
      <c r="CR87" s="2217"/>
      <c r="CS87" s="2217"/>
      <c r="CT87" s="2217"/>
      <c r="CU87" s="2217"/>
      <c r="CV87" s="2217"/>
      <c r="CW87" s="2222"/>
      <c r="CX87" s="2216"/>
      <c r="CY87" s="2216"/>
      <c r="CZ87" s="2180">
        <f t="shared" si="83"/>
        <v>0</v>
      </c>
      <c r="DB87" s="1249" t="s">
        <v>77</v>
      </c>
      <c r="DC87" s="1287">
        <f t="shared" si="84"/>
        <v>0</v>
      </c>
      <c r="DD87" s="2279"/>
      <c r="DE87" s="2279"/>
      <c r="DF87" s="2290"/>
      <c r="DG87" s="2289"/>
      <c r="DH87" s="2288"/>
      <c r="DI87" s="2280"/>
      <c r="DJ87" s="2280"/>
      <c r="DK87" s="2279"/>
      <c r="DL87" s="2279"/>
      <c r="DM87" s="2279"/>
      <c r="DN87" s="2279"/>
      <c r="DO87" s="2279"/>
      <c r="DP87" s="2279"/>
      <c r="DQ87" s="2280"/>
      <c r="DR87" s="2280"/>
      <c r="DS87" s="2280"/>
      <c r="DT87" s="2280"/>
      <c r="DU87" s="2280"/>
      <c r="DV87" s="2280"/>
      <c r="DW87" s="2280"/>
      <c r="DX87" s="2280"/>
      <c r="DY87" s="2280"/>
      <c r="DZ87" s="2280"/>
      <c r="EA87" s="2280"/>
      <c r="EB87" s="2280"/>
      <c r="EC87" s="2280"/>
      <c r="ED87" s="2280"/>
      <c r="EE87" s="2280"/>
      <c r="EF87" s="2287"/>
      <c r="EG87" s="2279"/>
      <c r="EH87" s="2279"/>
      <c r="EI87" s="1488">
        <f t="shared" si="85"/>
        <v>0</v>
      </c>
    </row>
    <row r="88" spans="1:139" ht="15">
      <c r="A88" s="1233" t="s">
        <v>78</v>
      </c>
      <c r="B88" s="1280">
        <f t="shared" si="78"/>
        <v>0</v>
      </c>
      <c r="C88" s="2335"/>
      <c r="D88" s="1933"/>
      <c r="E88" s="2336"/>
      <c r="F88" s="2337"/>
      <c r="G88" s="2338"/>
      <c r="H88" s="2339"/>
      <c r="I88" s="2333"/>
      <c r="J88" s="2333"/>
      <c r="K88" s="2333"/>
      <c r="L88" s="2333"/>
      <c r="M88" s="2329"/>
      <c r="N88" s="2329"/>
      <c r="O88" s="2329"/>
      <c r="P88" s="2329"/>
      <c r="Q88" s="2333"/>
      <c r="R88" s="2333"/>
      <c r="S88" s="2333"/>
      <c r="T88" s="2333"/>
      <c r="U88" s="2329"/>
      <c r="V88" s="2333"/>
      <c r="W88" s="2333"/>
      <c r="X88" s="2333"/>
      <c r="Y88" s="2333"/>
      <c r="Z88" s="2333"/>
      <c r="AA88" s="2333"/>
      <c r="AB88" s="2333"/>
      <c r="AC88" s="2329"/>
      <c r="AD88" s="2333"/>
      <c r="AE88" s="2333"/>
      <c r="AF88" s="2329"/>
      <c r="AG88" s="2329"/>
      <c r="AH88" s="2327">
        <f t="shared" si="79"/>
        <v>0</v>
      </c>
      <c r="AJ88" s="1746" t="s">
        <v>78</v>
      </c>
      <c r="AK88" s="1749">
        <f t="shared" si="80"/>
        <v>0</v>
      </c>
      <c r="AL88" s="2239"/>
      <c r="AM88" s="2238"/>
      <c r="AN88" s="2237"/>
      <c r="AO88" s="2236"/>
      <c r="AP88" s="2235"/>
      <c r="AQ88" s="2234"/>
      <c r="AR88" s="2233"/>
      <c r="AS88" s="2233"/>
      <c r="AT88" s="2233"/>
      <c r="AU88" s="2233"/>
      <c r="AV88" s="2232"/>
      <c r="AW88" s="2232"/>
      <c r="AX88" s="2232"/>
      <c r="AY88" s="2232"/>
      <c r="AZ88" s="2233"/>
      <c r="BA88" s="2233"/>
      <c r="BB88" s="2233"/>
      <c r="BC88" s="2233"/>
      <c r="BD88" s="2232"/>
      <c r="BE88" s="2231"/>
      <c r="BF88" s="2231"/>
      <c r="BG88" s="2231"/>
      <c r="BH88" s="2231"/>
      <c r="BI88" s="2231"/>
      <c r="BJ88" s="2231"/>
      <c r="BK88" s="2231"/>
      <c r="BL88" s="2231"/>
      <c r="BM88" s="2231"/>
      <c r="BN88" s="2231"/>
      <c r="BO88" s="2226"/>
      <c r="BP88" s="2226"/>
      <c r="BQ88" s="2188">
        <f t="shared" si="81"/>
        <v>0</v>
      </c>
      <c r="BS88" s="1845" t="s">
        <v>78</v>
      </c>
      <c r="BT88" s="1846">
        <f t="shared" si="82"/>
        <v>0</v>
      </c>
      <c r="BU88" s="2230"/>
      <c r="BV88" s="2230"/>
      <c r="BW88" s="2230"/>
      <c r="BX88" s="2230"/>
      <c r="BY88" s="2230"/>
      <c r="BZ88" s="2230"/>
      <c r="CA88" s="2230"/>
      <c r="CB88" s="2230"/>
      <c r="CC88" s="2230"/>
      <c r="CD88" s="2230"/>
      <c r="CE88" s="2225"/>
      <c r="CF88" s="2225"/>
      <c r="CG88" s="2216"/>
      <c r="CH88" s="2216"/>
      <c r="CI88" s="2217"/>
      <c r="CJ88" s="2217"/>
      <c r="CK88" s="2217"/>
      <c r="CL88" s="2217"/>
      <c r="CM88" s="2216"/>
      <c r="CN88" s="2217"/>
      <c r="CO88" s="2217"/>
      <c r="CP88" s="2217"/>
      <c r="CQ88" s="2217"/>
      <c r="CR88" s="2217"/>
      <c r="CS88" s="2217"/>
      <c r="CT88" s="2217"/>
      <c r="CU88" s="2216"/>
      <c r="CV88" s="2217"/>
      <c r="CW88" s="2217"/>
      <c r="CX88" s="2216"/>
      <c r="CY88" s="2216"/>
      <c r="CZ88" s="2180">
        <f t="shared" si="83"/>
        <v>0</v>
      </c>
      <c r="DB88" s="1249" t="s">
        <v>78</v>
      </c>
      <c r="DC88" s="1287">
        <f t="shared" si="84"/>
        <v>0</v>
      </c>
      <c r="DD88" s="2285"/>
      <c r="DE88" s="1393"/>
      <c r="DF88" s="2284"/>
      <c r="DG88" s="2283"/>
      <c r="DH88" s="2282"/>
      <c r="DI88" s="2281"/>
      <c r="DJ88" s="2280"/>
      <c r="DK88" s="2280"/>
      <c r="DL88" s="2280"/>
      <c r="DM88" s="2280"/>
      <c r="DN88" s="2279"/>
      <c r="DO88" s="2279"/>
      <c r="DP88" s="2279"/>
      <c r="DQ88" s="2279"/>
      <c r="DR88" s="2280"/>
      <c r="DS88" s="2280"/>
      <c r="DT88" s="2280"/>
      <c r="DU88" s="2280"/>
      <c r="DV88" s="2279"/>
      <c r="DW88" s="2280"/>
      <c r="DX88" s="2280"/>
      <c r="DY88" s="2280"/>
      <c r="DZ88" s="2280"/>
      <c r="EA88" s="2280"/>
      <c r="EB88" s="2280"/>
      <c r="EC88" s="2280"/>
      <c r="ED88" s="2279"/>
      <c r="EE88" s="2280"/>
      <c r="EF88" s="2280"/>
      <c r="EG88" s="2279"/>
      <c r="EH88" s="2279"/>
      <c r="EI88" s="1488">
        <f t="shared" si="85"/>
        <v>0</v>
      </c>
    </row>
    <row r="89" spans="1:139" ht="15">
      <c r="A89" s="1233" t="s">
        <v>79</v>
      </c>
      <c r="B89" s="1280">
        <f t="shared" si="78"/>
        <v>0</v>
      </c>
      <c r="C89" s="2326"/>
      <c r="D89" s="2326"/>
      <c r="E89" s="2326"/>
      <c r="F89" s="2326"/>
      <c r="G89" s="2326"/>
      <c r="H89" s="2326"/>
      <c r="I89" s="2326"/>
      <c r="J89" s="2326"/>
      <c r="K89" s="2326"/>
      <c r="L89" s="2326"/>
      <c r="M89" s="2326"/>
      <c r="N89" s="2326"/>
      <c r="O89" s="2326"/>
      <c r="P89" s="2326"/>
      <c r="Q89" s="2326"/>
      <c r="R89" s="2326"/>
      <c r="S89" s="2326"/>
      <c r="T89" s="2326"/>
      <c r="U89" s="2326"/>
      <c r="V89" s="2326"/>
      <c r="W89" s="2326"/>
      <c r="X89" s="2326"/>
      <c r="Y89" s="2326"/>
      <c r="Z89" s="2326"/>
      <c r="AA89" s="2326"/>
      <c r="AB89" s="2326"/>
      <c r="AC89" s="2326"/>
      <c r="AD89" s="2326"/>
      <c r="AE89" s="2326"/>
      <c r="AF89" s="2326"/>
      <c r="AG89" s="2326"/>
      <c r="AH89" s="2327">
        <f t="shared" si="79"/>
        <v>0</v>
      </c>
      <c r="AJ89" s="1746" t="s">
        <v>79</v>
      </c>
      <c r="AK89" s="1749">
        <f t="shared" si="80"/>
        <v>0</v>
      </c>
      <c r="AL89" s="2189"/>
      <c r="AM89" s="2189"/>
      <c r="AN89" s="2189"/>
      <c r="AO89" s="2189"/>
      <c r="AP89" s="2189"/>
      <c r="AQ89" s="2189"/>
      <c r="AR89" s="2189"/>
      <c r="AS89" s="2189"/>
      <c r="AT89" s="2189"/>
      <c r="AU89" s="2189"/>
      <c r="AV89" s="2189"/>
      <c r="AW89" s="2189"/>
      <c r="AX89" s="2189"/>
      <c r="AY89" s="2189"/>
      <c r="AZ89" s="2189"/>
      <c r="BA89" s="2189"/>
      <c r="BB89" s="2189"/>
      <c r="BC89" s="2189"/>
      <c r="BD89" s="2189"/>
      <c r="BE89" s="2231"/>
      <c r="BF89" s="2231"/>
      <c r="BG89" s="2231"/>
      <c r="BH89" s="2226"/>
      <c r="BI89" s="2231"/>
      <c r="BJ89" s="2226"/>
      <c r="BK89" s="2231"/>
      <c r="BL89" s="2226"/>
      <c r="BM89" s="2231"/>
      <c r="BN89" s="2231"/>
      <c r="BO89" s="2231"/>
      <c r="BP89" s="2231"/>
      <c r="BQ89" s="2188">
        <f t="shared" si="81"/>
        <v>0</v>
      </c>
      <c r="BS89" s="1845" t="s">
        <v>79</v>
      </c>
      <c r="BT89" s="1846">
        <f t="shared" si="82"/>
        <v>0</v>
      </c>
      <c r="BU89" s="2230"/>
      <c r="BV89" s="2230"/>
      <c r="BW89" s="2230"/>
      <c r="BX89" s="2225"/>
      <c r="BY89" s="2230"/>
      <c r="BZ89" s="2225"/>
      <c r="CA89" s="2230"/>
      <c r="CB89" s="2225"/>
      <c r="CC89" s="2230"/>
      <c r="CD89" s="2230"/>
      <c r="CE89" s="2230"/>
      <c r="CF89" s="2230"/>
      <c r="CG89" s="2181"/>
      <c r="CH89" s="2181"/>
      <c r="CI89" s="2181"/>
      <c r="CJ89" s="2181"/>
      <c r="CK89" s="2181"/>
      <c r="CL89" s="2181"/>
      <c r="CM89" s="2181"/>
      <c r="CN89" s="2181"/>
      <c r="CO89" s="2181"/>
      <c r="CP89" s="2181"/>
      <c r="CQ89" s="2181"/>
      <c r="CR89" s="2181"/>
      <c r="CS89" s="2181"/>
      <c r="CT89" s="2181"/>
      <c r="CU89" s="2181"/>
      <c r="CV89" s="2181"/>
      <c r="CW89" s="2181"/>
      <c r="CX89" s="2181"/>
      <c r="CY89" s="2181"/>
      <c r="CZ89" s="2180">
        <f t="shared" si="83"/>
        <v>0</v>
      </c>
      <c r="DB89" s="1249" t="s">
        <v>79</v>
      </c>
      <c r="DC89" s="1287">
        <f t="shared" si="84"/>
        <v>0</v>
      </c>
      <c r="DD89" s="1761"/>
      <c r="DE89" s="1761"/>
      <c r="DF89" s="1761"/>
      <c r="DG89" s="1761"/>
      <c r="DH89" s="1761"/>
      <c r="DI89" s="1761"/>
      <c r="DJ89" s="1761"/>
      <c r="DK89" s="1761"/>
      <c r="DL89" s="1761"/>
      <c r="DM89" s="1761"/>
      <c r="DN89" s="1761"/>
      <c r="DO89" s="1761"/>
      <c r="DP89" s="1761"/>
      <c r="DQ89" s="1761"/>
      <c r="DR89" s="1761"/>
      <c r="DS89" s="1761"/>
      <c r="DT89" s="1761"/>
      <c r="DU89" s="1761"/>
      <c r="DV89" s="1761"/>
      <c r="DW89" s="1761"/>
      <c r="DX89" s="1761"/>
      <c r="DY89" s="1761"/>
      <c r="DZ89" s="1761"/>
      <c r="EA89" s="1761"/>
      <c r="EB89" s="1761"/>
      <c r="EC89" s="1761"/>
      <c r="ED89" s="1761"/>
      <c r="EE89" s="1761"/>
      <c r="EF89" s="1761"/>
      <c r="EG89" s="1761"/>
      <c r="EH89" s="1761"/>
      <c r="EI89" s="1488">
        <f t="shared" si="85"/>
        <v>0</v>
      </c>
    </row>
    <row r="90" spans="1:139" ht="15">
      <c r="A90" s="1233" t="s">
        <v>80</v>
      </c>
      <c r="B90" s="1280">
        <f t="shared" si="78"/>
        <v>0</v>
      </c>
      <c r="C90" s="2326"/>
      <c r="D90" s="2326"/>
      <c r="E90" s="2326"/>
      <c r="F90" s="2326"/>
      <c r="G90" s="2326"/>
      <c r="H90" s="2326"/>
      <c r="I90" s="2326"/>
      <c r="J90" s="2326"/>
      <c r="K90" s="2326"/>
      <c r="L90" s="2326"/>
      <c r="M90" s="2326"/>
      <c r="N90" s="2326"/>
      <c r="O90" s="2326"/>
      <c r="P90" s="2326"/>
      <c r="Q90" s="2326"/>
      <c r="R90" s="2326"/>
      <c r="S90" s="2326"/>
      <c r="T90" s="2326"/>
      <c r="U90" s="2326"/>
      <c r="V90" s="2326"/>
      <c r="W90" s="2326"/>
      <c r="X90" s="2326"/>
      <c r="Y90" s="2326"/>
      <c r="Z90" s="2326"/>
      <c r="AA90" s="2326"/>
      <c r="AB90" s="2326"/>
      <c r="AC90" s="2326"/>
      <c r="AD90" s="2326"/>
      <c r="AE90" s="2326"/>
      <c r="AF90" s="2326"/>
      <c r="AG90" s="2326"/>
      <c r="AH90" s="2327">
        <f t="shared" si="79"/>
        <v>0</v>
      </c>
      <c r="AJ90" s="1746" t="s">
        <v>80</v>
      </c>
      <c r="AK90" s="1749">
        <f t="shared" si="80"/>
        <v>0</v>
      </c>
      <c r="AL90" s="2189"/>
      <c r="AM90" s="2189"/>
      <c r="AN90" s="2189"/>
      <c r="AO90" s="2189"/>
      <c r="AP90" s="2189"/>
      <c r="AQ90" s="2189"/>
      <c r="AR90" s="2189"/>
      <c r="AS90" s="2189"/>
      <c r="AT90" s="2189"/>
      <c r="AU90" s="2189"/>
      <c r="AV90" s="2189"/>
      <c r="AW90" s="2189"/>
      <c r="AX90" s="2189"/>
      <c r="AY90" s="2189"/>
      <c r="AZ90" s="2189"/>
      <c r="BA90" s="2189"/>
      <c r="BB90" s="2189"/>
      <c r="BC90" s="2189"/>
      <c r="BD90" s="2189"/>
      <c r="BE90" s="2231"/>
      <c r="BF90" s="2231"/>
      <c r="BG90" s="2231"/>
      <c r="BH90" s="2231"/>
      <c r="BI90" s="2231"/>
      <c r="BJ90" s="2231"/>
      <c r="BK90" s="2231"/>
      <c r="BL90" s="2231"/>
      <c r="BM90" s="2231"/>
      <c r="BN90" s="2231"/>
      <c r="BO90" s="2231"/>
      <c r="BP90" s="2226"/>
      <c r="BQ90" s="2188">
        <f t="shared" si="81"/>
        <v>0</v>
      </c>
      <c r="BS90" s="1845" t="s">
        <v>80</v>
      </c>
      <c r="BT90" s="1846">
        <f t="shared" si="82"/>
        <v>0</v>
      </c>
      <c r="BU90" s="2230"/>
      <c r="BV90" s="2230"/>
      <c r="BW90" s="2230"/>
      <c r="BX90" s="2230"/>
      <c r="BY90" s="2230"/>
      <c r="BZ90" s="2230"/>
      <c r="CA90" s="2230"/>
      <c r="CB90" s="2230"/>
      <c r="CC90" s="2230"/>
      <c r="CD90" s="2230"/>
      <c r="CE90" s="2230"/>
      <c r="CF90" s="2225"/>
      <c r="CG90" s="2181"/>
      <c r="CH90" s="2181"/>
      <c r="CI90" s="2181"/>
      <c r="CJ90" s="2181"/>
      <c r="CK90" s="2181"/>
      <c r="CL90" s="2181"/>
      <c r="CM90" s="2181"/>
      <c r="CN90" s="2181"/>
      <c r="CO90" s="2181"/>
      <c r="CP90" s="2181"/>
      <c r="CQ90" s="2181"/>
      <c r="CR90" s="2181"/>
      <c r="CS90" s="2181"/>
      <c r="CT90" s="2181"/>
      <c r="CU90" s="2181"/>
      <c r="CV90" s="2181"/>
      <c r="CW90" s="2181"/>
      <c r="CX90" s="2181"/>
      <c r="CY90" s="2181"/>
      <c r="CZ90" s="2180">
        <f t="shared" si="83"/>
        <v>0</v>
      </c>
      <c r="DB90" s="1249" t="s">
        <v>80</v>
      </c>
      <c r="DC90" s="1287">
        <f t="shared" si="84"/>
        <v>0</v>
      </c>
      <c r="DD90" s="1761"/>
      <c r="DE90" s="1761"/>
      <c r="DF90" s="1761"/>
      <c r="DG90" s="1761"/>
      <c r="DH90" s="1761"/>
      <c r="DI90" s="1761"/>
      <c r="DJ90" s="1761"/>
      <c r="DK90" s="1761"/>
      <c r="DL90" s="1761"/>
      <c r="DM90" s="1761"/>
      <c r="DN90" s="1761"/>
      <c r="DO90" s="1761"/>
      <c r="DP90" s="1761"/>
      <c r="DQ90" s="1761"/>
      <c r="DR90" s="1761"/>
      <c r="DS90" s="1761"/>
      <c r="DT90" s="1761"/>
      <c r="DU90" s="1761"/>
      <c r="DV90" s="1761"/>
      <c r="DW90" s="1761"/>
      <c r="DX90" s="1761"/>
      <c r="DY90" s="1761"/>
      <c r="DZ90" s="1761"/>
      <c r="EA90" s="1761"/>
      <c r="EB90" s="1761"/>
      <c r="EC90" s="1761"/>
      <c r="ED90" s="1761"/>
      <c r="EE90" s="1761"/>
      <c r="EF90" s="1761"/>
      <c r="EG90" s="1761"/>
      <c r="EH90" s="1761"/>
      <c r="EI90" s="1488">
        <f t="shared" si="85"/>
        <v>0</v>
      </c>
    </row>
    <row r="91" spans="1:139" ht="15">
      <c r="A91" s="1233" t="s">
        <v>81</v>
      </c>
      <c r="B91" s="1280">
        <f t="shared" si="78"/>
        <v>0</v>
      </c>
      <c r="C91" s="2326"/>
      <c r="D91" s="2326"/>
      <c r="E91" s="2326"/>
      <c r="F91" s="2326"/>
      <c r="G91" s="2326"/>
      <c r="H91" s="2326"/>
      <c r="I91" s="2326"/>
      <c r="J91" s="2326"/>
      <c r="K91" s="2326"/>
      <c r="L91" s="2326"/>
      <c r="M91" s="2326"/>
      <c r="N91" s="2326"/>
      <c r="O91" s="2326"/>
      <c r="P91" s="2326"/>
      <c r="Q91" s="2326"/>
      <c r="R91" s="2326"/>
      <c r="S91" s="2326"/>
      <c r="T91" s="2326"/>
      <c r="U91" s="2326"/>
      <c r="V91" s="2326"/>
      <c r="W91" s="2326"/>
      <c r="X91" s="2326"/>
      <c r="Y91" s="2326"/>
      <c r="Z91" s="2326"/>
      <c r="AA91" s="2326"/>
      <c r="AB91" s="2326"/>
      <c r="AC91" s="2326"/>
      <c r="AD91" s="2326"/>
      <c r="AE91" s="2326"/>
      <c r="AF91" s="2326"/>
      <c r="AG91" s="2326"/>
      <c r="AH91" s="2327">
        <f t="shared" si="79"/>
        <v>0</v>
      </c>
      <c r="AJ91" s="1746" t="s">
        <v>81</v>
      </c>
      <c r="AK91" s="1749">
        <f t="shared" si="80"/>
        <v>0</v>
      </c>
      <c r="AL91" s="2189"/>
      <c r="AM91" s="2189"/>
      <c r="AN91" s="2189"/>
      <c r="AO91" s="2189"/>
      <c r="AP91" s="2189"/>
      <c r="AQ91" s="2189"/>
      <c r="AR91" s="2189"/>
      <c r="AS91" s="2189"/>
      <c r="AT91" s="2189"/>
      <c r="AU91" s="2189"/>
      <c r="AV91" s="2189"/>
      <c r="AW91" s="2189"/>
      <c r="AX91" s="2189"/>
      <c r="AY91" s="2189"/>
      <c r="AZ91" s="2189"/>
      <c r="BA91" s="2189"/>
      <c r="BB91" s="2189"/>
      <c r="BC91" s="2189"/>
      <c r="BD91" s="2189"/>
      <c r="BE91" s="2231"/>
      <c r="BF91" s="2231"/>
      <c r="BG91" s="2231"/>
      <c r="BH91" s="2231"/>
      <c r="BI91" s="2231"/>
      <c r="BJ91" s="2231"/>
      <c r="BK91" s="2231"/>
      <c r="BL91" s="2231"/>
      <c r="BM91" s="2231"/>
      <c r="BN91" s="2231"/>
      <c r="BO91" s="2231"/>
      <c r="BP91" s="2231"/>
      <c r="BQ91" s="2188">
        <f t="shared" si="81"/>
        <v>0</v>
      </c>
      <c r="BS91" s="1845" t="s">
        <v>81</v>
      </c>
      <c r="BT91" s="1846">
        <f t="shared" si="82"/>
        <v>0</v>
      </c>
      <c r="BU91" s="2230"/>
      <c r="BV91" s="2230"/>
      <c r="BW91" s="2230"/>
      <c r="BX91" s="2230"/>
      <c r="BY91" s="2230"/>
      <c r="BZ91" s="2230"/>
      <c r="CA91" s="2230"/>
      <c r="CB91" s="2230"/>
      <c r="CC91" s="2230"/>
      <c r="CD91" s="2230"/>
      <c r="CE91" s="2230"/>
      <c r="CF91" s="2230"/>
      <c r="CG91" s="2181"/>
      <c r="CH91" s="2181"/>
      <c r="CI91" s="2181"/>
      <c r="CJ91" s="2181"/>
      <c r="CK91" s="2181"/>
      <c r="CL91" s="2181"/>
      <c r="CM91" s="2181"/>
      <c r="CN91" s="2181"/>
      <c r="CO91" s="2181"/>
      <c r="CP91" s="2181"/>
      <c r="CQ91" s="2181"/>
      <c r="CR91" s="2181"/>
      <c r="CS91" s="2181"/>
      <c r="CT91" s="2181"/>
      <c r="CU91" s="2181"/>
      <c r="CV91" s="2181"/>
      <c r="CW91" s="2181"/>
      <c r="CX91" s="2181"/>
      <c r="CY91" s="2181"/>
      <c r="CZ91" s="2180">
        <f t="shared" si="83"/>
        <v>0</v>
      </c>
      <c r="DB91" s="1249" t="s">
        <v>81</v>
      </c>
      <c r="DC91" s="1287">
        <f t="shared" si="84"/>
        <v>0</v>
      </c>
      <c r="DD91" s="1761"/>
      <c r="DE91" s="1761"/>
      <c r="DF91" s="1761"/>
      <c r="DG91" s="1761"/>
      <c r="DH91" s="1761"/>
      <c r="DI91" s="1761"/>
      <c r="DJ91" s="1761"/>
      <c r="DK91" s="1761"/>
      <c r="DL91" s="1761"/>
      <c r="DM91" s="1761"/>
      <c r="DN91" s="1761"/>
      <c r="DO91" s="1761"/>
      <c r="DP91" s="1761"/>
      <c r="DQ91" s="1761"/>
      <c r="DR91" s="1761"/>
      <c r="DS91" s="1761"/>
      <c r="DT91" s="1761"/>
      <c r="DU91" s="1761"/>
      <c r="DV91" s="1761"/>
      <c r="DW91" s="1761"/>
      <c r="DX91" s="1761"/>
      <c r="DY91" s="1761"/>
      <c r="DZ91" s="1761"/>
      <c r="EA91" s="1761"/>
      <c r="EB91" s="1761"/>
      <c r="EC91" s="1761"/>
      <c r="ED91" s="1761"/>
      <c r="EE91" s="1761"/>
      <c r="EF91" s="1761"/>
      <c r="EG91" s="1761"/>
      <c r="EH91" s="1761"/>
      <c r="EI91" s="1488">
        <f t="shared" si="85"/>
        <v>0</v>
      </c>
    </row>
    <row r="92" spans="1:139" ht="15">
      <c r="A92" s="1233" t="s">
        <v>82</v>
      </c>
      <c r="B92" s="1280">
        <f t="shared" si="78"/>
        <v>0</v>
      </c>
      <c r="C92" s="2326"/>
      <c r="D92" s="2326"/>
      <c r="E92" s="2326"/>
      <c r="F92" s="2326"/>
      <c r="G92" s="2326"/>
      <c r="H92" s="2326"/>
      <c r="I92" s="2326"/>
      <c r="J92" s="2326"/>
      <c r="K92" s="2326"/>
      <c r="L92" s="2326"/>
      <c r="M92" s="2326"/>
      <c r="N92" s="2326"/>
      <c r="O92" s="2326"/>
      <c r="P92" s="2326"/>
      <c r="Q92" s="2326"/>
      <c r="R92" s="2326"/>
      <c r="S92" s="2326"/>
      <c r="T92" s="2326"/>
      <c r="U92" s="2326"/>
      <c r="V92" s="2326"/>
      <c r="W92" s="2326"/>
      <c r="X92" s="2326"/>
      <c r="Y92" s="2326"/>
      <c r="Z92" s="2326"/>
      <c r="AA92" s="2326"/>
      <c r="AB92" s="2326"/>
      <c r="AC92" s="2326"/>
      <c r="AD92" s="2326"/>
      <c r="AE92" s="2326"/>
      <c r="AF92" s="2326"/>
      <c r="AG92" s="2326"/>
      <c r="AH92" s="2327">
        <f t="shared" si="79"/>
        <v>0</v>
      </c>
      <c r="AJ92" s="1746" t="s">
        <v>82</v>
      </c>
      <c r="AK92" s="1749">
        <f t="shared" si="80"/>
        <v>0</v>
      </c>
      <c r="AL92" s="2189"/>
      <c r="AM92" s="2189"/>
      <c r="AN92" s="2189"/>
      <c r="AO92" s="2189"/>
      <c r="AP92" s="2189"/>
      <c r="AQ92" s="2189"/>
      <c r="AR92" s="2189"/>
      <c r="AS92" s="2189"/>
      <c r="AT92" s="2189"/>
      <c r="AU92" s="2189"/>
      <c r="AV92" s="2189"/>
      <c r="AW92" s="2189"/>
      <c r="AX92" s="2189"/>
      <c r="AY92" s="2189"/>
      <c r="AZ92" s="2189"/>
      <c r="BA92" s="2189"/>
      <c r="BB92" s="2189"/>
      <c r="BC92" s="2189"/>
      <c r="BD92" s="2189"/>
      <c r="BE92" s="2226"/>
      <c r="BF92" s="2229"/>
      <c r="BG92" s="2226"/>
      <c r="BH92" s="2226"/>
      <c r="BI92" s="2226"/>
      <c r="BJ92" s="2226"/>
      <c r="BK92" s="2226"/>
      <c r="BL92" s="2226"/>
      <c r="BM92" s="2226"/>
      <c r="BN92" s="2226"/>
      <c r="BO92" s="2226"/>
      <c r="BP92" s="2226"/>
      <c r="BQ92" s="2188">
        <f t="shared" si="81"/>
        <v>0</v>
      </c>
      <c r="BS92" s="1845" t="s">
        <v>82</v>
      </c>
      <c r="BT92" s="1846">
        <f t="shared" si="82"/>
        <v>0</v>
      </c>
      <c r="BU92" s="2225"/>
      <c r="BV92" s="2228"/>
      <c r="BW92" s="2225"/>
      <c r="BX92" s="2225"/>
      <c r="BY92" s="2225"/>
      <c r="BZ92" s="2225"/>
      <c r="CA92" s="2225"/>
      <c r="CB92" s="2225"/>
      <c r="CC92" s="2225"/>
      <c r="CD92" s="2225"/>
      <c r="CE92" s="2225"/>
      <c r="CF92" s="2225"/>
      <c r="CG92" s="2181"/>
      <c r="CH92" s="2181"/>
      <c r="CI92" s="2181"/>
      <c r="CJ92" s="2181"/>
      <c r="CK92" s="2181"/>
      <c r="CL92" s="2181"/>
      <c r="CM92" s="2181"/>
      <c r="CN92" s="2181"/>
      <c r="CO92" s="2181"/>
      <c r="CP92" s="2181"/>
      <c r="CQ92" s="2181"/>
      <c r="CR92" s="2181"/>
      <c r="CS92" s="2181"/>
      <c r="CT92" s="2181"/>
      <c r="CU92" s="2181"/>
      <c r="CV92" s="2181"/>
      <c r="CW92" s="2181"/>
      <c r="CX92" s="2181"/>
      <c r="CY92" s="2181"/>
      <c r="CZ92" s="2180">
        <f t="shared" si="83"/>
        <v>0</v>
      </c>
      <c r="DB92" s="1249" t="s">
        <v>82</v>
      </c>
      <c r="DC92" s="1287">
        <f t="shared" si="84"/>
        <v>0</v>
      </c>
      <c r="DD92" s="1761"/>
      <c r="DE92" s="1761"/>
      <c r="DF92" s="1761"/>
      <c r="DG92" s="1761"/>
      <c r="DH92" s="1761"/>
      <c r="DI92" s="1761"/>
      <c r="DJ92" s="1761"/>
      <c r="DK92" s="1761"/>
      <c r="DL92" s="1761"/>
      <c r="DM92" s="1761"/>
      <c r="DN92" s="1761"/>
      <c r="DO92" s="1761"/>
      <c r="DP92" s="1761"/>
      <c r="DQ92" s="1761"/>
      <c r="DR92" s="1761"/>
      <c r="DS92" s="1761"/>
      <c r="DT92" s="1761"/>
      <c r="DU92" s="1761"/>
      <c r="DV92" s="1761"/>
      <c r="DW92" s="1761"/>
      <c r="DX92" s="1761"/>
      <c r="DY92" s="1761"/>
      <c r="DZ92" s="1761"/>
      <c r="EA92" s="1761"/>
      <c r="EB92" s="1761"/>
      <c r="EC92" s="1761"/>
      <c r="ED92" s="1761"/>
      <c r="EE92" s="1761"/>
      <c r="EF92" s="1761"/>
      <c r="EG92" s="1761"/>
      <c r="EH92" s="1761"/>
      <c r="EI92" s="1488">
        <f t="shared" si="85"/>
        <v>0</v>
      </c>
    </row>
    <row r="93" spans="1:139" ht="15">
      <c r="A93" s="1233" t="s">
        <v>83</v>
      </c>
      <c r="B93" s="1280">
        <f t="shared" si="78"/>
        <v>0</v>
      </c>
      <c r="C93" s="2326"/>
      <c r="D93" s="2326"/>
      <c r="E93" s="2326"/>
      <c r="F93" s="2326"/>
      <c r="G93" s="2326"/>
      <c r="H93" s="2326"/>
      <c r="I93" s="2326"/>
      <c r="J93" s="2326"/>
      <c r="K93" s="2326"/>
      <c r="L93" s="2326"/>
      <c r="M93" s="2326"/>
      <c r="N93" s="2326"/>
      <c r="O93" s="2326"/>
      <c r="P93" s="2326"/>
      <c r="Q93" s="2326"/>
      <c r="R93" s="2326"/>
      <c r="S93" s="2326"/>
      <c r="T93" s="2326"/>
      <c r="U93" s="2326"/>
      <c r="V93" s="2326"/>
      <c r="W93" s="2326"/>
      <c r="X93" s="2326"/>
      <c r="Y93" s="2326"/>
      <c r="Z93" s="2326"/>
      <c r="AA93" s="2326"/>
      <c r="AB93" s="2326"/>
      <c r="AC93" s="2326"/>
      <c r="AD93" s="2326"/>
      <c r="AE93" s="2326"/>
      <c r="AF93" s="2326"/>
      <c r="AG93" s="2326"/>
      <c r="AH93" s="2327">
        <f t="shared" si="79"/>
        <v>0</v>
      </c>
      <c r="AJ93" s="1746" t="s">
        <v>83</v>
      </c>
      <c r="AK93" s="1749">
        <f t="shared" si="80"/>
        <v>0</v>
      </c>
      <c r="AL93" s="2189"/>
      <c r="AM93" s="2189"/>
      <c r="AN93" s="2189"/>
      <c r="AO93" s="2189"/>
      <c r="AP93" s="2189"/>
      <c r="AQ93" s="2189"/>
      <c r="AR93" s="2189"/>
      <c r="AS93" s="2189"/>
      <c r="AT93" s="2189"/>
      <c r="AU93" s="2189"/>
      <c r="AV93" s="2189"/>
      <c r="AW93" s="2189"/>
      <c r="AX93" s="2189"/>
      <c r="AY93" s="2189"/>
      <c r="AZ93" s="2189"/>
      <c r="BA93" s="2189"/>
      <c r="BB93" s="2189"/>
      <c r="BC93" s="2189"/>
      <c r="BD93" s="2189"/>
      <c r="BE93" s="2226"/>
      <c r="BF93" s="2226"/>
      <c r="BG93" s="2226"/>
      <c r="BH93" s="2226"/>
      <c r="BI93" s="2226"/>
      <c r="BJ93" s="2226"/>
      <c r="BK93" s="2226"/>
      <c r="BL93" s="2226"/>
      <c r="BM93" s="2226"/>
      <c r="BN93" s="2226"/>
      <c r="BO93" s="2226"/>
      <c r="BP93" s="2226"/>
      <c r="BQ93" s="2188">
        <f t="shared" si="81"/>
        <v>0</v>
      </c>
      <c r="BS93" s="1845" t="s">
        <v>83</v>
      </c>
      <c r="BT93" s="1846">
        <f t="shared" si="82"/>
        <v>0</v>
      </c>
      <c r="BU93" s="2225"/>
      <c r="BV93" s="2225"/>
      <c r="BW93" s="2225"/>
      <c r="BX93" s="2225"/>
      <c r="BY93" s="2225"/>
      <c r="BZ93" s="2225"/>
      <c r="CA93" s="2225"/>
      <c r="CB93" s="2225"/>
      <c r="CC93" s="2225"/>
      <c r="CD93" s="2225"/>
      <c r="CE93" s="2225"/>
      <c r="CF93" s="2225"/>
      <c r="CG93" s="2181"/>
      <c r="CH93" s="2181"/>
      <c r="CI93" s="2181"/>
      <c r="CJ93" s="2181"/>
      <c r="CK93" s="2181"/>
      <c r="CL93" s="2181"/>
      <c r="CM93" s="2181"/>
      <c r="CN93" s="2181"/>
      <c r="CO93" s="2181"/>
      <c r="CP93" s="2181"/>
      <c r="CQ93" s="2181"/>
      <c r="CR93" s="2181"/>
      <c r="CS93" s="2181"/>
      <c r="CT93" s="2181"/>
      <c r="CU93" s="2181"/>
      <c r="CV93" s="2181"/>
      <c r="CW93" s="2181"/>
      <c r="CX93" s="2181"/>
      <c r="CY93" s="2181"/>
      <c r="CZ93" s="2180">
        <f t="shared" si="83"/>
        <v>0</v>
      </c>
      <c r="DB93" s="1249" t="s">
        <v>83</v>
      </c>
      <c r="DC93" s="1287">
        <f t="shared" si="84"/>
        <v>0</v>
      </c>
      <c r="DD93" s="1761"/>
      <c r="DE93" s="1761"/>
      <c r="DF93" s="1761"/>
      <c r="DG93" s="1761"/>
      <c r="DH93" s="1761"/>
      <c r="DI93" s="1761"/>
      <c r="DJ93" s="1761"/>
      <c r="DK93" s="1761"/>
      <c r="DL93" s="1761"/>
      <c r="DM93" s="1761"/>
      <c r="DN93" s="1761"/>
      <c r="DO93" s="1761"/>
      <c r="DP93" s="1761"/>
      <c r="DQ93" s="1761"/>
      <c r="DR93" s="1761"/>
      <c r="DS93" s="1761"/>
      <c r="DT93" s="1761"/>
      <c r="DU93" s="1761"/>
      <c r="DV93" s="1761"/>
      <c r="DW93" s="1761"/>
      <c r="DX93" s="1761"/>
      <c r="DY93" s="1761"/>
      <c r="DZ93" s="1761"/>
      <c r="EA93" s="1761"/>
      <c r="EB93" s="1761"/>
      <c r="EC93" s="1761"/>
      <c r="ED93" s="1761"/>
      <c r="EE93" s="1761"/>
      <c r="EF93" s="1761"/>
      <c r="EG93" s="1761"/>
      <c r="EH93" s="1761"/>
      <c r="EI93" s="1488">
        <f t="shared" si="85"/>
        <v>0</v>
      </c>
    </row>
    <row r="94" spans="1:139" ht="15">
      <c r="A94" s="1233" t="s">
        <v>84</v>
      </c>
      <c r="B94" s="1280">
        <f t="shared" si="78"/>
        <v>0</v>
      </c>
      <c r="C94" s="2326"/>
      <c r="D94" s="2326"/>
      <c r="E94" s="2326"/>
      <c r="F94" s="2326"/>
      <c r="G94" s="2326"/>
      <c r="H94" s="2326"/>
      <c r="I94" s="2326"/>
      <c r="J94" s="2326"/>
      <c r="K94" s="2326"/>
      <c r="L94" s="2326"/>
      <c r="M94" s="2326"/>
      <c r="N94" s="2326"/>
      <c r="O94" s="2326"/>
      <c r="P94" s="2326"/>
      <c r="Q94" s="2326"/>
      <c r="R94" s="2325"/>
      <c r="S94" s="2325"/>
      <c r="T94" s="2325"/>
      <c r="U94" s="2325"/>
      <c r="V94" s="2325"/>
      <c r="W94" s="2325"/>
      <c r="X94" s="2325"/>
      <c r="Y94" s="2325"/>
      <c r="Z94" s="2325"/>
      <c r="AA94" s="2325"/>
      <c r="AB94" s="2325"/>
      <c r="AC94" s="2325"/>
      <c r="AD94" s="2325"/>
      <c r="AE94" s="2325"/>
      <c r="AF94" s="2325"/>
      <c r="AG94" s="2325"/>
      <c r="AH94" s="2327">
        <f t="shared" si="79"/>
        <v>0</v>
      </c>
      <c r="AJ94" s="1746" t="s">
        <v>84</v>
      </c>
      <c r="AK94" s="1749">
        <f t="shared" si="80"/>
        <v>0</v>
      </c>
      <c r="AL94" s="2189"/>
      <c r="AM94" s="2189"/>
      <c r="AN94" s="2189"/>
      <c r="AO94" s="2189"/>
      <c r="AP94" s="2189"/>
      <c r="AQ94" s="2189"/>
      <c r="AR94" s="2189"/>
      <c r="AS94" s="2189"/>
      <c r="AT94" s="2189"/>
      <c r="AU94" s="2189"/>
      <c r="AV94" s="2189"/>
      <c r="AW94" s="2189"/>
      <c r="AX94" s="2189"/>
      <c r="AY94" s="2189"/>
      <c r="AZ94" s="2189"/>
      <c r="BA94" s="2192"/>
      <c r="BB94" s="2192"/>
      <c r="BC94" s="2192"/>
      <c r="BD94" s="2192"/>
      <c r="BE94" s="2226"/>
      <c r="BF94" s="2226"/>
      <c r="BG94" s="2226"/>
      <c r="BH94" s="2226"/>
      <c r="BI94" s="2226"/>
      <c r="BJ94" s="2226"/>
      <c r="BK94" s="2226"/>
      <c r="BL94" s="2226"/>
      <c r="BM94" s="2226"/>
      <c r="BN94" s="2226"/>
      <c r="BO94" s="2226"/>
      <c r="BP94" s="2226"/>
      <c r="BQ94" s="2188">
        <f t="shared" si="81"/>
        <v>0</v>
      </c>
      <c r="BS94" s="1845" t="s">
        <v>84</v>
      </c>
      <c r="BT94" s="1846">
        <f t="shared" si="82"/>
        <v>0</v>
      </c>
      <c r="BU94" s="2225"/>
      <c r="BV94" s="2225"/>
      <c r="BW94" s="2225"/>
      <c r="BX94" s="2225"/>
      <c r="BY94" s="2225"/>
      <c r="BZ94" s="2225"/>
      <c r="CA94" s="2225"/>
      <c r="CB94" s="2225"/>
      <c r="CC94" s="2225"/>
      <c r="CD94" s="2225"/>
      <c r="CE94" s="2225"/>
      <c r="CF94" s="2225"/>
      <c r="CG94" s="2181"/>
      <c r="CH94" s="2181"/>
      <c r="CI94" s="2181"/>
      <c r="CJ94" s="2184"/>
      <c r="CK94" s="2184"/>
      <c r="CL94" s="2184"/>
      <c r="CM94" s="2184"/>
      <c r="CN94" s="2184"/>
      <c r="CO94" s="2184"/>
      <c r="CP94" s="2184"/>
      <c r="CQ94" s="2184"/>
      <c r="CR94" s="2184"/>
      <c r="CS94" s="2184"/>
      <c r="CT94" s="2184"/>
      <c r="CU94" s="2184"/>
      <c r="CV94" s="2184"/>
      <c r="CW94" s="2184"/>
      <c r="CX94" s="2184"/>
      <c r="CY94" s="2184"/>
      <c r="CZ94" s="2180">
        <f t="shared" si="83"/>
        <v>0</v>
      </c>
      <c r="DB94" s="1249" t="s">
        <v>84</v>
      </c>
      <c r="DC94" s="1287">
        <f t="shared" si="84"/>
        <v>0</v>
      </c>
      <c r="DD94" s="1761"/>
      <c r="DE94" s="1761"/>
      <c r="DF94" s="1761"/>
      <c r="DG94" s="1761"/>
      <c r="DH94" s="1761"/>
      <c r="DI94" s="1761"/>
      <c r="DJ94" s="1761"/>
      <c r="DK94" s="1761"/>
      <c r="DL94" s="1761"/>
      <c r="DM94" s="1761"/>
      <c r="DN94" s="1761"/>
      <c r="DO94" s="1761"/>
      <c r="DP94" s="1761"/>
      <c r="DQ94" s="1761"/>
      <c r="DR94" s="1761"/>
      <c r="DS94" s="1820"/>
      <c r="DT94" s="1820"/>
      <c r="DU94" s="1820"/>
      <c r="DV94" s="1820"/>
      <c r="DW94" s="1820"/>
      <c r="DX94" s="1820"/>
      <c r="DY94" s="1820"/>
      <c r="DZ94" s="1820"/>
      <c r="EA94" s="1820"/>
      <c r="EB94" s="1820"/>
      <c r="EC94" s="1820"/>
      <c r="ED94" s="1820"/>
      <c r="EE94" s="1820"/>
      <c r="EF94" s="1820"/>
      <c r="EG94" s="1820"/>
      <c r="EH94" s="1820"/>
      <c r="EI94" s="1488">
        <f t="shared" si="85"/>
        <v>0</v>
      </c>
    </row>
    <row r="95" spans="1:139" ht="15">
      <c r="A95" s="1233" t="s">
        <v>85</v>
      </c>
      <c r="B95" s="1280">
        <f t="shared" si="78"/>
        <v>0</v>
      </c>
      <c r="C95" s="2326"/>
      <c r="D95" s="2325"/>
      <c r="E95" s="2325"/>
      <c r="F95" s="2325"/>
      <c r="G95" s="2325"/>
      <c r="H95" s="2325"/>
      <c r="I95" s="2325"/>
      <c r="J95" s="2325"/>
      <c r="K95" s="2325"/>
      <c r="L95" s="2325"/>
      <c r="M95" s="2325"/>
      <c r="N95" s="2325"/>
      <c r="O95" s="2325"/>
      <c r="P95" s="2325"/>
      <c r="Q95" s="2325"/>
      <c r="R95" s="2340"/>
      <c r="S95" s="2340"/>
      <c r="T95" s="2340"/>
      <c r="U95" s="2340"/>
      <c r="V95" s="2340"/>
      <c r="W95" s="2340"/>
      <c r="X95" s="2340"/>
      <c r="Y95" s="2340"/>
      <c r="Z95" s="2340"/>
      <c r="AA95" s="2340"/>
      <c r="AB95" s="2340"/>
      <c r="AC95" s="2340"/>
      <c r="AD95" s="2340"/>
      <c r="AE95" s="2340"/>
      <c r="AF95" s="2340"/>
      <c r="AG95" s="2326"/>
      <c r="AH95" s="2327">
        <f t="shared" si="79"/>
        <v>0</v>
      </c>
      <c r="AJ95" s="1746" t="s">
        <v>85</v>
      </c>
      <c r="AK95" s="1749">
        <f t="shared" si="80"/>
        <v>0</v>
      </c>
      <c r="AL95" s="2189"/>
      <c r="AM95" s="2192"/>
      <c r="AN95" s="2192"/>
      <c r="AO95" s="2192"/>
      <c r="AP95" s="2192"/>
      <c r="AQ95" s="2192"/>
      <c r="AR95" s="2192"/>
      <c r="AS95" s="2192"/>
      <c r="AT95" s="2192"/>
      <c r="AU95" s="2192"/>
      <c r="AV95" s="2192"/>
      <c r="AW95" s="2192"/>
      <c r="AX95" s="2192"/>
      <c r="AY95" s="2192"/>
      <c r="AZ95" s="2192"/>
      <c r="BA95" s="2227"/>
      <c r="BB95" s="2227"/>
      <c r="BC95" s="2227"/>
      <c r="BD95" s="2227"/>
      <c r="BE95" s="2226"/>
      <c r="BF95" s="2226"/>
      <c r="BG95" s="2226"/>
      <c r="BH95" s="2226"/>
      <c r="BI95" s="2226"/>
      <c r="BJ95" s="2226"/>
      <c r="BK95" s="2226"/>
      <c r="BL95" s="2226"/>
      <c r="BM95" s="2226"/>
      <c r="BN95" s="2226"/>
      <c r="BO95" s="2226"/>
      <c r="BP95" s="2226"/>
      <c r="BQ95" s="2188">
        <f t="shared" si="81"/>
        <v>0</v>
      </c>
      <c r="BS95" s="1845" t="s">
        <v>85</v>
      </c>
      <c r="BT95" s="1846">
        <f t="shared" si="82"/>
        <v>0</v>
      </c>
      <c r="BU95" s="2225"/>
      <c r="BV95" s="2225"/>
      <c r="BW95" s="2225"/>
      <c r="BX95" s="2225"/>
      <c r="BY95" s="2225"/>
      <c r="BZ95" s="2225"/>
      <c r="CA95" s="2225"/>
      <c r="CB95" s="2225"/>
      <c r="CC95" s="2225"/>
      <c r="CD95" s="2225"/>
      <c r="CE95" s="2225"/>
      <c r="CF95" s="2225"/>
      <c r="CG95" s="2184"/>
      <c r="CH95" s="2184"/>
      <c r="CI95" s="2184"/>
      <c r="CJ95" s="2207"/>
      <c r="CK95" s="2207"/>
      <c r="CL95" s="2207"/>
      <c r="CM95" s="2207"/>
      <c r="CN95" s="2207"/>
      <c r="CO95" s="2207"/>
      <c r="CP95" s="2207"/>
      <c r="CQ95" s="2207"/>
      <c r="CR95" s="2207"/>
      <c r="CS95" s="2207"/>
      <c r="CT95" s="2207"/>
      <c r="CU95" s="2207"/>
      <c r="CV95" s="2207"/>
      <c r="CW95" s="2207"/>
      <c r="CX95" s="2207"/>
      <c r="CY95" s="2181"/>
      <c r="CZ95" s="2180">
        <f t="shared" si="83"/>
        <v>0</v>
      </c>
      <c r="DB95" s="1249" t="s">
        <v>85</v>
      </c>
      <c r="DC95" s="1287">
        <f t="shared" si="84"/>
        <v>0</v>
      </c>
      <c r="DD95" s="1761"/>
      <c r="DE95" s="1820"/>
      <c r="DF95" s="1820"/>
      <c r="DG95" s="1820"/>
      <c r="DH95" s="1820"/>
      <c r="DI95" s="1820"/>
      <c r="DJ95" s="1820"/>
      <c r="DK95" s="1820"/>
      <c r="DL95" s="1820"/>
      <c r="DM95" s="1820"/>
      <c r="DN95" s="1820"/>
      <c r="DO95" s="1820"/>
      <c r="DP95" s="1820"/>
      <c r="DQ95" s="1820"/>
      <c r="DR95" s="1820"/>
      <c r="DS95" s="2278"/>
      <c r="DT95" s="2278"/>
      <c r="DU95" s="2278"/>
      <c r="DV95" s="2278"/>
      <c r="DW95" s="2278"/>
      <c r="DX95" s="2278"/>
      <c r="DY95" s="2278"/>
      <c r="DZ95" s="2278"/>
      <c r="EA95" s="2278"/>
      <c r="EB95" s="2278"/>
      <c r="EC95" s="2278"/>
      <c r="ED95" s="2278"/>
      <c r="EE95" s="2278"/>
      <c r="EF95" s="2278"/>
      <c r="EG95" s="2278"/>
      <c r="EH95" s="1761"/>
      <c r="EI95" s="1488">
        <f t="shared" si="85"/>
        <v>0</v>
      </c>
    </row>
    <row r="96" spans="1:139" ht="15">
      <c r="A96" s="1233" t="s">
        <v>86</v>
      </c>
      <c r="B96" s="1280">
        <f t="shared" si="78"/>
        <v>0</v>
      </c>
      <c r="C96" s="2326"/>
      <c r="D96" s="2340"/>
      <c r="E96" s="2340"/>
      <c r="F96" s="2340"/>
      <c r="G96" s="2326"/>
      <c r="H96" s="2326"/>
      <c r="I96" s="2326"/>
      <c r="J96" s="2326"/>
      <c r="K96" s="2326"/>
      <c r="L96" s="2326"/>
      <c r="M96" s="2326"/>
      <c r="N96" s="2326"/>
      <c r="O96" s="2326"/>
      <c r="P96" s="2326"/>
      <c r="Q96" s="2326"/>
      <c r="R96" s="2326"/>
      <c r="S96" s="2326"/>
      <c r="T96" s="2326"/>
      <c r="U96" s="2326"/>
      <c r="V96" s="2326"/>
      <c r="W96" s="2326"/>
      <c r="X96" s="2326"/>
      <c r="Y96" s="2326"/>
      <c r="Z96" s="2326"/>
      <c r="AA96" s="2326"/>
      <c r="AB96" s="2326"/>
      <c r="AC96" s="2326"/>
      <c r="AD96" s="2326"/>
      <c r="AE96" s="2326"/>
      <c r="AF96" s="2326"/>
      <c r="AG96" s="2326"/>
      <c r="AH96" s="2327">
        <f t="shared" si="79"/>
        <v>0</v>
      </c>
      <c r="AJ96" s="1746" t="s">
        <v>86</v>
      </c>
      <c r="AK96" s="1749">
        <f t="shared" si="80"/>
        <v>0</v>
      </c>
      <c r="AL96" s="2189"/>
      <c r="AM96" s="2227"/>
      <c r="AN96" s="2227"/>
      <c r="AO96" s="2227"/>
      <c r="AP96" s="2189"/>
      <c r="AQ96" s="2189"/>
      <c r="AR96" s="2189"/>
      <c r="AS96" s="2189"/>
      <c r="AT96" s="2189"/>
      <c r="AU96" s="2189"/>
      <c r="AV96" s="2189"/>
      <c r="AW96" s="2189"/>
      <c r="AX96" s="2189"/>
      <c r="AY96" s="2189"/>
      <c r="AZ96" s="2189"/>
      <c r="BA96" s="2189"/>
      <c r="BB96" s="2189"/>
      <c r="BC96" s="2189"/>
      <c r="BD96" s="2189"/>
      <c r="BE96" s="2226"/>
      <c r="BF96" s="2226"/>
      <c r="BG96" s="2226"/>
      <c r="BH96" s="2226"/>
      <c r="BI96" s="2226"/>
      <c r="BJ96" s="2226"/>
      <c r="BK96" s="2226"/>
      <c r="BL96" s="2226"/>
      <c r="BM96" s="2226"/>
      <c r="BN96" s="2226"/>
      <c r="BO96" s="2226"/>
      <c r="BP96" s="2226"/>
      <c r="BQ96" s="2188">
        <f t="shared" si="81"/>
        <v>0</v>
      </c>
      <c r="BS96" s="1845" t="s">
        <v>86</v>
      </c>
      <c r="BT96" s="1846">
        <f t="shared" si="82"/>
        <v>0</v>
      </c>
      <c r="BU96" s="2225"/>
      <c r="BV96" s="2225"/>
      <c r="BW96" s="2225"/>
      <c r="BX96" s="2225"/>
      <c r="BY96" s="2225"/>
      <c r="BZ96" s="2225"/>
      <c r="CA96" s="2225"/>
      <c r="CB96" s="2225"/>
      <c r="CC96" s="2225"/>
      <c r="CD96" s="2225"/>
      <c r="CE96" s="2225"/>
      <c r="CF96" s="2225"/>
      <c r="CG96" s="2181"/>
      <c r="CH96" s="2181"/>
      <c r="CI96" s="2181"/>
      <c r="CJ96" s="2181"/>
      <c r="CK96" s="2181"/>
      <c r="CL96" s="2181"/>
      <c r="CM96" s="2181"/>
      <c r="CN96" s="2181"/>
      <c r="CO96" s="2181"/>
      <c r="CP96" s="2181"/>
      <c r="CQ96" s="2181"/>
      <c r="CR96" s="2181"/>
      <c r="CS96" s="2181"/>
      <c r="CT96" s="2181"/>
      <c r="CU96" s="2181"/>
      <c r="CV96" s="2181"/>
      <c r="CW96" s="2181"/>
      <c r="CX96" s="2181"/>
      <c r="CY96" s="2181"/>
      <c r="CZ96" s="2180">
        <f t="shared" si="83"/>
        <v>0</v>
      </c>
      <c r="DB96" s="1249" t="s">
        <v>86</v>
      </c>
      <c r="DC96" s="1287">
        <f t="shared" si="84"/>
        <v>0</v>
      </c>
      <c r="DD96" s="1761"/>
      <c r="DE96" s="2278"/>
      <c r="DF96" s="2278"/>
      <c r="DG96" s="2278"/>
      <c r="DH96" s="1761"/>
      <c r="DI96" s="1761"/>
      <c r="DJ96" s="1761"/>
      <c r="DK96" s="1761"/>
      <c r="DL96" s="1761"/>
      <c r="DM96" s="1761"/>
      <c r="DN96" s="1761"/>
      <c r="DO96" s="1761"/>
      <c r="DP96" s="1761"/>
      <c r="DQ96" s="1761"/>
      <c r="DR96" s="1761"/>
      <c r="DS96" s="1761"/>
      <c r="DT96" s="1761"/>
      <c r="DU96" s="1761"/>
      <c r="DV96" s="1761"/>
      <c r="DW96" s="1761"/>
      <c r="DX96" s="1761"/>
      <c r="DY96" s="1761"/>
      <c r="DZ96" s="1761"/>
      <c r="EA96" s="1761"/>
      <c r="EB96" s="1761"/>
      <c r="EC96" s="1761"/>
      <c r="ED96" s="1761"/>
      <c r="EE96" s="1761"/>
      <c r="EF96" s="1761"/>
      <c r="EG96" s="1761"/>
      <c r="EH96" s="1761"/>
      <c r="EI96" s="1488">
        <f t="shared" si="85"/>
        <v>0</v>
      </c>
    </row>
    <row r="97" spans="1:139" ht="15">
      <c r="A97" s="2341" t="s">
        <v>74</v>
      </c>
      <c r="B97" s="2342">
        <f t="shared" ref="B97:AH97" si="86">SUM(B85:B96)</f>
        <v>0</v>
      </c>
      <c r="C97" s="2327">
        <f t="shared" si="86"/>
        <v>0</v>
      </c>
      <c r="D97" s="2327">
        <f t="shared" si="86"/>
        <v>0</v>
      </c>
      <c r="E97" s="2327">
        <f t="shared" si="86"/>
        <v>0</v>
      </c>
      <c r="F97" s="2327">
        <f t="shared" si="86"/>
        <v>0</v>
      </c>
      <c r="G97" s="2327">
        <f t="shared" si="86"/>
        <v>0</v>
      </c>
      <c r="H97" s="2327">
        <f t="shared" si="86"/>
        <v>0</v>
      </c>
      <c r="I97" s="2327">
        <f t="shared" si="86"/>
        <v>0</v>
      </c>
      <c r="J97" s="2327">
        <f t="shared" si="86"/>
        <v>0</v>
      </c>
      <c r="K97" s="2327">
        <f t="shared" si="86"/>
        <v>0</v>
      </c>
      <c r="L97" s="2327">
        <f t="shared" si="86"/>
        <v>0</v>
      </c>
      <c r="M97" s="2327">
        <f t="shared" si="86"/>
        <v>0</v>
      </c>
      <c r="N97" s="2327">
        <f t="shared" si="86"/>
        <v>0</v>
      </c>
      <c r="O97" s="2327">
        <f t="shared" si="86"/>
        <v>0</v>
      </c>
      <c r="P97" s="2327">
        <f t="shared" si="86"/>
        <v>0</v>
      </c>
      <c r="Q97" s="2327">
        <f t="shared" si="86"/>
        <v>0</v>
      </c>
      <c r="R97" s="2327">
        <f t="shared" si="86"/>
        <v>0</v>
      </c>
      <c r="S97" s="2327">
        <f t="shared" si="86"/>
        <v>0</v>
      </c>
      <c r="T97" s="2327">
        <f t="shared" si="86"/>
        <v>0</v>
      </c>
      <c r="U97" s="2327">
        <f t="shared" si="86"/>
        <v>0</v>
      </c>
      <c r="V97" s="2327">
        <f t="shared" si="86"/>
        <v>0</v>
      </c>
      <c r="W97" s="2327">
        <f t="shared" si="86"/>
        <v>0</v>
      </c>
      <c r="X97" s="2327">
        <f t="shared" si="86"/>
        <v>0</v>
      </c>
      <c r="Y97" s="2327">
        <f t="shared" si="86"/>
        <v>0</v>
      </c>
      <c r="Z97" s="2327">
        <f t="shared" si="86"/>
        <v>0</v>
      </c>
      <c r="AA97" s="2327">
        <f t="shared" si="86"/>
        <v>0</v>
      </c>
      <c r="AB97" s="2327">
        <f t="shared" si="86"/>
        <v>0</v>
      </c>
      <c r="AC97" s="2327">
        <f t="shared" si="86"/>
        <v>0</v>
      </c>
      <c r="AD97" s="2327">
        <f t="shared" si="86"/>
        <v>0</v>
      </c>
      <c r="AE97" s="2327">
        <f t="shared" si="86"/>
        <v>0</v>
      </c>
      <c r="AF97" s="2327">
        <f t="shared" si="86"/>
        <v>0</v>
      </c>
      <c r="AG97" s="2327">
        <f t="shared" si="86"/>
        <v>0</v>
      </c>
      <c r="AH97" s="2327">
        <f t="shared" si="86"/>
        <v>0</v>
      </c>
      <c r="AJ97" s="2191" t="s">
        <v>74</v>
      </c>
      <c r="AK97" s="2190">
        <f t="shared" ref="AK97:BQ97" si="87">SUM(AK85:AK96)</f>
        <v>0</v>
      </c>
      <c r="AL97" s="2188">
        <f t="shared" si="87"/>
        <v>0</v>
      </c>
      <c r="AM97" s="2188">
        <f t="shared" si="87"/>
        <v>0</v>
      </c>
      <c r="AN97" s="2188">
        <f t="shared" si="87"/>
        <v>0</v>
      </c>
      <c r="AO97" s="2188">
        <f t="shared" si="87"/>
        <v>0</v>
      </c>
      <c r="AP97" s="2188">
        <f t="shared" si="87"/>
        <v>0</v>
      </c>
      <c r="AQ97" s="2188">
        <f t="shared" si="87"/>
        <v>0</v>
      </c>
      <c r="AR97" s="2188">
        <f t="shared" si="87"/>
        <v>0</v>
      </c>
      <c r="AS97" s="2188">
        <f t="shared" si="87"/>
        <v>0</v>
      </c>
      <c r="AT97" s="2188">
        <f t="shared" si="87"/>
        <v>0</v>
      </c>
      <c r="AU97" s="2188">
        <f t="shared" si="87"/>
        <v>0</v>
      </c>
      <c r="AV97" s="2188">
        <f t="shared" si="87"/>
        <v>0</v>
      </c>
      <c r="AW97" s="2188">
        <f t="shared" si="87"/>
        <v>0</v>
      </c>
      <c r="AX97" s="2188">
        <f t="shared" si="87"/>
        <v>0</v>
      </c>
      <c r="AY97" s="2188">
        <f t="shared" si="87"/>
        <v>0</v>
      </c>
      <c r="AZ97" s="2188">
        <f t="shared" si="87"/>
        <v>0</v>
      </c>
      <c r="BA97" s="2188">
        <f t="shared" si="87"/>
        <v>0</v>
      </c>
      <c r="BB97" s="2188">
        <f t="shared" si="87"/>
        <v>0</v>
      </c>
      <c r="BC97" s="2188">
        <f t="shared" si="87"/>
        <v>0</v>
      </c>
      <c r="BD97" s="2188">
        <f t="shared" si="87"/>
        <v>0</v>
      </c>
      <c r="BE97" s="2188">
        <f t="shared" si="87"/>
        <v>0</v>
      </c>
      <c r="BF97" s="2188">
        <f t="shared" si="87"/>
        <v>0</v>
      </c>
      <c r="BG97" s="2188">
        <f t="shared" si="87"/>
        <v>0</v>
      </c>
      <c r="BH97" s="2188">
        <f t="shared" si="87"/>
        <v>0</v>
      </c>
      <c r="BI97" s="2188">
        <f t="shared" si="87"/>
        <v>0</v>
      </c>
      <c r="BJ97" s="2188">
        <f t="shared" si="87"/>
        <v>0</v>
      </c>
      <c r="BK97" s="2188">
        <f t="shared" si="87"/>
        <v>0</v>
      </c>
      <c r="BL97" s="2188">
        <f t="shared" si="87"/>
        <v>0</v>
      </c>
      <c r="BM97" s="2188">
        <f t="shared" si="87"/>
        <v>0</v>
      </c>
      <c r="BN97" s="2188">
        <f t="shared" si="87"/>
        <v>0</v>
      </c>
      <c r="BO97" s="2188">
        <f t="shared" si="87"/>
        <v>0</v>
      </c>
      <c r="BP97" s="2188">
        <f t="shared" si="87"/>
        <v>0</v>
      </c>
      <c r="BQ97" s="2188">
        <f t="shared" si="87"/>
        <v>0</v>
      </c>
      <c r="BS97" s="2183" t="s">
        <v>74</v>
      </c>
      <c r="BT97" s="2182">
        <f t="shared" ref="BT97:CZ97" si="88">SUM(BT85:BT96)</f>
        <v>0</v>
      </c>
      <c r="BU97" s="2180">
        <f t="shared" si="88"/>
        <v>0</v>
      </c>
      <c r="BV97" s="2180">
        <f t="shared" si="88"/>
        <v>0</v>
      </c>
      <c r="BW97" s="2180">
        <f t="shared" si="88"/>
        <v>0</v>
      </c>
      <c r="BX97" s="2180">
        <f t="shared" si="88"/>
        <v>0</v>
      </c>
      <c r="BY97" s="2180">
        <f t="shared" si="88"/>
        <v>0</v>
      </c>
      <c r="BZ97" s="2180">
        <f t="shared" si="88"/>
        <v>0</v>
      </c>
      <c r="CA97" s="2180">
        <f t="shared" si="88"/>
        <v>0</v>
      </c>
      <c r="CB97" s="2180">
        <f t="shared" si="88"/>
        <v>0</v>
      </c>
      <c r="CC97" s="2180">
        <f t="shared" si="88"/>
        <v>0</v>
      </c>
      <c r="CD97" s="2180">
        <f t="shared" si="88"/>
        <v>0</v>
      </c>
      <c r="CE97" s="2180">
        <f t="shared" si="88"/>
        <v>0</v>
      </c>
      <c r="CF97" s="2180">
        <f t="shared" si="88"/>
        <v>0</v>
      </c>
      <c r="CG97" s="2180">
        <f t="shared" si="88"/>
        <v>0</v>
      </c>
      <c r="CH97" s="2180">
        <f t="shared" si="88"/>
        <v>0</v>
      </c>
      <c r="CI97" s="2180">
        <f t="shared" si="88"/>
        <v>0</v>
      </c>
      <c r="CJ97" s="2180">
        <f t="shared" si="88"/>
        <v>0</v>
      </c>
      <c r="CK97" s="2180">
        <f t="shared" si="88"/>
        <v>0</v>
      </c>
      <c r="CL97" s="2180">
        <f t="shared" si="88"/>
        <v>0</v>
      </c>
      <c r="CM97" s="2180">
        <f t="shared" si="88"/>
        <v>0</v>
      </c>
      <c r="CN97" s="2180">
        <f t="shared" si="88"/>
        <v>0</v>
      </c>
      <c r="CO97" s="2180">
        <f t="shared" si="88"/>
        <v>0</v>
      </c>
      <c r="CP97" s="2180">
        <f t="shared" si="88"/>
        <v>0</v>
      </c>
      <c r="CQ97" s="2180">
        <f t="shared" si="88"/>
        <v>0</v>
      </c>
      <c r="CR97" s="2180">
        <f t="shared" si="88"/>
        <v>0</v>
      </c>
      <c r="CS97" s="2180">
        <f t="shared" si="88"/>
        <v>0</v>
      </c>
      <c r="CT97" s="2180">
        <f t="shared" si="88"/>
        <v>0</v>
      </c>
      <c r="CU97" s="2180">
        <f t="shared" si="88"/>
        <v>0</v>
      </c>
      <c r="CV97" s="2180">
        <f t="shared" si="88"/>
        <v>0</v>
      </c>
      <c r="CW97" s="2180">
        <f t="shared" si="88"/>
        <v>0</v>
      </c>
      <c r="CX97" s="2180">
        <f t="shared" si="88"/>
        <v>0</v>
      </c>
      <c r="CY97" s="2180">
        <f t="shared" si="88"/>
        <v>0</v>
      </c>
      <c r="CZ97" s="2180">
        <f t="shared" si="88"/>
        <v>0</v>
      </c>
      <c r="DB97" s="1470" t="s">
        <v>74</v>
      </c>
      <c r="DC97" s="2277">
        <f t="shared" ref="DC97:EI97" si="89">SUM(DC85:DC96)</f>
        <v>0</v>
      </c>
      <c r="DD97" s="1488">
        <f t="shared" si="89"/>
        <v>0</v>
      </c>
      <c r="DE97" s="1488">
        <f t="shared" si="89"/>
        <v>0</v>
      </c>
      <c r="DF97" s="1488">
        <f t="shared" si="89"/>
        <v>0</v>
      </c>
      <c r="DG97" s="1488">
        <f t="shared" si="89"/>
        <v>0</v>
      </c>
      <c r="DH97" s="1488">
        <f t="shared" si="89"/>
        <v>0</v>
      </c>
      <c r="DI97" s="1488">
        <f t="shared" si="89"/>
        <v>0</v>
      </c>
      <c r="DJ97" s="1488">
        <f t="shared" si="89"/>
        <v>0</v>
      </c>
      <c r="DK97" s="1488">
        <f t="shared" si="89"/>
        <v>0</v>
      </c>
      <c r="DL97" s="1488">
        <f t="shared" si="89"/>
        <v>0</v>
      </c>
      <c r="DM97" s="1488">
        <f t="shared" si="89"/>
        <v>0</v>
      </c>
      <c r="DN97" s="1488">
        <f t="shared" si="89"/>
        <v>0</v>
      </c>
      <c r="DO97" s="1488">
        <f t="shared" si="89"/>
        <v>0</v>
      </c>
      <c r="DP97" s="1488">
        <f t="shared" si="89"/>
        <v>0</v>
      </c>
      <c r="DQ97" s="1488">
        <f t="shared" si="89"/>
        <v>0</v>
      </c>
      <c r="DR97" s="1488">
        <f t="shared" si="89"/>
        <v>0</v>
      </c>
      <c r="DS97" s="1488">
        <f t="shared" si="89"/>
        <v>0</v>
      </c>
      <c r="DT97" s="1488">
        <f t="shared" si="89"/>
        <v>0</v>
      </c>
      <c r="DU97" s="1488">
        <f t="shared" si="89"/>
        <v>0</v>
      </c>
      <c r="DV97" s="1488">
        <f t="shared" si="89"/>
        <v>0</v>
      </c>
      <c r="DW97" s="1488">
        <f t="shared" si="89"/>
        <v>0</v>
      </c>
      <c r="DX97" s="1488">
        <f t="shared" si="89"/>
        <v>0</v>
      </c>
      <c r="DY97" s="1488">
        <f t="shared" si="89"/>
        <v>0</v>
      </c>
      <c r="DZ97" s="1488">
        <f t="shared" si="89"/>
        <v>0</v>
      </c>
      <c r="EA97" s="1488">
        <f t="shared" si="89"/>
        <v>0</v>
      </c>
      <c r="EB97" s="1488">
        <f t="shared" si="89"/>
        <v>0</v>
      </c>
      <c r="EC97" s="1488">
        <f t="shared" si="89"/>
        <v>0</v>
      </c>
      <c r="ED97" s="1488">
        <f t="shared" si="89"/>
        <v>0</v>
      </c>
      <c r="EE97" s="1488">
        <f t="shared" si="89"/>
        <v>0</v>
      </c>
      <c r="EF97" s="1488">
        <f t="shared" si="89"/>
        <v>0</v>
      </c>
      <c r="EG97" s="1488">
        <f t="shared" si="89"/>
        <v>0</v>
      </c>
      <c r="EH97" s="1488">
        <f t="shared" si="89"/>
        <v>0</v>
      </c>
      <c r="EI97" s="1488">
        <f t="shared" si="89"/>
        <v>0</v>
      </c>
    </row>
    <row r="98" spans="1:139">
      <c r="A98" s="1415"/>
      <c r="B98" s="1415"/>
      <c r="C98" s="1415"/>
      <c r="D98" s="1415"/>
      <c r="E98" s="1415"/>
      <c r="F98" s="1415"/>
      <c r="G98" s="1415"/>
      <c r="H98" s="1415"/>
      <c r="I98" s="1415"/>
      <c r="J98" s="1415"/>
      <c r="K98" s="1415"/>
      <c r="L98" s="1415"/>
      <c r="M98" s="1415"/>
      <c r="N98" s="1415"/>
      <c r="O98" s="1415"/>
      <c r="P98" s="1415"/>
      <c r="Q98" s="1415"/>
      <c r="R98" s="1415"/>
      <c r="S98" s="1415"/>
      <c r="T98" s="1415"/>
      <c r="U98" s="1415"/>
      <c r="V98" s="1415"/>
      <c r="W98" s="1415"/>
      <c r="X98" s="1415"/>
      <c r="Y98" s="1415"/>
      <c r="Z98" s="1415"/>
      <c r="AA98" s="1415"/>
      <c r="AB98" s="1415"/>
      <c r="AC98" s="1415"/>
      <c r="AD98" s="1415"/>
      <c r="AE98" s="1415"/>
      <c r="AF98" s="1415"/>
      <c r="AG98" s="1415"/>
      <c r="AH98" s="1415"/>
      <c r="AJ98" s="2195"/>
      <c r="AK98" s="2195"/>
      <c r="AL98" s="2195"/>
      <c r="AM98" s="2195"/>
      <c r="AN98" s="2195"/>
      <c r="AO98" s="2195"/>
      <c r="AP98" s="2195"/>
      <c r="AQ98" s="2195"/>
      <c r="AR98" s="2195"/>
      <c r="AS98" s="2195"/>
      <c r="AT98" s="2195"/>
      <c r="AU98" s="2195"/>
      <c r="AV98" s="2195"/>
      <c r="AW98" s="2195"/>
      <c r="AX98" s="2195"/>
      <c r="AY98" s="2195"/>
      <c r="AZ98" s="2195"/>
      <c r="BA98" s="2195"/>
      <c r="BB98" s="2195"/>
      <c r="BC98" s="2195"/>
      <c r="BD98" s="2195"/>
      <c r="BE98" s="2195"/>
      <c r="BF98" s="2195"/>
      <c r="BG98" s="2195"/>
      <c r="BH98" s="2195"/>
      <c r="BI98" s="2195"/>
      <c r="BJ98" s="2195"/>
      <c r="BK98" s="2195"/>
      <c r="BL98" s="2195"/>
      <c r="BM98" s="2195"/>
      <c r="BN98" s="2195"/>
      <c r="BO98" s="2195"/>
      <c r="BP98" s="2195"/>
      <c r="BQ98" s="2195"/>
      <c r="BS98" s="2187"/>
      <c r="BT98" s="2187"/>
      <c r="BU98" s="2187"/>
      <c r="BV98" s="2187"/>
      <c r="BW98" s="2187"/>
      <c r="BX98" s="2187"/>
      <c r="BY98" s="2187"/>
      <c r="BZ98" s="2187"/>
      <c r="CA98" s="2187"/>
      <c r="CB98" s="2187"/>
      <c r="CC98" s="2187"/>
      <c r="CD98" s="2187"/>
      <c r="CE98" s="2187"/>
      <c r="CF98" s="2187"/>
      <c r="CG98" s="2187"/>
      <c r="CH98" s="2187"/>
      <c r="CI98" s="2187"/>
      <c r="CJ98" s="2187"/>
      <c r="CK98" s="2187"/>
      <c r="CL98" s="2187"/>
      <c r="CM98" s="2187"/>
      <c r="CN98" s="2187"/>
      <c r="CO98" s="2187"/>
      <c r="CP98" s="2187"/>
      <c r="CQ98" s="2187"/>
      <c r="CR98" s="2187"/>
      <c r="CS98" s="2187"/>
      <c r="CT98" s="2187"/>
      <c r="CU98" s="2187"/>
      <c r="CV98" s="2187"/>
      <c r="CW98" s="2187"/>
      <c r="CX98" s="2187"/>
      <c r="CY98" s="2187"/>
      <c r="CZ98" s="2187"/>
      <c r="DB98" s="2124"/>
      <c r="DC98" s="2124"/>
      <c r="DD98" s="2124"/>
      <c r="DE98" s="2124"/>
      <c r="DF98" s="2124"/>
      <c r="DG98" s="2124"/>
      <c r="DH98" s="2124"/>
      <c r="DI98" s="2124"/>
      <c r="DJ98" s="2124"/>
      <c r="DK98" s="2124"/>
      <c r="DL98" s="2124"/>
      <c r="DM98" s="2124"/>
      <c r="DN98" s="2124"/>
      <c r="DO98" s="2124"/>
      <c r="DP98" s="2124"/>
      <c r="DQ98" s="2124"/>
      <c r="DR98" s="2124"/>
      <c r="DS98" s="2124"/>
      <c r="DT98" s="2124"/>
      <c r="DU98" s="2124"/>
      <c r="DV98" s="2124"/>
      <c r="DW98" s="2124"/>
      <c r="DX98" s="2124"/>
      <c r="DY98" s="2124"/>
      <c r="DZ98" s="2124"/>
      <c r="EA98" s="2124"/>
      <c r="EB98" s="2124"/>
      <c r="EC98" s="2124"/>
      <c r="ED98" s="2124"/>
      <c r="EE98" s="2124"/>
      <c r="EF98" s="2124"/>
      <c r="EG98" s="2124"/>
      <c r="EH98" s="2124"/>
      <c r="EI98" s="2124"/>
    </row>
    <row r="99" spans="1:139" ht="15">
      <c r="A99" s="3634" t="s">
        <v>637</v>
      </c>
      <c r="B99" s="3635"/>
      <c r="C99" s="3636"/>
      <c r="D99" s="2343"/>
      <c r="E99" s="2323"/>
      <c r="F99" s="2323"/>
      <c r="G99" s="2323"/>
      <c r="H99" s="2323"/>
      <c r="I99" s="2323"/>
      <c r="J99" s="2323"/>
      <c r="K99" s="2323"/>
      <c r="L99" s="2323"/>
      <c r="M99" s="2324"/>
      <c r="N99" s="2344"/>
      <c r="O99" s="2323"/>
      <c r="P99" s="2323"/>
      <c r="Q99" s="2323"/>
      <c r="R99" s="2323"/>
      <c r="S99" s="2323"/>
      <c r="T99" s="2323"/>
      <c r="U99" s="2323"/>
      <c r="V99" s="2323"/>
      <c r="W99" s="2323"/>
      <c r="X99" s="2323"/>
      <c r="Y99" s="2323"/>
      <c r="Z99" s="2323"/>
      <c r="AA99" s="2323"/>
      <c r="AB99" s="2323"/>
      <c r="AC99" s="2323"/>
      <c r="AD99" s="2323"/>
      <c r="AE99" s="2323"/>
      <c r="AF99" s="2323"/>
      <c r="AG99" s="2323"/>
      <c r="AH99" s="2323"/>
      <c r="AJ99" s="3585" t="s">
        <v>637</v>
      </c>
      <c r="AK99" s="3586"/>
      <c r="AL99" s="3587"/>
      <c r="AM99" s="2269"/>
      <c r="AN99" s="2193"/>
      <c r="AO99" s="2193"/>
      <c r="AP99" s="2193"/>
      <c r="AQ99" s="2193"/>
      <c r="AR99" s="2193"/>
      <c r="AS99" s="2193"/>
      <c r="AT99" s="2193"/>
      <c r="AU99" s="2193"/>
      <c r="AV99" s="2194"/>
      <c r="AW99" s="2268"/>
      <c r="AX99" s="2193"/>
      <c r="AY99" s="2193"/>
      <c r="AZ99" s="2193"/>
      <c r="BA99" s="2193"/>
      <c r="BB99" s="2193"/>
      <c r="BC99" s="2193"/>
      <c r="BD99" s="2193"/>
      <c r="BE99" s="2193"/>
      <c r="BF99" s="2193"/>
      <c r="BG99" s="2193"/>
      <c r="BH99" s="2193"/>
      <c r="BI99" s="2193"/>
      <c r="BJ99" s="2193"/>
      <c r="BK99" s="2193"/>
      <c r="BL99" s="2193"/>
      <c r="BM99" s="2193"/>
      <c r="BN99" s="2193"/>
      <c r="BO99" s="2193"/>
      <c r="BP99" s="2193"/>
      <c r="BQ99" s="2193"/>
      <c r="BS99" s="3772" t="s">
        <v>637</v>
      </c>
      <c r="BT99" s="3773"/>
      <c r="BU99" s="3774"/>
      <c r="BV99" s="2267"/>
      <c r="BW99" s="2185"/>
      <c r="BX99" s="2185"/>
      <c r="BY99" s="2185"/>
      <c r="BZ99" s="2185"/>
      <c r="CA99" s="2185"/>
      <c r="CB99" s="2185"/>
      <c r="CC99" s="2185"/>
      <c r="CD99" s="2185"/>
      <c r="CE99" s="2186"/>
      <c r="CF99" s="2266"/>
      <c r="CG99" s="2185"/>
      <c r="CH99" s="2185"/>
      <c r="CI99" s="2185"/>
      <c r="CJ99" s="2185"/>
      <c r="CK99" s="2185"/>
      <c r="CL99" s="2185"/>
      <c r="CM99" s="2185"/>
      <c r="CN99" s="2185"/>
      <c r="CO99" s="2185"/>
      <c r="CP99" s="2185"/>
      <c r="CQ99" s="2185"/>
      <c r="CR99" s="2185"/>
      <c r="CS99" s="2185"/>
      <c r="CT99" s="2185"/>
      <c r="CU99" s="2185"/>
      <c r="CV99" s="2185"/>
      <c r="CW99" s="2185"/>
      <c r="CX99" s="2185"/>
      <c r="CY99" s="2185"/>
      <c r="CZ99" s="2185"/>
      <c r="DB99" s="3781" t="s">
        <v>637</v>
      </c>
      <c r="DC99" s="3782"/>
      <c r="DD99" s="3783"/>
      <c r="DE99" s="2275"/>
      <c r="DF99" s="1433"/>
      <c r="DG99" s="1433"/>
      <c r="DH99" s="1433"/>
      <c r="DI99" s="1433"/>
      <c r="DJ99" s="1433"/>
      <c r="DK99" s="1433"/>
      <c r="DL99" s="1433"/>
      <c r="DM99" s="1433"/>
      <c r="DN99" s="2274"/>
      <c r="DO99" s="2273"/>
      <c r="DP99" s="1433"/>
      <c r="DQ99" s="1433"/>
      <c r="DR99" s="1433"/>
      <c r="DS99" s="1433"/>
      <c r="DT99" s="1433"/>
      <c r="DU99" s="1433"/>
      <c r="DV99" s="1433"/>
      <c r="DW99" s="1433"/>
      <c r="DX99" s="1433"/>
      <c r="DY99" s="1433"/>
      <c r="DZ99" s="1433"/>
      <c r="EA99" s="1433"/>
      <c r="EB99" s="1433"/>
      <c r="EC99" s="1433"/>
      <c r="ED99" s="1433"/>
      <c r="EE99" s="1433"/>
      <c r="EF99" s="1433"/>
      <c r="EG99" s="1433"/>
      <c r="EH99" s="1433"/>
      <c r="EI99" s="1433"/>
    </row>
    <row r="100" spans="1:139" ht="15">
      <c r="A100" s="1233" t="s">
        <v>72</v>
      </c>
      <c r="B100" s="1233" t="s">
        <v>73</v>
      </c>
      <c r="C100" s="1233">
        <v>1</v>
      </c>
      <c r="D100" s="1233">
        <v>2</v>
      </c>
      <c r="E100" s="1233">
        <v>3</v>
      </c>
      <c r="F100" s="1233">
        <v>4</v>
      </c>
      <c r="G100" s="1233">
        <v>5</v>
      </c>
      <c r="H100" s="1233">
        <v>6</v>
      </c>
      <c r="I100" s="1233">
        <v>7</v>
      </c>
      <c r="J100" s="1233">
        <v>8</v>
      </c>
      <c r="K100" s="1233">
        <v>9</v>
      </c>
      <c r="L100" s="1233">
        <v>10</v>
      </c>
      <c r="M100" s="1233">
        <v>11</v>
      </c>
      <c r="N100" s="1233">
        <v>12</v>
      </c>
      <c r="O100" s="1233">
        <v>13</v>
      </c>
      <c r="P100" s="1233">
        <v>14</v>
      </c>
      <c r="Q100" s="1233">
        <v>15</v>
      </c>
      <c r="R100" s="1233">
        <v>16</v>
      </c>
      <c r="S100" s="1233">
        <v>17</v>
      </c>
      <c r="T100" s="1233">
        <v>18</v>
      </c>
      <c r="U100" s="1233">
        <v>19</v>
      </c>
      <c r="V100" s="1233">
        <v>20</v>
      </c>
      <c r="W100" s="1233">
        <v>21</v>
      </c>
      <c r="X100" s="1233">
        <v>22</v>
      </c>
      <c r="Y100" s="1233">
        <v>23</v>
      </c>
      <c r="Z100" s="1233">
        <v>24</v>
      </c>
      <c r="AA100" s="1233">
        <v>25</v>
      </c>
      <c r="AB100" s="1233">
        <v>26</v>
      </c>
      <c r="AC100" s="1233">
        <v>27</v>
      </c>
      <c r="AD100" s="1233">
        <v>28</v>
      </c>
      <c r="AE100" s="1233">
        <v>29</v>
      </c>
      <c r="AF100" s="1233">
        <v>30</v>
      </c>
      <c r="AG100" s="1233">
        <v>31</v>
      </c>
      <c r="AH100" s="2325" t="s">
        <v>74</v>
      </c>
      <c r="AJ100" s="1746" t="s">
        <v>72</v>
      </c>
      <c r="AK100" s="1746" t="s">
        <v>73</v>
      </c>
      <c r="AL100" s="1746">
        <v>1</v>
      </c>
      <c r="AM100" s="1746">
        <v>2</v>
      </c>
      <c r="AN100" s="1746">
        <v>3</v>
      </c>
      <c r="AO100" s="1746">
        <v>4</v>
      </c>
      <c r="AP100" s="1746">
        <v>5</v>
      </c>
      <c r="AQ100" s="1746">
        <v>6</v>
      </c>
      <c r="AR100" s="1746">
        <v>7</v>
      </c>
      <c r="AS100" s="1746">
        <v>8</v>
      </c>
      <c r="AT100" s="1746">
        <v>9</v>
      </c>
      <c r="AU100" s="1746">
        <v>10</v>
      </c>
      <c r="AV100" s="1746">
        <v>11</v>
      </c>
      <c r="AW100" s="1746">
        <v>12</v>
      </c>
      <c r="AX100" s="1746">
        <v>13</v>
      </c>
      <c r="AY100" s="1746">
        <v>14</v>
      </c>
      <c r="AZ100" s="1746">
        <v>15</v>
      </c>
      <c r="BA100" s="1746">
        <v>16</v>
      </c>
      <c r="BB100" s="1746">
        <v>17</v>
      </c>
      <c r="BC100" s="1746">
        <v>18</v>
      </c>
      <c r="BD100" s="1746">
        <v>19</v>
      </c>
      <c r="BE100" s="1746">
        <v>20</v>
      </c>
      <c r="BF100" s="1746">
        <v>21</v>
      </c>
      <c r="BG100" s="1746">
        <v>22</v>
      </c>
      <c r="BH100" s="1746">
        <v>23</v>
      </c>
      <c r="BI100" s="1746">
        <v>24</v>
      </c>
      <c r="BJ100" s="1746">
        <v>25</v>
      </c>
      <c r="BK100" s="1746">
        <v>26</v>
      </c>
      <c r="BL100" s="1746">
        <v>27</v>
      </c>
      <c r="BM100" s="1746">
        <v>28</v>
      </c>
      <c r="BN100" s="1746">
        <v>29</v>
      </c>
      <c r="BO100" s="1746">
        <v>30</v>
      </c>
      <c r="BP100" s="1746">
        <v>31</v>
      </c>
      <c r="BQ100" s="2192" t="s">
        <v>74</v>
      </c>
      <c r="BS100" s="1845" t="s">
        <v>72</v>
      </c>
      <c r="BT100" s="1845" t="s">
        <v>73</v>
      </c>
      <c r="BU100" s="1845">
        <v>1</v>
      </c>
      <c r="BV100" s="1845">
        <v>2</v>
      </c>
      <c r="BW100" s="1845">
        <v>3</v>
      </c>
      <c r="BX100" s="1845">
        <v>4</v>
      </c>
      <c r="BY100" s="1845">
        <v>5</v>
      </c>
      <c r="BZ100" s="1845">
        <v>6</v>
      </c>
      <c r="CA100" s="1845">
        <v>7</v>
      </c>
      <c r="CB100" s="1845">
        <v>8</v>
      </c>
      <c r="CC100" s="1845">
        <v>9</v>
      </c>
      <c r="CD100" s="1845">
        <v>10</v>
      </c>
      <c r="CE100" s="1845">
        <v>11</v>
      </c>
      <c r="CF100" s="1845">
        <v>12</v>
      </c>
      <c r="CG100" s="1845">
        <v>13</v>
      </c>
      <c r="CH100" s="1845">
        <v>14</v>
      </c>
      <c r="CI100" s="1845">
        <v>15</v>
      </c>
      <c r="CJ100" s="1845">
        <v>16</v>
      </c>
      <c r="CK100" s="1845">
        <v>17</v>
      </c>
      <c r="CL100" s="1845">
        <v>18</v>
      </c>
      <c r="CM100" s="1845">
        <v>19</v>
      </c>
      <c r="CN100" s="1845">
        <v>20</v>
      </c>
      <c r="CO100" s="1845">
        <v>21</v>
      </c>
      <c r="CP100" s="1845">
        <v>22</v>
      </c>
      <c r="CQ100" s="1845">
        <v>23</v>
      </c>
      <c r="CR100" s="1845">
        <v>24</v>
      </c>
      <c r="CS100" s="1845">
        <v>25</v>
      </c>
      <c r="CT100" s="1845">
        <v>26</v>
      </c>
      <c r="CU100" s="1845">
        <v>27</v>
      </c>
      <c r="CV100" s="1845">
        <v>28</v>
      </c>
      <c r="CW100" s="1845">
        <v>29</v>
      </c>
      <c r="CX100" s="1845">
        <v>30</v>
      </c>
      <c r="CY100" s="1845">
        <v>31</v>
      </c>
      <c r="CZ100" s="2184" t="s">
        <v>74</v>
      </c>
      <c r="DB100" s="1249" t="s">
        <v>72</v>
      </c>
      <c r="DC100" s="1249" t="s">
        <v>73</v>
      </c>
      <c r="DD100" s="1249">
        <v>1</v>
      </c>
      <c r="DE100" s="1249">
        <v>2</v>
      </c>
      <c r="DF100" s="1249">
        <v>3</v>
      </c>
      <c r="DG100" s="1249">
        <v>4</v>
      </c>
      <c r="DH100" s="1249">
        <v>5</v>
      </c>
      <c r="DI100" s="1249">
        <v>6</v>
      </c>
      <c r="DJ100" s="1249">
        <v>7</v>
      </c>
      <c r="DK100" s="1249">
        <v>8</v>
      </c>
      <c r="DL100" s="1249">
        <v>9</v>
      </c>
      <c r="DM100" s="1249">
        <v>10</v>
      </c>
      <c r="DN100" s="1249">
        <v>11</v>
      </c>
      <c r="DO100" s="1249">
        <v>12</v>
      </c>
      <c r="DP100" s="1249">
        <v>13</v>
      </c>
      <c r="DQ100" s="1249">
        <v>14</v>
      </c>
      <c r="DR100" s="1249">
        <v>15</v>
      </c>
      <c r="DS100" s="1249">
        <v>16</v>
      </c>
      <c r="DT100" s="1249">
        <v>17</v>
      </c>
      <c r="DU100" s="1249">
        <v>18</v>
      </c>
      <c r="DV100" s="1249">
        <v>19</v>
      </c>
      <c r="DW100" s="1249">
        <v>20</v>
      </c>
      <c r="DX100" s="1249">
        <v>21</v>
      </c>
      <c r="DY100" s="1249">
        <v>22</v>
      </c>
      <c r="DZ100" s="1249">
        <v>23</v>
      </c>
      <c r="EA100" s="1249">
        <v>24</v>
      </c>
      <c r="EB100" s="1249">
        <v>25</v>
      </c>
      <c r="EC100" s="1249">
        <v>26</v>
      </c>
      <c r="ED100" s="1249">
        <v>27</v>
      </c>
      <c r="EE100" s="1249">
        <v>28</v>
      </c>
      <c r="EF100" s="1249">
        <v>29</v>
      </c>
      <c r="EG100" s="1249">
        <v>30</v>
      </c>
      <c r="EH100" s="1249">
        <v>31</v>
      </c>
      <c r="EI100" s="1820" t="s">
        <v>74</v>
      </c>
    </row>
    <row r="101" spans="1:139" ht="15">
      <c r="A101" s="1233" t="s">
        <v>75</v>
      </c>
      <c r="B101" s="1280">
        <f t="shared" ref="B101:B112" si="90">+AH101</f>
        <v>0</v>
      </c>
      <c r="C101" s="2345"/>
      <c r="D101" s="2345"/>
      <c r="E101" s="2345"/>
      <c r="F101" s="2345"/>
      <c r="G101" s="2345"/>
      <c r="H101" s="2345"/>
      <c r="I101" s="2345"/>
      <c r="J101" s="2345"/>
      <c r="K101" s="2345"/>
      <c r="L101" s="2345"/>
      <c r="M101" s="2345"/>
      <c r="N101" s="2345"/>
      <c r="O101" s="2345"/>
      <c r="P101" s="2345"/>
      <c r="Q101" s="2345"/>
      <c r="R101" s="2345"/>
      <c r="S101" s="2345"/>
      <c r="T101" s="2345"/>
      <c r="U101" s="2345"/>
      <c r="V101" s="2345"/>
      <c r="W101" s="2345"/>
      <c r="X101" s="2345"/>
      <c r="Y101" s="2345"/>
      <c r="Z101" s="2345"/>
      <c r="AA101" s="2345"/>
      <c r="AB101" s="2345"/>
      <c r="AC101" s="2345"/>
      <c r="AD101" s="2345"/>
      <c r="AE101" s="2345"/>
      <c r="AF101" s="2345"/>
      <c r="AG101" s="2345"/>
      <c r="AH101" s="2327">
        <f t="shared" ref="AH101:AH112" si="91">SUM(C101:AG101)</f>
        <v>0</v>
      </c>
      <c r="AJ101" s="1746" t="s">
        <v>75</v>
      </c>
      <c r="AK101" s="1749">
        <f t="shared" ref="AK101:AK112" si="92">+BQ101</f>
        <v>0</v>
      </c>
      <c r="AL101" s="2226"/>
      <c r="AM101" s="2226"/>
      <c r="AN101" s="2226"/>
      <c r="AO101" s="2226"/>
      <c r="AP101" s="2226"/>
      <c r="AQ101" s="2226"/>
      <c r="AR101" s="2226"/>
      <c r="AS101" s="2226"/>
      <c r="AT101" s="2226"/>
      <c r="AU101" s="2226"/>
      <c r="AV101" s="2226"/>
      <c r="AW101" s="2226"/>
      <c r="AX101" s="2226"/>
      <c r="AY101" s="2226"/>
      <c r="AZ101" s="2226"/>
      <c r="BA101" s="2226"/>
      <c r="BB101" s="2226"/>
      <c r="BC101" s="2226"/>
      <c r="BD101" s="2226"/>
      <c r="BE101" s="2226"/>
      <c r="BF101" s="2226"/>
      <c r="BG101" s="2226"/>
      <c r="BH101" s="2226"/>
      <c r="BI101" s="2226"/>
      <c r="BJ101" s="2226"/>
      <c r="BK101" s="2226"/>
      <c r="BL101" s="2226"/>
      <c r="BM101" s="2226"/>
      <c r="BN101" s="2226"/>
      <c r="BO101" s="2226"/>
      <c r="BP101" s="2226"/>
      <c r="BQ101" s="2188">
        <f t="shared" ref="BQ101:BQ112" si="93">SUM(AL101:BP101)</f>
        <v>0</v>
      </c>
      <c r="BS101" s="1845" t="s">
        <v>75</v>
      </c>
      <c r="BT101" s="1846">
        <f t="shared" ref="BT101:BT112" si="94">+CZ101</f>
        <v>0</v>
      </c>
      <c r="BU101" s="2225"/>
      <c r="BV101" s="2225"/>
      <c r="BW101" s="2225"/>
      <c r="BX101" s="2225"/>
      <c r="BY101" s="2225"/>
      <c r="BZ101" s="2225"/>
      <c r="CA101" s="2225"/>
      <c r="CB101" s="2225"/>
      <c r="CC101" s="2225"/>
      <c r="CD101" s="2225"/>
      <c r="CE101" s="2225"/>
      <c r="CF101" s="2225"/>
      <c r="CG101" s="2225"/>
      <c r="CH101" s="2225"/>
      <c r="CI101" s="2225"/>
      <c r="CJ101" s="2225"/>
      <c r="CK101" s="2225"/>
      <c r="CL101" s="2225"/>
      <c r="CM101" s="2225"/>
      <c r="CN101" s="2225"/>
      <c r="CO101" s="2225"/>
      <c r="CP101" s="2225"/>
      <c r="CQ101" s="2225"/>
      <c r="CR101" s="2225"/>
      <c r="CS101" s="2225"/>
      <c r="CT101" s="2225"/>
      <c r="CU101" s="2225"/>
      <c r="CV101" s="2225"/>
      <c r="CW101" s="2225"/>
      <c r="CX101" s="2225"/>
      <c r="CY101" s="2225"/>
      <c r="CZ101" s="2180">
        <f t="shared" ref="CZ101:CZ112" si="95">SUM(BU101:CY101)</f>
        <v>0</v>
      </c>
      <c r="DB101" s="1249" t="s">
        <v>75</v>
      </c>
      <c r="DC101" s="1287">
        <f t="shared" ref="DC101:DC112" si="96">+EI101</f>
        <v>0</v>
      </c>
      <c r="DD101" s="2271"/>
      <c r="DE101" s="2271"/>
      <c r="DF101" s="2271"/>
      <c r="DG101" s="2271"/>
      <c r="DH101" s="2271"/>
      <c r="DI101" s="2271"/>
      <c r="DJ101" s="2271"/>
      <c r="DK101" s="2271"/>
      <c r="DL101" s="2271"/>
      <c r="DM101" s="2271"/>
      <c r="DN101" s="2271"/>
      <c r="DO101" s="2271"/>
      <c r="DP101" s="2271"/>
      <c r="DQ101" s="2271"/>
      <c r="DR101" s="2271"/>
      <c r="DS101" s="2271"/>
      <c r="DT101" s="2271"/>
      <c r="DU101" s="2271"/>
      <c r="DV101" s="2271"/>
      <c r="DW101" s="2271"/>
      <c r="DX101" s="2271"/>
      <c r="DY101" s="2271"/>
      <c r="DZ101" s="2271"/>
      <c r="EA101" s="2271"/>
      <c r="EB101" s="2271"/>
      <c r="EC101" s="2271"/>
      <c r="ED101" s="2271"/>
      <c r="EE101" s="2271"/>
      <c r="EF101" s="2271"/>
      <c r="EG101" s="2271"/>
      <c r="EH101" s="2271"/>
      <c r="EI101" s="1488">
        <f t="shared" ref="EI101:EI112" si="97">SUM(DD101:EH101)</f>
        <v>0</v>
      </c>
    </row>
    <row r="102" spans="1:139" ht="15">
      <c r="A102" s="1233" t="s">
        <v>76</v>
      </c>
      <c r="B102" s="1280">
        <f t="shared" si="90"/>
        <v>0</v>
      </c>
      <c r="C102" s="2345"/>
      <c r="D102" s="2345"/>
      <c r="E102" s="2345"/>
      <c r="F102" s="2345"/>
      <c r="G102" s="2345"/>
      <c r="H102" s="2345"/>
      <c r="I102" s="2345"/>
      <c r="J102" s="2345"/>
      <c r="K102" s="2345"/>
      <c r="L102" s="2345"/>
      <c r="M102" s="2345"/>
      <c r="N102" s="2345"/>
      <c r="O102" s="2345"/>
      <c r="P102" s="2345"/>
      <c r="Q102" s="2345"/>
      <c r="R102" s="2345"/>
      <c r="S102" s="2345"/>
      <c r="T102" s="2345"/>
      <c r="U102" s="2345"/>
      <c r="V102" s="2345"/>
      <c r="W102" s="2345"/>
      <c r="X102" s="2345"/>
      <c r="Y102" s="2345"/>
      <c r="Z102" s="2345"/>
      <c r="AA102" s="2345"/>
      <c r="AB102" s="2345"/>
      <c r="AC102" s="2345"/>
      <c r="AD102" s="2345"/>
      <c r="AE102" s="2345"/>
      <c r="AF102" s="2345"/>
      <c r="AG102" s="2345"/>
      <c r="AH102" s="2327">
        <f t="shared" si="91"/>
        <v>0</v>
      </c>
      <c r="AJ102" s="1746" t="s">
        <v>76</v>
      </c>
      <c r="AK102" s="1749">
        <f t="shared" si="92"/>
        <v>0</v>
      </c>
      <c r="AL102" s="2226"/>
      <c r="AM102" s="2226"/>
      <c r="AN102" s="2226"/>
      <c r="AO102" s="2226"/>
      <c r="AP102" s="2226"/>
      <c r="AQ102" s="2226"/>
      <c r="AR102" s="2226"/>
      <c r="AS102" s="2226"/>
      <c r="AT102" s="2226"/>
      <c r="AU102" s="2226"/>
      <c r="AV102" s="2226"/>
      <c r="AW102" s="2226"/>
      <c r="AX102" s="2226"/>
      <c r="AY102" s="2226"/>
      <c r="AZ102" s="2226"/>
      <c r="BA102" s="2226"/>
      <c r="BB102" s="2226"/>
      <c r="BC102" s="2226"/>
      <c r="BD102" s="2226"/>
      <c r="BE102" s="2226"/>
      <c r="BF102" s="2226"/>
      <c r="BG102" s="2226"/>
      <c r="BH102" s="2226"/>
      <c r="BI102" s="2226"/>
      <c r="BJ102" s="2226"/>
      <c r="BK102" s="2226"/>
      <c r="BL102" s="2226"/>
      <c r="BM102" s="2226"/>
      <c r="BN102" s="2226"/>
      <c r="BO102" s="2226"/>
      <c r="BP102" s="2226"/>
      <c r="BQ102" s="2188">
        <f t="shared" si="93"/>
        <v>0</v>
      </c>
      <c r="BS102" s="1845" t="s">
        <v>76</v>
      </c>
      <c r="BT102" s="1846">
        <f t="shared" si="94"/>
        <v>0</v>
      </c>
      <c r="BU102" s="2225"/>
      <c r="BV102" s="2225"/>
      <c r="BW102" s="2225"/>
      <c r="BX102" s="2225"/>
      <c r="BY102" s="2225"/>
      <c r="BZ102" s="2225"/>
      <c r="CA102" s="2225"/>
      <c r="CB102" s="2225"/>
      <c r="CC102" s="2225"/>
      <c r="CD102" s="2225"/>
      <c r="CE102" s="2225"/>
      <c r="CF102" s="2225"/>
      <c r="CG102" s="2225"/>
      <c r="CH102" s="2225"/>
      <c r="CI102" s="2225"/>
      <c r="CJ102" s="2225"/>
      <c r="CK102" s="2225"/>
      <c r="CL102" s="2225"/>
      <c r="CM102" s="2225"/>
      <c r="CN102" s="2225"/>
      <c r="CO102" s="2225"/>
      <c r="CP102" s="2225"/>
      <c r="CQ102" s="2225"/>
      <c r="CR102" s="2225"/>
      <c r="CS102" s="2225"/>
      <c r="CT102" s="2225"/>
      <c r="CU102" s="2225"/>
      <c r="CV102" s="2225"/>
      <c r="CW102" s="2225"/>
      <c r="CX102" s="2225"/>
      <c r="CY102" s="2225"/>
      <c r="CZ102" s="2180">
        <f t="shared" si="95"/>
        <v>0</v>
      </c>
      <c r="DB102" s="1249" t="s">
        <v>76</v>
      </c>
      <c r="DC102" s="1287">
        <f t="shared" si="96"/>
        <v>0</v>
      </c>
      <c r="DD102" s="2271"/>
      <c r="DE102" s="2271"/>
      <c r="DF102" s="2271"/>
      <c r="DG102" s="2271"/>
      <c r="DH102" s="2271"/>
      <c r="DI102" s="2271"/>
      <c r="DJ102" s="2271"/>
      <c r="DK102" s="2271"/>
      <c r="DL102" s="2271"/>
      <c r="DM102" s="2271"/>
      <c r="DN102" s="2271"/>
      <c r="DO102" s="2271"/>
      <c r="DP102" s="2271"/>
      <c r="DQ102" s="2271"/>
      <c r="DR102" s="2271"/>
      <c r="DS102" s="2271"/>
      <c r="DT102" s="2271"/>
      <c r="DU102" s="2271"/>
      <c r="DV102" s="2271"/>
      <c r="DW102" s="2271"/>
      <c r="DX102" s="2271"/>
      <c r="DY102" s="2271"/>
      <c r="DZ102" s="2271"/>
      <c r="EA102" s="2271"/>
      <c r="EB102" s="2271"/>
      <c r="EC102" s="2271"/>
      <c r="ED102" s="2271"/>
      <c r="EE102" s="2271"/>
      <c r="EF102" s="2271"/>
      <c r="EG102" s="2271"/>
      <c r="EH102" s="2271"/>
      <c r="EI102" s="1488">
        <f t="shared" si="97"/>
        <v>0</v>
      </c>
    </row>
    <row r="103" spans="1:139" ht="15">
      <c r="A103" s="1233" t="s">
        <v>77</v>
      </c>
      <c r="B103" s="1280">
        <f t="shared" si="90"/>
        <v>0</v>
      </c>
      <c r="C103" s="2345"/>
      <c r="D103" s="2345"/>
      <c r="E103" s="2345"/>
      <c r="F103" s="2345"/>
      <c r="G103" s="2345"/>
      <c r="H103" s="2345"/>
      <c r="I103" s="2345"/>
      <c r="J103" s="2345"/>
      <c r="K103" s="2345"/>
      <c r="L103" s="2345"/>
      <c r="M103" s="2345"/>
      <c r="N103" s="2345"/>
      <c r="O103" s="2345"/>
      <c r="P103" s="2345"/>
      <c r="Q103" s="2345"/>
      <c r="R103" s="2345"/>
      <c r="S103" s="2345"/>
      <c r="T103" s="2345"/>
      <c r="U103" s="2345"/>
      <c r="V103" s="2345"/>
      <c r="W103" s="2345"/>
      <c r="X103" s="2345"/>
      <c r="Y103" s="2345"/>
      <c r="Z103" s="2345"/>
      <c r="AA103" s="2345"/>
      <c r="AB103" s="2345"/>
      <c r="AC103" s="2345"/>
      <c r="AD103" s="2345"/>
      <c r="AE103" s="2345"/>
      <c r="AF103" s="2345"/>
      <c r="AG103" s="2345"/>
      <c r="AH103" s="2327">
        <f t="shared" si="91"/>
        <v>0</v>
      </c>
      <c r="AJ103" s="1746" t="s">
        <v>77</v>
      </c>
      <c r="AK103" s="1749">
        <f t="shared" si="92"/>
        <v>0</v>
      </c>
      <c r="AL103" s="2226"/>
      <c r="AM103" s="2226"/>
      <c r="AN103" s="2226"/>
      <c r="AO103" s="2226"/>
      <c r="AP103" s="2226"/>
      <c r="AQ103" s="2226"/>
      <c r="AR103" s="2226"/>
      <c r="AS103" s="2226"/>
      <c r="AT103" s="2226"/>
      <c r="AU103" s="2226"/>
      <c r="AV103" s="2226"/>
      <c r="AW103" s="2226"/>
      <c r="AX103" s="2226"/>
      <c r="AY103" s="2226"/>
      <c r="AZ103" s="2226"/>
      <c r="BA103" s="2226"/>
      <c r="BB103" s="2226"/>
      <c r="BC103" s="2226"/>
      <c r="BD103" s="2226"/>
      <c r="BE103" s="2226"/>
      <c r="BF103" s="2226"/>
      <c r="BG103" s="2226"/>
      <c r="BH103" s="2226"/>
      <c r="BI103" s="2226"/>
      <c r="BJ103" s="2226"/>
      <c r="BK103" s="2226"/>
      <c r="BL103" s="2226"/>
      <c r="BM103" s="2226"/>
      <c r="BN103" s="2226"/>
      <c r="BO103" s="2226"/>
      <c r="BP103" s="2226"/>
      <c r="BQ103" s="2188">
        <f t="shared" si="93"/>
        <v>0</v>
      </c>
      <c r="BS103" s="1845" t="s">
        <v>77</v>
      </c>
      <c r="BT103" s="1846">
        <f t="shared" si="94"/>
        <v>0</v>
      </c>
      <c r="BU103" s="2225"/>
      <c r="BV103" s="2225"/>
      <c r="BW103" s="2225"/>
      <c r="BX103" s="2225"/>
      <c r="BY103" s="2225"/>
      <c r="BZ103" s="2225"/>
      <c r="CA103" s="2225"/>
      <c r="CB103" s="2225"/>
      <c r="CC103" s="2225"/>
      <c r="CD103" s="2225"/>
      <c r="CE103" s="2225"/>
      <c r="CF103" s="2225"/>
      <c r="CG103" s="2225"/>
      <c r="CH103" s="2225"/>
      <c r="CI103" s="2225"/>
      <c r="CJ103" s="2225"/>
      <c r="CK103" s="2225"/>
      <c r="CL103" s="2225"/>
      <c r="CM103" s="2225"/>
      <c r="CN103" s="2225"/>
      <c r="CO103" s="2225"/>
      <c r="CP103" s="2225"/>
      <c r="CQ103" s="2225"/>
      <c r="CR103" s="2225"/>
      <c r="CS103" s="2225"/>
      <c r="CT103" s="2225"/>
      <c r="CU103" s="2225"/>
      <c r="CV103" s="2225"/>
      <c r="CW103" s="2225"/>
      <c r="CX103" s="2225"/>
      <c r="CY103" s="2225"/>
      <c r="CZ103" s="2180">
        <f t="shared" si="95"/>
        <v>0</v>
      </c>
      <c r="DB103" s="1249" t="s">
        <v>77</v>
      </c>
      <c r="DC103" s="1287">
        <f t="shared" si="96"/>
        <v>0</v>
      </c>
      <c r="DD103" s="2271"/>
      <c r="DE103" s="2271"/>
      <c r="DF103" s="2271"/>
      <c r="DG103" s="2271"/>
      <c r="DH103" s="2271"/>
      <c r="DI103" s="2271"/>
      <c r="DJ103" s="2271"/>
      <c r="DK103" s="2271"/>
      <c r="DL103" s="2271"/>
      <c r="DM103" s="2271"/>
      <c r="DN103" s="2271"/>
      <c r="DO103" s="2271"/>
      <c r="DP103" s="2271"/>
      <c r="DQ103" s="2271"/>
      <c r="DR103" s="2271"/>
      <c r="DS103" s="2271"/>
      <c r="DT103" s="2271"/>
      <c r="DU103" s="2271"/>
      <c r="DV103" s="2271"/>
      <c r="DW103" s="2271"/>
      <c r="DX103" s="2271"/>
      <c r="DY103" s="2271"/>
      <c r="DZ103" s="2271"/>
      <c r="EA103" s="2271"/>
      <c r="EB103" s="2271"/>
      <c r="EC103" s="2271"/>
      <c r="ED103" s="2271"/>
      <c r="EE103" s="2271"/>
      <c r="EF103" s="2271"/>
      <c r="EG103" s="2271"/>
      <c r="EH103" s="2271"/>
      <c r="EI103" s="1488">
        <f t="shared" si="97"/>
        <v>0</v>
      </c>
    </row>
    <row r="104" spans="1:139" ht="15">
      <c r="A104" s="1233" t="s">
        <v>78</v>
      </c>
      <c r="B104" s="1280">
        <f t="shared" si="90"/>
        <v>0</v>
      </c>
      <c r="C104" s="2346"/>
      <c r="D104" s="2346"/>
      <c r="E104" s="2346"/>
      <c r="F104" s="2346"/>
      <c r="G104" s="2346"/>
      <c r="H104" s="2346"/>
      <c r="I104" s="2346"/>
      <c r="J104" s="2346"/>
      <c r="K104" s="2346"/>
      <c r="L104" s="2346"/>
      <c r="M104" s="2345"/>
      <c r="N104" s="2345"/>
      <c r="O104" s="2345"/>
      <c r="P104" s="2345"/>
      <c r="Q104" s="2345"/>
      <c r="R104" s="2345"/>
      <c r="S104" s="2345"/>
      <c r="T104" s="2345"/>
      <c r="U104" s="2345"/>
      <c r="V104" s="2345"/>
      <c r="W104" s="2345"/>
      <c r="X104" s="2345"/>
      <c r="Y104" s="2345"/>
      <c r="Z104" s="2345"/>
      <c r="AA104" s="2345"/>
      <c r="AB104" s="2345"/>
      <c r="AC104" s="2345"/>
      <c r="AD104" s="2345"/>
      <c r="AE104" s="2345"/>
      <c r="AF104" s="2345"/>
      <c r="AG104" s="2346"/>
      <c r="AH104" s="2327">
        <f t="shared" si="91"/>
        <v>0</v>
      </c>
      <c r="AJ104" s="1746" t="s">
        <v>78</v>
      </c>
      <c r="AK104" s="1749">
        <f t="shared" si="92"/>
        <v>0</v>
      </c>
      <c r="AL104" s="2231"/>
      <c r="AM104" s="2231"/>
      <c r="AN104" s="2231"/>
      <c r="AO104" s="2231"/>
      <c r="AP104" s="2231"/>
      <c r="AQ104" s="2231"/>
      <c r="AR104" s="2231"/>
      <c r="AS104" s="2231"/>
      <c r="AT104" s="2231"/>
      <c r="AU104" s="2231"/>
      <c r="AV104" s="2226"/>
      <c r="AW104" s="2226"/>
      <c r="AX104" s="2226"/>
      <c r="AY104" s="2226"/>
      <c r="AZ104" s="2226"/>
      <c r="BA104" s="2226"/>
      <c r="BB104" s="2226"/>
      <c r="BC104" s="2226"/>
      <c r="BD104" s="2226"/>
      <c r="BE104" s="2231"/>
      <c r="BF104" s="2231"/>
      <c r="BG104" s="2231"/>
      <c r="BH104" s="2231"/>
      <c r="BI104" s="2231"/>
      <c r="BJ104" s="2231"/>
      <c r="BK104" s="2231"/>
      <c r="BL104" s="2231"/>
      <c r="BM104" s="2231"/>
      <c r="BN104" s="2231"/>
      <c r="BO104" s="2226"/>
      <c r="BP104" s="2226"/>
      <c r="BQ104" s="2188">
        <f t="shared" si="93"/>
        <v>0</v>
      </c>
      <c r="BS104" s="1845" t="s">
        <v>78</v>
      </c>
      <c r="BT104" s="1846">
        <f t="shared" si="94"/>
        <v>0</v>
      </c>
      <c r="BU104" s="2230"/>
      <c r="BV104" s="2230"/>
      <c r="BW104" s="2230"/>
      <c r="BX104" s="2230"/>
      <c r="BY104" s="2230"/>
      <c r="BZ104" s="2230"/>
      <c r="CA104" s="2230"/>
      <c r="CB104" s="2230"/>
      <c r="CC104" s="2230"/>
      <c r="CD104" s="2230"/>
      <c r="CE104" s="2225"/>
      <c r="CF104" s="2225"/>
      <c r="CG104" s="2225"/>
      <c r="CH104" s="2225"/>
      <c r="CI104" s="2225"/>
      <c r="CJ104" s="2225"/>
      <c r="CK104" s="2225"/>
      <c r="CL104" s="2225"/>
      <c r="CM104" s="2225"/>
      <c r="CN104" s="2225"/>
      <c r="CO104" s="2225"/>
      <c r="CP104" s="2225"/>
      <c r="CQ104" s="2225"/>
      <c r="CR104" s="2225"/>
      <c r="CS104" s="2225"/>
      <c r="CT104" s="2225"/>
      <c r="CU104" s="2225"/>
      <c r="CV104" s="2225"/>
      <c r="CW104" s="2225"/>
      <c r="CX104" s="2225"/>
      <c r="CY104" s="2230"/>
      <c r="CZ104" s="2180">
        <f t="shared" si="95"/>
        <v>0</v>
      </c>
      <c r="DB104" s="1249" t="s">
        <v>78</v>
      </c>
      <c r="DC104" s="1287">
        <f t="shared" si="96"/>
        <v>0</v>
      </c>
      <c r="DD104" s="1760"/>
      <c r="DE104" s="1760"/>
      <c r="DF104" s="1760"/>
      <c r="DG104" s="1760"/>
      <c r="DH104" s="1760"/>
      <c r="DI104" s="1760"/>
      <c r="DJ104" s="1760"/>
      <c r="DK104" s="1760"/>
      <c r="DL104" s="1760"/>
      <c r="DM104" s="1760"/>
      <c r="DN104" s="2271"/>
      <c r="DO104" s="2271"/>
      <c r="DP104" s="2271"/>
      <c r="DQ104" s="2271"/>
      <c r="DR104" s="2271"/>
      <c r="DS104" s="2271"/>
      <c r="DT104" s="2271"/>
      <c r="DU104" s="2271"/>
      <c r="DV104" s="2271"/>
      <c r="DW104" s="2271"/>
      <c r="DX104" s="2271"/>
      <c r="DY104" s="2271"/>
      <c r="DZ104" s="2271"/>
      <c r="EA104" s="2271"/>
      <c r="EB104" s="2271"/>
      <c r="EC104" s="2271"/>
      <c r="ED104" s="2271"/>
      <c r="EE104" s="2271"/>
      <c r="EF104" s="2271"/>
      <c r="EG104" s="2271"/>
      <c r="EH104" s="1760"/>
      <c r="EI104" s="1488">
        <f t="shared" si="97"/>
        <v>0</v>
      </c>
    </row>
    <row r="105" spans="1:139" ht="15">
      <c r="A105" s="1233" t="s">
        <v>79</v>
      </c>
      <c r="B105" s="1280">
        <f t="shared" si="90"/>
        <v>0</v>
      </c>
      <c r="C105" s="2346"/>
      <c r="D105" s="2346"/>
      <c r="E105" s="2346"/>
      <c r="F105" s="2345"/>
      <c r="G105" s="2346"/>
      <c r="H105" s="2345"/>
      <c r="I105" s="2346"/>
      <c r="J105" s="2345"/>
      <c r="K105" s="2346"/>
      <c r="L105" s="2346"/>
      <c r="M105" s="2346"/>
      <c r="N105" s="2346"/>
      <c r="O105" s="2346"/>
      <c r="P105" s="2346"/>
      <c r="Q105" s="2346"/>
      <c r="R105" s="2346"/>
      <c r="S105" s="2345"/>
      <c r="T105" s="2346"/>
      <c r="U105" s="2346"/>
      <c r="V105" s="2345"/>
      <c r="W105" s="2346"/>
      <c r="X105" s="2346"/>
      <c r="Y105" s="2345"/>
      <c r="Z105" s="2346"/>
      <c r="AA105" s="2346"/>
      <c r="AB105" s="2345"/>
      <c r="AC105" s="2346"/>
      <c r="AD105" s="2346"/>
      <c r="AE105" s="2345"/>
      <c r="AF105" s="2346"/>
      <c r="AG105" s="2346"/>
      <c r="AH105" s="2327">
        <f t="shared" si="91"/>
        <v>0</v>
      </c>
      <c r="AJ105" s="1746" t="s">
        <v>79</v>
      </c>
      <c r="AK105" s="1749">
        <f t="shared" si="92"/>
        <v>0</v>
      </c>
      <c r="AL105" s="2231"/>
      <c r="AM105" s="2231"/>
      <c r="AN105" s="2231"/>
      <c r="AO105" s="2226"/>
      <c r="AP105" s="2231"/>
      <c r="AQ105" s="2226"/>
      <c r="AR105" s="2231"/>
      <c r="AS105" s="2226"/>
      <c r="AT105" s="2231"/>
      <c r="AU105" s="2231"/>
      <c r="AV105" s="2231"/>
      <c r="AW105" s="2231"/>
      <c r="AX105" s="2231"/>
      <c r="AY105" s="2231"/>
      <c r="AZ105" s="2231"/>
      <c r="BA105" s="2231"/>
      <c r="BB105" s="2226"/>
      <c r="BC105" s="2231"/>
      <c r="BD105" s="2231"/>
      <c r="BE105" s="2231"/>
      <c r="BF105" s="2231"/>
      <c r="BG105" s="2231"/>
      <c r="BH105" s="2226"/>
      <c r="BI105" s="2231"/>
      <c r="BJ105" s="2226"/>
      <c r="BK105" s="2231"/>
      <c r="BL105" s="2226"/>
      <c r="BM105" s="2231"/>
      <c r="BN105" s="2231"/>
      <c r="BO105" s="2231"/>
      <c r="BP105" s="2231"/>
      <c r="BQ105" s="2188">
        <f t="shared" si="93"/>
        <v>0</v>
      </c>
      <c r="BS105" s="1845" t="s">
        <v>79</v>
      </c>
      <c r="BT105" s="1846">
        <f t="shared" si="94"/>
        <v>0</v>
      </c>
      <c r="BU105" s="2230"/>
      <c r="BV105" s="2230"/>
      <c r="BW105" s="2230"/>
      <c r="BX105" s="2225"/>
      <c r="BY105" s="2230"/>
      <c r="BZ105" s="2225"/>
      <c r="CA105" s="2230"/>
      <c r="CB105" s="2225"/>
      <c r="CC105" s="2230"/>
      <c r="CD105" s="2230"/>
      <c r="CE105" s="2230"/>
      <c r="CF105" s="2230"/>
      <c r="CG105" s="2230"/>
      <c r="CH105" s="2230"/>
      <c r="CI105" s="2230"/>
      <c r="CJ105" s="2230"/>
      <c r="CK105" s="2225"/>
      <c r="CL105" s="2230"/>
      <c r="CM105" s="2230"/>
      <c r="CN105" s="2225"/>
      <c r="CO105" s="2230"/>
      <c r="CP105" s="2230"/>
      <c r="CQ105" s="2225"/>
      <c r="CR105" s="2230"/>
      <c r="CS105" s="2230"/>
      <c r="CT105" s="2225"/>
      <c r="CU105" s="2230"/>
      <c r="CV105" s="2230"/>
      <c r="CW105" s="2225"/>
      <c r="CX105" s="2230"/>
      <c r="CY105" s="2230"/>
      <c r="CZ105" s="2180">
        <f t="shared" si="95"/>
        <v>0</v>
      </c>
      <c r="DB105" s="1249" t="s">
        <v>79</v>
      </c>
      <c r="DC105" s="1287">
        <f t="shared" si="96"/>
        <v>0</v>
      </c>
      <c r="DD105" s="1760"/>
      <c r="DE105" s="1760"/>
      <c r="DF105" s="1760"/>
      <c r="DG105" s="2271"/>
      <c r="DH105" s="1760"/>
      <c r="DI105" s="2271"/>
      <c r="DJ105" s="1760"/>
      <c r="DK105" s="2271"/>
      <c r="DL105" s="1760"/>
      <c r="DM105" s="1760"/>
      <c r="DN105" s="1760"/>
      <c r="DO105" s="1760"/>
      <c r="DP105" s="1760"/>
      <c r="DQ105" s="1760"/>
      <c r="DR105" s="1760"/>
      <c r="DS105" s="1760"/>
      <c r="DT105" s="2271"/>
      <c r="DU105" s="1760"/>
      <c r="DV105" s="1760"/>
      <c r="DW105" s="2271"/>
      <c r="DX105" s="1760"/>
      <c r="DY105" s="1760"/>
      <c r="DZ105" s="2271"/>
      <c r="EA105" s="1760"/>
      <c r="EB105" s="1760"/>
      <c r="EC105" s="2271"/>
      <c r="ED105" s="1760"/>
      <c r="EE105" s="1760"/>
      <c r="EF105" s="2271"/>
      <c r="EG105" s="1760"/>
      <c r="EH105" s="1760"/>
      <c r="EI105" s="1488">
        <f t="shared" si="97"/>
        <v>0</v>
      </c>
    </row>
    <row r="106" spans="1:139" ht="15">
      <c r="A106" s="1233" t="s">
        <v>80</v>
      </c>
      <c r="B106" s="1280">
        <f t="shared" si="90"/>
        <v>0</v>
      </c>
      <c r="C106" s="2346"/>
      <c r="D106" s="2346"/>
      <c r="E106" s="2346"/>
      <c r="F106" s="2346"/>
      <c r="G106" s="2346"/>
      <c r="H106" s="2346"/>
      <c r="I106" s="2346"/>
      <c r="J106" s="2346"/>
      <c r="K106" s="2346"/>
      <c r="L106" s="2346"/>
      <c r="M106" s="2346"/>
      <c r="N106" s="2345"/>
      <c r="O106" s="2346"/>
      <c r="P106" s="2345"/>
      <c r="Q106" s="2346"/>
      <c r="R106" s="2345"/>
      <c r="S106" s="2346"/>
      <c r="T106" s="2345"/>
      <c r="U106" s="2346"/>
      <c r="V106" s="2345"/>
      <c r="W106" s="2346"/>
      <c r="X106" s="2345"/>
      <c r="Y106" s="2346"/>
      <c r="Z106" s="2345"/>
      <c r="AA106" s="2346"/>
      <c r="AB106" s="2345"/>
      <c r="AC106" s="2346"/>
      <c r="AD106" s="2345"/>
      <c r="AE106" s="2346"/>
      <c r="AF106" s="2345"/>
      <c r="AG106" s="2346"/>
      <c r="AH106" s="2327">
        <f t="shared" si="91"/>
        <v>0</v>
      </c>
      <c r="AJ106" s="1746" t="s">
        <v>80</v>
      </c>
      <c r="AK106" s="1749">
        <f t="shared" si="92"/>
        <v>0</v>
      </c>
      <c r="AL106" s="2231"/>
      <c r="AM106" s="2231"/>
      <c r="AN106" s="2231"/>
      <c r="AO106" s="2231"/>
      <c r="AP106" s="2231"/>
      <c r="AQ106" s="2231"/>
      <c r="AR106" s="2231"/>
      <c r="AS106" s="2231"/>
      <c r="AT106" s="2231"/>
      <c r="AU106" s="2231"/>
      <c r="AV106" s="2231"/>
      <c r="AW106" s="2226"/>
      <c r="AX106" s="2231"/>
      <c r="AY106" s="2226"/>
      <c r="AZ106" s="2231"/>
      <c r="BA106" s="2226"/>
      <c r="BB106" s="2231"/>
      <c r="BC106" s="2226"/>
      <c r="BD106" s="2231"/>
      <c r="BE106" s="2231"/>
      <c r="BF106" s="2231"/>
      <c r="BG106" s="2231"/>
      <c r="BH106" s="2231"/>
      <c r="BI106" s="2231"/>
      <c r="BJ106" s="2231"/>
      <c r="BK106" s="2231"/>
      <c r="BL106" s="2231"/>
      <c r="BM106" s="2231"/>
      <c r="BN106" s="2231"/>
      <c r="BO106" s="2231"/>
      <c r="BP106" s="2226"/>
      <c r="BQ106" s="2188">
        <f t="shared" si="93"/>
        <v>0</v>
      </c>
      <c r="BS106" s="1845" t="s">
        <v>80</v>
      </c>
      <c r="BT106" s="1846">
        <f t="shared" si="94"/>
        <v>0</v>
      </c>
      <c r="BU106" s="2230"/>
      <c r="BV106" s="2230"/>
      <c r="BW106" s="2230"/>
      <c r="BX106" s="2230"/>
      <c r="BY106" s="2230"/>
      <c r="BZ106" s="2230"/>
      <c r="CA106" s="2230"/>
      <c r="CB106" s="2230"/>
      <c r="CC106" s="2230"/>
      <c r="CD106" s="2230"/>
      <c r="CE106" s="2230"/>
      <c r="CF106" s="2225"/>
      <c r="CG106" s="2230"/>
      <c r="CH106" s="2225"/>
      <c r="CI106" s="2230"/>
      <c r="CJ106" s="2225"/>
      <c r="CK106" s="2230"/>
      <c r="CL106" s="2225"/>
      <c r="CM106" s="2230"/>
      <c r="CN106" s="2225"/>
      <c r="CO106" s="2230"/>
      <c r="CP106" s="2225"/>
      <c r="CQ106" s="2230"/>
      <c r="CR106" s="2225"/>
      <c r="CS106" s="2230"/>
      <c r="CT106" s="2225"/>
      <c r="CU106" s="2230"/>
      <c r="CV106" s="2225"/>
      <c r="CW106" s="2230"/>
      <c r="CX106" s="2225"/>
      <c r="CY106" s="2230"/>
      <c r="CZ106" s="2180">
        <f t="shared" si="95"/>
        <v>0</v>
      </c>
      <c r="DB106" s="1249" t="s">
        <v>80</v>
      </c>
      <c r="DC106" s="1287">
        <f t="shared" si="96"/>
        <v>0</v>
      </c>
      <c r="DD106" s="1760"/>
      <c r="DE106" s="1760"/>
      <c r="DF106" s="1760"/>
      <c r="DG106" s="1760"/>
      <c r="DH106" s="1760"/>
      <c r="DI106" s="1760"/>
      <c r="DJ106" s="1760"/>
      <c r="DK106" s="1760"/>
      <c r="DL106" s="1760"/>
      <c r="DM106" s="1760"/>
      <c r="DN106" s="1760"/>
      <c r="DO106" s="2271"/>
      <c r="DP106" s="1760"/>
      <c r="DQ106" s="2271"/>
      <c r="DR106" s="1760"/>
      <c r="DS106" s="2271"/>
      <c r="DT106" s="1760"/>
      <c r="DU106" s="2271"/>
      <c r="DV106" s="1760"/>
      <c r="DW106" s="2271"/>
      <c r="DX106" s="1760"/>
      <c r="DY106" s="2271"/>
      <c r="DZ106" s="1760"/>
      <c r="EA106" s="2271"/>
      <c r="EB106" s="1760"/>
      <c r="EC106" s="2271"/>
      <c r="ED106" s="1760"/>
      <c r="EE106" s="2271"/>
      <c r="EF106" s="1760"/>
      <c r="EG106" s="2271"/>
      <c r="EH106" s="1760"/>
      <c r="EI106" s="1488">
        <f t="shared" si="97"/>
        <v>0</v>
      </c>
    </row>
    <row r="107" spans="1:139" ht="15">
      <c r="A107" s="1233" t="s">
        <v>81</v>
      </c>
      <c r="B107" s="1280">
        <f t="shared" si="90"/>
        <v>0</v>
      </c>
      <c r="C107" s="2346"/>
      <c r="D107" s="2346"/>
      <c r="E107" s="2346"/>
      <c r="F107" s="2346"/>
      <c r="G107" s="2346"/>
      <c r="H107" s="2346"/>
      <c r="I107" s="2346"/>
      <c r="J107" s="2346"/>
      <c r="K107" s="2346"/>
      <c r="L107" s="2346"/>
      <c r="M107" s="2346"/>
      <c r="N107" s="2346"/>
      <c r="O107" s="2346"/>
      <c r="P107" s="2346"/>
      <c r="Q107" s="2346"/>
      <c r="R107" s="2346"/>
      <c r="S107" s="2346"/>
      <c r="T107" s="2346"/>
      <c r="U107" s="2346"/>
      <c r="V107" s="2346"/>
      <c r="W107" s="2346"/>
      <c r="X107" s="2346"/>
      <c r="Y107" s="2346"/>
      <c r="Z107" s="2346"/>
      <c r="AA107" s="2346"/>
      <c r="AB107" s="2346"/>
      <c r="AC107" s="2346"/>
      <c r="AD107" s="2346"/>
      <c r="AE107" s="2346"/>
      <c r="AF107" s="2346"/>
      <c r="AG107" s="2346"/>
      <c r="AH107" s="2327">
        <f t="shared" si="91"/>
        <v>0</v>
      </c>
      <c r="AJ107" s="1746" t="s">
        <v>81</v>
      </c>
      <c r="AK107" s="1749">
        <f t="shared" si="92"/>
        <v>0</v>
      </c>
      <c r="AL107" s="2231"/>
      <c r="AM107" s="2231"/>
      <c r="AN107" s="2231"/>
      <c r="AO107" s="2231"/>
      <c r="AP107" s="2231"/>
      <c r="AQ107" s="2231"/>
      <c r="AR107" s="2231"/>
      <c r="AS107" s="2231"/>
      <c r="AT107" s="2231"/>
      <c r="AU107" s="2231"/>
      <c r="AV107" s="2231"/>
      <c r="AW107" s="2231"/>
      <c r="AX107" s="2231"/>
      <c r="AY107" s="2231"/>
      <c r="AZ107" s="2231"/>
      <c r="BA107" s="2231"/>
      <c r="BB107" s="2231"/>
      <c r="BC107" s="2231"/>
      <c r="BD107" s="2231"/>
      <c r="BE107" s="2231"/>
      <c r="BF107" s="2231"/>
      <c r="BG107" s="2231"/>
      <c r="BH107" s="2231"/>
      <c r="BI107" s="2231"/>
      <c r="BJ107" s="2231"/>
      <c r="BK107" s="2231"/>
      <c r="BL107" s="2231"/>
      <c r="BM107" s="2231"/>
      <c r="BN107" s="2231"/>
      <c r="BO107" s="2231"/>
      <c r="BP107" s="2231"/>
      <c r="BQ107" s="2188">
        <f t="shared" si="93"/>
        <v>0</v>
      </c>
      <c r="BS107" s="1845" t="s">
        <v>81</v>
      </c>
      <c r="BT107" s="1846">
        <f t="shared" si="94"/>
        <v>0</v>
      </c>
      <c r="BU107" s="2230"/>
      <c r="BV107" s="2230"/>
      <c r="BW107" s="2230"/>
      <c r="BX107" s="2230"/>
      <c r="BY107" s="2230"/>
      <c r="BZ107" s="2230"/>
      <c r="CA107" s="2230"/>
      <c r="CB107" s="2230"/>
      <c r="CC107" s="2230"/>
      <c r="CD107" s="2230"/>
      <c r="CE107" s="2230"/>
      <c r="CF107" s="2230"/>
      <c r="CG107" s="2230"/>
      <c r="CH107" s="2230"/>
      <c r="CI107" s="2230"/>
      <c r="CJ107" s="2230"/>
      <c r="CK107" s="2230"/>
      <c r="CL107" s="2230"/>
      <c r="CM107" s="2230"/>
      <c r="CN107" s="2230"/>
      <c r="CO107" s="2230"/>
      <c r="CP107" s="2230"/>
      <c r="CQ107" s="2230"/>
      <c r="CR107" s="2230"/>
      <c r="CS107" s="2230"/>
      <c r="CT107" s="2230"/>
      <c r="CU107" s="2230"/>
      <c r="CV107" s="2230"/>
      <c r="CW107" s="2230"/>
      <c r="CX107" s="2230"/>
      <c r="CY107" s="2230"/>
      <c r="CZ107" s="2180">
        <f t="shared" si="95"/>
        <v>0</v>
      </c>
      <c r="DB107" s="1249" t="s">
        <v>81</v>
      </c>
      <c r="DC107" s="1287">
        <f t="shared" si="96"/>
        <v>0</v>
      </c>
      <c r="DD107" s="1760"/>
      <c r="DE107" s="1760"/>
      <c r="DF107" s="1760"/>
      <c r="DG107" s="1760"/>
      <c r="DH107" s="1760"/>
      <c r="DI107" s="1760"/>
      <c r="DJ107" s="1760"/>
      <c r="DK107" s="1760"/>
      <c r="DL107" s="1760"/>
      <c r="DM107" s="1760"/>
      <c r="DN107" s="1760"/>
      <c r="DO107" s="1760"/>
      <c r="DP107" s="1760"/>
      <c r="DQ107" s="1760"/>
      <c r="DR107" s="1760"/>
      <c r="DS107" s="1760"/>
      <c r="DT107" s="1760"/>
      <c r="DU107" s="1760"/>
      <c r="DV107" s="1760"/>
      <c r="DW107" s="1760"/>
      <c r="DX107" s="1760"/>
      <c r="DY107" s="1760"/>
      <c r="DZ107" s="1760"/>
      <c r="EA107" s="1760"/>
      <c r="EB107" s="1760"/>
      <c r="EC107" s="1760"/>
      <c r="ED107" s="1760"/>
      <c r="EE107" s="1760"/>
      <c r="EF107" s="1760"/>
      <c r="EG107" s="1760"/>
      <c r="EH107" s="1760"/>
      <c r="EI107" s="1488">
        <f t="shared" si="97"/>
        <v>0</v>
      </c>
    </row>
    <row r="108" spans="1:139" ht="15">
      <c r="A108" s="1233" t="s">
        <v>82</v>
      </c>
      <c r="B108" s="1280">
        <f t="shared" si="90"/>
        <v>0</v>
      </c>
      <c r="C108" s="2345"/>
      <c r="D108" s="2347"/>
      <c r="E108" s="2345"/>
      <c r="F108" s="2345"/>
      <c r="G108" s="2345"/>
      <c r="H108" s="2345"/>
      <c r="I108" s="2345"/>
      <c r="J108" s="2345"/>
      <c r="K108" s="2345"/>
      <c r="L108" s="2345"/>
      <c r="M108" s="2345"/>
      <c r="N108" s="2345"/>
      <c r="O108" s="2345"/>
      <c r="P108" s="2345"/>
      <c r="Q108" s="2345"/>
      <c r="R108" s="2345"/>
      <c r="S108" s="2345"/>
      <c r="T108" s="2345"/>
      <c r="U108" s="2345"/>
      <c r="V108" s="2345"/>
      <c r="W108" s="2345"/>
      <c r="X108" s="2345"/>
      <c r="Y108" s="2345"/>
      <c r="Z108" s="2345"/>
      <c r="AA108" s="2345"/>
      <c r="AB108" s="2345"/>
      <c r="AC108" s="2345"/>
      <c r="AD108" s="2345"/>
      <c r="AE108" s="2345"/>
      <c r="AF108" s="2345"/>
      <c r="AG108" s="2345"/>
      <c r="AH108" s="2327">
        <f t="shared" si="91"/>
        <v>0</v>
      </c>
      <c r="AJ108" s="1746" t="s">
        <v>82</v>
      </c>
      <c r="AK108" s="1749">
        <f t="shared" si="92"/>
        <v>0</v>
      </c>
      <c r="AL108" s="2226"/>
      <c r="AM108" s="2229"/>
      <c r="AN108" s="2226"/>
      <c r="AO108" s="2226"/>
      <c r="AP108" s="2226"/>
      <c r="AQ108" s="2226"/>
      <c r="AR108" s="2226"/>
      <c r="AS108" s="2226"/>
      <c r="AT108" s="2226"/>
      <c r="AU108" s="2226"/>
      <c r="AV108" s="2226"/>
      <c r="AW108" s="2226"/>
      <c r="AX108" s="2226"/>
      <c r="AY108" s="2226"/>
      <c r="AZ108" s="2226"/>
      <c r="BA108" s="2226"/>
      <c r="BB108" s="2226"/>
      <c r="BC108" s="2226"/>
      <c r="BD108" s="2226"/>
      <c r="BE108" s="2226"/>
      <c r="BF108" s="2229"/>
      <c r="BG108" s="2226"/>
      <c r="BH108" s="2226"/>
      <c r="BI108" s="2226"/>
      <c r="BJ108" s="2226"/>
      <c r="BK108" s="2226"/>
      <c r="BL108" s="2226"/>
      <c r="BM108" s="2226"/>
      <c r="BN108" s="2226"/>
      <c r="BO108" s="2226"/>
      <c r="BP108" s="2226"/>
      <c r="BQ108" s="2188">
        <f t="shared" si="93"/>
        <v>0</v>
      </c>
      <c r="BS108" s="1845" t="s">
        <v>82</v>
      </c>
      <c r="BT108" s="1846">
        <f t="shared" si="94"/>
        <v>0</v>
      </c>
      <c r="BU108" s="2225"/>
      <c r="BV108" s="2228"/>
      <c r="BW108" s="2225"/>
      <c r="BX108" s="2225"/>
      <c r="BY108" s="2225"/>
      <c r="BZ108" s="2225"/>
      <c r="CA108" s="2225"/>
      <c r="CB108" s="2225"/>
      <c r="CC108" s="2225"/>
      <c r="CD108" s="2225"/>
      <c r="CE108" s="2225"/>
      <c r="CF108" s="2225"/>
      <c r="CG108" s="2225"/>
      <c r="CH108" s="2225"/>
      <c r="CI108" s="2225"/>
      <c r="CJ108" s="2225"/>
      <c r="CK108" s="2225"/>
      <c r="CL108" s="2225"/>
      <c r="CM108" s="2225"/>
      <c r="CN108" s="2225"/>
      <c r="CO108" s="2225"/>
      <c r="CP108" s="2225"/>
      <c r="CQ108" s="2225"/>
      <c r="CR108" s="2225"/>
      <c r="CS108" s="2225"/>
      <c r="CT108" s="2225"/>
      <c r="CU108" s="2225"/>
      <c r="CV108" s="2225"/>
      <c r="CW108" s="2225"/>
      <c r="CX108" s="2225"/>
      <c r="CY108" s="2225"/>
      <c r="CZ108" s="2180">
        <f t="shared" si="95"/>
        <v>0</v>
      </c>
      <c r="DB108" s="1249" t="s">
        <v>82</v>
      </c>
      <c r="DC108" s="1287">
        <f t="shared" si="96"/>
        <v>0</v>
      </c>
      <c r="DD108" s="2271"/>
      <c r="DE108" s="2272"/>
      <c r="DF108" s="2271"/>
      <c r="DG108" s="2271"/>
      <c r="DH108" s="2271"/>
      <c r="DI108" s="2271"/>
      <c r="DJ108" s="2271"/>
      <c r="DK108" s="2271"/>
      <c r="DL108" s="2271"/>
      <c r="DM108" s="2271"/>
      <c r="DN108" s="2271"/>
      <c r="DO108" s="2271"/>
      <c r="DP108" s="2271"/>
      <c r="DQ108" s="2271"/>
      <c r="DR108" s="2271"/>
      <c r="DS108" s="2271"/>
      <c r="DT108" s="2271"/>
      <c r="DU108" s="2271"/>
      <c r="DV108" s="2271"/>
      <c r="DW108" s="2271"/>
      <c r="DX108" s="2271"/>
      <c r="DY108" s="2271"/>
      <c r="DZ108" s="2271"/>
      <c r="EA108" s="2271"/>
      <c r="EB108" s="2271"/>
      <c r="EC108" s="2271"/>
      <c r="ED108" s="2271"/>
      <c r="EE108" s="2271"/>
      <c r="EF108" s="2271"/>
      <c r="EG108" s="2271"/>
      <c r="EH108" s="2271"/>
      <c r="EI108" s="1488">
        <f t="shared" si="97"/>
        <v>0</v>
      </c>
    </row>
    <row r="109" spans="1:139" ht="15">
      <c r="A109" s="1233" t="s">
        <v>83</v>
      </c>
      <c r="B109" s="1280">
        <f t="shared" si="90"/>
        <v>0</v>
      </c>
      <c r="C109" s="2345"/>
      <c r="D109" s="2345"/>
      <c r="E109" s="2345"/>
      <c r="F109" s="2345"/>
      <c r="G109" s="2345"/>
      <c r="H109" s="2345"/>
      <c r="I109" s="2345"/>
      <c r="J109" s="2345"/>
      <c r="K109" s="2345"/>
      <c r="L109" s="2345"/>
      <c r="M109" s="2345"/>
      <c r="N109" s="2345"/>
      <c r="O109" s="2345"/>
      <c r="P109" s="2345"/>
      <c r="Q109" s="2345"/>
      <c r="R109" s="2345"/>
      <c r="S109" s="2345"/>
      <c r="T109" s="2345"/>
      <c r="U109" s="2345"/>
      <c r="V109" s="2345"/>
      <c r="W109" s="2345"/>
      <c r="X109" s="2345"/>
      <c r="Y109" s="2345"/>
      <c r="Z109" s="2345"/>
      <c r="AA109" s="2345"/>
      <c r="AB109" s="2345"/>
      <c r="AC109" s="2345"/>
      <c r="AD109" s="2345"/>
      <c r="AE109" s="2345"/>
      <c r="AF109" s="2345"/>
      <c r="AG109" s="2345"/>
      <c r="AH109" s="2327">
        <f t="shared" si="91"/>
        <v>0</v>
      </c>
      <c r="AJ109" s="1746" t="s">
        <v>83</v>
      </c>
      <c r="AK109" s="1749">
        <f t="shared" si="92"/>
        <v>0</v>
      </c>
      <c r="AL109" s="2226"/>
      <c r="AM109" s="2226"/>
      <c r="AN109" s="2226"/>
      <c r="AO109" s="2226"/>
      <c r="AP109" s="2226"/>
      <c r="AQ109" s="2226"/>
      <c r="AR109" s="2226"/>
      <c r="AS109" s="2226"/>
      <c r="AT109" s="2226"/>
      <c r="AU109" s="2226"/>
      <c r="AV109" s="2226"/>
      <c r="AW109" s="2226"/>
      <c r="AX109" s="2226"/>
      <c r="AY109" s="2226"/>
      <c r="AZ109" s="2226"/>
      <c r="BA109" s="2226"/>
      <c r="BB109" s="2226"/>
      <c r="BC109" s="2226"/>
      <c r="BD109" s="2226"/>
      <c r="BE109" s="2226"/>
      <c r="BF109" s="2226"/>
      <c r="BG109" s="2226"/>
      <c r="BH109" s="2226"/>
      <c r="BI109" s="2226"/>
      <c r="BJ109" s="2226"/>
      <c r="BK109" s="2226"/>
      <c r="BL109" s="2226"/>
      <c r="BM109" s="2226"/>
      <c r="BN109" s="2226"/>
      <c r="BO109" s="2226"/>
      <c r="BP109" s="2226"/>
      <c r="BQ109" s="2188">
        <f t="shared" si="93"/>
        <v>0</v>
      </c>
      <c r="BS109" s="1845" t="s">
        <v>83</v>
      </c>
      <c r="BT109" s="1846">
        <f t="shared" si="94"/>
        <v>0</v>
      </c>
      <c r="BU109" s="2225"/>
      <c r="BV109" s="2225"/>
      <c r="BW109" s="2225"/>
      <c r="BX109" s="2225"/>
      <c r="BY109" s="2225"/>
      <c r="BZ109" s="2225"/>
      <c r="CA109" s="2225"/>
      <c r="CB109" s="2225"/>
      <c r="CC109" s="2225"/>
      <c r="CD109" s="2225"/>
      <c r="CE109" s="2225"/>
      <c r="CF109" s="2225"/>
      <c r="CG109" s="2225"/>
      <c r="CH109" s="2225"/>
      <c r="CI109" s="2225"/>
      <c r="CJ109" s="2225"/>
      <c r="CK109" s="2225"/>
      <c r="CL109" s="2225"/>
      <c r="CM109" s="2225"/>
      <c r="CN109" s="2225"/>
      <c r="CO109" s="2225"/>
      <c r="CP109" s="2225"/>
      <c r="CQ109" s="2225"/>
      <c r="CR109" s="2225"/>
      <c r="CS109" s="2225"/>
      <c r="CT109" s="2225"/>
      <c r="CU109" s="2225"/>
      <c r="CV109" s="2225"/>
      <c r="CW109" s="2225"/>
      <c r="CX109" s="2225"/>
      <c r="CY109" s="2225"/>
      <c r="CZ109" s="2180">
        <f t="shared" si="95"/>
        <v>0</v>
      </c>
      <c r="DB109" s="1249" t="s">
        <v>83</v>
      </c>
      <c r="DC109" s="1287">
        <f t="shared" si="96"/>
        <v>0</v>
      </c>
      <c r="DD109" s="2271"/>
      <c r="DE109" s="2271"/>
      <c r="DF109" s="2271"/>
      <c r="DG109" s="2271"/>
      <c r="DH109" s="2271"/>
      <c r="DI109" s="2271"/>
      <c r="DJ109" s="2271"/>
      <c r="DK109" s="2271"/>
      <c r="DL109" s="2271"/>
      <c r="DM109" s="2271"/>
      <c r="DN109" s="2271"/>
      <c r="DO109" s="2271"/>
      <c r="DP109" s="2271"/>
      <c r="DQ109" s="2271"/>
      <c r="DR109" s="2271"/>
      <c r="DS109" s="2271"/>
      <c r="DT109" s="2271"/>
      <c r="DU109" s="2271"/>
      <c r="DV109" s="2271"/>
      <c r="DW109" s="2271"/>
      <c r="DX109" s="2271"/>
      <c r="DY109" s="2271"/>
      <c r="DZ109" s="2271"/>
      <c r="EA109" s="2271"/>
      <c r="EB109" s="2271"/>
      <c r="EC109" s="2271"/>
      <c r="ED109" s="2271"/>
      <c r="EE109" s="2271"/>
      <c r="EF109" s="2271"/>
      <c r="EG109" s="2271"/>
      <c r="EH109" s="2271"/>
      <c r="EI109" s="1488">
        <f t="shared" si="97"/>
        <v>0</v>
      </c>
    </row>
    <row r="110" spans="1:139" ht="15">
      <c r="A110" s="1233" t="s">
        <v>84</v>
      </c>
      <c r="B110" s="1280">
        <f t="shared" si="90"/>
        <v>0</v>
      </c>
      <c r="C110" s="2345"/>
      <c r="D110" s="2345"/>
      <c r="E110" s="2345"/>
      <c r="F110" s="2345"/>
      <c r="G110" s="2345"/>
      <c r="H110" s="2345"/>
      <c r="I110" s="2345"/>
      <c r="J110" s="2345"/>
      <c r="K110" s="2345"/>
      <c r="L110" s="2345"/>
      <c r="M110" s="2345"/>
      <c r="N110" s="2345"/>
      <c r="O110" s="2345"/>
      <c r="P110" s="2345"/>
      <c r="Q110" s="2345"/>
      <c r="R110" s="2345"/>
      <c r="S110" s="2345"/>
      <c r="T110" s="2345"/>
      <c r="U110" s="2345"/>
      <c r="V110" s="2345"/>
      <c r="W110" s="2345"/>
      <c r="X110" s="2345"/>
      <c r="Y110" s="2345"/>
      <c r="Z110" s="2345"/>
      <c r="AA110" s="2345"/>
      <c r="AB110" s="2345"/>
      <c r="AC110" s="2345"/>
      <c r="AD110" s="2345"/>
      <c r="AE110" s="2345"/>
      <c r="AF110" s="2345"/>
      <c r="AG110" s="2345"/>
      <c r="AH110" s="2327">
        <f t="shared" si="91"/>
        <v>0</v>
      </c>
      <c r="AJ110" s="1746" t="s">
        <v>84</v>
      </c>
      <c r="AK110" s="1749">
        <f t="shared" si="92"/>
        <v>0</v>
      </c>
      <c r="AL110" s="2226"/>
      <c r="AM110" s="2226"/>
      <c r="AN110" s="2226"/>
      <c r="AO110" s="2226"/>
      <c r="AP110" s="2226"/>
      <c r="AQ110" s="2226"/>
      <c r="AR110" s="2226"/>
      <c r="AS110" s="2226"/>
      <c r="AT110" s="2226"/>
      <c r="AU110" s="2226"/>
      <c r="AV110" s="2226"/>
      <c r="AW110" s="2226"/>
      <c r="AX110" s="2226"/>
      <c r="AY110" s="2226"/>
      <c r="AZ110" s="2226"/>
      <c r="BA110" s="2226"/>
      <c r="BB110" s="2226"/>
      <c r="BC110" s="2226"/>
      <c r="BD110" s="2226"/>
      <c r="BE110" s="2226"/>
      <c r="BF110" s="2226"/>
      <c r="BG110" s="2226"/>
      <c r="BH110" s="2226"/>
      <c r="BI110" s="2226"/>
      <c r="BJ110" s="2226"/>
      <c r="BK110" s="2226"/>
      <c r="BL110" s="2226"/>
      <c r="BM110" s="2226"/>
      <c r="BN110" s="2226"/>
      <c r="BO110" s="2226"/>
      <c r="BP110" s="2226"/>
      <c r="BQ110" s="2188">
        <f t="shared" si="93"/>
        <v>0</v>
      </c>
      <c r="BS110" s="1845" t="s">
        <v>84</v>
      </c>
      <c r="BT110" s="1846">
        <f t="shared" si="94"/>
        <v>0</v>
      </c>
      <c r="BU110" s="2225"/>
      <c r="BV110" s="2225"/>
      <c r="BW110" s="2225"/>
      <c r="BX110" s="2225"/>
      <c r="BY110" s="2225"/>
      <c r="BZ110" s="2225"/>
      <c r="CA110" s="2225"/>
      <c r="CB110" s="2225"/>
      <c r="CC110" s="2225"/>
      <c r="CD110" s="2225"/>
      <c r="CE110" s="2225"/>
      <c r="CF110" s="2225"/>
      <c r="CG110" s="2225"/>
      <c r="CH110" s="2225"/>
      <c r="CI110" s="2225"/>
      <c r="CJ110" s="2225"/>
      <c r="CK110" s="2225"/>
      <c r="CL110" s="2225"/>
      <c r="CM110" s="2225"/>
      <c r="CN110" s="2225"/>
      <c r="CO110" s="2225"/>
      <c r="CP110" s="2225"/>
      <c r="CQ110" s="2225"/>
      <c r="CR110" s="2225"/>
      <c r="CS110" s="2225"/>
      <c r="CT110" s="2225"/>
      <c r="CU110" s="2225"/>
      <c r="CV110" s="2225"/>
      <c r="CW110" s="2225"/>
      <c r="CX110" s="2225"/>
      <c r="CY110" s="2225"/>
      <c r="CZ110" s="2180">
        <f t="shared" si="95"/>
        <v>0</v>
      </c>
      <c r="DB110" s="1249" t="s">
        <v>84</v>
      </c>
      <c r="DC110" s="1287">
        <f t="shared" si="96"/>
        <v>0</v>
      </c>
      <c r="DD110" s="2271"/>
      <c r="DE110" s="2271"/>
      <c r="DF110" s="2271"/>
      <c r="DG110" s="2271"/>
      <c r="DH110" s="2271"/>
      <c r="DI110" s="2271"/>
      <c r="DJ110" s="2271"/>
      <c r="DK110" s="2271"/>
      <c r="DL110" s="2271"/>
      <c r="DM110" s="2271"/>
      <c r="DN110" s="2271"/>
      <c r="DO110" s="2271"/>
      <c r="DP110" s="2271"/>
      <c r="DQ110" s="2271"/>
      <c r="DR110" s="2271"/>
      <c r="DS110" s="2271"/>
      <c r="DT110" s="2271"/>
      <c r="DU110" s="2271"/>
      <c r="DV110" s="2271"/>
      <c r="DW110" s="2271"/>
      <c r="DX110" s="2271"/>
      <c r="DY110" s="2271"/>
      <c r="DZ110" s="2271"/>
      <c r="EA110" s="2271"/>
      <c r="EB110" s="2271"/>
      <c r="EC110" s="2271"/>
      <c r="ED110" s="2271"/>
      <c r="EE110" s="2271"/>
      <c r="EF110" s="2271"/>
      <c r="EG110" s="2271"/>
      <c r="EH110" s="2271"/>
      <c r="EI110" s="1488">
        <f t="shared" si="97"/>
        <v>0</v>
      </c>
    </row>
    <row r="111" spans="1:139" ht="15">
      <c r="A111" s="1233" t="s">
        <v>85</v>
      </c>
      <c r="B111" s="1280">
        <f t="shared" si="90"/>
        <v>0</v>
      </c>
      <c r="C111" s="2345"/>
      <c r="D111" s="2345"/>
      <c r="E111" s="2345"/>
      <c r="F111" s="2345"/>
      <c r="G111" s="2345"/>
      <c r="H111" s="2345"/>
      <c r="I111" s="2345"/>
      <c r="J111" s="2345"/>
      <c r="K111" s="2345"/>
      <c r="L111" s="2345"/>
      <c r="M111" s="2345"/>
      <c r="N111" s="2345"/>
      <c r="O111" s="2345"/>
      <c r="P111" s="2345"/>
      <c r="Q111" s="2345"/>
      <c r="R111" s="2345"/>
      <c r="S111" s="2345"/>
      <c r="T111" s="2345"/>
      <c r="U111" s="2345"/>
      <c r="V111" s="2345"/>
      <c r="W111" s="2345"/>
      <c r="X111" s="2345"/>
      <c r="Y111" s="2345"/>
      <c r="Z111" s="2345"/>
      <c r="AA111" s="2345"/>
      <c r="AB111" s="2345"/>
      <c r="AC111" s="2345"/>
      <c r="AD111" s="2345"/>
      <c r="AE111" s="2345"/>
      <c r="AF111" s="2345"/>
      <c r="AG111" s="2346"/>
      <c r="AH111" s="2327">
        <f t="shared" si="91"/>
        <v>0</v>
      </c>
      <c r="AJ111" s="1746" t="s">
        <v>85</v>
      </c>
      <c r="AK111" s="1749">
        <f t="shared" si="92"/>
        <v>0</v>
      </c>
      <c r="AL111" s="2226"/>
      <c r="AM111" s="2226"/>
      <c r="AN111" s="2226"/>
      <c r="AO111" s="2226"/>
      <c r="AP111" s="2226"/>
      <c r="AQ111" s="2226"/>
      <c r="AR111" s="2226"/>
      <c r="AS111" s="2226"/>
      <c r="AT111" s="2226"/>
      <c r="AU111" s="2226"/>
      <c r="AV111" s="2226"/>
      <c r="AW111" s="2226"/>
      <c r="AX111" s="2226"/>
      <c r="AY111" s="2226"/>
      <c r="AZ111" s="2226"/>
      <c r="BA111" s="2226"/>
      <c r="BB111" s="2226"/>
      <c r="BC111" s="2226"/>
      <c r="BD111" s="2226"/>
      <c r="BE111" s="2226"/>
      <c r="BF111" s="2226"/>
      <c r="BG111" s="2226"/>
      <c r="BH111" s="2226"/>
      <c r="BI111" s="2226"/>
      <c r="BJ111" s="2226"/>
      <c r="BK111" s="2226"/>
      <c r="BL111" s="2226"/>
      <c r="BM111" s="2226"/>
      <c r="BN111" s="2226"/>
      <c r="BO111" s="2226"/>
      <c r="BP111" s="2226"/>
      <c r="BQ111" s="2188">
        <f t="shared" si="93"/>
        <v>0</v>
      </c>
      <c r="BS111" s="1845" t="s">
        <v>85</v>
      </c>
      <c r="BT111" s="1846">
        <f t="shared" si="94"/>
        <v>0</v>
      </c>
      <c r="BU111" s="2225"/>
      <c r="BV111" s="2225"/>
      <c r="BW111" s="2225"/>
      <c r="BX111" s="2225"/>
      <c r="BY111" s="2225"/>
      <c r="BZ111" s="2225"/>
      <c r="CA111" s="2225"/>
      <c r="CB111" s="2225"/>
      <c r="CC111" s="2225"/>
      <c r="CD111" s="2225"/>
      <c r="CE111" s="2225"/>
      <c r="CF111" s="2225"/>
      <c r="CG111" s="2225"/>
      <c r="CH111" s="2225"/>
      <c r="CI111" s="2225"/>
      <c r="CJ111" s="2225"/>
      <c r="CK111" s="2225"/>
      <c r="CL111" s="2225"/>
      <c r="CM111" s="2225"/>
      <c r="CN111" s="2225"/>
      <c r="CO111" s="2225"/>
      <c r="CP111" s="2225"/>
      <c r="CQ111" s="2225"/>
      <c r="CR111" s="2225"/>
      <c r="CS111" s="2225"/>
      <c r="CT111" s="2225"/>
      <c r="CU111" s="2225"/>
      <c r="CV111" s="2225"/>
      <c r="CW111" s="2225"/>
      <c r="CX111" s="2225"/>
      <c r="CY111" s="2230"/>
      <c r="CZ111" s="2180">
        <f t="shared" si="95"/>
        <v>0</v>
      </c>
      <c r="DB111" s="1249" t="s">
        <v>85</v>
      </c>
      <c r="DC111" s="1287">
        <f t="shared" si="96"/>
        <v>0</v>
      </c>
      <c r="DD111" s="2271"/>
      <c r="DE111" s="2271"/>
      <c r="DF111" s="2271"/>
      <c r="DG111" s="2271"/>
      <c r="DH111" s="2271"/>
      <c r="DI111" s="2271"/>
      <c r="DJ111" s="2271"/>
      <c r="DK111" s="2271"/>
      <c r="DL111" s="2271"/>
      <c r="DM111" s="2271"/>
      <c r="DN111" s="2271"/>
      <c r="DO111" s="2271"/>
      <c r="DP111" s="2271"/>
      <c r="DQ111" s="2271"/>
      <c r="DR111" s="2271"/>
      <c r="DS111" s="2271"/>
      <c r="DT111" s="2271"/>
      <c r="DU111" s="2271"/>
      <c r="DV111" s="2271"/>
      <c r="DW111" s="2271"/>
      <c r="DX111" s="2271"/>
      <c r="DY111" s="2271"/>
      <c r="DZ111" s="2271"/>
      <c r="EA111" s="2271"/>
      <c r="EB111" s="2271"/>
      <c r="EC111" s="2271"/>
      <c r="ED111" s="2271"/>
      <c r="EE111" s="2271"/>
      <c r="EF111" s="2271"/>
      <c r="EG111" s="2271"/>
      <c r="EH111" s="1760"/>
      <c r="EI111" s="1488">
        <f t="shared" si="97"/>
        <v>0</v>
      </c>
    </row>
    <row r="112" spans="1:139" ht="15">
      <c r="A112" s="1233" t="s">
        <v>86</v>
      </c>
      <c r="B112" s="1280">
        <f t="shared" si="90"/>
        <v>0</v>
      </c>
      <c r="C112" s="2345"/>
      <c r="D112" s="2345"/>
      <c r="E112" s="2345"/>
      <c r="F112" s="2345"/>
      <c r="G112" s="2345"/>
      <c r="H112" s="2345"/>
      <c r="I112" s="2345"/>
      <c r="J112" s="2345"/>
      <c r="K112" s="2345"/>
      <c r="L112" s="2345"/>
      <c r="M112" s="2345"/>
      <c r="N112" s="2345"/>
      <c r="O112" s="2345"/>
      <c r="P112" s="2345"/>
      <c r="Q112" s="2345"/>
      <c r="R112" s="2345"/>
      <c r="S112" s="2345"/>
      <c r="T112" s="2345"/>
      <c r="U112" s="2345"/>
      <c r="V112" s="2345"/>
      <c r="W112" s="2345"/>
      <c r="X112" s="2345"/>
      <c r="Y112" s="2345"/>
      <c r="Z112" s="2345"/>
      <c r="AA112" s="2345"/>
      <c r="AB112" s="2345"/>
      <c r="AC112" s="2345"/>
      <c r="AD112" s="2345"/>
      <c r="AE112" s="2345"/>
      <c r="AF112" s="2345"/>
      <c r="AG112" s="2345"/>
      <c r="AH112" s="2327">
        <f t="shared" si="91"/>
        <v>0</v>
      </c>
      <c r="AJ112" s="1746" t="s">
        <v>86</v>
      </c>
      <c r="AK112" s="1749">
        <f t="shared" si="92"/>
        <v>0</v>
      </c>
      <c r="AL112" s="2226"/>
      <c r="AM112" s="2226"/>
      <c r="AN112" s="2226"/>
      <c r="AO112" s="2226"/>
      <c r="AP112" s="2226"/>
      <c r="AQ112" s="2226"/>
      <c r="AR112" s="2226"/>
      <c r="AS112" s="2226"/>
      <c r="AT112" s="2226"/>
      <c r="AU112" s="2226"/>
      <c r="AV112" s="2226"/>
      <c r="AW112" s="2226"/>
      <c r="AX112" s="2226"/>
      <c r="AY112" s="2226"/>
      <c r="AZ112" s="2226"/>
      <c r="BA112" s="2226"/>
      <c r="BB112" s="2226"/>
      <c r="BC112" s="2226"/>
      <c r="BD112" s="2226"/>
      <c r="BE112" s="2226"/>
      <c r="BF112" s="2226"/>
      <c r="BG112" s="2226"/>
      <c r="BH112" s="2226"/>
      <c r="BI112" s="2226"/>
      <c r="BJ112" s="2226"/>
      <c r="BK112" s="2226"/>
      <c r="BL112" s="2226"/>
      <c r="BM112" s="2226"/>
      <c r="BN112" s="2226"/>
      <c r="BO112" s="2226"/>
      <c r="BP112" s="2226"/>
      <c r="BQ112" s="2188">
        <f t="shared" si="93"/>
        <v>0</v>
      </c>
      <c r="BS112" s="1845" t="s">
        <v>86</v>
      </c>
      <c r="BT112" s="1846">
        <f t="shared" si="94"/>
        <v>0</v>
      </c>
      <c r="BU112" s="2225"/>
      <c r="BV112" s="2225"/>
      <c r="BW112" s="2225"/>
      <c r="BX112" s="2225"/>
      <c r="BY112" s="2225"/>
      <c r="BZ112" s="2225"/>
      <c r="CA112" s="2225"/>
      <c r="CB112" s="2225"/>
      <c r="CC112" s="2225"/>
      <c r="CD112" s="2225"/>
      <c r="CE112" s="2225"/>
      <c r="CF112" s="2225"/>
      <c r="CG112" s="2225"/>
      <c r="CH112" s="2225"/>
      <c r="CI112" s="2225"/>
      <c r="CJ112" s="2225"/>
      <c r="CK112" s="2225"/>
      <c r="CL112" s="2225"/>
      <c r="CM112" s="2225"/>
      <c r="CN112" s="2225"/>
      <c r="CO112" s="2225"/>
      <c r="CP112" s="2225"/>
      <c r="CQ112" s="2225"/>
      <c r="CR112" s="2225"/>
      <c r="CS112" s="2225"/>
      <c r="CT112" s="2225"/>
      <c r="CU112" s="2225"/>
      <c r="CV112" s="2225"/>
      <c r="CW112" s="2225"/>
      <c r="CX112" s="2225"/>
      <c r="CY112" s="2225"/>
      <c r="CZ112" s="2180">
        <f t="shared" si="95"/>
        <v>0</v>
      </c>
      <c r="DB112" s="1249" t="s">
        <v>86</v>
      </c>
      <c r="DC112" s="1287">
        <f t="shared" si="96"/>
        <v>0</v>
      </c>
      <c r="DD112" s="2271"/>
      <c r="DE112" s="2271"/>
      <c r="DF112" s="2271"/>
      <c r="DG112" s="2271"/>
      <c r="DH112" s="2271"/>
      <c r="DI112" s="2271"/>
      <c r="DJ112" s="2271"/>
      <c r="DK112" s="2271"/>
      <c r="DL112" s="2271"/>
      <c r="DM112" s="2271"/>
      <c r="DN112" s="2271"/>
      <c r="DO112" s="2271"/>
      <c r="DP112" s="2271"/>
      <c r="DQ112" s="2271"/>
      <c r="DR112" s="2271"/>
      <c r="DS112" s="2271"/>
      <c r="DT112" s="2271"/>
      <c r="DU112" s="2271"/>
      <c r="DV112" s="2271"/>
      <c r="DW112" s="2271"/>
      <c r="DX112" s="2271"/>
      <c r="DY112" s="2271"/>
      <c r="DZ112" s="2271"/>
      <c r="EA112" s="2271"/>
      <c r="EB112" s="2271"/>
      <c r="EC112" s="2271"/>
      <c r="ED112" s="2271"/>
      <c r="EE112" s="2271"/>
      <c r="EF112" s="2271"/>
      <c r="EG112" s="2271"/>
      <c r="EH112" s="2271"/>
      <c r="EI112" s="1488">
        <f t="shared" si="97"/>
        <v>0</v>
      </c>
    </row>
    <row r="113" spans="1:139" ht="15">
      <c r="A113" s="2341" t="s">
        <v>74</v>
      </c>
      <c r="B113" s="2348">
        <f t="shared" ref="B113:AH113" si="98">SUM(B101:B112)</f>
        <v>0</v>
      </c>
      <c r="C113" s="2327">
        <f t="shared" si="98"/>
        <v>0</v>
      </c>
      <c r="D113" s="2327">
        <f t="shared" si="98"/>
        <v>0</v>
      </c>
      <c r="E113" s="2327">
        <f t="shared" si="98"/>
        <v>0</v>
      </c>
      <c r="F113" s="2327">
        <f t="shared" si="98"/>
        <v>0</v>
      </c>
      <c r="G113" s="2327">
        <f t="shared" si="98"/>
        <v>0</v>
      </c>
      <c r="H113" s="2327">
        <f t="shared" si="98"/>
        <v>0</v>
      </c>
      <c r="I113" s="2327">
        <f t="shared" si="98"/>
        <v>0</v>
      </c>
      <c r="J113" s="2327">
        <f t="shared" si="98"/>
        <v>0</v>
      </c>
      <c r="K113" s="2327">
        <f t="shared" si="98"/>
        <v>0</v>
      </c>
      <c r="L113" s="2327">
        <f t="shared" si="98"/>
        <v>0</v>
      </c>
      <c r="M113" s="2327">
        <f t="shared" si="98"/>
        <v>0</v>
      </c>
      <c r="N113" s="2327">
        <f t="shared" si="98"/>
        <v>0</v>
      </c>
      <c r="O113" s="2327">
        <f t="shared" si="98"/>
        <v>0</v>
      </c>
      <c r="P113" s="2327">
        <f t="shared" si="98"/>
        <v>0</v>
      </c>
      <c r="Q113" s="2327">
        <f t="shared" si="98"/>
        <v>0</v>
      </c>
      <c r="R113" s="2327">
        <f t="shared" si="98"/>
        <v>0</v>
      </c>
      <c r="S113" s="2327">
        <f t="shared" si="98"/>
        <v>0</v>
      </c>
      <c r="T113" s="2327">
        <f t="shared" si="98"/>
        <v>0</v>
      </c>
      <c r="U113" s="2327">
        <f t="shared" si="98"/>
        <v>0</v>
      </c>
      <c r="V113" s="2327">
        <f t="shared" si="98"/>
        <v>0</v>
      </c>
      <c r="W113" s="2327">
        <f t="shared" si="98"/>
        <v>0</v>
      </c>
      <c r="X113" s="2327">
        <f t="shared" si="98"/>
        <v>0</v>
      </c>
      <c r="Y113" s="2327">
        <f t="shared" si="98"/>
        <v>0</v>
      </c>
      <c r="Z113" s="2327">
        <f t="shared" si="98"/>
        <v>0</v>
      </c>
      <c r="AA113" s="2327">
        <f t="shared" si="98"/>
        <v>0</v>
      </c>
      <c r="AB113" s="2327">
        <f t="shared" si="98"/>
        <v>0</v>
      </c>
      <c r="AC113" s="2327">
        <f t="shared" si="98"/>
        <v>0</v>
      </c>
      <c r="AD113" s="2327">
        <f t="shared" si="98"/>
        <v>0</v>
      </c>
      <c r="AE113" s="2327">
        <f t="shared" si="98"/>
        <v>0</v>
      </c>
      <c r="AF113" s="2327">
        <f t="shared" si="98"/>
        <v>0</v>
      </c>
      <c r="AG113" s="2327">
        <f t="shared" si="98"/>
        <v>0</v>
      </c>
      <c r="AH113" s="2327">
        <f t="shared" si="98"/>
        <v>0</v>
      </c>
      <c r="AJ113" s="2191" t="s">
        <v>74</v>
      </c>
      <c r="AK113" s="2260">
        <f t="shared" ref="AK113:BQ113" si="99">SUM(AK101:AK112)</f>
        <v>0</v>
      </c>
      <c r="AL113" s="2188">
        <f t="shared" si="99"/>
        <v>0</v>
      </c>
      <c r="AM113" s="2188">
        <f t="shared" si="99"/>
        <v>0</v>
      </c>
      <c r="AN113" s="2188">
        <f t="shared" si="99"/>
        <v>0</v>
      </c>
      <c r="AO113" s="2188">
        <f t="shared" si="99"/>
        <v>0</v>
      </c>
      <c r="AP113" s="2188">
        <f t="shared" si="99"/>
        <v>0</v>
      </c>
      <c r="AQ113" s="2188">
        <f t="shared" si="99"/>
        <v>0</v>
      </c>
      <c r="AR113" s="2188">
        <f t="shared" si="99"/>
        <v>0</v>
      </c>
      <c r="AS113" s="2188">
        <f t="shared" si="99"/>
        <v>0</v>
      </c>
      <c r="AT113" s="2188">
        <f t="shared" si="99"/>
        <v>0</v>
      </c>
      <c r="AU113" s="2188">
        <f t="shared" si="99"/>
        <v>0</v>
      </c>
      <c r="AV113" s="2188">
        <f t="shared" si="99"/>
        <v>0</v>
      </c>
      <c r="AW113" s="2188">
        <f t="shared" si="99"/>
        <v>0</v>
      </c>
      <c r="AX113" s="2188">
        <f t="shared" si="99"/>
        <v>0</v>
      </c>
      <c r="AY113" s="2188">
        <f t="shared" si="99"/>
        <v>0</v>
      </c>
      <c r="AZ113" s="2188">
        <f t="shared" si="99"/>
        <v>0</v>
      </c>
      <c r="BA113" s="2188">
        <f t="shared" si="99"/>
        <v>0</v>
      </c>
      <c r="BB113" s="2188">
        <f t="shared" si="99"/>
        <v>0</v>
      </c>
      <c r="BC113" s="2188">
        <f t="shared" si="99"/>
        <v>0</v>
      </c>
      <c r="BD113" s="2188">
        <f t="shared" si="99"/>
        <v>0</v>
      </c>
      <c r="BE113" s="2188">
        <f t="shared" si="99"/>
        <v>0</v>
      </c>
      <c r="BF113" s="2188">
        <f t="shared" si="99"/>
        <v>0</v>
      </c>
      <c r="BG113" s="2188">
        <f t="shared" si="99"/>
        <v>0</v>
      </c>
      <c r="BH113" s="2188">
        <f t="shared" si="99"/>
        <v>0</v>
      </c>
      <c r="BI113" s="2188">
        <f t="shared" si="99"/>
        <v>0</v>
      </c>
      <c r="BJ113" s="2188">
        <f t="shared" si="99"/>
        <v>0</v>
      </c>
      <c r="BK113" s="2188">
        <f t="shared" si="99"/>
        <v>0</v>
      </c>
      <c r="BL113" s="2188">
        <f t="shared" si="99"/>
        <v>0</v>
      </c>
      <c r="BM113" s="2188">
        <f t="shared" si="99"/>
        <v>0</v>
      </c>
      <c r="BN113" s="2188">
        <f t="shared" si="99"/>
        <v>0</v>
      </c>
      <c r="BO113" s="2188">
        <f t="shared" si="99"/>
        <v>0</v>
      </c>
      <c r="BP113" s="2188">
        <f t="shared" si="99"/>
        <v>0</v>
      </c>
      <c r="BQ113" s="2188">
        <f t="shared" si="99"/>
        <v>0</v>
      </c>
      <c r="BS113" s="2183" t="s">
        <v>74</v>
      </c>
      <c r="BT113" s="2259">
        <f t="shared" ref="BT113:CZ113" si="100">SUM(BT101:BT112)</f>
        <v>0</v>
      </c>
      <c r="BU113" s="2180">
        <f t="shared" si="100"/>
        <v>0</v>
      </c>
      <c r="BV113" s="2180">
        <f t="shared" si="100"/>
        <v>0</v>
      </c>
      <c r="BW113" s="2180">
        <f t="shared" si="100"/>
        <v>0</v>
      </c>
      <c r="BX113" s="2180">
        <f t="shared" si="100"/>
        <v>0</v>
      </c>
      <c r="BY113" s="2180">
        <f t="shared" si="100"/>
        <v>0</v>
      </c>
      <c r="BZ113" s="2180">
        <f t="shared" si="100"/>
        <v>0</v>
      </c>
      <c r="CA113" s="2180">
        <f t="shared" si="100"/>
        <v>0</v>
      </c>
      <c r="CB113" s="2180">
        <f t="shared" si="100"/>
        <v>0</v>
      </c>
      <c r="CC113" s="2180">
        <f t="shared" si="100"/>
        <v>0</v>
      </c>
      <c r="CD113" s="2180">
        <f t="shared" si="100"/>
        <v>0</v>
      </c>
      <c r="CE113" s="2180">
        <f t="shared" si="100"/>
        <v>0</v>
      </c>
      <c r="CF113" s="2180">
        <f t="shared" si="100"/>
        <v>0</v>
      </c>
      <c r="CG113" s="2180">
        <f t="shared" si="100"/>
        <v>0</v>
      </c>
      <c r="CH113" s="2180">
        <f t="shared" si="100"/>
        <v>0</v>
      </c>
      <c r="CI113" s="2180">
        <f t="shared" si="100"/>
        <v>0</v>
      </c>
      <c r="CJ113" s="2180">
        <f t="shared" si="100"/>
        <v>0</v>
      </c>
      <c r="CK113" s="2180">
        <f t="shared" si="100"/>
        <v>0</v>
      </c>
      <c r="CL113" s="2180">
        <f t="shared" si="100"/>
        <v>0</v>
      </c>
      <c r="CM113" s="2180">
        <f t="shared" si="100"/>
        <v>0</v>
      </c>
      <c r="CN113" s="2180">
        <f t="shared" si="100"/>
        <v>0</v>
      </c>
      <c r="CO113" s="2180">
        <f t="shared" si="100"/>
        <v>0</v>
      </c>
      <c r="CP113" s="2180">
        <f t="shared" si="100"/>
        <v>0</v>
      </c>
      <c r="CQ113" s="2180">
        <f t="shared" si="100"/>
        <v>0</v>
      </c>
      <c r="CR113" s="2180">
        <f t="shared" si="100"/>
        <v>0</v>
      </c>
      <c r="CS113" s="2180">
        <f t="shared" si="100"/>
        <v>0</v>
      </c>
      <c r="CT113" s="2180">
        <f t="shared" si="100"/>
        <v>0</v>
      </c>
      <c r="CU113" s="2180">
        <f t="shared" si="100"/>
        <v>0</v>
      </c>
      <c r="CV113" s="2180">
        <f t="shared" si="100"/>
        <v>0</v>
      </c>
      <c r="CW113" s="2180">
        <f t="shared" si="100"/>
        <v>0</v>
      </c>
      <c r="CX113" s="2180">
        <f t="shared" si="100"/>
        <v>0</v>
      </c>
      <c r="CY113" s="2180">
        <f t="shared" si="100"/>
        <v>0</v>
      </c>
      <c r="CZ113" s="2180">
        <f t="shared" si="100"/>
        <v>0</v>
      </c>
      <c r="DB113" s="1470" t="s">
        <v>74</v>
      </c>
      <c r="DC113" s="2270">
        <f t="shared" ref="DC113:EI113" si="101">SUM(DC101:DC112)</f>
        <v>0</v>
      </c>
      <c r="DD113" s="1488">
        <f t="shared" si="101"/>
        <v>0</v>
      </c>
      <c r="DE113" s="1488">
        <f t="shared" si="101"/>
        <v>0</v>
      </c>
      <c r="DF113" s="1488">
        <f t="shared" si="101"/>
        <v>0</v>
      </c>
      <c r="DG113" s="1488">
        <f t="shared" si="101"/>
        <v>0</v>
      </c>
      <c r="DH113" s="1488">
        <f t="shared" si="101"/>
        <v>0</v>
      </c>
      <c r="DI113" s="1488">
        <f t="shared" si="101"/>
        <v>0</v>
      </c>
      <c r="DJ113" s="1488">
        <f t="shared" si="101"/>
        <v>0</v>
      </c>
      <c r="DK113" s="1488">
        <f t="shared" si="101"/>
        <v>0</v>
      </c>
      <c r="DL113" s="1488">
        <f t="shared" si="101"/>
        <v>0</v>
      </c>
      <c r="DM113" s="1488">
        <f t="shared" si="101"/>
        <v>0</v>
      </c>
      <c r="DN113" s="1488">
        <f t="shared" si="101"/>
        <v>0</v>
      </c>
      <c r="DO113" s="1488">
        <f t="shared" si="101"/>
        <v>0</v>
      </c>
      <c r="DP113" s="1488">
        <f t="shared" si="101"/>
        <v>0</v>
      </c>
      <c r="DQ113" s="1488">
        <f t="shared" si="101"/>
        <v>0</v>
      </c>
      <c r="DR113" s="1488">
        <f t="shared" si="101"/>
        <v>0</v>
      </c>
      <c r="DS113" s="1488">
        <f t="shared" si="101"/>
        <v>0</v>
      </c>
      <c r="DT113" s="1488">
        <f t="shared" si="101"/>
        <v>0</v>
      </c>
      <c r="DU113" s="1488">
        <f t="shared" si="101"/>
        <v>0</v>
      </c>
      <c r="DV113" s="1488">
        <f t="shared" si="101"/>
        <v>0</v>
      </c>
      <c r="DW113" s="1488">
        <f t="shared" si="101"/>
        <v>0</v>
      </c>
      <c r="DX113" s="1488">
        <f t="shared" si="101"/>
        <v>0</v>
      </c>
      <c r="DY113" s="1488">
        <f t="shared" si="101"/>
        <v>0</v>
      </c>
      <c r="DZ113" s="1488">
        <f t="shared" si="101"/>
        <v>0</v>
      </c>
      <c r="EA113" s="1488">
        <f t="shared" si="101"/>
        <v>0</v>
      </c>
      <c r="EB113" s="1488">
        <f t="shared" si="101"/>
        <v>0</v>
      </c>
      <c r="EC113" s="1488">
        <f t="shared" si="101"/>
        <v>0</v>
      </c>
      <c r="ED113" s="1488">
        <f t="shared" si="101"/>
        <v>0</v>
      </c>
      <c r="EE113" s="1488">
        <f t="shared" si="101"/>
        <v>0</v>
      </c>
      <c r="EF113" s="1488">
        <f t="shared" si="101"/>
        <v>0</v>
      </c>
      <c r="EG113" s="1488">
        <f t="shared" si="101"/>
        <v>0</v>
      </c>
      <c r="EH113" s="1488">
        <f t="shared" si="101"/>
        <v>0</v>
      </c>
      <c r="EI113" s="1488">
        <f t="shared" si="101"/>
        <v>0</v>
      </c>
    </row>
    <row r="114" spans="1:139" ht="15">
      <c r="A114" s="2320"/>
      <c r="B114" s="2321"/>
      <c r="C114" s="2322"/>
      <c r="D114" s="2322"/>
      <c r="E114" s="2322"/>
      <c r="F114" s="2322"/>
      <c r="G114" s="2322"/>
      <c r="H114" s="2322"/>
      <c r="I114" s="2322"/>
      <c r="J114" s="2322"/>
      <c r="K114" s="2322"/>
      <c r="L114" s="2322"/>
      <c r="M114" s="2322"/>
      <c r="N114" s="2322"/>
      <c r="O114" s="2322"/>
      <c r="P114" s="2322"/>
      <c r="Q114" s="2322"/>
      <c r="R114" s="2322"/>
      <c r="S114" s="2322"/>
      <c r="T114" s="2322"/>
      <c r="U114" s="2322"/>
      <c r="V114" s="2322"/>
      <c r="W114" s="2322"/>
      <c r="X114" s="2322"/>
      <c r="Y114" s="2322"/>
      <c r="Z114" s="2322"/>
      <c r="AA114" s="2322"/>
      <c r="AB114" s="2322"/>
      <c r="AC114" s="2322"/>
      <c r="AD114" s="2322"/>
      <c r="AE114" s="2322"/>
      <c r="AF114" s="2322"/>
      <c r="AG114" s="2322"/>
      <c r="AH114" s="2322"/>
      <c r="AJ114" s="2257"/>
      <c r="AK114" s="2256"/>
      <c r="AL114" s="2249"/>
      <c r="AM114" s="2249"/>
      <c r="AN114" s="2249"/>
      <c r="AO114" s="2249"/>
      <c r="AP114" s="2249"/>
      <c r="AQ114" s="2249"/>
      <c r="AR114" s="2249"/>
      <c r="AS114" s="2249"/>
      <c r="AT114" s="2249"/>
      <c r="AU114" s="2249"/>
      <c r="AV114" s="2249"/>
      <c r="AW114" s="2249"/>
      <c r="AX114" s="2249"/>
      <c r="AY114" s="2249"/>
      <c r="AZ114" s="2249"/>
      <c r="BA114" s="2249"/>
      <c r="BB114" s="2249"/>
      <c r="BC114" s="2249"/>
      <c r="BD114" s="2249"/>
      <c r="BE114" s="2249"/>
      <c r="BF114" s="2249"/>
      <c r="BG114" s="2249"/>
      <c r="BH114" s="2249"/>
      <c r="BI114" s="2249"/>
      <c r="BJ114" s="2249"/>
      <c r="BK114" s="2249"/>
      <c r="BL114" s="2249"/>
      <c r="BM114" s="2249"/>
      <c r="BN114" s="2249"/>
      <c r="BO114" s="2249"/>
      <c r="BP114" s="2249"/>
      <c r="BQ114" s="2249"/>
      <c r="BS114" s="2255"/>
      <c r="BT114" s="2254"/>
      <c r="BU114" s="2245"/>
      <c r="BV114" s="2245"/>
      <c r="BW114" s="2245"/>
      <c r="BX114" s="2245"/>
      <c r="BY114" s="2245"/>
      <c r="BZ114" s="2245"/>
      <c r="CA114" s="2245"/>
      <c r="CB114" s="2245"/>
      <c r="CC114" s="2245"/>
      <c r="CD114" s="2245"/>
      <c r="CE114" s="2245"/>
      <c r="CF114" s="2245"/>
      <c r="CG114" s="2245"/>
      <c r="CH114" s="2245"/>
      <c r="CI114" s="2245"/>
      <c r="CJ114" s="2245"/>
      <c r="CK114" s="2245"/>
      <c r="CL114" s="2245"/>
      <c r="CM114" s="2245"/>
      <c r="CN114" s="2245"/>
      <c r="CO114" s="2245"/>
      <c r="CP114" s="2245"/>
      <c r="CQ114" s="2245"/>
      <c r="CR114" s="2245"/>
      <c r="CS114" s="2245"/>
      <c r="CT114" s="2245"/>
      <c r="CU114" s="2245"/>
      <c r="CV114" s="2245"/>
      <c r="CW114" s="2245"/>
      <c r="CX114" s="2245"/>
      <c r="CY114" s="2245"/>
      <c r="CZ114" s="2245"/>
      <c r="DB114" s="2122"/>
      <c r="DC114" s="1922"/>
      <c r="DD114" s="1923"/>
      <c r="DE114" s="1923"/>
      <c r="DF114" s="1923"/>
      <c r="DG114" s="1923"/>
      <c r="DH114" s="1923"/>
      <c r="DI114" s="1923"/>
      <c r="DJ114" s="1923"/>
      <c r="DK114" s="1923"/>
      <c r="DL114" s="1923"/>
      <c r="DM114" s="1923"/>
      <c r="DN114" s="1923"/>
      <c r="DO114" s="1923"/>
      <c r="DP114" s="1923"/>
      <c r="DQ114" s="1923"/>
      <c r="DR114" s="1923"/>
      <c r="DS114" s="1923"/>
      <c r="DT114" s="1923"/>
      <c r="DU114" s="1923"/>
      <c r="DV114" s="1923"/>
      <c r="DW114" s="1923"/>
      <c r="DX114" s="1923"/>
      <c r="DY114" s="1923"/>
      <c r="DZ114" s="1923"/>
      <c r="EA114" s="1923"/>
      <c r="EB114" s="1923"/>
      <c r="EC114" s="1923"/>
      <c r="ED114" s="1923"/>
      <c r="EE114" s="1923"/>
      <c r="EF114" s="1923"/>
      <c r="EG114" s="1923"/>
      <c r="EH114" s="1923"/>
      <c r="EI114" s="1923"/>
    </row>
    <row r="115" spans="1:139" ht="15">
      <c r="A115" s="3634" t="s">
        <v>636</v>
      </c>
      <c r="B115" s="3635"/>
      <c r="C115" s="3636"/>
      <c r="D115" s="2323"/>
      <c r="E115" s="2323"/>
      <c r="F115" s="2323"/>
      <c r="G115" s="2323"/>
      <c r="H115" s="2323"/>
      <c r="I115" s="2323"/>
      <c r="J115" s="2323"/>
      <c r="K115" s="2323"/>
      <c r="L115" s="2323"/>
      <c r="M115" s="2324"/>
      <c r="N115" s="2323"/>
      <c r="O115" s="2323"/>
      <c r="P115" s="2323"/>
      <c r="Q115" s="2323"/>
      <c r="R115" s="2323"/>
      <c r="S115" s="2323"/>
      <c r="T115" s="2323"/>
      <c r="U115" s="2323"/>
      <c r="V115" s="2323"/>
      <c r="W115" s="2323"/>
      <c r="X115" s="2323"/>
      <c r="Y115" s="2323"/>
      <c r="Z115" s="2323"/>
      <c r="AA115" s="2323"/>
      <c r="AB115" s="2323"/>
      <c r="AC115" s="2323"/>
      <c r="AD115" s="2323"/>
      <c r="AE115" s="2323"/>
      <c r="AF115" s="2323"/>
      <c r="AG115" s="2323"/>
      <c r="AH115" s="2323"/>
      <c r="AJ115" s="3585" t="s">
        <v>636</v>
      </c>
      <c r="AK115" s="3586"/>
      <c r="AL115" s="3587"/>
      <c r="AM115" s="2193"/>
      <c r="AN115" s="2193"/>
      <c r="AO115" s="2193"/>
      <c r="AP115" s="2193"/>
      <c r="AQ115" s="2193"/>
      <c r="AR115" s="2193"/>
      <c r="AS115" s="2193"/>
      <c r="AT115" s="2193"/>
      <c r="AU115" s="2193"/>
      <c r="AV115" s="2194"/>
      <c r="AW115" s="2193"/>
      <c r="AX115" s="2193"/>
      <c r="AY115" s="2193"/>
      <c r="AZ115" s="2193"/>
      <c r="BA115" s="2193"/>
      <c r="BB115" s="2193"/>
      <c r="BC115" s="2193"/>
      <c r="BD115" s="2193"/>
      <c r="BE115" s="2193"/>
      <c r="BF115" s="2193"/>
      <c r="BG115" s="2193"/>
      <c r="BH115" s="2193"/>
      <c r="BI115" s="2193"/>
      <c r="BJ115" s="2193"/>
      <c r="BK115" s="2193"/>
      <c r="BL115" s="2193"/>
      <c r="BM115" s="2193"/>
      <c r="BN115" s="2193"/>
      <c r="BO115" s="2193"/>
      <c r="BP115" s="2193"/>
      <c r="BQ115" s="2193"/>
      <c r="BS115" s="3772" t="s">
        <v>636</v>
      </c>
      <c r="BT115" s="3773"/>
      <c r="BU115" s="3774"/>
      <c r="BV115" s="2185"/>
      <c r="BW115" s="2185"/>
      <c r="BX115" s="2185"/>
      <c r="BY115" s="2185"/>
      <c r="BZ115" s="2185"/>
      <c r="CA115" s="2185"/>
      <c r="CB115" s="2185"/>
      <c r="CC115" s="2185"/>
      <c r="CD115" s="2185"/>
      <c r="CE115" s="2186"/>
      <c r="CF115" s="2185"/>
      <c r="CG115" s="2185"/>
      <c r="CH115" s="2185"/>
      <c r="CI115" s="2185"/>
      <c r="CJ115" s="2185"/>
      <c r="CK115" s="2185"/>
      <c r="CL115" s="2185"/>
      <c r="CM115" s="2185"/>
      <c r="CN115" s="2185"/>
      <c r="CO115" s="2185"/>
      <c r="CP115" s="2185"/>
      <c r="CQ115" s="2185"/>
      <c r="CR115" s="2185"/>
      <c r="CS115" s="2185"/>
      <c r="CT115" s="2185"/>
      <c r="CU115" s="2185"/>
      <c r="CV115" s="2185"/>
      <c r="CW115" s="2185"/>
      <c r="CX115" s="2185"/>
      <c r="CY115" s="2185"/>
      <c r="CZ115" s="2185"/>
      <c r="DB115" s="3781" t="s">
        <v>636</v>
      </c>
      <c r="DC115" s="3782"/>
      <c r="DD115" s="3783"/>
      <c r="DE115" s="1433"/>
      <c r="DF115" s="1433"/>
      <c r="DG115" s="1433"/>
      <c r="DH115" s="1433"/>
      <c r="DI115" s="1433"/>
      <c r="DJ115" s="1433"/>
      <c r="DK115" s="1433"/>
      <c r="DL115" s="1433"/>
      <c r="DM115" s="1433"/>
      <c r="DN115" s="2274"/>
      <c r="DO115" s="1433"/>
      <c r="DP115" s="1433"/>
      <c r="DQ115" s="1433"/>
      <c r="DR115" s="1433"/>
      <c r="DS115" s="1433"/>
      <c r="DT115" s="1433"/>
      <c r="DU115" s="1433"/>
      <c r="DV115" s="1433"/>
      <c r="DW115" s="1433"/>
      <c r="DX115" s="1433"/>
      <c r="DY115" s="1433"/>
      <c r="DZ115" s="1433"/>
      <c r="EA115" s="1433"/>
      <c r="EB115" s="1433"/>
      <c r="EC115" s="1433"/>
      <c r="ED115" s="1433"/>
      <c r="EE115" s="1433"/>
      <c r="EF115" s="1433"/>
      <c r="EG115" s="1433"/>
      <c r="EH115" s="1433"/>
      <c r="EI115" s="1433"/>
    </row>
    <row r="116" spans="1:139" ht="15">
      <c r="A116" s="1233" t="s">
        <v>72</v>
      </c>
      <c r="B116" s="1233" t="s">
        <v>73</v>
      </c>
      <c r="C116" s="1233">
        <v>1</v>
      </c>
      <c r="D116" s="1233">
        <v>2</v>
      </c>
      <c r="E116" s="1233">
        <v>3</v>
      </c>
      <c r="F116" s="1233">
        <v>4</v>
      </c>
      <c r="G116" s="1233">
        <v>5</v>
      </c>
      <c r="H116" s="1233">
        <v>6</v>
      </c>
      <c r="I116" s="1233">
        <v>7</v>
      </c>
      <c r="J116" s="1233">
        <v>8</v>
      </c>
      <c r="K116" s="1233">
        <v>9</v>
      </c>
      <c r="L116" s="1233">
        <v>10</v>
      </c>
      <c r="M116" s="1233">
        <v>11</v>
      </c>
      <c r="N116" s="1233">
        <v>12</v>
      </c>
      <c r="O116" s="1233">
        <v>13</v>
      </c>
      <c r="P116" s="1233">
        <v>14</v>
      </c>
      <c r="Q116" s="1233">
        <v>15</v>
      </c>
      <c r="R116" s="1233">
        <v>16</v>
      </c>
      <c r="S116" s="1233">
        <v>17</v>
      </c>
      <c r="T116" s="1233">
        <v>18</v>
      </c>
      <c r="U116" s="1233">
        <v>19</v>
      </c>
      <c r="V116" s="1233">
        <v>20</v>
      </c>
      <c r="W116" s="1233">
        <v>21</v>
      </c>
      <c r="X116" s="1233">
        <v>22</v>
      </c>
      <c r="Y116" s="1233">
        <v>23</v>
      </c>
      <c r="Z116" s="1233">
        <v>24</v>
      </c>
      <c r="AA116" s="1233">
        <v>25</v>
      </c>
      <c r="AB116" s="1233">
        <v>26</v>
      </c>
      <c r="AC116" s="1233">
        <v>27</v>
      </c>
      <c r="AD116" s="1233">
        <v>28</v>
      </c>
      <c r="AE116" s="1233">
        <v>29</v>
      </c>
      <c r="AF116" s="1233">
        <v>30</v>
      </c>
      <c r="AG116" s="1233">
        <v>31</v>
      </c>
      <c r="AH116" s="2325" t="s">
        <v>74</v>
      </c>
      <c r="AJ116" s="1746" t="s">
        <v>72</v>
      </c>
      <c r="AK116" s="1746" t="s">
        <v>73</v>
      </c>
      <c r="AL116" s="1746">
        <v>1</v>
      </c>
      <c r="AM116" s="1746">
        <v>2</v>
      </c>
      <c r="AN116" s="1746">
        <v>3</v>
      </c>
      <c r="AO116" s="1746">
        <v>4</v>
      </c>
      <c r="AP116" s="1746">
        <v>5</v>
      </c>
      <c r="AQ116" s="1746">
        <v>6</v>
      </c>
      <c r="AR116" s="1746">
        <v>7</v>
      </c>
      <c r="AS116" s="1746">
        <v>8</v>
      </c>
      <c r="AT116" s="1746">
        <v>9</v>
      </c>
      <c r="AU116" s="1746">
        <v>10</v>
      </c>
      <c r="AV116" s="1746">
        <v>11</v>
      </c>
      <c r="AW116" s="1746">
        <v>12</v>
      </c>
      <c r="AX116" s="1746">
        <v>13</v>
      </c>
      <c r="AY116" s="1746">
        <v>14</v>
      </c>
      <c r="AZ116" s="1746">
        <v>15</v>
      </c>
      <c r="BA116" s="1746">
        <v>16</v>
      </c>
      <c r="BB116" s="1746">
        <v>17</v>
      </c>
      <c r="BC116" s="1746">
        <v>18</v>
      </c>
      <c r="BD116" s="1746">
        <v>19</v>
      </c>
      <c r="BE116" s="1746">
        <v>20</v>
      </c>
      <c r="BF116" s="1746">
        <v>21</v>
      </c>
      <c r="BG116" s="1746">
        <v>22</v>
      </c>
      <c r="BH116" s="1746">
        <v>23</v>
      </c>
      <c r="BI116" s="1746">
        <v>24</v>
      </c>
      <c r="BJ116" s="1746">
        <v>25</v>
      </c>
      <c r="BK116" s="1746">
        <v>26</v>
      </c>
      <c r="BL116" s="1746">
        <v>27</v>
      </c>
      <c r="BM116" s="1746">
        <v>28</v>
      </c>
      <c r="BN116" s="1746">
        <v>29</v>
      </c>
      <c r="BO116" s="1746">
        <v>30</v>
      </c>
      <c r="BP116" s="1746">
        <v>31</v>
      </c>
      <c r="BQ116" s="2192" t="s">
        <v>74</v>
      </c>
      <c r="BS116" s="1845" t="s">
        <v>72</v>
      </c>
      <c r="BT116" s="1845" t="s">
        <v>73</v>
      </c>
      <c r="BU116" s="1845">
        <v>1</v>
      </c>
      <c r="BV116" s="1845">
        <v>2</v>
      </c>
      <c r="BW116" s="1845">
        <v>3</v>
      </c>
      <c r="BX116" s="1845">
        <v>4</v>
      </c>
      <c r="BY116" s="1845">
        <v>5</v>
      </c>
      <c r="BZ116" s="1845">
        <v>6</v>
      </c>
      <c r="CA116" s="1845">
        <v>7</v>
      </c>
      <c r="CB116" s="1845">
        <v>8</v>
      </c>
      <c r="CC116" s="1845">
        <v>9</v>
      </c>
      <c r="CD116" s="1845">
        <v>10</v>
      </c>
      <c r="CE116" s="1845">
        <v>11</v>
      </c>
      <c r="CF116" s="1845">
        <v>12</v>
      </c>
      <c r="CG116" s="1845">
        <v>13</v>
      </c>
      <c r="CH116" s="1845">
        <v>14</v>
      </c>
      <c r="CI116" s="1845">
        <v>15</v>
      </c>
      <c r="CJ116" s="1845">
        <v>16</v>
      </c>
      <c r="CK116" s="1845">
        <v>17</v>
      </c>
      <c r="CL116" s="1845">
        <v>18</v>
      </c>
      <c r="CM116" s="1845">
        <v>19</v>
      </c>
      <c r="CN116" s="1845">
        <v>20</v>
      </c>
      <c r="CO116" s="1845">
        <v>21</v>
      </c>
      <c r="CP116" s="1845">
        <v>22</v>
      </c>
      <c r="CQ116" s="1845">
        <v>23</v>
      </c>
      <c r="CR116" s="1845">
        <v>24</v>
      </c>
      <c r="CS116" s="1845">
        <v>25</v>
      </c>
      <c r="CT116" s="1845">
        <v>26</v>
      </c>
      <c r="CU116" s="1845">
        <v>27</v>
      </c>
      <c r="CV116" s="1845">
        <v>28</v>
      </c>
      <c r="CW116" s="1845">
        <v>29</v>
      </c>
      <c r="CX116" s="1845">
        <v>30</v>
      </c>
      <c r="CY116" s="1845">
        <v>31</v>
      </c>
      <c r="CZ116" s="2184" t="s">
        <v>74</v>
      </c>
      <c r="DB116" s="1249" t="s">
        <v>72</v>
      </c>
      <c r="DC116" s="1249" t="s">
        <v>73</v>
      </c>
      <c r="DD116" s="1249">
        <v>1</v>
      </c>
      <c r="DE116" s="1249">
        <v>2</v>
      </c>
      <c r="DF116" s="1249">
        <v>3</v>
      </c>
      <c r="DG116" s="1249">
        <v>4</v>
      </c>
      <c r="DH116" s="1249">
        <v>5</v>
      </c>
      <c r="DI116" s="1249">
        <v>6</v>
      </c>
      <c r="DJ116" s="1249">
        <v>7</v>
      </c>
      <c r="DK116" s="1249">
        <v>8</v>
      </c>
      <c r="DL116" s="1249">
        <v>9</v>
      </c>
      <c r="DM116" s="1249">
        <v>10</v>
      </c>
      <c r="DN116" s="1249">
        <v>11</v>
      </c>
      <c r="DO116" s="1249">
        <v>12</v>
      </c>
      <c r="DP116" s="1249">
        <v>13</v>
      </c>
      <c r="DQ116" s="1249">
        <v>14</v>
      </c>
      <c r="DR116" s="1249">
        <v>15</v>
      </c>
      <c r="DS116" s="1249">
        <v>16</v>
      </c>
      <c r="DT116" s="1249">
        <v>17</v>
      </c>
      <c r="DU116" s="1249">
        <v>18</v>
      </c>
      <c r="DV116" s="1249">
        <v>19</v>
      </c>
      <c r="DW116" s="1249">
        <v>20</v>
      </c>
      <c r="DX116" s="1249">
        <v>21</v>
      </c>
      <c r="DY116" s="1249">
        <v>22</v>
      </c>
      <c r="DZ116" s="1249">
        <v>23</v>
      </c>
      <c r="EA116" s="1249">
        <v>24</v>
      </c>
      <c r="EB116" s="1249">
        <v>25</v>
      </c>
      <c r="EC116" s="1249">
        <v>26</v>
      </c>
      <c r="ED116" s="1249">
        <v>27</v>
      </c>
      <c r="EE116" s="1249">
        <v>28</v>
      </c>
      <c r="EF116" s="1249">
        <v>29</v>
      </c>
      <c r="EG116" s="1249">
        <v>30</v>
      </c>
      <c r="EH116" s="1249">
        <v>31</v>
      </c>
      <c r="EI116" s="1820" t="s">
        <v>74</v>
      </c>
    </row>
    <row r="117" spans="1:139" ht="15">
      <c r="A117" s="1233" t="s">
        <v>75</v>
      </c>
      <c r="B117" s="1280">
        <f t="shared" ref="B117:B128" si="102">+AH117</f>
        <v>0</v>
      </c>
      <c r="C117" s="2326"/>
      <c r="D117" s="2326"/>
      <c r="E117" s="2326"/>
      <c r="F117" s="2326"/>
      <c r="G117" s="2326"/>
      <c r="H117" s="2326"/>
      <c r="I117" s="2326"/>
      <c r="J117" s="2326"/>
      <c r="K117" s="2326"/>
      <c r="L117" s="2326"/>
      <c r="M117" s="2326"/>
      <c r="N117" s="2326"/>
      <c r="O117" s="2326"/>
      <c r="P117" s="2326"/>
      <c r="Q117" s="2326"/>
      <c r="R117" s="2326"/>
      <c r="S117" s="2326"/>
      <c r="T117" s="2326"/>
      <c r="U117" s="2326"/>
      <c r="V117" s="2326"/>
      <c r="W117" s="2326"/>
      <c r="X117" s="2326"/>
      <c r="Y117" s="2326"/>
      <c r="Z117" s="2326"/>
      <c r="AA117" s="2326"/>
      <c r="AB117" s="2326"/>
      <c r="AC117" s="2326"/>
      <c r="AD117" s="2326"/>
      <c r="AE117" s="2326"/>
      <c r="AF117" s="2326"/>
      <c r="AG117" s="2326"/>
      <c r="AH117" s="2327">
        <f t="shared" ref="AH117:AH128" si="103">SUM(C117:AG117)</f>
        <v>0</v>
      </c>
      <c r="AJ117" s="1746" t="s">
        <v>75</v>
      </c>
      <c r="AK117" s="1749">
        <f t="shared" ref="AK117:AK128" si="104">+BQ117</f>
        <v>0</v>
      </c>
      <c r="AL117" s="2189"/>
      <c r="AM117" s="2189"/>
      <c r="AN117" s="2189"/>
      <c r="AO117" s="2189"/>
      <c r="AP117" s="2189"/>
      <c r="AQ117" s="2189"/>
      <c r="AR117" s="2189"/>
      <c r="AS117" s="2189"/>
      <c r="AT117" s="2189"/>
      <c r="AU117" s="2189"/>
      <c r="AV117" s="2189"/>
      <c r="AW117" s="2189"/>
      <c r="AX117" s="2189"/>
      <c r="AY117" s="2189"/>
      <c r="AZ117" s="2189"/>
      <c r="BA117" s="2189"/>
      <c r="BB117" s="2189"/>
      <c r="BC117" s="2189"/>
      <c r="BD117" s="2189"/>
      <c r="BE117" s="2226"/>
      <c r="BF117" s="2226"/>
      <c r="BG117" s="2226"/>
      <c r="BH117" s="2226"/>
      <c r="BI117" s="2226"/>
      <c r="BJ117" s="2226"/>
      <c r="BK117" s="2226"/>
      <c r="BL117" s="2226"/>
      <c r="BM117" s="2226"/>
      <c r="BN117" s="2226"/>
      <c r="BO117" s="2226"/>
      <c r="BP117" s="2226"/>
      <c r="BQ117" s="2188">
        <f t="shared" ref="BQ117:BQ128" si="105">SUM(AL117:BP117)</f>
        <v>0</v>
      </c>
      <c r="BS117" s="1845" t="s">
        <v>75</v>
      </c>
      <c r="BT117" s="1846">
        <f t="shared" ref="BT117:BT128" si="106">+CZ117</f>
        <v>0</v>
      </c>
      <c r="BU117" s="2225"/>
      <c r="BV117" s="2225"/>
      <c r="BW117" s="2225"/>
      <c r="BX117" s="2225"/>
      <c r="BY117" s="2225"/>
      <c r="BZ117" s="2225"/>
      <c r="CA117" s="2225"/>
      <c r="CB117" s="2225"/>
      <c r="CC117" s="2225"/>
      <c r="CD117" s="2225"/>
      <c r="CE117" s="2225"/>
      <c r="CF117" s="2225"/>
      <c r="CG117" s="2181"/>
      <c r="CH117" s="2181"/>
      <c r="CI117" s="2181"/>
      <c r="CJ117" s="2181"/>
      <c r="CK117" s="2181"/>
      <c r="CL117" s="2181"/>
      <c r="CM117" s="2181"/>
      <c r="CN117" s="2181"/>
      <c r="CO117" s="2181"/>
      <c r="CP117" s="2181"/>
      <c r="CQ117" s="2181"/>
      <c r="CR117" s="2181"/>
      <c r="CS117" s="2181"/>
      <c r="CT117" s="2181"/>
      <c r="CU117" s="2181"/>
      <c r="CV117" s="2181"/>
      <c r="CW117" s="2181"/>
      <c r="CX117" s="2181"/>
      <c r="CY117" s="2181"/>
      <c r="CZ117" s="2180">
        <f t="shared" ref="CZ117:CZ128" si="107">SUM(BU117:CY117)</f>
        <v>0</v>
      </c>
      <c r="DB117" s="1249" t="s">
        <v>75</v>
      </c>
      <c r="DC117" s="1287">
        <f t="shared" ref="DC117:DC128" si="108">+EI117</f>
        <v>0</v>
      </c>
      <c r="DD117" s="1761"/>
      <c r="DE117" s="1761"/>
      <c r="DF117" s="1761"/>
      <c r="DG117" s="1761"/>
      <c r="DH117" s="1761"/>
      <c r="DI117" s="1761"/>
      <c r="DJ117" s="1761"/>
      <c r="DK117" s="1761"/>
      <c r="DL117" s="1761"/>
      <c r="DM117" s="1761"/>
      <c r="DN117" s="1761"/>
      <c r="DO117" s="1761"/>
      <c r="DP117" s="1761"/>
      <c r="DQ117" s="1761"/>
      <c r="DR117" s="1761"/>
      <c r="DS117" s="1761"/>
      <c r="DT117" s="1761"/>
      <c r="DU117" s="1761"/>
      <c r="DV117" s="1761"/>
      <c r="DW117" s="1761"/>
      <c r="DX117" s="1761"/>
      <c r="DY117" s="1761"/>
      <c r="DZ117" s="1761"/>
      <c r="EA117" s="1761"/>
      <c r="EB117" s="1761"/>
      <c r="EC117" s="1761"/>
      <c r="ED117" s="1761"/>
      <c r="EE117" s="1761"/>
      <c r="EF117" s="1761"/>
      <c r="EG117" s="1761"/>
      <c r="EH117" s="1761"/>
      <c r="EI117" s="1488">
        <f t="shared" ref="EI117:EI128" si="109">SUM(DD117:EH117)</f>
        <v>0</v>
      </c>
    </row>
    <row r="118" spans="1:139" ht="15">
      <c r="A118" s="1233" t="s">
        <v>76</v>
      </c>
      <c r="B118" s="1280">
        <f t="shared" si="102"/>
        <v>0</v>
      </c>
      <c r="C118" s="2326"/>
      <c r="D118" s="2328"/>
      <c r="E118" s="2328"/>
      <c r="F118" s="2328"/>
      <c r="G118" s="2328"/>
      <c r="H118" s="2328"/>
      <c r="I118" s="2328"/>
      <c r="J118" s="2328"/>
      <c r="K118" s="2328"/>
      <c r="L118" s="2328"/>
      <c r="M118" s="2328"/>
      <c r="N118" s="2328"/>
      <c r="O118" s="2328"/>
      <c r="P118" s="2328"/>
      <c r="Q118" s="2328"/>
      <c r="R118" s="2328"/>
      <c r="S118" s="2328"/>
      <c r="T118" s="2328"/>
      <c r="U118" s="2328"/>
      <c r="V118" s="2328"/>
      <c r="W118" s="2328"/>
      <c r="X118" s="2328"/>
      <c r="Y118" s="2326"/>
      <c r="Z118" s="2326"/>
      <c r="AA118" s="2326"/>
      <c r="AB118" s="2326"/>
      <c r="AC118" s="2326"/>
      <c r="AD118" s="2326"/>
      <c r="AE118" s="2326"/>
      <c r="AF118" s="2326"/>
      <c r="AG118" s="2326"/>
      <c r="AH118" s="2327">
        <f t="shared" si="103"/>
        <v>0</v>
      </c>
      <c r="AJ118" s="1746" t="s">
        <v>76</v>
      </c>
      <c r="AK118" s="1749">
        <f t="shared" si="104"/>
        <v>0</v>
      </c>
      <c r="AL118" s="2189"/>
      <c r="AM118" s="2243"/>
      <c r="AN118" s="2243"/>
      <c r="AO118" s="2243"/>
      <c r="AP118" s="2243"/>
      <c r="AQ118" s="2243"/>
      <c r="AR118" s="2243"/>
      <c r="AS118" s="2243"/>
      <c r="AT118" s="2243"/>
      <c r="AU118" s="2243"/>
      <c r="AV118" s="2243"/>
      <c r="AW118" s="2243"/>
      <c r="AX118" s="2243"/>
      <c r="AY118" s="2243"/>
      <c r="AZ118" s="2243"/>
      <c r="BA118" s="2243"/>
      <c r="BB118" s="2243"/>
      <c r="BC118" s="2243"/>
      <c r="BD118" s="2243"/>
      <c r="BE118" s="2226"/>
      <c r="BF118" s="2226"/>
      <c r="BG118" s="2226"/>
      <c r="BH118" s="2226"/>
      <c r="BI118" s="2226"/>
      <c r="BJ118" s="2226"/>
      <c r="BK118" s="2226"/>
      <c r="BL118" s="2226"/>
      <c r="BM118" s="2226"/>
      <c r="BN118" s="2226"/>
      <c r="BO118" s="2226"/>
      <c r="BP118" s="2226"/>
      <c r="BQ118" s="2188">
        <f t="shared" si="105"/>
        <v>0</v>
      </c>
      <c r="BS118" s="1845" t="s">
        <v>76</v>
      </c>
      <c r="BT118" s="1846">
        <f t="shared" si="106"/>
        <v>0</v>
      </c>
      <c r="BU118" s="2225"/>
      <c r="BV118" s="2225"/>
      <c r="BW118" s="2225"/>
      <c r="BX118" s="2225"/>
      <c r="BY118" s="2225"/>
      <c r="BZ118" s="2225"/>
      <c r="CA118" s="2225"/>
      <c r="CB118" s="2225"/>
      <c r="CC118" s="2225"/>
      <c r="CD118" s="2225"/>
      <c r="CE118" s="2225"/>
      <c r="CF118" s="2225"/>
      <c r="CG118" s="2224"/>
      <c r="CH118" s="2224"/>
      <c r="CI118" s="2224"/>
      <c r="CJ118" s="2224"/>
      <c r="CK118" s="2224"/>
      <c r="CL118" s="2224"/>
      <c r="CM118" s="2224"/>
      <c r="CN118" s="2224"/>
      <c r="CO118" s="2224"/>
      <c r="CP118" s="2224"/>
      <c r="CQ118" s="2181"/>
      <c r="CR118" s="2181"/>
      <c r="CS118" s="2181"/>
      <c r="CT118" s="2181"/>
      <c r="CU118" s="2181"/>
      <c r="CV118" s="2181"/>
      <c r="CW118" s="2181"/>
      <c r="CX118" s="2181"/>
      <c r="CY118" s="2181"/>
      <c r="CZ118" s="2180">
        <f t="shared" si="107"/>
        <v>0</v>
      </c>
      <c r="DB118" s="1249" t="s">
        <v>76</v>
      </c>
      <c r="DC118" s="1287">
        <f t="shared" si="108"/>
        <v>0</v>
      </c>
      <c r="DD118" s="1761"/>
      <c r="DE118" s="1762"/>
      <c r="DF118" s="1762"/>
      <c r="DG118" s="1762"/>
      <c r="DH118" s="1762"/>
      <c r="DI118" s="1762"/>
      <c r="DJ118" s="1762"/>
      <c r="DK118" s="1762"/>
      <c r="DL118" s="1762"/>
      <c r="DM118" s="1762"/>
      <c r="DN118" s="1762"/>
      <c r="DO118" s="1762"/>
      <c r="DP118" s="1762"/>
      <c r="DQ118" s="1762"/>
      <c r="DR118" s="1762"/>
      <c r="DS118" s="1762"/>
      <c r="DT118" s="1762"/>
      <c r="DU118" s="1762"/>
      <c r="DV118" s="1762"/>
      <c r="DW118" s="1762"/>
      <c r="DX118" s="1762"/>
      <c r="DY118" s="1762"/>
      <c r="DZ118" s="1761"/>
      <c r="EA118" s="1761"/>
      <c r="EB118" s="1761"/>
      <c r="EC118" s="1761"/>
      <c r="ED118" s="1761"/>
      <c r="EE118" s="1761"/>
      <c r="EF118" s="1761"/>
      <c r="EG118" s="1761"/>
      <c r="EH118" s="1761"/>
      <c r="EI118" s="1488">
        <f t="shared" si="109"/>
        <v>0</v>
      </c>
    </row>
    <row r="119" spans="1:139" ht="15.75">
      <c r="A119" s="1233" t="s">
        <v>77</v>
      </c>
      <c r="B119" s="1280">
        <f t="shared" si="102"/>
        <v>0</v>
      </c>
      <c r="C119" s="2329"/>
      <c r="D119" s="2329"/>
      <c r="E119" s="2330"/>
      <c r="F119" s="2331"/>
      <c r="G119" s="2332"/>
      <c r="H119" s="2333"/>
      <c r="I119" s="2333"/>
      <c r="J119" s="2329"/>
      <c r="K119" s="2329"/>
      <c r="L119" s="2329"/>
      <c r="M119" s="2329"/>
      <c r="N119" s="2329"/>
      <c r="O119" s="2329"/>
      <c r="P119" s="2333"/>
      <c r="Q119" s="2333"/>
      <c r="R119" s="2333"/>
      <c r="S119" s="2333"/>
      <c r="T119" s="2333"/>
      <c r="U119" s="2333"/>
      <c r="V119" s="2333"/>
      <c r="W119" s="2333"/>
      <c r="X119" s="2333"/>
      <c r="Y119" s="2333"/>
      <c r="Z119" s="2333"/>
      <c r="AA119" s="2333"/>
      <c r="AB119" s="2333"/>
      <c r="AC119" s="2333"/>
      <c r="AD119" s="2333"/>
      <c r="AE119" s="2334"/>
      <c r="AF119" s="2329"/>
      <c r="AG119" s="2329"/>
      <c r="AH119" s="2327">
        <f t="shared" si="103"/>
        <v>0</v>
      </c>
      <c r="AJ119" s="1746" t="s">
        <v>77</v>
      </c>
      <c r="AK119" s="1749">
        <f t="shared" si="104"/>
        <v>0</v>
      </c>
      <c r="AL119" s="2232"/>
      <c r="AM119" s="2232"/>
      <c r="AN119" s="2242"/>
      <c r="AO119" s="2241"/>
      <c r="AP119" s="2240"/>
      <c r="AQ119" s="2233"/>
      <c r="AR119" s="2233"/>
      <c r="AS119" s="2232"/>
      <c r="AT119" s="2232"/>
      <c r="AU119" s="2232"/>
      <c r="AV119" s="2232"/>
      <c r="AW119" s="2232"/>
      <c r="AX119" s="2232"/>
      <c r="AY119" s="2233"/>
      <c r="AZ119" s="2233"/>
      <c r="BA119" s="2233"/>
      <c r="BB119" s="2233"/>
      <c r="BC119" s="2233"/>
      <c r="BD119" s="2233"/>
      <c r="BE119" s="2226"/>
      <c r="BF119" s="2226"/>
      <c r="BG119" s="2226"/>
      <c r="BH119" s="2226"/>
      <c r="BI119" s="2226"/>
      <c r="BJ119" s="2226"/>
      <c r="BK119" s="2226"/>
      <c r="BL119" s="2226"/>
      <c r="BM119" s="2226"/>
      <c r="BN119" s="2226"/>
      <c r="BO119" s="2226"/>
      <c r="BP119" s="2226"/>
      <c r="BQ119" s="2188">
        <f t="shared" si="105"/>
        <v>0</v>
      </c>
      <c r="BS119" s="1845" t="s">
        <v>77</v>
      </c>
      <c r="BT119" s="1846">
        <f t="shared" si="106"/>
        <v>0</v>
      </c>
      <c r="BU119" s="2225"/>
      <c r="BV119" s="2225"/>
      <c r="BW119" s="2225"/>
      <c r="BX119" s="2225"/>
      <c r="BY119" s="2225"/>
      <c r="BZ119" s="2225"/>
      <c r="CA119" s="2225"/>
      <c r="CB119" s="2225"/>
      <c r="CC119" s="2225"/>
      <c r="CD119" s="2225"/>
      <c r="CE119" s="2225"/>
      <c r="CF119" s="2225"/>
      <c r="CG119" s="2216"/>
      <c r="CH119" s="2217"/>
      <c r="CI119" s="2217"/>
      <c r="CJ119" s="2217"/>
      <c r="CK119" s="2217"/>
      <c r="CL119" s="2217"/>
      <c r="CM119" s="2217"/>
      <c r="CN119" s="2217"/>
      <c r="CO119" s="2217"/>
      <c r="CP119" s="2217"/>
      <c r="CQ119" s="2217"/>
      <c r="CR119" s="2217"/>
      <c r="CS119" s="2217"/>
      <c r="CT119" s="2217"/>
      <c r="CU119" s="2217"/>
      <c r="CV119" s="2217"/>
      <c r="CW119" s="2222"/>
      <c r="CX119" s="2216"/>
      <c r="CY119" s="2216"/>
      <c r="CZ119" s="2180">
        <f t="shared" si="107"/>
        <v>0</v>
      </c>
      <c r="DB119" s="1249" t="s">
        <v>77</v>
      </c>
      <c r="DC119" s="1287">
        <f t="shared" si="108"/>
        <v>0</v>
      </c>
      <c r="DD119" s="2279"/>
      <c r="DE119" s="2279"/>
      <c r="DF119" s="2290"/>
      <c r="DG119" s="2289"/>
      <c r="DH119" s="2288"/>
      <c r="DI119" s="2280"/>
      <c r="DJ119" s="2280"/>
      <c r="DK119" s="2279"/>
      <c r="DL119" s="2279"/>
      <c r="DM119" s="2279"/>
      <c r="DN119" s="2279"/>
      <c r="DO119" s="2279"/>
      <c r="DP119" s="2279"/>
      <c r="DQ119" s="2280"/>
      <c r="DR119" s="2280"/>
      <c r="DS119" s="2280"/>
      <c r="DT119" s="2280"/>
      <c r="DU119" s="2280"/>
      <c r="DV119" s="2280"/>
      <c r="DW119" s="2280"/>
      <c r="DX119" s="2280"/>
      <c r="DY119" s="2280"/>
      <c r="DZ119" s="2280"/>
      <c r="EA119" s="2280"/>
      <c r="EB119" s="2280"/>
      <c r="EC119" s="2280"/>
      <c r="ED119" s="2280"/>
      <c r="EE119" s="2280"/>
      <c r="EF119" s="2287"/>
      <c r="EG119" s="2279"/>
      <c r="EH119" s="2279"/>
      <c r="EI119" s="1488">
        <f t="shared" si="109"/>
        <v>0</v>
      </c>
    </row>
    <row r="120" spans="1:139" ht="15">
      <c r="A120" s="1233" t="s">
        <v>78</v>
      </c>
      <c r="B120" s="1280">
        <f t="shared" si="102"/>
        <v>0</v>
      </c>
      <c r="C120" s="2335"/>
      <c r="D120" s="1933"/>
      <c r="E120" s="2336"/>
      <c r="F120" s="2337"/>
      <c r="G120" s="2338"/>
      <c r="H120" s="2339"/>
      <c r="I120" s="2333"/>
      <c r="J120" s="2333"/>
      <c r="K120" s="2333"/>
      <c r="L120" s="2333"/>
      <c r="M120" s="2329"/>
      <c r="N120" s="2329"/>
      <c r="O120" s="2329"/>
      <c r="P120" s="2329"/>
      <c r="Q120" s="2333"/>
      <c r="R120" s="2333"/>
      <c r="S120" s="2333"/>
      <c r="T120" s="2333"/>
      <c r="U120" s="2329"/>
      <c r="V120" s="2333"/>
      <c r="W120" s="2333"/>
      <c r="X120" s="2333"/>
      <c r="Y120" s="2333"/>
      <c r="Z120" s="2333"/>
      <c r="AA120" s="2333"/>
      <c r="AB120" s="2333"/>
      <c r="AC120" s="2329"/>
      <c r="AD120" s="2333"/>
      <c r="AE120" s="2333"/>
      <c r="AF120" s="2329"/>
      <c r="AG120" s="2329"/>
      <c r="AH120" s="2327">
        <f t="shared" si="103"/>
        <v>0</v>
      </c>
      <c r="AJ120" s="1746" t="s">
        <v>78</v>
      </c>
      <c r="AK120" s="1749">
        <f t="shared" si="104"/>
        <v>0</v>
      </c>
      <c r="AL120" s="2239"/>
      <c r="AM120" s="2238"/>
      <c r="AN120" s="2237"/>
      <c r="AO120" s="2236"/>
      <c r="AP120" s="2235"/>
      <c r="AQ120" s="2234"/>
      <c r="AR120" s="2233"/>
      <c r="AS120" s="2233"/>
      <c r="AT120" s="2233"/>
      <c r="AU120" s="2233"/>
      <c r="AV120" s="2232"/>
      <c r="AW120" s="2232"/>
      <c r="AX120" s="2232"/>
      <c r="AY120" s="2232"/>
      <c r="AZ120" s="2233"/>
      <c r="BA120" s="2233"/>
      <c r="BB120" s="2233"/>
      <c r="BC120" s="2233"/>
      <c r="BD120" s="2232"/>
      <c r="BE120" s="2231"/>
      <c r="BF120" s="2231"/>
      <c r="BG120" s="2231"/>
      <c r="BH120" s="2231"/>
      <c r="BI120" s="2231"/>
      <c r="BJ120" s="2231"/>
      <c r="BK120" s="2231"/>
      <c r="BL120" s="2231"/>
      <c r="BM120" s="2231"/>
      <c r="BN120" s="2231"/>
      <c r="BO120" s="2226"/>
      <c r="BP120" s="2226"/>
      <c r="BQ120" s="2188">
        <f t="shared" si="105"/>
        <v>0</v>
      </c>
      <c r="BS120" s="1845" t="s">
        <v>78</v>
      </c>
      <c r="BT120" s="1846">
        <f t="shared" si="106"/>
        <v>0</v>
      </c>
      <c r="BU120" s="2230"/>
      <c r="BV120" s="2230"/>
      <c r="BW120" s="2230"/>
      <c r="BX120" s="2230"/>
      <c r="BY120" s="2230"/>
      <c r="BZ120" s="2230"/>
      <c r="CA120" s="2230"/>
      <c r="CB120" s="2230"/>
      <c r="CC120" s="2230"/>
      <c r="CD120" s="2230"/>
      <c r="CE120" s="2225"/>
      <c r="CF120" s="2225"/>
      <c r="CG120" s="2216"/>
      <c r="CH120" s="2216"/>
      <c r="CI120" s="2217"/>
      <c r="CJ120" s="2217"/>
      <c r="CK120" s="2217"/>
      <c r="CL120" s="2217"/>
      <c r="CM120" s="2216"/>
      <c r="CN120" s="2217"/>
      <c r="CO120" s="2217"/>
      <c r="CP120" s="2217"/>
      <c r="CQ120" s="2217"/>
      <c r="CR120" s="2217"/>
      <c r="CS120" s="2217"/>
      <c r="CT120" s="2217"/>
      <c r="CU120" s="2216"/>
      <c r="CV120" s="2217"/>
      <c r="CW120" s="2217"/>
      <c r="CX120" s="2216"/>
      <c r="CY120" s="2216"/>
      <c r="CZ120" s="2180">
        <f t="shared" si="107"/>
        <v>0</v>
      </c>
      <c r="DB120" s="1249" t="s">
        <v>78</v>
      </c>
      <c r="DC120" s="1287">
        <f t="shared" si="108"/>
        <v>0</v>
      </c>
      <c r="DD120" s="2285"/>
      <c r="DE120" s="1393"/>
      <c r="DF120" s="2284"/>
      <c r="DG120" s="2283"/>
      <c r="DH120" s="2282"/>
      <c r="DI120" s="2281"/>
      <c r="DJ120" s="2280"/>
      <c r="DK120" s="2280"/>
      <c r="DL120" s="2280"/>
      <c r="DM120" s="2280"/>
      <c r="DN120" s="2279"/>
      <c r="DO120" s="2279"/>
      <c r="DP120" s="2279"/>
      <c r="DQ120" s="2279"/>
      <c r="DR120" s="2280"/>
      <c r="DS120" s="2280"/>
      <c r="DT120" s="2280"/>
      <c r="DU120" s="2280"/>
      <c r="DV120" s="2279"/>
      <c r="DW120" s="2280"/>
      <c r="DX120" s="2280"/>
      <c r="DY120" s="2280"/>
      <c r="DZ120" s="2280"/>
      <c r="EA120" s="2280"/>
      <c r="EB120" s="2280"/>
      <c r="EC120" s="2280"/>
      <c r="ED120" s="2279"/>
      <c r="EE120" s="2280"/>
      <c r="EF120" s="2280"/>
      <c r="EG120" s="2279"/>
      <c r="EH120" s="2279"/>
      <c r="EI120" s="1488">
        <f t="shared" si="109"/>
        <v>0</v>
      </c>
    </row>
    <row r="121" spans="1:139" ht="15">
      <c r="A121" s="1233" t="s">
        <v>79</v>
      </c>
      <c r="B121" s="1280">
        <f t="shared" si="102"/>
        <v>0</v>
      </c>
      <c r="C121" s="2326"/>
      <c r="D121" s="2326"/>
      <c r="E121" s="2326"/>
      <c r="F121" s="2326"/>
      <c r="G121" s="2326"/>
      <c r="H121" s="2326"/>
      <c r="I121" s="2326"/>
      <c r="J121" s="2326"/>
      <c r="K121" s="2326"/>
      <c r="L121" s="2326"/>
      <c r="M121" s="2326"/>
      <c r="N121" s="2326"/>
      <c r="O121" s="2326"/>
      <c r="P121" s="2326"/>
      <c r="Q121" s="2326"/>
      <c r="R121" s="2326"/>
      <c r="S121" s="2326"/>
      <c r="T121" s="2326"/>
      <c r="U121" s="2326"/>
      <c r="V121" s="2326"/>
      <c r="W121" s="2326"/>
      <c r="X121" s="2326"/>
      <c r="Y121" s="2326"/>
      <c r="Z121" s="2326"/>
      <c r="AA121" s="2326"/>
      <c r="AB121" s="2326"/>
      <c r="AC121" s="2326"/>
      <c r="AD121" s="2326"/>
      <c r="AE121" s="2326"/>
      <c r="AF121" s="2326"/>
      <c r="AG121" s="2326"/>
      <c r="AH121" s="2327">
        <f t="shared" si="103"/>
        <v>0</v>
      </c>
      <c r="AJ121" s="1746" t="s">
        <v>79</v>
      </c>
      <c r="AK121" s="1749">
        <f t="shared" si="104"/>
        <v>0</v>
      </c>
      <c r="AL121" s="2189"/>
      <c r="AM121" s="2189"/>
      <c r="AN121" s="2189"/>
      <c r="AO121" s="2189"/>
      <c r="AP121" s="2189"/>
      <c r="AQ121" s="2189"/>
      <c r="AR121" s="2189"/>
      <c r="AS121" s="2189"/>
      <c r="AT121" s="2189"/>
      <c r="AU121" s="2189"/>
      <c r="AV121" s="2189"/>
      <c r="AW121" s="2189"/>
      <c r="AX121" s="2189"/>
      <c r="AY121" s="2189"/>
      <c r="AZ121" s="2189"/>
      <c r="BA121" s="2189"/>
      <c r="BB121" s="2189"/>
      <c r="BC121" s="2189"/>
      <c r="BD121" s="2189"/>
      <c r="BE121" s="2231"/>
      <c r="BF121" s="2231"/>
      <c r="BG121" s="2231"/>
      <c r="BH121" s="2226"/>
      <c r="BI121" s="2231"/>
      <c r="BJ121" s="2226"/>
      <c r="BK121" s="2231"/>
      <c r="BL121" s="2226"/>
      <c r="BM121" s="2231"/>
      <c r="BN121" s="2231"/>
      <c r="BO121" s="2231"/>
      <c r="BP121" s="2231"/>
      <c r="BQ121" s="2188">
        <f t="shared" si="105"/>
        <v>0</v>
      </c>
      <c r="BS121" s="1845" t="s">
        <v>79</v>
      </c>
      <c r="BT121" s="1846">
        <f t="shared" si="106"/>
        <v>0</v>
      </c>
      <c r="BU121" s="2230"/>
      <c r="BV121" s="2230"/>
      <c r="BW121" s="2230"/>
      <c r="BX121" s="2225"/>
      <c r="BY121" s="2230"/>
      <c r="BZ121" s="2225"/>
      <c r="CA121" s="2230"/>
      <c r="CB121" s="2225"/>
      <c r="CC121" s="2230"/>
      <c r="CD121" s="2230"/>
      <c r="CE121" s="2230"/>
      <c r="CF121" s="2230"/>
      <c r="CG121" s="2181"/>
      <c r="CH121" s="2181"/>
      <c r="CI121" s="2181"/>
      <c r="CJ121" s="2181"/>
      <c r="CK121" s="2181"/>
      <c r="CL121" s="2181"/>
      <c r="CM121" s="2181"/>
      <c r="CN121" s="2181"/>
      <c r="CO121" s="2181"/>
      <c r="CP121" s="2181"/>
      <c r="CQ121" s="2181"/>
      <c r="CR121" s="2181"/>
      <c r="CS121" s="2181"/>
      <c r="CT121" s="2181"/>
      <c r="CU121" s="2181"/>
      <c r="CV121" s="2181"/>
      <c r="CW121" s="2181"/>
      <c r="CX121" s="2181"/>
      <c r="CY121" s="2181"/>
      <c r="CZ121" s="2180">
        <f t="shared" si="107"/>
        <v>0</v>
      </c>
      <c r="DB121" s="1249" t="s">
        <v>79</v>
      </c>
      <c r="DC121" s="1287">
        <f t="shared" si="108"/>
        <v>0</v>
      </c>
      <c r="DD121" s="1761"/>
      <c r="DE121" s="1761"/>
      <c r="DF121" s="1761"/>
      <c r="DG121" s="1761"/>
      <c r="DH121" s="1761"/>
      <c r="DI121" s="1761"/>
      <c r="DJ121" s="1761"/>
      <c r="DK121" s="1761"/>
      <c r="DL121" s="1761"/>
      <c r="DM121" s="1761"/>
      <c r="DN121" s="1761"/>
      <c r="DO121" s="1761"/>
      <c r="DP121" s="1761"/>
      <c r="DQ121" s="1761"/>
      <c r="DR121" s="1761"/>
      <c r="DS121" s="1761"/>
      <c r="DT121" s="1761"/>
      <c r="DU121" s="1761"/>
      <c r="DV121" s="1761"/>
      <c r="DW121" s="1761"/>
      <c r="DX121" s="1761"/>
      <c r="DY121" s="1761"/>
      <c r="DZ121" s="1761"/>
      <c r="EA121" s="1761"/>
      <c r="EB121" s="1761"/>
      <c r="EC121" s="1761"/>
      <c r="ED121" s="1761"/>
      <c r="EE121" s="1761"/>
      <c r="EF121" s="1761"/>
      <c r="EG121" s="1761"/>
      <c r="EH121" s="1761"/>
      <c r="EI121" s="1488">
        <f t="shared" si="109"/>
        <v>0</v>
      </c>
    </row>
    <row r="122" spans="1:139" ht="15">
      <c r="A122" s="1233" t="s">
        <v>80</v>
      </c>
      <c r="B122" s="1280">
        <f t="shared" si="102"/>
        <v>0</v>
      </c>
      <c r="C122" s="2326"/>
      <c r="D122" s="2326"/>
      <c r="E122" s="2326"/>
      <c r="F122" s="2326"/>
      <c r="G122" s="2326"/>
      <c r="H122" s="2326"/>
      <c r="I122" s="2326"/>
      <c r="J122" s="2326"/>
      <c r="K122" s="2326"/>
      <c r="L122" s="2326"/>
      <c r="M122" s="2326"/>
      <c r="N122" s="2326"/>
      <c r="O122" s="2326"/>
      <c r="P122" s="2326"/>
      <c r="Q122" s="2326"/>
      <c r="R122" s="2326"/>
      <c r="S122" s="2326"/>
      <c r="T122" s="2326"/>
      <c r="U122" s="2326"/>
      <c r="V122" s="2326"/>
      <c r="W122" s="2326"/>
      <c r="X122" s="2326"/>
      <c r="Y122" s="2326"/>
      <c r="Z122" s="2326"/>
      <c r="AA122" s="2326"/>
      <c r="AB122" s="2326"/>
      <c r="AC122" s="2326"/>
      <c r="AD122" s="2326"/>
      <c r="AE122" s="2326"/>
      <c r="AF122" s="2326"/>
      <c r="AG122" s="2326"/>
      <c r="AH122" s="2327">
        <f t="shared" si="103"/>
        <v>0</v>
      </c>
      <c r="AJ122" s="1746" t="s">
        <v>80</v>
      </c>
      <c r="AK122" s="1749">
        <f t="shared" si="104"/>
        <v>0</v>
      </c>
      <c r="AL122" s="2189"/>
      <c r="AM122" s="2189"/>
      <c r="AN122" s="2189"/>
      <c r="AO122" s="2189"/>
      <c r="AP122" s="2189"/>
      <c r="AQ122" s="2189"/>
      <c r="AR122" s="2189"/>
      <c r="AS122" s="2189"/>
      <c r="AT122" s="2189"/>
      <c r="AU122" s="2189"/>
      <c r="AV122" s="2189"/>
      <c r="AW122" s="2189"/>
      <c r="AX122" s="2189"/>
      <c r="AY122" s="2189"/>
      <c r="AZ122" s="2189"/>
      <c r="BA122" s="2189"/>
      <c r="BB122" s="2189"/>
      <c r="BC122" s="2189"/>
      <c r="BD122" s="2189"/>
      <c r="BE122" s="2231"/>
      <c r="BF122" s="2231"/>
      <c r="BG122" s="2231"/>
      <c r="BH122" s="2231"/>
      <c r="BI122" s="2231"/>
      <c r="BJ122" s="2231"/>
      <c r="BK122" s="2231"/>
      <c r="BL122" s="2231"/>
      <c r="BM122" s="2231"/>
      <c r="BN122" s="2231"/>
      <c r="BO122" s="2231"/>
      <c r="BP122" s="2226"/>
      <c r="BQ122" s="2188">
        <f t="shared" si="105"/>
        <v>0</v>
      </c>
      <c r="BS122" s="1845" t="s">
        <v>80</v>
      </c>
      <c r="BT122" s="1846">
        <f t="shared" si="106"/>
        <v>0</v>
      </c>
      <c r="BU122" s="2230"/>
      <c r="BV122" s="2230"/>
      <c r="BW122" s="2230"/>
      <c r="BX122" s="2230"/>
      <c r="BY122" s="2230"/>
      <c r="BZ122" s="2230"/>
      <c r="CA122" s="2230"/>
      <c r="CB122" s="2230"/>
      <c r="CC122" s="2230"/>
      <c r="CD122" s="2230"/>
      <c r="CE122" s="2230"/>
      <c r="CF122" s="2225"/>
      <c r="CG122" s="2181"/>
      <c r="CH122" s="2181"/>
      <c r="CI122" s="2181"/>
      <c r="CJ122" s="2181"/>
      <c r="CK122" s="2181"/>
      <c r="CL122" s="2181"/>
      <c r="CM122" s="2181"/>
      <c r="CN122" s="2181"/>
      <c r="CO122" s="2181"/>
      <c r="CP122" s="2181"/>
      <c r="CQ122" s="2181"/>
      <c r="CR122" s="2181"/>
      <c r="CS122" s="2181"/>
      <c r="CT122" s="2181"/>
      <c r="CU122" s="2181"/>
      <c r="CV122" s="2181"/>
      <c r="CW122" s="2181"/>
      <c r="CX122" s="2181"/>
      <c r="CY122" s="2181"/>
      <c r="CZ122" s="2180">
        <f t="shared" si="107"/>
        <v>0</v>
      </c>
      <c r="DB122" s="1249" t="s">
        <v>80</v>
      </c>
      <c r="DC122" s="1287">
        <f t="shared" si="108"/>
        <v>0</v>
      </c>
      <c r="DD122" s="1761"/>
      <c r="DE122" s="1761"/>
      <c r="DF122" s="1761"/>
      <c r="DG122" s="1761"/>
      <c r="DH122" s="1761"/>
      <c r="DI122" s="1761"/>
      <c r="DJ122" s="1761"/>
      <c r="DK122" s="1761"/>
      <c r="DL122" s="1761"/>
      <c r="DM122" s="1761"/>
      <c r="DN122" s="1761"/>
      <c r="DO122" s="1761"/>
      <c r="DP122" s="1761"/>
      <c r="DQ122" s="1761"/>
      <c r="DR122" s="1761"/>
      <c r="DS122" s="1761"/>
      <c r="DT122" s="1761"/>
      <c r="DU122" s="1761"/>
      <c r="DV122" s="1761"/>
      <c r="DW122" s="1761"/>
      <c r="DX122" s="1761"/>
      <c r="DY122" s="1761"/>
      <c r="DZ122" s="1761"/>
      <c r="EA122" s="1761"/>
      <c r="EB122" s="1761"/>
      <c r="EC122" s="1761"/>
      <c r="ED122" s="1761"/>
      <c r="EE122" s="1761"/>
      <c r="EF122" s="1761"/>
      <c r="EG122" s="1761"/>
      <c r="EH122" s="1761"/>
      <c r="EI122" s="1488">
        <f t="shared" si="109"/>
        <v>0</v>
      </c>
    </row>
    <row r="123" spans="1:139" ht="15">
      <c r="A123" s="1233" t="s">
        <v>81</v>
      </c>
      <c r="B123" s="1280">
        <f t="shared" si="102"/>
        <v>0</v>
      </c>
      <c r="C123" s="2326"/>
      <c r="D123" s="2326"/>
      <c r="E123" s="2326"/>
      <c r="F123" s="2326"/>
      <c r="G123" s="2326"/>
      <c r="H123" s="2326"/>
      <c r="I123" s="2326"/>
      <c r="J123" s="2326"/>
      <c r="K123" s="2326"/>
      <c r="L123" s="2326"/>
      <c r="M123" s="2326"/>
      <c r="N123" s="2326"/>
      <c r="O123" s="2326"/>
      <c r="P123" s="2326"/>
      <c r="Q123" s="2326"/>
      <c r="R123" s="2326"/>
      <c r="S123" s="2326"/>
      <c r="T123" s="2326"/>
      <c r="U123" s="2326"/>
      <c r="V123" s="2326"/>
      <c r="W123" s="2326"/>
      <c r="X123" s="2326"/>
      <c r="Y123" s="2326"/>
      <c r="Z123" s="2326"/>
      <c r="AA123" s="2326"/>
      <c r="AB123" s="2326"/>
      <c r="AC123" s="2326"/>
      <c r="AD123" s="2326"/>
      <c r="AE123" s="2326"/>
      <c r="AF123" s="2326"/>
      <c r="AG123" s="2326"/>
      <c r="AH123" s="2327">
        <f t="shared" si="103"/>
        <v>0</v>
      </c>
      <c r="AJ123" s="1746" t="s">
        <v>81</v>
      </c>
      <c r="AK123" s="1749">
        <f t="shared" si="104"/>
        <v>0</v>
      </c>
      <c r="AL123" s="2189"/>
      <c r="AM123" s="2189"/>
      <c r="AN123" s="2189"/>
      <c r="AO123" s="2189"/>
      <c r="AP123" s="2189"/>
      <c r="AQ123" s="2189"/>
      <c r="AR123" s="2189"/>
      <c r="AS123" s="2189"/>
      <c r="AT123" s="2189"/>
      <c r="AU123" s="2189"/>
      <c r="AV123" s="2189"/>
      <c r="AW123" s="2189"/>
      <c r="AX123" s="2189"/>
      <c r="AY123" s="2189"/>
      <c r="AZ123" s="2189"/>
      <c r="BA123" s="2189"/>
      <c r="BB123" s="2189"/>
      <c r="BC123" s="2189"/>
      <c r="BD123" s="2189"/>
      <c r="BE123" s="2231"/>
      <c r="BF123" s="2231"/>
      <c r="BG123" s="2231"/>
      <c r="BH123" s="2231"/>
      <c r="BI123" s="2231"/>
      <c r="BJ123" s="2231"/>
      <c r="BK123" s="2231"/>
      <c r="BL123" s="2231"/>
      <c r="BM123" s="2231"/>
      <c r="BN123" s="2231"/>
      <c r="BO123" s="2231"/>
      <c r="BP123" s="2231"/>
      <c r="BQ123" s="2188">
        <f t="shared" si="105"/>
        <v>0</v>
      </c>
      <c r="BS123" s="1845" t="s">
        <v>81</v>
      </c>
      <c r="BT123" s="1846">
        <f t="shared" si="106"/>
        <v>0</v>
      </c>
      <c r="BU123" s="2230"/>
      <c r="BV123" s="2230"/>
      <c r="BW123" s="2230"/>
      <c r="BX123" s="2230"/>
      <c r="BY123" s="2230"/>
      <c r="BZ123" s="2230"/>
      <c r="CA123" s="2230"/>
      <c r="CB123" s="2230"/>
      <c r="CC123" s="2230"/>
      <c r="CD123" s="2230"/>
      <c r="CE123" s="2230"/>
      <c r="CF123" s="2230"/>
      <c r="CG123" s="2181"/>
      <c r="CH123" s="2181"/>
      <c r="CI123" s="2181"/>
      <c r="CJ123" s="2181"/>
      <c r="CK123" s="2181"/>
      <c r="CL123" s="2181"/>
      <c r="CM123" s="2181"/>
      <c r="CN123" s="2181"/>
      <c r="CO123" s="2181"/>
      <c r="CP123" s="2181"/>
      <c r="CQ123" s="2181"/>
      <c r="CR123" s="2181"/>
      <c r="CS123" s="2181"/>
      <c r="CT123" s="2181"/>
      <c r="CU123" s="2181"/>
      <c r="CV123" s="2181"/>
      <c r="CW123" s="2181"/>
      <c r="CX123" s="2181"/>
      <c r="CY123" s="2181"/>
      <c r="CZ123" s="2180">
        <f t="shared" si="107"/>
        <v>0</v>
      </c>
      <c r="DB123" s="1249" t="s">
        <v>81</v>
      </c>
      <c r="DC123" s="1287">
        <f t="shared" si="108"/>
        <v>0</v>
      </c>
      <c r="DD123" s="1761"/>
      <c r="DE123" s="1761"/>
      <c r="DF123" s="1761"/>
      <c r="DG123" s="1761"/>
      <c r="DH123" s="1761"/>
      <c r="DI123" s="1761"/>
      <c r="DJ123" s="1761"/>
      <c r="DK123" s="1761"/>
      <c r="DL123" s="1761"/>
      <c r="DM123" s="1761"/>
      <c r="DN123" s="1761"/>
      <c r="DO123" s="1761"/>
      <c r="DP123" s="1761"/>
      <c r="DQ123" s="1761"/>
      <c r="DR123" s="1761"/>
      <c r="DS123" s="1761"/>
      <c r="DT123" s="1761"/>
      <c r="DU123" s="1761"/>
      <c r="DV123" s="1761"/>
      <c r="DW123" s="1761"/>
      <c r="DX123" s="1761"/>
      <c r="DY123" s="1761"/>
      <c r="DZ123" s="1761"/>
      <c r="EA123" s="1761"/>
      <c r="EB123" s="1761"/>
      <c r="EC123" s="1761"/>
      <c r="ED123" s="1761"/>
      <c r="EE123" s="1761"/>
      <c r="EF123" s="1761"/>
      <c r="EG123" s="1761"/>
      <c r="EH123" s="1761"/>
      <c r="EI123" s="1488">
        <f t="shared" si="109"/>
        <v>0</v>
      </c>
    </row>
    <row r="124" spans="1:139" ht="15">
      <c r="A124" s="1233" t="s">
        <v>82</v>
      </c>
      <c r="B124" s="1280">
        <f t="shared" si="102"/>
        <v>0</v>
      </c>
      <c r="C124" s="2326"/>
      <c r="D124" s="2326"/>
      <c r="E124" s="2326"/>
      <c r="F124" s="2326"/>
      <c r="G124" s="2326"/>
      <c r="H124" s="2326"/>
      <c r="I124" s="2326"/>
      <c r="J124" s="2326"/>
      <c r="K124" s="2326"/>
      <c r="L124" s="2326"/>
      <c r="M124" s="2326"/>
      <c r="N124" s="2326"/>
      <c r="O124" s="2326"/>
      <c r="P124" s="2326"/>
      <c r="Q124" s="2326"/>
      <c r="R124" s="2326"/>
      <c r="S124" s="2326"/>
      <c r="T124" s="2326"/>
      <c r="U124" s="2326"/>
      <c r="V124" s="2326"/>
      <c r="W124" s="2326"/>
      <c r="X124" s="2326"/>
      <c r="Y124" s="2326"/>
      <c r="Z124" s="2326"/>
      <c r="AA124" s="2326"/>
      <c r="AB124" s="2326"/>
      <c r="AC124" s="2326"/>
      <c r="AD124" s="2326"/>
      <c r="AE124" s="2326"/>
      <c r="AF124" s="2326"/>
      <c r="AG124" s="2326"/>
      <c r="AH124" s="2327">
        <f t="shared" si="103"/>
        <v>0</v>
      </c>
      <c r="AJ124" s="1746" t="s">
        <v>82</v>
      </c>
      <c r="AK124" s="1749">
        <f t="shared" si="104"/>
        <v>0</v>
      </c>
      <c r="AL124" s="2189"/>
      <c r="AM124" s="2189"/>
      <c r="AN124" s="2189"/>
      <c r="AO124" s="2189"/>
      <c r="AP124" s="2189"/>
      <c r="AQ124" s="2189"/>
      <c r="AR124" s="2189"/>
      <c r="AS124" s="2189"/>
      <c r="AT124" s="2189"/>
      <c r="AU124" s="2189"/>
      <c r="AV124" s="2189"/>
      <c r="AW124" s="2189"/>
      <c r="AX124" s="2189"/>
      <c r="AY124" s="2189"/>
      <c r="AZ124" s="2189"/>
      <c r="BA124" s="2189"/>
      <c r="BB124" s="2189"/>
      <c r="BC124" s="2189"/>
      <c r="BD124" s="2189"/>
      <c r="BE124" s="2226"/>
      <c r="BF124" s="2229"/>
      <c r="BG124" s="2226"/>
      <c r="BH124" s="2226"/>
      <c r="BI124" s="2226"/>
      <c r="BJ124" s="2226"/>
      <c r="BK124" s="2226"/>
      <c r="BL124" s="2226"/>
      <c r="BM124" s="2226"/>
      <c r="BN124" s="2226"/>
      <c r="BO124" s="2226"/>
      <c r="BP124" s="2226"/>
      <c r="BQ124" s="2188">
        <f t="shared" si="105"/>
        <v>0</v>
      </c>
      <c r="BS124" s="1845" t="s">
        <v>82</v>
      </c>
      <c r="BT124" s="1846">
        <f t="shared" si="106"/>
        <v>0</v>
      </c>
      <c r="BU124" s="2225"/>
      <c r="BV124" s="2228"/>
      <c r="BW124" s="2225"/>
      <c r="BX124" s="2225"/>
      <c r="BY124" s="2225"/>
      <c r="BZ124" s="2225"/>
      <c r="CA124" s="2225"/>
      <c r="CB124" s="2225"/>
      <c r="CC124" s="2225"/>
      <c r="CD124" s="2225"/>
      <c r="CE124" s="2225"/>
      <c r="CF124" s="2225"/>
      <c r="CG124" s="2181"/>
      <c r="CH124" s="2181"/>
      <c r="CI124" s="2181"/>
      <c r="CJ124" s="2181"/>
      <c r="CK124" s="2181"/>
      <c r="CL124" s="2181"/>
      <c r="CM124" s="2181"/>
      <c r="CN124" s="2181"/>
      <c r="CO124" s="2181"/>
      <c r="CP124" s="2181"/>
      <c r="CQ124" s="2181"/>
      <c r="CR124" s="2181"/>
      <c r="CS124" s="2181"/>
      <c r="CT124" s="2181"/>
      <c r="CU124" s="2181"/>
      <c r="CV124" s="2181"/>
      <c r="CW124" s="2181"/>
      <c r="CX124" s="2181"/>
      <c r="CY124" s="2181"/>
      <c r="CZ124" s="2180">
        <f t="shared" si="107"/>
        <v>0</v>
      </c>
      <c r="DB124" s="1249" t="s">
        <v>82</v>
      </c>
      <c r="DC124" s="1287">
        <f t="shared" si="108"/>
        <v>0</v>
      </c>
      <c r="DD124" s="1761"/>
      <c r="DE124" s="1761"/>
      <c r="DF124" s="1761"/>
      <c r="DG124" s="1761"/>
      <c r="DH124" s="1761"/>
      <c r="DI124" s="1761"/>
      <c r="DJ124" s="1761"/>
      <c r="DK124" s="1761"/>
      <c r="DL124" s="1761"/>
      <c r="DM124" s="1761"/>
      <c r="DN124" s="1761"/>
      <c r="DO124" s="1761"/>
      <c r="DP124" s="1761"/>
      <c r="DQ124" s="1761"/>
      <c r="DR124" s="1761"/>
      <c r="DS124" s="1761"/>
      <c r="DT124" s="1761"/>
      <c r="DU124" s="1761"/>
      <c r="DV124" s="1761"/>
      <c r="DW124" s="1761"/>
      <c r="DX124" s="1761"/>
      <c r="DY124" s="1761"/>
      <c r="DZ124" s="1761"/>
      <c r="EA124" s="1761"/>
      <c r="EB124" s="1761"/>
      <c r="EC124" s="1761"/>
      <c r="ED124" s="1761"/>
      <c r="EE124" s="1761"/>
      <c r="EF124" s="1761"/>
      <c r="EG124" s="1761"/>
      <c r="EH124" s="1761"/>
      <c r="EI124" s="1488">
        <f t="shared" si="109"/>
        <v>0</v>
      </c>
    </row>
    <row r="125" spans="1:139" ht="15">
      <c r="A125" s="1233" t="s">
        <v>83</v>
      </c>
      <c r="B125" s="1280">
        <f t="shared" si="102"/>
        <v>0</v>
      </c>
      <c r="C125" s="2326"/>
      <c r="D125" s="2326"/>
      <c r="E125" s="2326"/>
      <c r="F125" s="2326"/>
      <c r="G125" s="2326"/>
      <c r="H125" s="2326"/>
      <c r="I125" s="2326"/>
      <c r="J125" s="2326"/>
      <c r="K125" s="2326"/>
      <c r="L125" s="2326"/>
      <c r="M125" s="2326"/>
      <c r="N125" s="2326"/>
      <c r="O125" s="2326"/>
      <c r="P125" s="2326"/>
      <c r="Q125" s="2326"/>
      <c r="R125" s="2326"/>
      <c r="S125" s="2326"/>
      <c r="T125" s="2326"/>
      <c r="U125" s="2326"/>
      <c r="V125" s="2326"/>
      <c r="W125" s="2326"/>
      <c r="X125" s="2326"/>
      <c r="Y125" s="2326"/>
      <c r="Z125" s="2326"/>
      <c r="AA125" s="2326"/>
      <c r="AB125" s="2326"/>
      <c r="AC125" s="2326"/>
      <c r="AD125" s="2326"/>
      <c r="AE125" s="2326"/>
      <c r="AF125" s="2326"/>
      <c r="AG125" s="2326"/>
      <c r="AH125" s="2327">
        <f t="shared" si="103"/>
        <v>0</v>
      </c>
      <c r="AJ125" s="1746" t="s">
        <v>83</v>
      </c>
      <c r="AK125" s="1749">
        <f t="shared" si="104"/>
        <v>0</v>
      </c>
      <c r="AL125" s="2189"/>
      <c r="AM125" s="2189"/>
      <c r="AN125" s="2189"/>
      <c r="AO125" s="2189"/>
      <c r="AP125" s="2189"/>
      <c r="AQ125" s="2189"/>
      <c r="AR125" s="2189"/>
      <c r="AS125" s="2189"/>
      <c r="AT125" s="2189"/>
      <c r="AU125" s="2189"/>
      <c r="AV125" s="2189"/>
      <c r="AW125" s="2189"/>
      <c r="AX125" s="2189"/>
      <c r="AY125" s="2189"/>
      <c r="AZ125" s="2189"/>
      <c r="BA125" s="2189"/>
      <c r="BB125" s="2189"/>
      <c r="BC125" s="2189"/>
      <c r="BD125" s="2189"/>
      <c r="BE125" s="2226"/>
      <c r="BF125" s="2226"/>
      <c r="BG125" s="2226"/>
      <c r="BH125" s="2226"/>
      <c r="BI125" s="2226"/>
      <c r="BJ125" s="2226"/>
      <c r="BK125" s="2226"/>
      <c r="BL125" s="2226"/>
      <c r="BM125" s="2226"/>
      <c r="BN125" s="2226"/>
      <c r="BO125" s="2226"/>
      <c r="BP125" s="2226"/>
      <c r="BQ125" s="2188">
        <f t="shared" si="105"/>
        <v>0</v>
      </c>
      <c r="BS125" s="1845" t="s">
        <v>83</v>
      </c>
      <c r="BT125" s="1846">
        <f t="shared" si="106"/>
        <v>0</v>
      </c>
      <c r="BU125" s="2225"/>
      <c r="BV125" s="2225"/>
      <c r="BW125" s="2225"/>
      <c r="BX125" s="2225"/>
      <c r="BY125" s="2225"/>
      <c r="BZ125" s="2225"/>
      <c r="CA125" s="2225"/>
      <c r="CB125" s="2225"/>
      <c r="CC125" s="2225"/>
      <c r="CD125" s="2225"/>
      <c r="CE125" s="2225"/>
      <c r="CF125" s="2225"/>
      <c r="CG125" s="2181"/>
      <c r="CH125" s="2181"/>
      <c r="CI125" s="2181"/>
      <c r="CJ125" s="2181"/>
      <c r="CK125" s="2181"/>
      <c r="CL125" s="2181"/>
      <c r="CM125" s="2181"/>
      <c r="CN125" s="2181"/>
      <c r="CO125" s="2181"/>
      <c r="CP125" s="2181"/>
      <c r="CQ125" s="2181"/>
      <c r="CR125" s="2181"/>
      <c r="CS125" s="2181"/>
      <c r="CT125" s="2181"/>
      <c r="CU125" s="2181"/>
      <c r="CV125" s="2181"/>
      <c r="CW125" s="2181"/>
      <c r="CX125" s="2181"/>
      <c r="CY125" s="2181"/>
      <c r="CZ125" s="2180">
        <f t="shared" si="107"/>
        <v>0</v>
      </c>
      <c r="DB125" s="1249" t="s">
        <v>83</v>
      </c>
      <c r="DC125" s="1287">
        <f t="shared" si="108"/>
        <v>0</v>
      </c>
      <c r="DD125" s="1761"/>
      <c r="DE125" s="1761"/>
      <c r="DF125" s="1761"/>
      <c r="DG125" s="1761"/>
      <c r="DH125" s="1761"/>
      <c r="DI125" s="1761"/>
      <c r="DJ125" s="1761"/>
      <c r="DK125" s="1761"/>
      <c r="DL125" s="1761"/>
      <c r="DM125" s="1761"/>
      <c r="DN125" s="1761"/>
      <c r="DO125" s="1761"/>
      <c r="DP125" s="1761"/>
      <c r="DQ125" s="1761"/>
      <c r="DR125" s="1761"/>
      <c r="DS125" s="1761"/>
      <c r="DT125" s="1761"/>
      <c r="DU125" s="1761"/>
      <c r="DV125" s="1761"/>
      <c r="DW125" s="1761"/>
      <c r="DX125" s="1761"/>
      <c r="DY125" s="1761"/>
      <c r="DZ125" s="1761"/>
      <c r="EA125" s="1761"/>
      <c r="EB125" s="1761"/>
      <c r="EC125" s="1761"/>
      <c r="ED125" s="1761"/>
      <c r="EE125" s="1761"/>
      <c r="EF125" s="1761"/>
      <c r="EG125" s="1761"/>
      <c r="EH125" s="1761"/>
      <c r="EI125" s="1488">
        <f t="shared" si="109"/>
        <v>0</v>
      </c>
    </row>
    <row r="126" spans="1:139" ht="15">
      <c r="A126" s="1233" t="s">
        <v>84</v>
      </c>
      <c r="B126" s="1280">
        <f t="shared" si="102"/>
        <v>0</v>
      </c>
      <c r="C126" s="2326"/>
      <c r="D126" s="2326"/>
      <c r="E126" s="2326"/>
      <c r="F126" s="2326"/>
      <c r="G126" s="2326"/>
      <c r="H126" s="2326"/>
      <c r="I126" s="2326"/>
      <c r="J126" s="2326"/>
      <c r="K126" s="2326"/>
      <c r="L126" s="2326"/>
      <c r="M126" s="2326"/>
      <c r="N126" s="2326"/>
      <c r="O126" s="2326"/>
      <c r="P126" s="2326"/>
      <c r="Q126" s="2326"/>
      <c r="R126" s="2325"/>
      <c r="S126" s="2325"/>
      <c r="T126" s="2325"/>
      <c r="U126" s="2325"/>
      <c r="V126" s="2325"/>
      <c r="W126" s="2325"/>
      <c r="X126" s="2325"/>
      <c r="Y126" s="2325"/>
      <c r="Z126" s="2325"/>
      <c r="AA126" s="2325"/>
      <c r="AB126" s="2325"/>
      <c r="AC126" s="2325"/>
      <c r="AD126" s="2325"/>
      <c r="AE126" s="2325"/>
      <c r="AF126" s="2325"/>
      <c r="AG126" s="2325"/>
      <c r="AH126" s="2327">
        <f t="shared" si="103"/>
        <v>0</v>
      </c>
      <c r="AJ126" s="1746" t="s">
        <v>84</v>
      </c>
      <c r="AK126" s="1749">
        <f t="shared" si="104"/>
        <v>0</v>
      </c>
      <c r="AL126" s="2189"/>
      <c r="AM126" s="2189"/>
      <c r="AN126" s="2189"/>
      <c r="AO126" s="2189"/>
      <c r="AP126" s="2189"/>
      <c r="AQ126" s="2189"/>
      <c r="AR126" s="2189"/>
      <c r="AS126" s="2189"/>
      <c r="AT126" s="2189"/>
      <c r="AU126" s="2189"/>
      <c r="AV126" s="2189"/>
      <c r="AW126" s="2189"/>
      <c r="AX126" s="2189"/>
      <c r="AY126" s="2189"/>
      <c r="AZ126" s="2189"/>
      <c r="BA126" s="2192"/>
      <c r="BB126" s="2192"/>
      <c r="BC126" s="2192"/>
      <c r="BD126" s="2192"/>
      <c r="BE126" s="2226"/>
      <c r="BF126" s="2226"/>
      <c r="BG126" s="2226"/>
      <c r="BH126" s="2226"/>
      <c r="BI126" s="2226"/>
      <c r="BJ126" s="2226"/>
      <c r="BK126" s="2226"/>
      <c r="BL126" s="2226"/>
      <c r="BM126" s="2226"/>
      <c r="BN126" s="2226"/>
      <c r="BO126" s="2226"/>
      <c r="BP126" s="2226"/>
      <c r="BQ126" s="2188">
        <f t="shared" si="105"/>
        <v>0</v>
      </c>
      <c r="BS126" s="1845" t="s">
        <v>84</v>
      </c>
      <c r="BT126" s="1846">
        <f t="shared" si="106"/>
        <v>0</v>
      </c>
      <c r="BU126" s="2225"/>
      <c r="BV126" s="2225"/>
      <c r="BW126" s="2225"/>
      <c r="BX126" s="2225"/>
      <c r="BY126" s="2225"/>
      <c r="BZ126" s="2225"/>
      <c r="CA126" s="2225"/>
      <c r="CB126" s="2225"/>
      <c r="CC126" s="2225"/>
      <c r="CD126" s="2225"/>
      <c r="CE126" s="2225"/>
      <c r="CF126" s="2225"/>
      <c r="CG126" s="2181"/>
      <c r="CH126" s="2181"/>
      <c r="CI126" s="2181"/>
      <c r="CJ126" s="2184"/>
      <c r="CK126" s="2184"/>
      <c r="CL126" s="2184"/>
      <c r="CM126" s="2184"/>
      <c r="CN126" s="2184"/>
      <c r="CO126" s="2184"/>
      <c r="CP126" s="2184"/>
      <c r="CQ126" s="2184"/>
      <c r="CR126" s="2184"/>
      <c r="CS126" s="2184"/>
      <c r="CT126" s="2184"/>
      <c r="CU126" s="2184"/>
      <c r="CV126" s="2184"/>
      <c r="CW126" s="2184"/>
      <c r="CX126" s="2184"/>
      <c r="CY126" s="2184"/>
      <c r="CZ126" s="2180">
        <f t="shared" si="107"/>
        <v>0</v>
      </c>
      <c r="DB126" s="1249" t="s">
        <v>84</v>
      </c>
      <c r="DC126" s="1287">
        <f t="shared" si="108"/>
        <v>0</v>
      </c>
      <c r="DD126" s="1761"/>
      <c r="DE126" s="1761"/>
      <c r="DF126" s="1761"/>
      <c r="DG126" s="1761"/>
      <c r="DH126" s="1761"/>
      <c r="DI126" s="1761"/>
      <c r="DJ126" s="1761"/>
      <c r="DK126" s="1761"/>
      <c r="DL126" s="1761"/>
      <c r="DM126" s="1761"/>
      <c r="DN126" s="1761"/>
      <c r="DO126" s="1761"/>
      <c r="DP126" s="1761"/>
      <c r="DQ126" s="1761"/>
      <c r="DR126" s="1761"/>
      <c r="DS126" s="1820"/>
      <c r="DT126" s="1820"/>
      <c r="DU126" s="1820"/>
      <c r="DV126" s="1820"/>
      <c r="DW126" s="1820"/>
      <c r="DX126" s="1820"/>
      <c r="DY126" s="1820"/>
      <c r="DZ126" s="1820"/>
      <c r="EA126" s="1820"/>
      <c r="EB126" s="1820"/>
      <c r="EC126" s="1820"/>
      <c r="ED126" s="1820"/>
      <c r="EE126" s="1820"/>
      <c r="EF126" s="1820"/>
      <c r="EG126" s="1820"/>
      <c r="EH126" s="1820"/>
      <c r="EI126" s="1488">
        <f t="shared" si="109"/>
        <v>0</v>
      </c>
    </row>
    <row r="127" spans="1:139" ht="15">
      <c r="A127" s="1233" t="s">
        <v>85</v>
      </c>
      <c r="B127" s="1280">
        <f t="shared" si="102"/>
        <v>0</v>
      </c>
      <c r="C127" s="2326"/>
      <c r="D127" s="2325"/>
      <c r="E127" s="2325"/>
      <c r="F127" s="2325"/>
      <c r="G127" s="2325"/>
      <c r="H127" s="2325"/>
      <c r="I127" s="2325"/>
      <c r="J127" s="2325"/>
      <c r="K127" s="2325"/>
      <c r="L127" s="2325"/>
      <c r="M127" s="2325"/>
      <c r="N127" s="2325"/>
      <c r="O127" s="2325"/>
      <c r="P127" s="2325"/>
      <c r="Q127" s="2325"/>
      <c r="R127" s="2340"/>
      <c r="S127" s="2340"/>
      <c r="T127" s="2340"/>
      <c r="U127" s="2340"/>
      <c r="V127" s="2340"/>
      <c r="W127" s="2340"/>
      <c r="X127" s="2340"/>
      <c r="Y127" s="2340"/>
      <c r="Z127" s="2340"/>
      <c r="AA127" s="2340"/>
      <c r="AB127" s="2340"/>
      <c r="AC127" s="2340"/>
      <c r="AD127" s="2340"/>
      <c r="AE127" s="2340"/>
      <c r="AF127" s="2340"/>
      <c r="AG127" s="2326"/>
      <c r="AH127" s="2327">
        <f t="shared" si="103"/>
        <v>0</v>
      </c>
      <c r="AJ127" s="1746" t="s">
        <v>85</v>
      </c>
      <c r="AK127" s="1749">
        <f t="shared" si="104"/>
        <v>0</v>
      </c>
      <c r="AL127" s="2189"/>
      <c r="AM127" s="2192"/>
      <c r="AN127" s="2192"/>
      <c r="AO127" s="2192"/>
      <c r="AP127" s="2192"/>
      <c r="AQ127" s="2192"/>
      <c r="AR127" s="2192"/>
      <c r="AS127" s="2192"/>
      <c r="AT127" s="2192"/>
      <c r="AU127" s="2192"/>
      <c r="AV127" s="2192"/>
      <c r="AW127" s="2192"/>
      <c r="AX127" s="2192"/>
      <c r="AY127" s="2192"/>
      <c r="AZ127" s="2192"/>
      <c r="BA127" s="2227"/>
      <c r="BB127" s="2227"/>
      <c r="BC127" s="2227"/>
      <c r="BD127" s="2227"/>
      <c r="BE127" s="2226"/>
      <c r="BF127" s="2226"/>
      <c r="BG127" s="2226"/>
      <c r="BH127" s="2226"/>
      <c r="BI127" s="2226"/>
      <c r="BJ127" s="2226"/>
      <c r="BK127" s="2226"/>
      <c r="BL127" s="2226"/>
      <c r="BM127" s="2226"/>
      <c r="BN127" s="2226"/>
      <c r="BO127" s="2226"/>
      <c r="BP127" s="2226"/>
      <c r="BQ127" s="2188">
        <f t="shared" si="105"/>
        <v>0</v>
      </c>
      <c r="BS127" s="1845" t="s">
        <v>85</v>
      </c>
      <c r="BT127" s="1846">
        <f t="shared" si="106"/>
        <v>0</v>
      </c>
      <c r="BU127" s="2225"/>
      <c r="BV127" s="2225"/>
      <c r="BW127" s="2225"/>
      <c r="BX127" s="2225"/>
      <c r="BY127" s="2225"/>
      <c r="BZ127" s="2225"/>
      <c r="CA127" s="2225"/>
      <c r="CB127" s="2225"/>
      <c r="CC127" s="2225"/>
      <c r="CD127" s="2225"/>
      <c r="CE127" s="2225"/>
      <c r="CF127" s="2225"/>
      <c r="CG127" s="2184"/>
      <c r="CH127" s="2184"/>
      <c r="CI127" s="2184"/>
      <c r="CJ127" s="2207"/>
      <c r="CK127" s="2207"/>
      <c r="CL127" s="2207"/>
      <c r="CM127" s="2207"/>
      <c r="CN127" s="2207"/>
      <c r="CO127" s="2207"/>
      <c r="CP127" s="2207"/>
      <c r="CQ127" s="2207"/>
      <c r="CR127" s="2207"/>
      <c r="CS127" s="2207"/>
      <c r="CT127" s="2207"/>
      <c r="CU127" s="2207"/>
      <c r="CV127" s="2207"/>
      <c r="CW127" s="2207"/>
      <c r="CX127" s="2207"/>
      <c r="CY127" s="2181"/>
      <c r="CZ127" s="2180">
        <f t="shared" si="107"/>
        <v>0</v>
      </c>
      <c r="DB127" s="1249" t="s">
        <v>85</v>
      </c>
      <c r="DC127" s="1287">
        <f t="shared" si="108"/>
        <v>0</v>
      </c>
      <c r="DD127" s="1761"/>
      <c r="DE127" s="1820"/>
      <c r="DF127" s="1820"/>
      <c r="DG127" s="1820"/>
      <c r="DH127" s="1820"/>
      <c r="DI127" s="1820"/>
      <c r="DJ127" s="1820"/>
      <c r="DK127" s="1820"/>
      <c r="DL127" s="1820"/>
      <c r="DM127" s="1820"/>
      <c r="DN127" s="1820"/>
      <c r="DO127" s="1820"/>
      <c r="DP127" s="1820"/>
      <c r="DQ127" s="1820"/>
      <c r="DR127" s="1820"/>
      <c r="DS127" s="2278"/>
      <c r="DT127" s="2278"/>
      <c r="DU127" s="2278"/>
      <c r="DV127" s="2278"/>
      <c r="DW127" s="2278"/>
      <c r="DX127" s="2278"/>
      <c r="DY127" s="2278"/>
      <c r="DZ127" s="2278"/>
      <c r="EA127" s="2278"/>
      <c r="EB127" s="2278"/>
      <c r="EC127" s="2278"/>
      <c r="ED127" s="2278"/>
      <c r="EE127" s="2278"/>
      <c r="EF127" s="2278"/>
      <c r="EG127" s="2278"/>
      <c r="EH127" s="1761"/>
      <c r="EI127" s="1488">
        <f t="shared" si="109"/>
        <v>0</v>
      </c>
    </row>
    <row r="128" spans="1:139" ht="15">
      <c r="A128" s="1233" t="s">
        <v>86</v>
      </c>
      <c r="B128" s="1280">
        <f t="shared" si="102"/>
        <v>0</v>
      </c>
      <c r="C128" s="2326"/>
      <c r="D128" s="2340"/>
      <c r="E128" s="2340"/>
      <c r="F128" s="2340"/>
      <c r="G128" s="2326"/>
      <c r="H128" s="2326"/>
      <c r="I128" s="2326"/>
      <c r="J128" s="2326"/>
      <c r="K128" s="2326"/>
      <c r="L128" s="2326"/>
      <c r="M128" s="2326"/>
      <c r="N128" s="2326"/>
      <c r="O128" s="2326"/>
      <c r="P128" s="2326"/>
      <c r="Q128" s="2326"/>
      <c r="R128" s="2326"/>
      <c r="S128" s="2326"/>
      <c r="T128" s="2326"/>
      <c r="U128" s="2326"/>
      <c r="V128" s="2326"/>
      <c r="W128" s="2326"/>
      <c r="X128" s="2326"/>
      <c r="Y128" s="2326"/>
      <c r="Z128" s="2326"/>
      <c r="AA128" s="2326"/>
      <c r="AB128" s="2326"/>
      <c r="AC128" s="2326"/>
      <c r="AD128" s="2326"/>
      <c r="AE128" s="2326"/>
      <c r="AF128" s="2326"/>
      <c r="AG128" s="2326"/>
      <c r="AH128" s="2327">
        <f t="shared" si="103"/>
        <v>0</v>
      </c>
      <c r="AJ128" s="1746" t="s">
        <v>86</v>
      </c>
      <c r="AK128" s="1749">
        <f t="shared" si="104"/>
        <v>0</v>
      </c>
      <c r="AL128" s="2189"/>
      <c r="AM128" s="2227"/>
      <c r="AN128" s="2227"/>
      <c r="AO128" s="2227"/>
      <c r="AP128" s="2189"/>
      <c r="AQ128" s="2189"/>
      <c r="AR128" s="2189"/>
      <c r="AS128" s="2189"/>
      <c r="AT128" s="2189"/>
      <c r="AU128" s="2189"/>
      <c r="AV128" s="2189"/>
      <c r="AW128" s="2189"/>
      <c r="AX128" s="2189"/>
      <c r="AY128" s="2189"/>
      <c r="AZ128" s="2189"/>
      <c r="BA128" s="2189"/>
      <c r="BB128" s="2189"/>
      <c r="BC128" s="2189"/>
      <c r="BD128" s="2189"/>
      <c r="BE128" s="2226"/>
      <c r="BF128" s="2226"/>
      <c r="BG128" s="2226"/>
      <c r="BH128" s="2226"/>
      <c r="BI128" s="2226"/>
      <c r="BJ128" s="2226"/>
      <c r="BK128" s="2226"/>
      <c r="BL128" s="2226"/>
      <c r="BM128" s="2226"/>
      <c r="BN128" s="2226"/>
      <c r="BO128" s="2226"/>
      <c r="BP128" s="2226"/>
      <c r="BQ128" s="2188">
        <f t="shared" si="105"/>
        <v>0</v>
      </c>
      <c r="BS128" s="1845" t="s">
        <v>86</v>
      </c>
      <c r="BT128" s="1846">
        <f t="shared" si="106"/>
        <v>0</v>
      </c>
      <c r="BU128" s="2225"/>
      <c r="BV128" s="2225"/>
      <c r="BW128" s="2225"/>
      <c r="BX128" s="2225"/>
      <c r="BY128" s="2225"/>
      <c r="BZ128" s="2225"/>
      <c r="CA128" s="2225"/>
      <c r="CB128" s="2225"/>
      <c r="CC128" s="2225"/>
      <c r="CD128" s="2225"/>
      <c r="CE128" s="2225"/>
      <c r="CF128" s="2225"/>
      <c r="CG128" s="2181"/>
      <c r="CH128" s="2181"/>
      <c r="CI128" s="2181"/>
      <c r="CJ128" s="2181"/>
      <c r="CK128" s="2181"/>
      <c r="CL128" s="2181"/>
      <c r="CM128" s="2181"/>
      <c r="CN128" s="2181"/>
      <c r="CO128" s="2181"/>
      <c r="CP128" s="2181"/>
      <c r="CQ128" s="2181"/>
      <c r="CR128" s="2181"/>
      <c r="CS128" s="2181"/>
      <c r="CT128" s="2181"/>
      <c r="CU128" s="2181"/>
      <c r="CV128" s="2181"/>
      <c r="CW128" s="2181"/>
      <c r="CX128" s="2181"/>
      <c r="CY128" s="2181"/>
      <c r="CZ128" s="2180">
        <f t="shared" si="107"/>
        <v>0</v>
      </c>
      <c r="DB128" s="1249" t="s">
        <v>86</v>
      </c>
      <c r="DC128" s="1287">
        <f t="shared" si="108"/>
        <v>0</v>
      </c>
      <c r="DD128" s="1761"/>
      <c r="DE128" s="2278"/>
      <c r="DF128" s="2278"/>
      <c r="DG128" s="2278"/>
      <c r="DH128" s="1761"/>
      <c r="DI128" s="1761"/>
      <c r="DJ128" s="1761"/>
      <c r="DK128" s="1761"/>
      <c r="DL128" s="1761"/>
      <c r="DM128" s="1761"/>
      <c r="DN128" s="1761"/>
      <c r="DO128" s="1761"/>
      <c r="DP128" s="1761"/>
      <c r="DQ128" s="1761"/>
      <c r="DR128" s="1761"/>
      <c r="DS128" s="1761"/>
      <c r="DT128" s="1761"/>
      <c r="DU128" s="1761"/>
      <c r="DV128" s="1761"/>
      <c r="DW128" s="1761"/>
      <c r="DX128" s="1761"/>
      <c r="DY128" s="1761"/>
      <c r="DZ128" s="1761"/>
      <c r="EA128" s="1761"/>
      <c r="EB128" s="1761"/>
      <c r="EC128" s="1761"/>
      <c r="ED128" s="1761"/>
      <c r="EE128" s="1761"/>
      <c r="EF128" s="1761"/>
      <c r="EG128" s="1761"/>
      <c r="EH128" s="1761"/>
      <c r="EI128" s="1488">
        <f t="shared" si="109"/>
        <v>0</v>
      </c>
    </row>
    <row r="129" spans="1:139" ht="15">
      <c r="A129" s="2341" t="s">
        <v>74</v>
      </c>
      <c r="B129" s="2342">
        <f t="shared" ref="B129:AH129" si="110">SUM(B117:B128)</f>
        <v>0</v>
      </c>
      <c r="C129" s="2327">
        <f t="shared" si="110"/>
        <v>0</v>
      </c>
      <c r="D129" s="2327">
        <f t="shared" si="110"/>
        <v>0</v>
      </c>
      <c r="E129" s="2327">
        <f t="shared" si="110"/>
        <v>0</v>
      </c>
      <c r="F129" s="2327">
        <f t="shared" si="110"/>
        <v>0</v>
      </c>
      <c r="G129" s="2327">
        <f t="shared" si="110"/>
        <v>0</v>
      </c>
      <c r="H129" s="2327">
        <f t="shared" si="110"/>
        <v>0</v>
      </c>
      <c r="I129" s="2327">
        <f t="shared" si="110"/>
        <v>0</v>
      </c>
      <c r="J129" s="2327">
        <f t="shared" si="110"/>
        <v>0</v>
      </c>
      <c r="K129" s="2327">
        <f t="shared" si="110"/>
        <v>0</v>
      </c>
      <c r="L129" s="2327">
        <f t="shared" si="110"/>
        <v>0</v>
      </c>
      <c r="M129" s="2327">
        <f t="shared" si="110"/>
        <v>0</v>
      </c>
      <c r="N129" s="2327">
        <f t="shared" si="110"/>
        <v>0</v>
      </c>
      <c r="O129" s="2327">
        <f t="shared" si="110"/>
        <v>0</v>
      </c>
      <c r="P129" s="2327">
        <f t="shared" si="110"/>
        <v>0</v>
      </c>
      <c r="Q129" s="2327">
        <f t="shared" si="110"/>
        <v>0</v>
      </c>
      <c r="R129" s="2327">
        <f t="shared" si="110"/>
        <v>0</v>
      </c>
      <c r="S129" s="2327">
        <f t="shared" si="110"/>
        <v>0</v>
      </c>
      <c r="T129" s="2327">
        <f t="shared" si="110"/>
        <v>0</v>
      </c>
      <c r="U129" s="2327">
        <f t="shared" si="110"/>
        <v>0</v>
      </c>
      <c r="V129" s="2327">
        <f t="shared" si="110"/>
        <v>0</v>
      </c>
      <c r="W129" s="2327">
        <f t="shared" si="110"/>
        <v>0</v>
      </c>
      <c r="X129" s="2327">
        <f t="shared" si="110"/>
        <v>0</v>
      </c>
      <c r="Y129" s="2327">
        <f t="shared" si="110"/>
        <v>0</v>
      </c>
      <c r="Z129" s="2327">
        <f t="shared" si="110"/>
        <v>0</v>
      </c>
      <c r="AA129" s="2327">
        <f t="shared" si="110"/>
        <v>0</v>
      </c>
      <c r="AB129" s="2327">
        <f t="shared" si="110"/>
        <v>0</v>
      </c>
      <c r="AC129" s="2327">
        <f t="shared" si="110"/>
        <v>0</v>
      </c>
      <c r="AD129" s="2327">
        <f t="shared" si="110"/>
        <v>0</v>
      </c>
      <c r="AE129" s="2327">
        <f t="shared" si="110"/>
        <v>0</v>
      </c>
      <c r="AF129" s="2327">
        <f t="shared" si="110"/>
        <v>0</v>
      </c>
      <c r="AG129" s="2327">
        <f t="shared" si="110"/>
        <v>0</v>
      </c>
      <c r="AH129" s="2327">
        <f t="shared" si="110"/>
        <v>0</v>
      </c>
      <c r="AJ129" s="2191" t="s">
        <v>74</v>
      </c>
      <c r="AK129" s="2190">
        <f t="shared" ref="AK129:BQ129" si="111">SUM(AK117:AK128)</f>
        <v>0</v>
      </c>
      <c r="AL129" s="2188">
        <f t="shared" si="111"/>
        <v>0</v>
      </c>
      <c r="AM129" s="2188">
        <f t="shared" si="111"/>
        <v>0</v>
      </c>
      <c r="AN129" s="2188">
        <f t="shared" si="111"/>
        <v>0</v>
      </c>
      <c r="AO129" s="2188">
        <f t="shared" si="111"/>
        <v>0</v>
      </c>
      <c r="AP129" s="2188">
        <f t="shared" si="111"/>
        <v>0</v>
      </c>
      <c r="AQ129" s="2188">
        <f t="shared" si="111"/>
        <v>0</v>
      </c>
      <c r="AR129" s="2188">
        <f t="shared" si="111"/>
        <v>0</v>
      </c>
      <c r="AS129" s="2188">
        <f t="shared" si="111"/>
        <v>0</v>
      </c>
      <c r="AT129" s="2188">
        <f t="shared" si="111"/>
        <v>0</v>
      </c>
      <c r="AU129" s="2188">
        <f t="shared" si="111"/>
        <v>0</v>
      </c>
      <c r="AV129" s="2188">
        <f t="shared" si="111"/>
        <v>0</v>
      </c>
      <c r="AW129" s="2188">
        <f t="shared" si="111"/>
        <v>0</v>
      </c>
      <c r="AX129" s="2188">
        <f t="shared" si="111"/>
        <v>0</v>
      </c>
      <c r="AY129" s="2188">
        <f t="shared" si="111"/>
        <v>0</v>
      </c>
      <c r="AZ129" s="2188">
        <f t="shared" si="111"/>
        <v>0</v>
      </c>
      <c r="BA129" s="2188">
        <f t="shared" si="111"/>
        <v>0</v>
      </c>
      <c r="BB129" s="2188">
        <f t="shared" si="111"/>
        <v>0</v>
      </c>
      <c r="BC129" s="2188">
        <f t="shared" si="111"/>
        <v>0</v>
      </c>
      <c r="BD129" s="2188">
        <f t="shared" si="111"/>
        <v>0</v>
      </c>
      <c r="BE129" s="2188">
        <f t="shared" si="111"/>
        <v>0</v>
      </c>
      <c r="BF129" s="2188">
        <f t="shared" si="111"/>
        <v>0</v>
      </c>
      <c r="BG129" s="2188">
        <f t="shared" si="111"/>
        <v>0</v>
      </c>
      <c r="BH129" s="2188">
        <f t="shared" si="111"/>
        <v>0</v>
      </c>
      <c r="BI129" s="2188">
        <f t="shared" si="111"/>
        <v>0</v>
      </c>
      <c r="BJ129" s="2188">
        <f t="shared" si="111"/>
        <v>0</v>
      </c>
      <c r="BK129" s="2188">
        <f t="shared" si="111"/>
        <v>0</v>
      </c>
      <c r="BL129" s="2188">
        <f t="shared" si="111"/>
        <v>0</v>
      </c>
      <c r="BM129" s="2188">
        <f t="shared" si="111"/>
        <v>0</v>
      </c>
      <c r="BN129" s="2188">
        <f t="shared" si="111"/>
        <v>0</v>
      </c>
      <c r="BO129" s="2188">
        <f t="shared" si="111"/>
        <v>0</v>
      </c>
      <c r="BP129" s="2188">
        <f t="shared" si="111"/>
        <v>0</v>
      </c>
      <c r="BQ129" s="2188">
        <f t="shared" si="111"/>
        <v>0</v>
      </c>
      <c r="BS129" s="2183" t="s">
        <v>74</v>
      </c>
      <c r="BT129" s="2182">
        <f t="shared" ref="BT129:CZ129" si="112">SUM(BT117:BT128)</f>
        <v>0</v>
      </c>
      <c r="BU129" s="2180">
        <f t="shared" si="112"/>
        <v>0</v>
      </c>
      <c r="BV129" s="2180">
        <f t="shared" si="112"/>
        <v>0</v>
      </c>
      <c r="BW129" s="2180">
        <f t="shared" si="112"/>
        <v>0</v>
      </c>
      <c r="BX129" s="2180">
        <f t="shared" si="112"/>
        <v>0</v>
      </c>
      <c r="BY129" s="2180">
        <f t="shared" si="112"/>
        <v>0</v>
      </c>
      <c r="BZ129" s="2180">
        <f t="shared" si="112"/>
        <v>0</v>
      </c>
      <c r="CA129" s="2180">
        <f t="shared" si="112"/>
        <v>0</v>
      </c>
      <c r="CB129" s="2180">
        <f t="shared" si="112"/>
        <v>0</v>
      </c>
      <c r="CC129" s="2180">
        <f t="shared" si="112"/>
        <v>0</v>
      </c>
      <c r="CD129" s="2180">
        <f t="shared" si="112"/>
        <v>0</v>
      </c>
      <c r="CE129" s="2180">
        <f t="shared" si="112"/>
        <v>0</v>
      </c>
      <c r="CF129" s="2180">
        <f t="shared" si="112"/>
        <v>0</v>
      </c>
      <c r="CG129" s="2180">
        <f t="shared" si="112"/>
        <v>0</v>
      </c>
      <c r="CH129" s="2180">
        <f t="shared" si="112"/>
        <v>0</v>
      </c>
      <c r="CI129" s="2180">
        <f t="shared" si="112"/>
        <v>0</v>
      </c>
      <c r="CJ129" s="2180">
        <f t="shared" si="112"/>
        <v>0</v>
      </c>
      <c r="CK129" s="2180">
        <f t="shared" si="112"/>
        <v>0</v>
      </c>
      <c r="CL129" s="2180">
        <f t="shared" si="112"/>
        <v>0</v>
      </c>
      <c r="CM129" s="2180">
        <f t="shared" si="112"/>
        <v>0</v>
      </c>
      <c r="CN129" s="2180">
        <f t="shared" si="112"/>
        <v>0</v>
      </c>
      <c r="CO129" s="2180">
        <f t="shared" si="112"/>
        <v>0</v>
      </c>
      <c r="CP129" s="2180">
        <f t="shared" si="112"/>
        <v>0</v>
      </c>
      <c r="CQ129" s="2180">
        <f t="shared" si="112"/>
        <v>0</v>
      </c>
      <c r="CR129" s="2180">
        <f t="shared" si="112"/>
        <v>0</v>
      </c>
      <c r="CS129" s="2180">
        <f t="shared" si="112"/>
        <v>0</v>
      </c>
      <c r="CT129" s="2180">
        <f t="shared" si="112"/>
        <v>0</v>
      </c>
      <c r="CU129" s="2180">
        <f t="shared" si="112"/>
        <v>0</v>
      </c>
      <c r="CV129" s="2180">
        <f t="shared" si="112"/>
        <v>0</v>
      </c>
      <c r="CW129" s="2180">
        <f t="shared" si="112"/>
        <v>0</v>
      </c>
      <c r="CX129" s="2180">
        <f t="shared" si="112"/>
        <v>0</v>
      </c>
      <c r="CY129" s="2180">
        <f t="shared" si="112"/>
        <v>0</v>
      </c>
      <c r="CZ129" s="2180">
        <f t="shared" si="112"/>
        <v>0</v>
      </c>
      <c r="DB129" s="1470" t="s">
        <v>74</v>
      </c>
      <c r="DC129" s="2277">
        <f t="shared" ref="DC129:EI129" si="113">SUM(DC117:DC128)</f>
        <v>0</v>
      </c>
      <c r="DD129" s="1488">
        <f t="shared" si="113"/>
        <v>0</v>
      </c>
      <c r="DE129" s="1488">
        <f t="shared" si="113"/>
        <v>0</v>
      </c>
      <c r="DF129" s="1488">
        <f t="shared" si="113"/>
        <v>0</v>
      </c>
      <c r="DG129" s="1488">
        <f t="shared" si="113"/>
        <v>0</v>
      </c>
      <c r="DH129" s="1488">
        <f t="shared" si="113"/>
        <v>0</v>
      </c>
      <c r="DI129" s="1488">
        <f t="shared" si="113"/>
        <v>0</v>
      </c>
      <c r="DJ129" s="1488">
        <f t="shared" si="113"/>
        <v>0</v>
      </c>
      <c r="DK129" s="1488">
        <f t="shared" si="113"/>
        <v>0</v>
      </c>
      <c r="DL129" s="1488">
        <f t="shared" si="113"/>
        <v>0</v>
      </c>
      <c r="DM129" s="1488">
        <f t="shared" si="113"/>
        <v>0</v>
      </c>
      <c r="DN129" s="1488">
        <f t="shared" si="113"/>
        <v>0</v>
      </c>
      <c r="DO129" s="1488">
        <f t="shared" si="113"/>
        <v>0</v>
      </c>
      <c r="DP129" s="1488">
        <f t="shared" si="113"/>
        <v>0</v>
      </c>
      <c r="DQ129" s="1488">
        <f t="shared" si="113"/>
        <v>0</v>
      </c>
      <c r="DR129" s="1488">
        <f t="shared" si="113"/>
        <v>0</v>
      </c>
      <c r="DS129" s="1488">
        <f t="shared" si="113"/>
        <v>0</v>
      </c>
      <c r="DT129" s="1488">
        <f t="shared" si="113"/>
        <v>0</v>
      </c>
      <c r="DU129" s="1488">
        <f t="shared" si="113"/>
        <v>0</v>
      </c>
      <c r="DV129" s="1488">
        <f t="shared" si="113"/>
        <v>0</v>
      </c>
      <c r="DW129" s="1488">
        <f t="shared" si="113"/>
        <v>0</v>
      </c>
      <c r="DX129" s="1488">
        <f t="shared" si="113"/>
        <v>0</v>
      </c>
      <c r="DY129" s="1488">
        <f t="shared" si="113"/>
        <v>0</v>
      </c>
      <c r="DZ129" s="1488">
        <f t="shared" si="113"/>
        <v>0</v>
      </c>
      <c r="EA129" s="1488">
        <f t="shared" si="113"/>
        <v>0</v>
      </c>
      <c r="EB129" s="1488">
        <f t="shared" si="113"/>
        <v>0</v>
      </c>
      <c r="EC129" s="1488">
        <f t="shared" si="113"/>
        <v>0</v>
      </c>
      <c r="ED129" s="1488">
        <f t="shared" si="113"/>
        <v>0</v>
      </c>
      <c r="EE129" s="1488">
        <f t="shared" si="113"/>
        <v>0</v>
      </c>
      <c r="EF129" s="1488">
        <f t="shared" si="113"/>
        <v>0</v>
      </c>
      <c r="EG129" s="1488">
        <f t="shared" si="113"/>
        <v>0</v>
      </c>
      <c r="EH129" s="1488">
        <f t="shared" si="113"/>
        <v>0</v>
      </c>
      <c r="EI129" s="1488">
        <f t="shared" si="113"/>
        <v>0</v>
      </c>
    </row>
    <row r="130" spans="1:139">
      <c r="A130" s="1415"/>
      <c r="B130" s="1415"/>
      <c r="C130" s="1415"/>
      <c r="D130" s="1415"/>
      <c r="E130" s="1415"/>
      <c r="F130" s="1415"/>
      <c r="G130" s="1415"/>
      <c r="H130" s="1415"/>
      <c r="I130" s="1415"/>
      <c r="J130" s="1415"/>
      <c r="K130" s="1415"/>
      <c r="L130" s="1415"/>
      <c r="M130" s="1415"/>
      <c r="N130" s="1415"/>
      <c r="O130" s="1415"/>
      <c r="P130" s="1415"/>
      <c r="Q130" s="1415"/>
      <c r="R130" s="1415"/>
      <c r="S130" s="1415"/>
      <c r="T130" s="1415"/>
      <c r="U130" s="1415"/>
      <c r="V130" s="1415"/>
      <c r="W130" s="1415"/>
      <c r="X130" s="1415"/>
      <c r="Y130" s="1415"/>
      <c r="Z130" s="1415"/>
      <c r="AA130" s="1415"/>
      <c r="AB130" s="1415"/>
      <c r="AC130" s="1415"/>
      <c r="AD130" s="1415"/>
      <c r="AE130" s="1415"/>
      <c r="AF130" s="1415"/>
      <c r="AG130" s="1415"/>
      <c r="AH130" s="1415"/>
      <c r="AJ130" s="2195"/>
      <c r="AK130" s="2195"/>
      <c r="AL130" s="2195"/>
      <c r="AM130" s="2195"/>
      <c r="AN130" s="2195"/>
      <c r="AO130" s="2195"/>
      <c r="AP130" s="2195"/>
      <c r="AQ130" s="2195"/>
      <c r="AR130" s="2195"/>
      <c r="AS130" s="2195"/>
      <c r="AT130" s="2195"/>
      <c r="AU130" s="2195"/>
      <c r="AV130" s="2195"/>
      <c r="AW130" s="2195"/>
      <c r="AX130" s="2195"/>
      <c r="AY130" s="2195"/>
      <c r="AZ130" s="2195"/>
      <c r="BA130" s="2195"/>
      <c r="BB130" s="2195"/>
      <c r="BC130" s="2195"/>
      <c r="BD130" s="2195"/>
      <c r="BE130" s="2195"/>
      <c r="BF130" s="2195"/>
      <c r="BG130" s="2195"/>
      <c r="BH130" s="2195"/>
      <c r="BI130" s="2195"/>
      <c r="BJ130" s="2195"/>
      <c r="BK130" s="2195"/>
      <c r="BL130" s="2195"/>
      <c r="BM130" s="2195"/>
      <c r="BN130" s="2195"/>
      <c r="BO130" s="2195"/>
      <c r="BP130" s="2195"/>
      <c r="BQ130" s="2195"/>
      <c r="BS130" s="2187"/>
      <c r="BT130" s="2187"/>
      <c r="BU130" s="2187"/>
      <c r="BV130" s="2187"/>
      <c r="BW130" s="2187"/>
      <c r="BX130" s="2187"/>
      <c r="BY130" s="2187"/>
      <c r="BZ130" s="2187"/>
      <c r="CA130" s="2187"/>
      <c r="CB130" s="2187"/>
      <c r="CC130" s="2187"/>
      <c r="CD130" s="2187"/>
      <c r="CE130" s="2187"/>
      <c r="CF130" s="2187"/>
      <c r="CG130" s="2187"/>
      <c r="CH130" s="2187"/>
      <c r="CI130" s="2187"/>
      <c r="CJ130" s="2187"/>
      <c r="CK130" s="2187"/>
      <c r="CL130" s="2187"/>
      <c r="CM130" s="2187"/>
      <c r="CN130" s="2187"/>
      <c r="CO130" s="2187"/>
      <c r="CP130" s="2187"/>
      <c r="CQ130" s="2187"/>
      <c r="CR130" s="2187"/>
      <c r="CS130" s="2187"/>
      <c r="CT130" s="2187"/>
      <c r="CU130" s="2187"/>
      <c r="CV130" s="2187"/>
      <c r="CW130" s="2187"/>
      <c r="CX130" s="2187"/>
      <c r="CY130" s="2187"/>
      <c r="CZ130" s="2187"/>
      <c r="DB130" s="2124"/>
      <c r="DC130" s="2124"/>
      <c r="DD130" s="2124"/>
      <c r="DE130" s="2124"/>
      <c r="DF130" s="2124"/>
      <c r="DG130" s="2124"/>
      <c r="DH130" s="2124"/>
      <c r="DI130" s="2124"/>
      <c r="DJ130" s="2124"/>
      <c r="DK130" s="2124"/>
      <c r="DL130" s="2124"/>
      <c r="DM130" s="2124"/>
      <c r="DN130" s="2124"/>
      <c r="DO130" s="2124"/>
      <c r="DP130" s="2124"/>
      <c r="DQ130" s="2124"/>
      <c r="DR130" s="2124"/>
      <c r="DS130" s="2124"/>
      <c r="DT130" s="2124"/>
      <c r="DU130" s="2124"/>
      <c r="DV130" s="2124"/>
      <c r="DW130" s="2124"/>
      <c r="DX130" s="2124"/>
      <c r="DY130" s="2124"/>
      <c r="DZ130" s="2124"/>
      <c r="EA130" s="2124"/>
      <c r="EB130" s="2124"/>
      <c r="EC130" s="2124"/>
      <c r="ED130" s="2124"/>
      <c r="EE130" s="2124"/>
      <c r="EF130" s="2124"/>
      <c r="EG130" s="2124"/>
      <c r="EH130" s="2124"/>
      <c r="EI130" s="2124"/>
    </row>
    <row r="131" spans="1:139" ht="15">
      <c r="A131" s="3634" t="s">
        <v>133</v>
      </c>
      <c r="B131" s="3635"/>
      <c r="C131" s="3636"/>
      <c r="D131" s="2343"/>
      <c r="E131" s="2323"/>
      <c r="F131" s="2323"/>
      <c r="G131" s="2323"/>
      <c r="H131" s="2323"/>
      <c r="I131" s="2323"/>
      <c r="J131" s="2323"/>
      <c r="K131" s="2323"/>
      <c r="L131" s="2323"/>
      <c r="M131" s="2324"/>
      <c r="N131" s="2344"/>
      <c r="O131" s="2323"/>
      <c r="P131" s="2323"/>
      <c r="Q131" s="2323"/>
      <c r="R131" s="2323"/>
      <c r="S131" s="2323"/>
      <c r="T131" s="2323"/>
      <c r="U131" s="2323"/>
      <c r="V131" s="2323"/>
      <c r="W131" s="2323"/>
      <c r="X131" s="2323"/>
      <c r="Y131" s="2323"/>
      <c r="Z131" s="2323"/>
      <c r="AA131" s="2323"/>
      <c r="AB131" s="2323"/>
      <c r="AC131" s="2323"/>
      <c r="AD131" s="2323"/>
      <c r="AE131" s="2323"/>
      <c r="AF131" s="2323"/>
      <c r="AG131" s="2323"/>
      <c r="AH131" s="2323"/>
      <c r="AJ131" s="3585" t="s">
        <v>133</v>
      </c>
      <c r="AK131" s="3586"/>
      <c r="AL131" s="3587"/>
      <c r="AM131" s="2269"/>
      <c r="AN131" s="2193"/>
      <c r="AO131" s="2193"/>
      <c r="AP131" s="2193"/>
      <c r="AQ131" s="2193"/>
      <c r="AR131" s="2193"/>
      <c r="AS131" s="2193"/>
      <c r="AT131" s="2193"/>
      <c r="AU131" s="2193"/>
      <c r="AV131" s="2194"/>
      <c r="AW131" s="2268"/>
      <c r="AX131" s="2193"/>
      <c r="AY131" s="2193"/>
      <c r="AZ131" s="2193"/>
      <c r="BA131" s="2193"/>
      <c r="BB131" s="2193"/>
      <c r="BC131" s="2193"/>
      <c r="BD131" s="2193"/>
      <c r="BE131" s="2193"/>
      <c r="BF131" s="2193"/>
      <c r="BG131" s="2193"/>
      <c r="BH131" s="2193"/>
      <c r="BI131" s="2193"/>
      <c r="BJ131" s="2193"/>
      <c r="BK131" s="2193"/>
      <c r="BL131" s="2193"/>
      <c r="BM131" s="2193"/>
      <c r="BN131" s="2193"/>
      <c r="BO131" s="2193"/>
      <c r="BP131" s="2193"/>
      <c r="BQ131" s="2193"/>
      <c r="BS131" s="3772" t="s">
        <v>133</v>
      </c>
      <c r="BT131" s="3773"/>
      <c r="BU131" s="3774"/>
      <c r="BV131" s="2267"/>
      <c r="BW131" s="2185"/>
      <c r="BX131" s="2185"/>
      <c r="BY131" s="2185"/>
      <c r="BZ131" s="2185"/>
      <c r="CA131" s="2185"/>
      <c r="CB131" s="2185"/>
      <c r="CC131" s="2185"/>
      <c r="CD131" s="2185"/>
      <c r="CE131" s="2186"/>
      <c r="CF131" s="2266"/>
      <c r="CG131" s="2185"/>
      <c r="CH131" s="2185"/>
      <c r="CI131" s="2185"/>
      <c r="CJ131" s="2185"/>
      <c r="CK131" s="2185"/>
      <c r="CL131" s="2185"/>
      <c r="CM131" s="2185"/>
      <c r="CN131" s="2185"/>
      <c r="CO131" s="2185"/>
      <c r="CP131" s="2185"/>
      <c r="CQ131" s="2185"/>
      <c r="CR131" s="2185"/>
      <c r="CS131" s="2185"/>
      <c r="CT131" s="2185"/>
      <c r="CU131" s="2185"/>
      <c r="CV131" s="2185"/>
      <c r="CW131" s="2185"/>
      <c r="CX131" s="2185"/>
      <c r="CY131" s="2185"/>
      <c r="CZ131" s="2185"/>
      <c r="DB131" s="3781" t="s">
        <v>133</v>
      </c>
      <c r="DC131" s="3782"/>
      <c r="DD131" s="3783"/>
      <c r="DE131" s="2275"/>
      <c r="DF131" s="1433"/>
      <c r="DG131" s="1433"/>
      <c r="DH131" s="1433"/>
      <c r="DI131" s="1433"/>
      <c r="DJ131" s="1433"/>
      <c r="DK131" s="1433"/>
      <c r="DL131" s="1433"/>
      <c r="DM131" s="1433"/>
      <c r="DN131" s="2274"/>
      <c r="DO131" s="2273"/>
      <c r="DP131" s="1433"/>
      <c r="DQ131" s="1433"/>
      <c r="DR131" s="1433"/>
      <c r="DS131" s="1433"/>
      <c r="DT131" s="1433"/>
      <c r="DU131" s="1433"/>
      <c r="DV131" s="1433"/>
      <c r="DW131" s="1433"/>
      <c r="DX131" s="1433"/>
      <c r="DY131" s="1433"/>
      <c r="DZ131" s="1433"/>
      <c r="EA131" s="1433"/>
      <c r="EB131" s="1433"/>
      <c r="EC131" s="1433"/>
      <c r="ED131" s="1433"/>
      <c r="EE131" s="1433"/>
      <c r="EF131" s="1433"/>
      <c r="EG131" s="1433"/>
      <c r="EH131" s="1433"/>
      <c r="EI131" s="1433"/>
    </row>
    <row r="132" spans="1:139" ht="15">
      <c r="A132" s="1233" t="s">
        <v>72</v>
      </c>
      <c r="B132" s="1233" t="s">
        <v>73</v>
      </c>
      <c r="C132" s="1233">
        <v>1</v>
      </c>
      <c r="D132" s="1233">
        <v>2</v>
      </c>
      <c r="E132" s="1233">
        <v>3</v>
      </c>
      <c r="F132" s="1233">
        <v>4</v>
      </c>
      <c r="G132" s="1233">
        <v>5</v>
      </c>
      <c r="H132" s="1233">
        <v>6</v>
      </c>
      <c r="I132" s="1233">
        <v>7</v>
      </c>
      <c r="J132" s="1233">
        <v>8</v>
      </c>
      <c r="K132" s="1233">
        <v>9</v>
      </c>
      <c r="L132" s="1233">
        <v>10</v>
      </c>
      <c r="M132" s="1233">
        <v>11</v>
      </c>
      <c r="N132" s="1233">
        <v>12</v>
      </c>
      <c r="O132" s="1233">
        <v>13</v>
      </c>
      <c r="P132" s="1233">
        <v>14</v>
      </c>
      <c r="Q132" s="1233">
        <v>15</v>
      </c>
      <c r="R132" s="1233">
        <v>16</v>
      </c>
      <c r="S132" s="1233">
        <v>17</v>
      </c>
      <c r="T132" s="1233">
        <v>18</v>
      </c>
      <c r="U132" s="1233">
        <v>19</v>
      </c>
      <c r="V132" s="1233">
        <v>20</v>
      </c>
      <c r="W132" s="1233">
        <v>21</v>
      </c>
      <c r="X132" s="1233">
        <v>22</v>
      </c>
      <c r="Y132" s="1233">
        <v>23</v>
      </c>
      <c r="Z132" s="1233">
        <v>24</v>
      </c>
      <c r="AA132" s="1233">
        <v>25</v>
      </c>
      <c r="AB132" s="1233">
        <v>26</v>
      </c>
      <c r="AC132" s="1233">
        <v>27</v>
      </c>
      <c r="AD132" s="1233">
        <v>28</v>
      </c>
      <c r="AE132" s="1233">
        <v>29</v>
      </c>
      <c r="AF132" s="1233">
        <v>30</v>
      </c>
      <c r="AG132" s="1233">
        <v>31</v>
      </c>
      <c r="AH132" s="2325" t="s">
        <v>74</v>
      </c>
      <c r="AJ132" s="1746" t="s">
        <v>72</v>
      </c>
      <c r="AK132" s="1746" t="s">
        <v>73</v>
      </c>
      <c r="AL132" s="1746">
        <v>1</v>
      </c>
      <c r="AM132" s="1746">
        <v>2</v>
      </c>
      <c r="AN132" s="1746">
        <v>3</v>
      </c>
      <c r="AO132" s="1746">
        <v>4</v>
      </c>
      <c r="AP132" s="1746">
        <v>5</v>
      </c>
      <c r="AQ132" s="1746">
        <v>6</v>
      </c>
      <c r="AR132" s="1746">
        <v>7</v>
      </c>
      <c r="AS132" s="1746">
        <v>8</v>
      </c>
      <c r="AT132" s="1746">
        <v>9</v>
      </c>
      <c r="AU132" s="1746">
        <v>10</v>
      </c>
      <c r="AV132" s="1746">
        <v>11</v>
      </c>
      <c r="AW132" s="1746">
        <v>12</v>
      </c>
      <c r="AX132" s="1746">
        <v>13</v>
      </c>
      <c r="AY132" s="1746">
        <v>14</v>
      </c>
      <c r="AZ132" s="1746">
        <v>15</v>
      </c>
      <c r="BA132" s="1746">
        <v>16</v>
      </c>
      <c r="BB132" s="1746">
        <v>17</v>
      </c>
      <c r="BC132" s="1746">
        <v>18</v>
      </c>
      <c r="BD132" s="1746">
        <v>19</v>
      </c>
      <c r="BE132" s="1746">
        <v>20</v>
      </c>
      <c r="BF132" s="1746">
        <v>21</v>
      </c>
      <c r="BG132" s="1746">
        <v>22</v>
      </c>
      <c r="BH132" s="1746">
        <v>23</v>
      </c>
      <c r="BI132" s="1746">
        <v>24</v>
      </c>
      <c r="BJ132" s="1746">
        <v>25</v>
      </c>
      <c r="BK132" s="1746">
        <v>26</v>
      </c>
      <c r="BL132" s="1746">
        <v>27</v>
      </c>
      <c r="BM132" s="1746">
        <v>28</v>
      </c>
      <c r="BN132" s="1746">
        <v>29</v>
      </c>
      <c r="BO132" s="1746">
        <v>30</v>
      </c>
      <c r="BP132" s="1746">
        <v>31</v>
      </c>
      <c r="BQ132" s="2192" t="s">
        <v>74</v>
      </c>
      <c r="BS132" s="1845" t="s">
        <v>72</v>
      </c>
      <c r="BT132" s="1845" t="s">
        <v>73</v>
      </c>
      <c r="BU132" s="1845">
        <v>1</v>
      </c>
      <c r="BV132" s="1845">
        <v>2</v>
      </c>
      <c r="BW132" s="1845">
        <v>3</v>
      </c>
      <c r="BX132" s="1845">
        <v>4</v>
      </c>
      <c r="BY132" s="1845">
        <v>5</v>
      </c>
      <c r="BZ132" s="1845">
        <v>6</v>
      </c>
      <c r="CA132" s="1845">
        <v>7</v>
      </c>
      <c r="CB132" s="1845">
        <v>8</v>
      </c>
      <c r="CC132" s="1845">
        <v>9</v>
      </c>
      <c r="CD132" s="1845">
        <v>10</v>
      </c>
      <c r="CE132" s="1845">
        <v>11</v>
      </c>
      <c r="CF132" s="1845">
        <v>12</v>
      </c>
      <c r="CG132" s="1845">
        <v>13</v>
      </c>
      <c r="CH132" s="1845">
        <v>14</v>
      </c>
      <c r="CI132" s="1845">
        <v>15</v>
      </c>
      <c r="CJ132" s="1845">
        <v>16</v>
      </c>
      <c r="CK132" s="1845">
        <v>17</v>
      </c>
      <c r="CL132" s="1845">
        <v>18</v>
      </c>
      <c r="CM132" s="1845">
        <v>19</v>
      </c>
      <c r="CN132" s="1845">
        <v>20</v>
      </c>
      <c r="CO132" s="1845">
        <v>21</v>
      </c>
      <c r="CP132" s="1845">
        <v>22</v>
      </c>
      <c r="CQ132" s="1845">
        <v>23</v>
      </c>
      <c r="CR132" s="1845">
        <v>24</v>
      </c>
      <c r="CS132" s="1845">
        <v>25</v>
      </c>
      <c r="CT132" s="1845">
        <v>26</v>
      </c>
      <c r="CU132" s="1845">
        <v>27</v>
      </c>
      <c r="CV132" s="1845">
        <v>28</v>
      </c>
      <c r="CW132" s="1845">
        <v>29</v>
      </c>
      <c r="CX132" s="1845">
        <v>30</v>
      </c>
      <c r="CY132" s="1845">
        <v>31</v>
      </c>
      <c r="CZ132" s="2184" t="s">
        <v>74</v>
      </c>
      <c r="DB132" s="1249" t="s">
        <v>72</v>
      </c>
      <c r="DC132" s="1249" t="s">
        <v>73</v>
      </c>
      <c r="DD132" s="1249">
        <v>1</v>
      </c>
      <c r="DE132" s="1249">
        <v>2</v>
      </c>
      <c r="DF132" s="1249">
        <v>3</v>
      </c>
      <c r="DG132" s="1249">
        <v>4</v>
      </c>
      <c r="DH132" s="1249">
        <v>5</v>
      </c>
      <c r="DI132" s="1249">
        <v>6</v>
      </c>
      <c r="DJ132" s="1249">
        <v>7</v>
      </c>
      <c r="DK132" s="1249">
        <v>8</v>
      </c>
      <c r="DL132" s="1249">
        <v>9</v>
      </c>
      <c r="DM132" s="1249">
        <v>10</v>
      </c>
      <c r="DN132" s="1249">
        <v>11</v>
      </c>
      <c r="DO132" s="1249">
        <v>12</v>
      </c>
      <c r="DP132" s="1249">
        <v>13</v>
      </c>
      <c r="DQ132" s="1249">
        <v>14</v>
      </c>
      <c r="DR132" s="1249">
        <v>15</v>
      </c>
      <c r="DS132" s="1249">
        <v>16</v>
      </c>
      <c r="DT132" s="1249">
        <v>17</v>
      </c>
      <c r="DU132" s="1249">
        <v>18</v>
      </c>
      <c r="DV132" s="1249">
        <v>19</v>
      </c>
      <c r="DW132" s="1249">
        <v>20</v>
      </c>
      <c r="DX132" s="1249">
        <v>21</v>
      </c>
      <c r="DY132" s="1249">
        <v>22</v>
      </c>
      <c r="DZ132" s="1249">
        <v>23</v>
      </c>
      <c r="EA132" s="1249">
        <v>24</v>
      </c>
      <c r="EB132" s="1249">
        <v>25</v>
      </c>
      <c r="EC132" s="1249">
        <v>26</v>
      </c>
      <c r="ED132" s="1249">
        <v>27</v>
      </c>
      <c r="EE132" s="1249">
        <v>28</v>
      </c>
      <c r="EF132" s="1249">
        <v>29</v>
      </c>
      <c r="EG132" s="1249">
        <v>30</v>
      </c>
      <c r="EH132" s="1249">
        <v>31</v>
      </c>
      <c r="EI132" s="1820" t="s">
        <v>74</v>
      </c>
    </row>
    <row r="133" spans="1:139" ht="15">
      <c r="A133" s="1233" t="s">
        <v>75</v>
      </c>
      <c r="B133" s="1280">
        <f t="shared" ref="B133:B144" si="114">+AH133</f>
        <v>0</v>
      </c>
      <c r="C133" s="2345"/>
      <c r="D133" s="2345"/>
      <c r="E133" s="2345"/>
      <c r="F133" s="2345"/>
      <c r="G133" s="2345"/>
      <c r="H133" s="2345"/>
      <c r="I133" s="2345"/>
      <c r="J133" s="2345"/>
      <c r="K133" s="2345"/>
      <c r="L133" s="2345"/>
      <c r="M133" s="2345"/>
      <c r="N133" s="2345"/>
      <c r="O133" s="2345"/>
      <c r="P133" s="2345"/>
      <c r="Q133" s="2345"/>
      <c r="R133" s="2345"/>
      <c r="S133" s="2345"/>
      <c r="T133" s="2345"/>
      <c r="U133" s="2345"/>
      <c r="V133" s="2345"/>
      <c r="W133" s="2345"/>
      <c r="X133" s="2345"/>
      <c r="Y133" s="2345"/>
      <c r="Z133" s="2345"/>
      <c r="AA133" s="2345"/>
      <c r="AB133" s="2345"/>
      <c r="AC133" s="2345"/>
      <c r="AD133" s="2345"/>
      <c r="AE133" s="2345"/>
      <c r="AF133" s="2345"/>
      <c r="AG133" s="2345"/>
      <c r="AH133" s="2327">
        <f t="shared" ref="AH133:AH144" si="115">SUM(C133:AG133)</f>
        <v>0</v>
      </c>
      <c r="AJ133" s="1746" t="s">
        <v>75</v>
      </c>
      <c r="AK133" s="1749">
        <f t="shared" ref="AK133:AK144" si="116">+BQ133</f>
        <v>0</v>
      </c>
      <c r="AL133" s="2226"/>
      <c r="AM133" s="2226"/>
      <c r="AN133" s="2226"/>
      <c r="AO133" s="2226"/>
      <c r="AP133" s="2226"/>
      <c r="AQ133" s="2226"/>
      <c r="AR133" s="2226"/>
      <c r="AS133" s="2226"/>
      <c r="AT133" s="2226"/>
      <c r="AU133" s="2226"/>
      <c r="AV133" s="2226"/>
      <c r="AW133" s="2226"/>
      <c r="AX133" s="2226"/>
      <c r="AY133" s="2226"/>
      <c r="AZ133" s="2226"/>
      <c r="BA133" s="2226"/>
      <c r="BB133" s="2226"/>
      <c r="BC133" s="2226"/>
      <c r="BD133" s="2226"/>
      <c r="BE133" s="2226"/>
      <c r="BF133" s="2226"/>
      <c r="BG133" s="2226"/>
      <c r="BH133" s="2226"/>
      <c r="BI133" s="2226"/>
      <c r="BJ133" s="2226"/>
      <c r="BK133" s="2226"/>
      <c r="BL133" s="2226"/>
      <c r="BM133" s="2226"/>
      <c r="BN133" s="2226"/>
      <c r="BO133" s="2226"/>
      <c r="BP133" s="2226"/>
      <c r="BQ133" s="2188">
        <f t="shared" ref="BQ133:BQ144" si="117">SUM(AL133:BP133)</f>
        <v>0</v>
      </c>
      <c r="BS133" s="1845" t="s">
        <v>75</v>
      </c>
      <c r="BT133" s="1846">
        <f t="shared" ref="BT133:BT144" si="118">+CZ133</f>
        <v>0</v>
      </c>
      <c r="BU133" s="2225"/>
      <c r="BV133" s="2225"/>
      <c r="BW133" s="2225"/>
      <c r="BX133" s="2225"/>
      <c r="BY133" s="2225"/>
      <c r="BZ133" s="2225"/>
      <c r="CA133" s="2225"/>
      <c r="CB133" s="2225"/>
      <c r="CC133" s="2225"/>
      <c r="CD133" s="2225"/>
      <c r="CE133" s="2225"/>
      <c r="CF133" s="2225"/>
      <c r="CG133" s="2225"/>
      <c r="CH133" s="2225"/>
      <c r="CI133" s="2225"/>
      <c r="CJ133" s="2225"/>
      <c r="CK133" s="2225"/>
      <c r="CL133" s="2225"/>
      <c r="CM133" s="2225"/>
      <c r="CN133" s="2225"/>
      <c r="CO133" s="2225"/>
      <c r="CP133" s="2225"/>
      <c r="CQ133" s="2225"/>
      <c r="CR133" s="2225"/>
      <c r="CS133" s="2225"/>
      <c r="CT133" s="2225"/>
      <c r="CU133" s="2225"/>
      <c r="CV133" s="2225"/>
      <c r="CW133" s="2225"/>
      <c r="CX133" s="2225"/>
      <c r="CY133" s="2225"/>
      <c r="CZ133" s="2180">
        <f t="shared" ref="CZ133:CZ144" si="119">SUM(BU133:CY133)</f>
        <v>0</v>
      </c>
      <c r="DB133" s="1249" t="s">
        <v>75</v>
      </c>
      <c r="DC133" s="1287">
        <f t="shared" ref="DC133:DC144" si="120">+EI133</f>
        <v>0</v>
      </c>
      <c r="DD133" s="2271"/>
      <c r="DE133" s="2271"/>
      <c r="DF133" s="2271"/>
      <c r="DG133" s="2271"/>
      <c r="DH133" s="2271"/>
      <c r="DI133" s="2271"/>
      <c r="DJ133" s="2271"/>
      <c r="DK133" s="2271"/>
      <c r="DL133" s="2271"/>
      <c r="DM133" s="2271"/>
      <c r="DN133" s="2271"/>
      <c r="DO133" s="2271"/>
      <c r="DP133" s="2271"/>
      <c r="DQ133" s="2271"/>
      <c r="DR133" s="2271"/>
      <c r="DS133" s="2271"/>
      <c r="DT133" s="2271"/>
      <c r="DU133" s="2271"/>
      <c r="DV133" s="2271"/>
      <c r="DW133" s="2271"/>
      <c r="DX133" s="2271"/>
      <c r="DY133" s="2271"/>
      <c r="DZ133" s="2271"/>
      <c r="EA133" s="2271"/>
      <c r="EB133" s="2271"/>
      <c r="EC133" s="2271"/>
      <c r="ED133" s="2271"/>
      <c r="EE133" s="2271"/>
      <c r="EF133" s="2271"/>
      <c r="EG133" s="2271"/>
      <c r="EH133" s="2271"/>
      <c r="EI133" s="1488">
        <f t="shared" ref="EI133:EI144" si="121">SUM(DD133:EH133)</f>
        <v>0</v>
      </c>
    </row>
    <row r="134" spans="1:139" ht="15">
      <c r="A134" s="1233" t="s">
        <v>76</v>
      </c>
      <c r="B134" s="1280">
        <f t="shared" si="114"/>
        <v>0</v>
      </c>
      <c r="C134" s="2345"/>
      <c r="D134" s="2345"/>
      <c r="E134" s="2345"/>
      <c r="F134" s="2345"/>
      <c r="G134" s="2345"/>
      <c r="H134" s="2345"/>
      <c r="I134" s="2345"/>
      <c r="J134" s="2345"/>
      <c r="K134" s="2345"/>
      <c r="L134" s="2345"/>
      <c r="M134" s="2345"/>
      <c r="N134" s="2345"/>
      <c r="O134" s="2345"/>
      <c r="P134" s="2345"/>
      <c r="Q134" s="2345"/>
      <c r="R134" s="2345"/>
      <c r="S134" s="2345"/>
      <c r="T134" s="2345"/>
      <c r="U134" s="2345"/>
      <c r="V134" s="2345"/>
      <c r="W134" s="2345"/>
      <c r="X134" s="2345"/>
      <c r="Y134" s="2345"/>
      <c r="Z134" s="2345"/>
      <c r="AA134" s="2345"/>
      <c r="AB134" s="2345"/>
      <c r="AC134" s="2345"/>
      <c r="AD134" s="2345"/>
      <c r="AE134" s="2345"/>
      <c r="AF134" s="2345"/>
      <c r="AG134" s="2345"/>
      <c r="AH134" s="2327">
        <f t="shared" si="115"/>
        <v>0</v>
      </c>
      <c r="AJ134" s="1746" t="s">
        <v>76</v>
      </c>
      <c r="AK134" s="1749">
        <f t="shared" si="116"/>
        <v>0</v>
      </c>
      <c r="AL134" s="2226"/>
      <c r="AM134" s="2226"/>
      <c r="AN134" s="2226"/>
      <c r="AO134" s="2226"/>
      <c r="AP134" s="2226"/>
      <c r="AQ134" s="2226"/>
      <c r="AR134" s="2226"/>
      <c r="AS134" s="2226"/>
      <c r="AT134" s="2226"/>
      <c r="AU134" s="2226"/>
      <c r="AV134" s="2226"/>
      <c r="AW134" s="2226"/>
      <c r="AX134" s="2226"/>
      <c r="AY134" s="2226"/>
      <c r="AZ134" s="2226"/>
      <c r="BA134" s="2226"/>
      <c r="BB134" s="2226"/>
      <c r="BC134" s="2226"/>
      <c r="BD134" s="2226"/>
      <c r="BE134" s="2226"/>
      <c r="BF134" s="2226"/>
      <c r="BG134" s="2226"/>
      <c r="BH134" s="2226"/>
      <c r="BI134" s="2226"/>
      <c r="BJ134" s="2226"/>
      <c r="BK134" s="2226"/>
      <c r="BL134" s="2226"/>
      <c r="BM134" s="2226"/>
      <c r="BN134" s="2226"/>
      <c r="BO134" s="2226"/>
      <c r="BP134" s="2226"/>
      <c r="BQ134" s="2188">
        <f t="shared" si="117"/>
        <v>0</v>
      </c>
      <c r="BS134" s="1845" t="s">
        <v>76</v>
      </c>
      <c r="BT134" s="1846">
        <f t="shared" si="118"/>
        <v>0</v>
      </c>
      <c r="BU134" s="2225"/>
      <c r="BV134" s="2225"/>
      <c r="BW134" s="2225"/>
      <c r="BX134" s="2225"/>
      <c r="BY134" s="2225"/>
      <c r="BZ134" s="2225"/>
      <c r="CA134" s="2225"/>
      <c r="CB134" s="2225"/>
      <c r="CC134" s="2225"/>
      <c r="CD134" s="2225"/>
      <c r="CE134" s="2225"/>
      <c r="CF134" s="2225"/>
      <c r="CG134" s="2225"/>
      <c r="CH134" s="2225"/>
      <c r="CI134" s="2225"/>
      <c r="CJ134" s="2225"/>
      <c r="CK134" s="2225"/>
      <c r="CL134" s="2225"/>
      <c r="CM134" s="2225"/>
      <c r="CN134" s="2225"/>
      <c r="CO134" s="2225"/>
      <c r="CP134" s="2225"/>
      <c r="CQ134" s="2225"/>
      <c r="CR134" s="2225"/>
      <c r="CS134" s="2225"/>
      <c r="CT134" s="2225"/>
      <c r="CU134" s="2225"/>
      <c r="CV134" s="2225"/>
      <c r="CW134" s="2225"/>
      <c r="CX134" s="2225"/>
      <c r="CY134" s="2225"/>
      <c r="CZ134" s="2180">
        <f t="shared" si="119"/>
        <v>0</v>
      </c>
      <c r="DB134" s="1249" t="s">
        <v>76</v>
      </c>
      <c r="DC134" s="1287">
        <f t="shared" si="120"/>
        <v>0</v>
      </c>
      <c r="DD134" s="2271"/>
      <c r="DE134" s="2271"/>
      <c r="DF134" s="2271"/>
      <c r="DG134" s="2271"/>
      <c r="DH134" s="2271"/>
      <c r="DI134" s="2271"/>
      <c r="DJ134" s="2271"/>
      <c r="DK134" s="2271"/>
      <c r="DL134" s="2271"/>
      <c r="DM134" s="2271"/>
      <c r="DN134" s="2271"/>
      <c r="DO134" s="2271"/>
      <c r="DP134" s="2271"/>
      <c r="DQ134" s="2271"/>
      <c r="DR134" s="2271"/>
      <c r="DS134" s="2271"/>
      <c r="DT134" s="2271"/>
      <c r="DU134" s="2271"/>
      <c r="DV134" s="2271"/>
      <c r="DW134" s="2271"/>
      <c r="DX134" s="2271"/>
      <c r="DY134" s="2271"/>
      <c r="DZ134" s="2271"/>
      <c r="EA134" s="2271"/>
      <c r="EB134" s="2271"/>
      <c r="EC134" s="2271"/>
      <c r="ED134" s="2271"/>
      <c r="EE134" s="2271"/>
      <c r="EF134" s="2271"/>
      <c r="EG134" s="2271"/>
      <c r="EH134" s="2271"/>
      <c r="EI134" s="1488">
        <f t="shared" si="121"/>
        <v>0</v>
      </c>
    </row>
    <row r="135" spans="1:139" ht="15">
      <c r="A135" s="1233" t="s">
        <v>77</v>
      </c>
      <c r="B135" s="1280">
        <f t="shared" si="114"/>
        <v>0</v>
      </c>
      <c r="C135" s="2345"/>
      <c r="D135" s="2345"/>
      <c r="E135" s="2345"/>
      <c r="F135" s="2345"/>
      <c r="G135" s="2345"/>
      <c r="H135" s="2345"/>
      <c r="I135" s="2345"/>
      <c r="J135" s="2345"/>
      <c r="K135" s="2345"/>
      <c r="L135" s="2345"/>
      <c r="M135" s="2345"/>
      <c r="N135" s="2345"/>
      <c r="O135" s="2345"/>
      <c r="P135" s="2345"/>
      <c r="Q135" s="2345"/>
      <c r="R135" s="2345"/>
      <c r="S135" s="2345"/>
      <c r="T135" s="2345"/>
      <c r="U135" s="2345"/>
      <c r="V135" s="2345"/>
      <c r="W135" s="2345"/>
      <c r="X135" s="2345"/>
      <c r="Y135" s="2345"/>
      <c r="Z135" s="2345"/>
      <c r="AA135" s="2345"/>
      <c r="AB135" s="2345"/>
      <c r="AC135" s="2345"/>
      <c r="AD135" s="2345"/>
      <c r="AE135" s="2345"/>
      <c r="AF135" s="2345"/>
      <c r="AG135" s="2345"/>
      <c r="AH135" s="2327">
        <f t="shared" si="115"/>
        <v>0</v>
      </c>
      <c r="AJ135" s="1746" t="s">
        <v>77</v>
      </c>
      <c r="AK135" s="1749">
        <f t="shared" si="116"/>
        <v>0</v>
      </c>
      <c r="AL135" s="2226"/>
      <c r="AM135" s="2226"/>
      <c r="AN135" s="2226"/>
      <c r="AO135" s="2226"/>
      <c r="AP135" s="2226"/>
      <c r="AQ135" s="2226"/>
      <c r="AR135" s="2226"/>
      <c r="AS135" s="2226"/>
      <c r="AT135" s="2226"/>
      <c r="AU135" s="2226"/>
      <c r="AV135" s="2226"/>
      <c r="AW135" s="2226"/>
      <c r="AX135" s="2226"/>
      <c r="AY135" s="2226"/>
      <c r="AZ135" s="2226"/>
      <c r="BA135" s="2226"/>
      <c r="BB135" s="2226"/>
      <c r="BC135" s="2226"/>
      <c r="BD135" s="2226"/>
      <c r="BE135" s="2226"/>
      <c r="BF135" s="2226"/>
      <c r="BG135" s="2226"/>
      <c r="BH135" s="2226"/>
      <c r="BI135" s="2226"/>
      <c r="BJ135" s="2226"/>
      <c r="BK135" s="2226"/>
      <c r="BL135" s="2226"/>
      <c r="BM135" s="2226"/>
      <c r="BN135" s="2226"/>
      <c r="BO135" s="2226"/>
      <c r="BP135" s="2226"/>
      <c r="BQ135" s="2188">
        <f t="shared" si="117"/>
        <v>0</v>
      </c>
      <c r="BS135" s="1845" t="s">
        <v>77</v>
      </c>
      <c r="BT135" s="1846">
        <f t="shared" si="118"/>
        <v>0</v>
      </c>
      <c r="BU135" s="2225"/>
      <c r="BV135" s="2225"/>
      <c r="BW135" s="2225"/>
      <c r="BX135" s="2225"/>
      <c r="BY135" s="2225"/>
      <c r="BZ135" s="2225"/>
      <c r="CA135" s="2225"/>
      <c r="CB135" s="2225"/>
      <c r="CC135" s="2225"/>
      <c r="CD135" s="2225"/>
      <c r="CE135" s="2225"/>
      <c r="CF135" s="2225"/>
      <c r="CG135" s="2225"/>
      <c r="CH135" s="2225"/>
      <c r="CI135" s="2225"/>
      <c r="CJ135" s="2225"/>
      <c r="CK135" s="2225"/>
      <c r="CL135" s="2225"/>
      <c r="CM135" s="2225"/>
      <c r="CN135" s="2225"/>
      <c r="CO135" s="2225"/>
      <c r="CP135" s="2225"/>
      <c r="CQ135" s="2225"/>
      <c r="CR135" s="2225"/>
      <c r="CS135" s="2225"/>
      <c r="CT135" s="2225"/>
      <c r="CU135" s="2225"/>
      <c r="CV135" s="2225"/>
      <c r="CW135" s="2225"/>
      <c r="CX135" s="2225"/>
      <c r="CY135" s="2225"/>
      <c r="CZ135" s="2180">
        <f t="shared" si="119"/>
        <v>0</v>
      </c>
      <c r="DB135" s="1249" t="s">
        <v>77</v>
      </c>
      <c r="DC135" s="1287">
        <f t="shared" si="120"/>
        <v>0</v>
      </c>
      <c r="DD135" s="2271"/>
      <c r="DE135" s="2271"/>
      <c r="DF135" s="2271"/>
      <c r="DG135" s="2271"/>
      <c r="DH135" s="2271"/>
      <c r="DI135" s="2271"/>
      <c r="DJ135" s="2271"/>
      <c r="DK135" s="2271"/>
      <c r="DL135" s="2271"/>
      <c r="DM135" s="2271"/>
      <c r="DN135" s="2271"/>
      <c r="DO135" s="2271"/>
      <c r="DP135" s="2271"/>
      <c r="DQ135" s="2271"/>
      <c r="DR135" s="2271"/>
      <c r="DS135" s="2271"/>
      <c r="DT135" s="2271"/>
      <c r="DU135" s="2271"/>
      <c r="DV135" s="2271"/>
      <c r="DW135" s="2271"/>
      <c r="DX135" s="2271"/>
      <c r="DY135" s="2271"/>
      <c r="DZ135" s="2271"/>
      <c r="EA135" s="2271"/>
      <c r="EB135" s="2271"/>
      <c r="EC135" s="2271"/>
      <c r="ED135" s="2271"/>
      <c r="EE135" s="2271"/>
      <c r="EF135" s="2271"/>
      <c r="EG135" s="2271"/>
      <c r="EH135" s="2271"/>
      <c r="EI135" s="1488">
        <f t="shared" si="121"/>
        <v>0</v>
      </c>
    </row>
    <row r="136" spans="1:139" ht="15">
      <c r="A136" s="1233" t="s">
        <v>78</v>
      </c>
      <c r="B136" s="1280">
        <f t="shared" si="114"/>
        <v>0</v>
      </c>
      <c r="C136" s="2346"/>
      <c r="D136" s="2346"/>
      <c r="E136" s="2346"/>
      <c r="F136" s="2346"/>
      <c r="G136" s="2346"/>
      <c r="H136" s="2346"/>
      <c r="I136" s="2346"/>
      <c r="J136" s="2346"/>
      <c r="K136" s="2346"/>
      <c r="L136" s="2346"/>
      <c r="M136" s="2345"/>
      <c r="N136" s="2345"/>
      <c r="O136" s="2345"/>
      <c r="P136" s="2345"/>
      <c r="Q136" s="2345"/>
      <c r="R136" s="2345"/>
      <c r="S136" s="2345"/>
      <c r="T136" s="2345"/>
      <c r="U136" s="2345"/>
      <c r="V136" s="2345"/>
      <c r="W136" s="2345"/>
      <c r="X136" s="2345"/>
      <c r="Y136" s="2345"/>
      <c r="Z136" s="2345"/>
      <c r="AA136" s="2345"/>
      <c r="AB136" s="2345"/>
      <c r="AC136" s="2345"/>
      <c r="AD136" s="2345"/>
      <c r="AE136" s="2345"/>
      <c r="AF136" s="2345"/>
      <c r="AG136" s="2346"/>
      <c r="AH136" s="2327">
        <f t="shared" si="115"/>
        <v>0</v>
      </c>
      <c r="AJ136" s="1746" t="s">
        <v>78</v>
      </c>
      <c r="AK136" s="1749">
        <f t="shared" si="116"/>
        <v>0</v>
      </c>
      <c r="AL136" s="2231"/>
      <c r="AM136" s="2231"/>
      <c r="AN136" s="2231"/>
      <c r="AO136" s="2231"/>
      <c r="AP136" s="2231"/>
      <c r="AQ136" s="2231"/>
      <c r="AR136" s="2231"/>
      <c r="AS136" s="2231"/>
      <c r="AT136" s="2231"/>
      <c r="AU136" s="2231"/>
      <c r="AV136" s="2226"/>
      <c r="AW136" s="2226"/>
      <c r="AX136" s="2226"/>
      <c r="AY136" s="2226"/>
      <c r="AZ136" s="2226"/>
      <c r="BA136" s="2226"/>
      <c r="BB136" s="2226"/>
      <c r="BC136" s="2226"/>
      <c r="BD136" s="2226"/>
      <c r="BE136" s="2231"/>
      <c r="BF136" s="2231"/>
      <c r="BG136" s="2231"/>
      <c r="BH136" s="2231"/>
      <c r="BI136" s="2231"/>
      <c r="BJ136" s="2231"/>
      <c r="BK136" s="2231"/>
      <c r="BL136" s="2231"/>
      <c r="BM136" s="2231"/>
      <c r="BN136" s="2231"/>
      <c r="BO136" s="2226"/>
      <c r="BP136" s="2226"/>
      <c r="BQ136" s="2188">
        <f t="shared" si="117"/>
        <v>0</v>
      </c>
      <c r="BS136" s="1845" t="s">
        <v>78</v>
      </c>
      <c r="BT136" s="1846">
        <f t="shared" si="118"/>
        <v>0</v>
      </c>
      <c r="BU136" s="2230"/>
      <c r="BV136" s="2230"/>
      <c r="BW136" s="2230"/>
      <c r="BX136" s="2230"/>
      <c r="BY136" s="2230"/>
      <c r="BZ136" s="2230"/>
      <c r="CA136" s="2230"/>
      <c r="CB136" s="2230"/>
      <c r="CC136" s="2230"/>
      <c r="CD136" s="2230"/>
      <c r="CE136" s="2225"/>
      <c r="CF136" s="2225"/>
      <c r="CG136" s="2225"/>
      <c r="CH136" s="2225"/>
      <c r="CI136" s="2225"/>
      <c r="CJ136" s="2225"/>
      <c r="CK136" s="2225"/>
      <c r="CL136" s="2225"/>
      <c r="CM136" s="2225"/>
      <c r="CN136" s="2225"/>
      <c r="CO136" s="2225"/>
      <c r="CP136" s="2225"/>
      <c r="CQ136" s="2225"/>
      <c r="CR136" s="2225"/>
      <c r="CS136" s="2225"/>
      <c r="CT136" s="2225"/>
      <c r="CU136" s="2225"/>
      <c r="CV136" s="2225"/>
      <c r="CW136" s="2225"/>
      <c r="CX136" s="2225"/>
      <c r="CY136" s="2230"/>
      <c r="CZ136" s="2180">
        <f t="shared" si="119"/>
        <v>0</v>
      </c>
      <c r="DB136" s="1249" t="s">
        <v>78</v>
      </c>
      <c r="DC136" s="1287">
        <f t="shared" si="120"/>
        <v>0</v>
      </c>
      <c r="DD136" s="1760"/>
      <c r="DE136" s="1760"/>
      <c r="DF136" s="1760"/>
      <c r="DG136" s="1760"/>
      <c r="DH136" s="1760"/>
      <c r="DI136" s="1760"/>
      <c r="DJ136" s="1760"/>
      <c r="DK136" s="1760"/>
      <c r="DL136" s="1760"/>
      <c r="DM136" s="1760"/>
      <c r="DN136" s="2271"/>
      <c r="DO136" s="2271"/>
      <c r="DP136" s="2271"/>
      <c r="DQ136" s="2271"/>
      <c r="DR136" s="2271"/>
      <c r="DS136" s="2271"/>
      <c r="DT136" s="2271"/>
      <c r="DU136" s="2271"/>
      <c r="DV136" s="2271"/>
      <c r="DW136" s="2271"/>
      <c r="DX136" s="2271"/>
      <c r="DY136" s="2271"/>
      <c r="DZ136" s="2271"/>
      <c r="EA136" s="2271"/>
      <c r="EB136" s="2271"/>
      <c r="EC136" s="2271"/>
      <c r="ED136" s="2271"/>
      <c r="EE136" s="2271"/>
      <c r="EF136" s="2271"/>
      <c r="EG136" s="2271"/>
      <c r="EH136" s="1760"/>
      <c r="EI136" s="1488">
        <f t="shared" si="121"/>
        <v>0</v>
      </c>
    </row>
    <row r="137" spans="1:139" ht="15">
      <c r="A137" s="1233" t="s">
        <v>79</v>
      </c>
      <c r="B137" s="1280">
        <f t="shared" si="114"/>
        <v>0</v>
      </c>
      <c r="C137" s="2346"/>
      <c r="D137" s="2346"/>
      <c r="E137" s="2346"/>
      <c r="F137" s="2345"/>
      <c r="G137" s="2346"/>
      <c r="H137" s="2345"/>
      <c r="I137" s="2346"/>
      <c r="J137" s="2345"/>
      <c r="K137" s="2346"/>
      <c r="L137" s="2346"/>
      <c r="M137" s="2346"/>
      <c r="N137" s="2346"/>
      <c r="O137" s="2346"/>
      <c r="P137" s="2346"/>
      <c r="Q137" s="2346"/>
      <c r="R137" s="2346"/>
      <c r="S137" s="2345"/>
      <c r="T137" s="2346"/>
      <c r="U137" s="2346"/>
      <c r="V137" s="2345"/>
      <c r="W137" s="2346"/>
      <c r="X137" s="2346"/>
      <c r="Y137" s="2345"/>
      <c r="Z137" s="2346"/>
      <c r="AA137" s="2346"/>
      <c r="AB137" s="2345"/>
      <c r="AC137" s="2346"/>
      <c r="AD137" s="2346"/>
      <c r="AE137" s="2345"/>
      <c r="AF137" s="2346"/>
      <c r="AG137" s="2346"/>
      <c r="AH137" s="2327">
        <f t="shared" si="115"/>
        <v>0</v>
      </c>
      <c r="AJ137" s="1746" t="s">
        <v>79</v>
      </c>
      <c r="AK137" s="1749">
        <f t="shared" si="116"/>
        <v>0</v>
      </c>
      <c r="AL137" s="2231"/>
      <c r="AM137" s="2231"/>
      <c r="AN137" s="2231"/>
      <c r="AO137" s="2226"/>
      <c r="AP137" s="2231"/>
      <c r="AQ137" s="2226"/>
      <c r="AR137" s="2231"/>
      <c r="AS137" s="2226"/>
      <c r="AT137" s="2231"/>
      <c r="AU137" s="2231"/>
      <c r="AV137" s="2231"/>
      <c r="AW137" s="2231"/>
      <c r="AX137" s="2231"/>
      <c r="AY137" s="2231"/>
      <c r="AZ137" s="2231"/>
      <c r="BA137" s="2231"/>
      <c r="BB137" s="2226"/>
      <c r="BC137" s="2231"/>
      <c r="BD137" s="2231"/>
      <c r="BE137" s="2231"/>
      <c r="BF137" s="2231"/>
      <c r="BG137" s="2231"/>
      <c r="BH137" s="2226"/>
      <c r="BI137" s="2231"/>
      <c r="BJ137" s="2226"/>
      <c r="BK137" s="2231"/>
      <c r="BL137" s="2226"/>
      <c r="BM137" s="2231"/>
      <c r="BN137" s="2231"/>
      <c r="BO137" s="2231"/>
      <c r="BP137" s="2231"/>
      <c r="BQ137" s="2188">
        <f t="shared" si="117"/>
        <v>0</v>
      </c>
      <c r="BS137" s="1845" t="s">
        <v>79</v>
      </c>
      <c r="BT137" s="1846">
        <f t="shared" si="118"/>
        <v>0</v>
      </c>
      <c r="BU137" s="2230"/>
      <c r="BV137" s="2230"/>
      <c r="BW137" s="2230"/>
      <c r="BX137" s="2225"/>
      <c r="BY137" s="2230"/>
      <c r="BZ137" s="2225"/>
      <c r="CA137" s="2230"/>
      <c r="CB137" s="2225"/>
      <c r="CC137" s="2230"/>
      <c r="CD137" s="2230"/>
      <c r="CE137" s="2230"/>
      <c r="CF137" s="2230"/>
      <c r="CG137" s="2230"/>
      <c r="CH137" s="2230"/>
      <c r="CI137" s="2230"/>
      <c r="CJ137" s="2230"/>
      <c r="CK137" s="2225"/>
      <c r="CL137" s="2230"/>
      <c r="CM137" s="2230"/>
      <c r="CN137" s="2225"/>
      <c r="CO137" s="2230"/>
      <c r="CP137" s="2230"/>
      <c r="CQ137" s="2225"/>
      <c r="CR137" s="2230"/>
      <c r="CS137" s="2230"/>
      <c r="CT137" s="2225"/>
      <c r="CU137" s="2230"/>
      <c r="CV137" s="2230"/>
      <c r="CW137" s="2225"/>
      <c r="CX137" s="2230"/>
      <c r="CY137" s="2230"/>
      <c r="CZ137" s="2180">
        <f t="shared" si="119"/>
        <v>0</v>
      </c>
      <c r="DB137" s="1249" t="s">
        <v>79</v>
      </c>
      <c r="DC137" s="1287">
        <f t="shared" si="120"/>
        <v>0</v>
      </c>
      <c r="DD137" s="1760"/>
      <c r="DE137" s="1760"/>
      <c r="DF137" s="1760"/>
      <c r="DG137" s="2271"/>
      <c r="DH137" s="1760"/>
      <c r="DI137" s="2271"/>
      <c r="DJ137" s="1760"/>
      <c r="DK137" s="2271"/>
      <c r="DL137" s="1760"/>
      <c r="DM137" s="1760"/>
      <c r="DN137" s="1760"/>
      <c r="DO137" s="1760"/>
      <c r="DP137" s="1760"/>
      <c r="DQ137" s="1760"/>
      <c r="DR137" s="1760"/>
      <c r="DS137" s="1760"/>
      <c r="DT137" s="2271"/>
      <c r="DU137" s="1760"/>
      <c r="DV137" s="1760"/>
      <c r="DW137" s="2271"/>
      <c r="DX137" s="1760"/>
      <c r="DY137" s="1760"/>
      <c r="DZ137" s="2271"/>
      <c r="EA137" s="1760"/>
      <c r="EB137" s="1760"/>
      <c r="EC137" s="2271"/>
      <c r="ED137" s="1760"/>
      <c r="EE137" s="1760"/>
      <c r="EF137" s="2271"/>
      <c r="EG137" s="1760"/>
      <c r="EH137" s="1760"/>
      <c r="EI137" s="1488">
        <f t="shared" si="121"/>
        <v>0</v>
      </c>
    </row>
    <row r="138" spans="1:139" ht="15">
      <c r="A138" s="1233" t="s">
        <v>80</v>
      </c>
      <c r="B138" s="1280">
        <f t="shared" si="114"/>
        <v>0</v>
      </c>
      <c r="C138" s="2346"/>
      <c r="D138" s="2346"/>
      <c r="E138" s="2346"/>
      <c r="F138" s="2346"/>
      <c r="G138" s="2346"/>
      <c r="H138" s="2346"/>
      <c r="I138" s="2346"/>
      <c r="J138" s="2346"/>
      <c r="K138" s="2346"/>
      <c r="L138" s="2346"/>
      <c r="M138" s="2346"/>
      <c r="N138" s="2345"/>
      <c r="O138" s="2346"/>
      <c r="P138" s="2345"/>
      <c r="Q138" s="2346"/>
      <c r="R138" s="2345"/>
      <c r="S138" s="2346"/>
      <c r="T138" s="2345"/>
      <c r="U138" s="2346"/>
      <c r="V138" s="2345"/>
      <c r="W138" s="2346"/>
      <c r="X138" s="2345"/>
      <c r="Y138" s="2346"/>
      <c r="Z138" s="2345"/>
      <c r="AA138" s="2346"/>
      <c r="AB138" s="2345"/>
      <c r="AC138" s="2346"/>
      <c r="AD138" s="2345"/>
      <c r="AE138" s="2346"/>
      <c r="AF138" s="2345"/>
      <c r="AG138" s="2346"/>
      <c r="AH138" s="2327">
        <f t="shared" si="115"/>
        <v>0</v>
      </c>
      <c r="AJ138" s="1746" t="s">
        <v>80</v>
      </c>
      <c r="AK138" s="1749">
        <f t="shared" si="116"/>
        <v>0</v>
      </c>
      <c r="AL138" s="2231"/>
      <c r="AM138" s="2231"/>
      <c r="AN138" s="2231"/>
      <c r="AO138" s="2231"/>
      <c r="AP138" s="2231"/>
      <c r="AQ138" s="2231"/>
      <c r="AR138" s="2231"/>
      <c r="AS138" s="2231"/>
      <c r="AT138" s="2231"/>
      <c r="AU138" s="2231"/>
      <c r="AV138" s="2231"/>
      <c r="AW138" s="2226"/>
      <c r="AX138" s="2231"/>
      <c r="AY138" s="2226"/>
      <c r="AZ138" s="2231"/>
      <c r="BA138" s="2226"/>
      <c r="BB138" s="2231"/>
      <c r="BC138" s="2226"/>
      <c r="BD138" s="2231"/>
      <c r="BE138" s="2231"/>
      <c r="BF138" s="2231"/>
      <c r="BG138" s="2231"/>
      <c r="BH138" s="2231"/>
      <c r="BI138" s="2231"/>
      <c r="BJ138" s="2231"/>
      <c r="BK138" s="2231"/>
      <c r="BL138" s="2231"/>
      <c r="BM138" s="2231"/>
      <c r="BN138" s="2231"/>
      <c r="BO138" s="2231"/>
      <c r="BP138" s="2226"/>
      <c r="BQ138" s="2188">
        <f t="shared" si="117"/>
        <v>0</v>
      </c>
      <c r="BS138" s="1845" t="s">
        <v>80</v>
      </c>
      <c r="BT138" s="1846">
        <f t="shared" si="118"/>
        <v>0</v>
      </c>
      <c r="BU138" s="2230"/>
      <c r="BV138" s="2230"/>
      <c r="BW138" s="2230"/>
      <c r="BX138" s="2230"/>
      <c r="BY138" s="2230"/>
      <c r="BZ138" s="2230"/>
      <c r="CA138" s="2230"/>
      <c r="CB138" s="2230"/>
      <c r="CC138" s="2230"/>
      <c r="CD138" s="2230"/>
      <c r="CE138" s="2230"/>
      <c r="CF138" s="2225"/>
      <c r="CG138" s="2230"/>
      <c r="CH138" s="2225"/>
      <c r="CI138" s="2230"/>
      <c r="CJ138" s="2225"/>
      <c r="CK138" s="2230"/>
      <c r="CL138" s="2225"/>
      <c r="CM138" s="2230"/>
      <c r="CN138" s="2225"/>
      <c r="CO138" s="2230"/>
      <c r="CP138" s="2225"/>
      <c r="CQ138" s="2230"/>
      <c r="CR138" s="2225"/>
      <c r="CS138" s="2230"/>
      <c r="CT138" s="2225"/>
      <c r="CU138" s="2230"/>
      <c r="CV138" s="2225"/>
      <c r="CW138" s="2230"/>
      <c r="CX138" s="2225"/>
      <c r="CY138" s="2230"/>
      <c r="CZ138" s="2180">
        <f t="shared" si="119"/>
        <v>0</v>
      </c>
      <c r="DB138" s="1249" t="s">
        <v>80</v>
      </c>
      <c r="DC138" s="1287">
        <f t="shared" si="120"/>
        <v>0</v>
      </c>
      <c r="DD138" s="1760"/>
      <c r="DE138" s="1760"/>
      <c r="DF138" s="1760"/>
      <c r="DG138" s="1760"/>
      <c r="DH138" s="1760"/>
      <c r="DI138" s="1760"/>
      <c r="DJ138" s="1760"/>
      <c r="DK138" s="1760"/>
      <c r="DL138" s="1760"/>
      <c r="DM138" s="1760"/>
      <c r="DN138" s="1760"/>
      <c r="DO138" s="2271"/>
      <c r="DP138" s="1760"/>
      <c r="DQ138" s="2271"/>
      <c r="DR138" s="1760"/>
      <c r="DS138" s="2271"/>
      <c r="DT138" s="1760"/>
      <c r="DU138" s="2271"/>
      <c r="DV138" s="1760"/>
      <c r="DW138" s="2271"/>
      <c r="DX138" s="1760"/>
      <c r="DY138" s="2271"/>
      <c r="DZ138" s="1760"/>
      <c r="EA138" s="2271"/>
      <c r="EB138" s="1760"/>
      <c r="EC138" s="2271"/>
      <c r="ED138" s="1760"/>
      <c r="EE138" s="2271"/>
      <c r="EF138" s="1760"/>
      <c r="EG138" s="2271"/>
      <c r="EH138" s="1760"/>
      <c r="EI138" s="1488">
        <f t="shared" si="121"/>
        <v>0</v>
      </c>
    </row>
    <row r="139" spans="1:139" ht="15">
      <c r="A139" s="1233" t="s">
        <v>81</v>
      </c>
      <c r="B139" s="1280">
        <f t="shared" si="114"/>
        <v>0</v>
      </c>
      <c r="C139" s="2346"/>
      <c r="D139" s="2346"/>
      <c r="E139" s="2346"/>
      <c r="F139" s="2346"/>
      <c r="G139" s="2346"/>
      <c r="H139" s="2346"/>
      <c r="I139" s="2346"/>
      <c r="J139" s="2346"/>
      <c r="K139" s="2346"/>
      <c r="L139" s="2346"/>
      <c r="M139" s="2346"/>
      <c r="N139" s="2346"/>
      <c r="O139" s="2346"/>
      <c r="P139" s="2346"/>
      <c r="Q139" s="2346"/>
      <c r="R139" s="2346"/>
      <c r="S139" s="2346"/>
      <c r="T139" s="2346"/>
      <c r="U139" s="2346"/>
      <c r="V139" s="2346"/>
      <c r="W139" s="2346"/>
      <c r="X139" s="2346"/>
      <c r="Y139" s="2346"/>
      <c r="Z139" s="2346"/>
      <c r="AA139" s="2346"/>
      <c r="AB139" s="2346"/>
      <c r="AC139" s="2346"/>
      <c r="AD139" s="2346"/>
      <c r="AE139" s="2346"/>
      <c r="AF139" s="2346"/>
      <c r="AG139" s="2346"/>
      <c r="AH139" s="2327">
        <f t="shared" si="115"/>
        <v>0</v>
      </c>
      <c r="AJ139" s="1746" t="s">
        <v>81</v>
      </c>
      <c r="AK139" s="1749">
        <f t="shared" si="116"/>
        <v>0</v>
      </c>
      <c r="AL139" s="2231"/>
      <c r="AM139" s="2231"/>
      <c r="AN139" s="2231"/>
      <c r="AO139" s="2231"/>
      <c r="AP139" s="2231"/>
      <c r="AQ139" s="2231"/>
      <c r="AR139" s="2231"/>
      <c r="AS139" s="2231"/>
      <c r="AT139" s="2231"/>
      <c r="AU139" s="2231"/>
      <c r="AV139" s="2231"/>
      <c r="AW139" s="2231"/>
      <c r="AX139" s="2231"/>
      <c r="AY139" s="2231"/>
      <c r="AZ139" s="2231"/>
      <c r="BA139" s="2231"/>
      <c r="BB139" s="2231"/>
      <c r="BC139" s="2231"/>
      <c r="BD139" s="2231"/>
      <c r="BE139" s="2231"/>
      <c r="BF139" s="2231"/>
      <c r="BG139" s="2231"/>
      <c r="BH139" s="2231"/>
      <c r="BI139" s="2231"/>
      <c r="BJ139" s="2231"/>
      <c r="BK139" s="2231"/>
      <c r="BL139" s="2231"/>
      <c r="BM139" s="2231"/>
      <c r="BN139" s="2231"/>
      <c r="BO139" s="2231"/>
      <c r="BP139" s="2231"/>
      <c r="BQ139" s="2188">
        <f t="shared" si="117"/>
        <v>0</v>
      </c>
      <c r="BS139" s="1845" t="s">
        <v>81</v>
      </c>
      <c r="BT139" s="1846">
        <f t="shared" si="118"/>
        <v>0</v>
      </c>
      <c r="BU139" s="2230"/>
      <c r="BV139" s="2230"/>
      <c r="BW139" s="2230"/>
      <c r="BX139" s="2230"/>
      <c r="BY139" s="2230"/>
      <c r="BZ139" s="2230"/>
      <c r="CA139" s="2230"/>
      <c r="CB139" s="2230"/>
      <c r="CC139" s="2230"/>
      <c r="CD139" s="2230"/>
      <c r="CE139" s="2230"/>
      <c r="CF139" s="2230"/>
      <c r="CG139" s="2230"/>
      <c r="CH139" s="2230"/>
      <c r="CI139" s="2230"/>
      <c r="CJ139" s="2230"/>
      <c r="CK139" s="2230"/>
      <c r="CL139" s="2230"/>
      <c r="CM139" s="2230"/>
      <c r="CN139" s="2230"/>
      <c r="CO139" s="2230"/>
      <c r="CP139" s="2230"/>
      <c r="CQ139" s="2230"/>
      <c r="CR139" s="2230"/>
      <c r="CS139" s="2230"/>
      <c r="CT139" s="2230"/>
      <c r="CU139" s="2230"/>
      <c r="CV139" s="2230"/>
      <c r="CW139" s="2230"/>
      <c r="CX139" s="2230"/>
      <c r="CY139" s="2230"/>
      <c r="CZ139" s="2180">
        <f t="shared" si="119"/>
        <v>0</v>
      </c>
      <c r="DB139" s="1249" t="s">
        <v>81</v>
      </c>
      <c r="DC139" s="1287">
        <f t="shared" si="120"/>
        <v>0</v>
      </c>
      <c r="DD139" s="1760"/>
      <c r="DE139" s="1760"/>
      <c r="DF139" s="1760"/>
      <c r="DG139" s="1760"/>
      <c r="DH139" s="1760"/>
      <c r="DI139" s="1760"/>
      <c r="DJ139" s="1760"/>
      <c r="DK139" s="1760"/>
      <c r="DL139" s="1760"/>
      <c r="DM139" s="1760"/>
      <c r="DN139" s="1760"/>
      <c r="DO139" s="1760"/>
      <c r="DP139" s="1760"/>
      <c r="DQ139" s="1760"/>
      <c r="DR139" s="1760"/>
      <c r="DS139" s="1760"/>
      <c r="DT139" s="1760"/>
      <c r="DU139" s="1760"/>
      <c r="DV139" s="1760"/>
      <c r="DW139" s="1760"/>
      <c r="DX139" s="1760"/>
      <c r="DY139" s="1760"/>
      <c r="DZ139" s="1760"/>
      <c r="EA139" s="1760"/>
      <c r="EB139" s="1760"/>
      <c r="EC139" s="1760"/>
      <c r="ED139" s="1760"/>
      <c r="EE139" s="1760"/>
      <c r="EF139" s="1760"/>
      <c r="EG139" s="1760"/>
      <c r="EH139" s="1760"/>
      <c r="EI139" s="1488">
        <f t="shared" si="121"/>
        <v>0</v>
      </c>
    </row>
    <row r="140" spans="1:139" ht="15">
      <c r="A140" s="1233" t="s">
        <v>82</v>
      </c>
      <c r="B140" s="1280">
        <f t="shared" si="114"/>
        <v>0</v>
      </c>
      <c r="C140" s="2345"/>
      <c r="D140" s="2347"/>
      <c r="E140" s="2345"/>
      <c r="F140" s="2345"/>
      <c r="G140" s="2345"/>
      <c r="H140" s="2345"/>
      <c r="I140" s="2345"/>
      <c r="J140" s="2345"/>
      <c r="K140" s="2345"/>
      <c r="L140" s="2345"/>
      <c r="M140" s="2345"/>
      <c r="N140" s="2345"/>
      <c r="O140" s="2345"/>
      <c r="P140" s="2345"/>
      <c r="Q140" s="2345"/>
      <c r="R140" s="2345"/>
      <c r="S140" s="2345"/>
      <c r="T140" s="2345"/>
      <c r="U140" s="2345"/>
      <c r="V140" s="2345"/>
      <c r="W140" s="2345"/>
      <c r="X140" s="2345"/>
      <c r="Y140" s="2345"/>
      <c r="Z140" s="2345"/>
      <c r="AA140" s="2345"/>
      <c r="AB140" s="2345"/>
      <c r="AC140" s="2345"/>
      <c r="AD140" s="2345"/>
      <c r="AE140" s="2345"/>
      <c r="AF140" s="2345"/>
      <c r="AG140" s="2345"/>
      <c r="AH140" s="2327">
        <f t="shared" si="115"/>
        <v>0</v>
      </c>
      <c r="AJ140" s="1746" t="s">
        <v>82</v>
      </c>
      <c r="AK140" s="1749">
        <f t="shared" si="116"/>
        <v>0</v>
      </c>
      <c r="AL140" s="2226"/>
      <c r="AM140" s="2229"/>
      <c r="AN140" s="2226"/>
      <c r="AO140" s="2226"/>
      <c r="AP140" s="2226"/>
      <c r="AQ140" s="2226"/>
      <c r="AR140" s="2226"/>
      <c r="AS140" s="2226"/>
      <c r="AT140" s="2226"/>
      <c r="AU140" s="2226"/>
      <c r="AV140" s="2226"/>
      <c r="AW140" s="2226"/>
      <c r="AX140" s="2226"/>
      <c r="AY140" s="2226"/>
      <c r="AZ140" s="2226"/>
      <c r="BA140" s="2226"/>
      <c r="BB140" s="2226"/>
      <c r="BC140" s="2226"/>
      <c r="BD140" s="2226"/>
      <c r="BE140" s="2226"/>
      <c r="BF140" s="2229"/>
      <c r="BG140" s="2226"/>
      <c r="BH140" s="2226"/>
      <c r="BI140" s="2226"/>
      <c r="BJ140" s="2226"/>
      <c r="BK140" s="2226"/>
      <c r="BL140" s="2226"/>
      <c r="BM140" s="2226"/>
      <c r="BN140" s="2226"/>
      <c r="BO140" s="2226"/>
      <c r="BP140" s="2226"/>
      <c r="BQ140" s="2188">
        <f t="shared" si="117"/>
        <v>0</v>
      </c>
      <c r="BS140" s="1845" t="s">
        <v>82</v>
      </c>
      <c r="BT140" s="1846">
        <f t="shared" si="118"/>
        <v>0</v>
      </c>
      <c r="BU140" s="2225"/>
      <c r="BV140" s="2228"/>
      <c r="BW140" s="2225"/>
      <c r="BX140" s="2225"/>
      <c r="BY140" s="2225"/>
      <c r="BZ140" s="2225"/>
      <c r="CA140" s="2225"/>
      <c r="CB140" s="2225"/>
      <c r="CC140" s="2225"/>
      <c r="CD140" s="2225"/>
      <c r="CE140" s="2225"/>
      <c r="CF140" s="2225"/>
      <c r="CG140" s="2225"/>
      <c r="CH140" s="2225"/>
      <c r="CI140" s="2225"/>
      <c r="CJ140" s="2225"/>
      <c r="CK140" s="2225"/>
      <c r="CL140" s="2225"/>
      <c r="CM140" s="2225"/>
      <c r="CN140" s="2225"/>
      <c r="CO140" s="2225"/>
      <c r="CP140" s="2225"/>
      <c r="CQ140" s="2225"/>
      <c r="CR140" s="2225"/>
      <c r="CS140" s="2225"/>
      <c r="CT140" s="2225"/>
      <c r="CU140" s="2225"/>
      <c r="CV140" s="2225"/>
      <c r="CW140" s="2225"/>
      <c r="CX140" s="2225"/>
      <c r="CY140" s="2225"/>
      <c r="CZ140" s="2180">
        <f t="shared" si="119"/>
        <v>0</v>
      </c>
      <c r="DB140" s="1249" t="s">
        <v>82</v>
      </c>
      <c r="DC140" s="1287">
        <f t="shared" si="120"/>
        <v>0</v>
      </c>
      <c r="DD140" s="2271"/>
      <c r="DE140" s="2272"/>
      <c r="DF140" s="2271"/>
      <c r="DG140" s="2271"/>
      <c r="DH140" s="2271"/>
      <c r="DI140" s="2271"/>
      <c r="DJ140" s="2271"/>
      <c r="DK140" s="2271"/>
      <c r="DL140" s="2271"/>
      <c r="DM140" s="2271"/>
      <c r="DN140" s="2271"/>
      <c r="DO140" s="2271"/>
      <c r="DP140" s="2271"/>
      <c r="DQ140" s="2271"/>
      <c r="DR140" s="2271"/>
      <c r="DS140" s="2271"/>
      <c r="DT140" s="2271"/>
      <c r="DU140" s="2271"/>
      <c r="DV140" s="2271"/>
      <c r="DW140" s="2271"/>
      <c r="DX140" s="2271"/>
      <c r="DY140" s="2271"/>
      <c r="DZ140" s="2271"/>
      <c r="EA140" s="2271"/>
      <c r="EB140" s="2271"/>
      <c r="EC140" s="2271"/>
      <c r="ED140" s="2271"/>
      <c r="EE140" s="2271"/>
      <c r="EF140" s="2271"/>
      <c r="EG140" s="2271"/>
      <c r="EH140" s="2271"/>
      <c r="EI140" s="1488">
        <f t="shared" si="121"/>
        <v>0</v>
      </c>
    </row>
    <row r="141" spans="1:139" ht="15">
      <c r="A141" s="1233" t="s">
        <v>83</v>
      </c>
      <c r="B141" s="1280">
        <f t="shared" si="114"/>
        <v>0</v>
      </c>
      <c r="C141" s="2345"/>
      <c r="D141" s="2345"/>
      <c r="E141" s="2345"/>
      <c r="F141" s="2345"/>
      <c r="G141" s="2345"/>
      <c r="H141" s="2345"/>
      <c r="I141" s="2345"/>
      <c r="J141" s="2345"/>
      <c r="K141" s="2345"/>
      <c r="L141" s="2345"/>
      <c r="M141" s="2345"/>
      <c r="N141" s="2345"/>
      <c r="O141" s="2345"/>
      <c r="P141" s="2345"/>
      <c r="Q141" s="2345"/>
      <c r="R141" s="2345"/>
      <c r="S141" s="2345"/>
      <c r="T141" s="2345"/>
      <c r="U141" s="2345"/>
      <c r="V141" s="2345"/>
      <c r="W141" s="2345"/>
      <c r="X141" s="2345"/>
      <c r="Y141" s="2345"/>
      <c r="Z141" s="2345"/>
      <c r="AA141" s="2345"/>
      <c r="AB141" s="2345"/>
      <c r="AC141" s="2345"/>
      <c r="AD141" s="2345"/>
      <c r="AE141" s="2345"/>
      <c r="AF141" s="2345"/>
      <c r="AG141" s="2345"/>
      <c r="AH141" s="2327">
        <f t="shared" si="115"/>
        <v>0</v>
      </c>
      <c r="AJ141" s="1746" t="s">
        <v>83</v>
      </c>
      <c r="AK141" s="1749">
        <f t="shared" si="116"/>
        <v>0</v>
      </c>
      <c r="AL141" s="2226"/>
      <c r="AM141" s="2226"/>
      <c r="AN141" s="2226"/>
      <c r="AO141" s="2226"/>
      <c r="AP141" s="2226"/>
      <c r="AQ141" s="2226"/>
      <c r="AR141" s="2226"/>
      <c r="AS141" s="2226"/>
      <c r="AT141" s="2226"/>
      <c r="AU141" s="2226"/>
      <c r="AV141" s="2226"/>
      <c r="AW141" s="2226"/>
      <c r="AX141" s="2226"/>
      <c r="AY141" s="2226"/>
      <c r="AZ141" s="2226"/>
      <c r="BA141" s="2226"/>
      <c r="BB141" s="2226"/>
      <c r="BC141" s="2226"/>
      <c r="BD141" s="2226"/>
      <c r="BE141" s="2226"/>
      <c r="BF141" s="2226"/>
      <c r="BG141" s="2226"/>
      <c r="BH141" s="2226"/>
      <c r="BI141" s="2226"/>
      <c r="BJ141" s="2226"/>
      <c r="BK141" s="2226"/>
      <c r="BL141" s="2226"/>
      <c r="BM141" s="2226"/>
      <c r="BN141" s="2226"/>
      <c r="BO141" s="2226"/>
      <c r="BP141" s="2226"/>
      <c r="BQ141" s="2188">
        <f t="shared" si="117"/>
        <v>0</v>
      </c>
      <c r="BS141" s="1845" t="s">
        <v>83</v>
      </c>
      <c r="BT141" s="1846">
        <f t="shared" si="118"/>
        <v>0</v>
      </c>
      <c r="BU141" s="2225"/>
      <c r="BV141" s="2225"/>
      <c r="BW141" s="2225"/>
      <c r="BX141" s="2225"/>
      <c r="BY141" s="2225"/>
      <c r="BZ141" s="2225"/>
      <c r="CA141" s="2225"/>
      <c r="CB141" s="2225"/>
      <c r="CC141" s="2225"/>
      <c r="CD141" s="2225"/>
      <c r="CE141" s="2225"/>
      <c r="CF141" s="2225"/>
      <c r="CG141" s="2225"/>
      <c r="CH141" s="2225"/>
      <c r="CI141" s="2225"/>
      <c r="CJ141" s="2225"/>
      <c r="CK141" s="2225"/>
      <c r="CL141" s="2225"/>
      <c r="CM141" s="2225"/>
      <c r="CN141" s="2225"/>
      <c r="CO141" s="2225"/>
      <c r="CP141" s="2225"/>
      <c r="CQ141" s="2225"/>
      <c r="CR141" s="2225"/>
      <c r="CS141" s="2225"/>
      <c r="CT141" s="2225"/>
      <c r="CU141" s="2225"/>
      <c r="CV141" s="2225"/>
      <c r="CW141" s="2225"/>
      <c r="CX141" s="2225"/>
      <c r="CY141" s="2225"/>
      <c r="CZ141" s="2180">
        <f t="shared" si="119"/>
        <v>0</v>
      </c>
      <c r="DB141" s="1249" t="s">
        <v>83</v>
      </c>
      <c r="DC141" s="1287">
        <f t="shared" si="120"/>
        <v>0</v>
      </c>
      <c r="DD141" s="2271"/>
      <c r="DE141" s="2271"/>
      <c r="DF141" s="2271"/>
      <c r="DG141" s="2271"/>
      <c r="DH141" s="2271"/>
      <c r="DI141" s="2271"/>
      <c r="DJ141" s="2271"/>
      <c r="DK141" s="2271"/>
      <c r="DL141" s="2271"/>
      <c r="DM141" s="2271"/>
      <c r="DN141" s="2271"/>
      <c r="DO141" s="2271"/>
      <c r="DP141" s="2271"/>
      <c r="DQ141" s="2271"/>
      <c r="DR141" s="2271"/>
      <c r="DS141" s="2271"/>
      <c r="DT141" s="2271"/>
      <c r="DU141" s="2271"/>
      <c r="DV141" s="2271"/>
      <c r="DW141" s="2271"/>
      <c r="DX141" s="2271"/>
      <c r="DY141" s="2271"/>
      <c r="DZ141" s="2271"/>
      <c r="EA141" s="2271"/>
      <c r="EB141" s="2271"/>
      <c r="EC141" s="2271"/>
      <c r="ED141" s="2271"/>
      <c r="EE141" s="2271"/>
      <c r="EF141" s="2271"/>
      <c r="EG141" s="2271"/>
      <c r="EH141" s="2271"/>
      <c r="EI141" s="1488">
        <f t="shared" si="121"/>
        <v>0</v>
      </c>
    </row>
    <row r="142" spans="1:139" ht="15">
      <c r="A142" s="1233" t="s">
        <v>84</v>
      </c>
      <c r="B142" s="1280">
        <f t="shared" si="114"/>
        <v>0</v>
      </c>
      <c r="C142" s="2345"/>
      <c r="D142" s="2345"/>
      <c r="E142" s="2345"/>
      <c r="F142" s="2345"/>
      <c r="G142" s="2345"/>
      <c r="H142" s="2345"/>
      <c r="I142" s="2345"/>
      <c r="J142" s="2345"/>
      <c r="K142" s="2345"/>
      <c r="L142" s="2345"/>
      <c r="M142" s="2345"/>
      <c r="N142" s="2345"/>
      <c r="O142" s="2345"/>
      <c r="P142" s="2345"/>
      <c r="Q142" s="2345"/>
      <c r="R142" s="2345"/>
      <c r="S142" s="2345"/>
      <c r="T142" s="2345"/>
      <c r="U142" s="2345"/>
      <c r="V142" s="2345"/>
      <c r="W142" s="2345"/>
      <c r="X142" s="2345"/>
      <c r="Y142" s="2345"/>
      <c r="Z142" s="2345"/>
      <c r="AA142" s="2345"/>
      <c r="AB142" s="2345"/>
      <c r="AC142" s="2345"/>
      <c r="AD142" s="2345"/>
      <c r="AE142" s="2345"/>
      <c r="AF142" s="2345"/>
      <c r="AG142" s="2345"/>
      <c r="AH142" s="2327">
        <f t="shared" si="115"/>
        <v>0</v>
      </c>
      <c r="AJ142" s="1746" t="s">
        <v>84</v>
      </c>
      <c r="AK142" s="1749">
        <f t="shared" si="116"/>
        <v>0</v>
      </c>
      <c r="AL142" s="2226"/>
      <c r="AM142" s="2226"/>
      <c r="AN142" s="2226"/>
      <c r="AO142" s="2226"/>
      <c r="AP142" s="2226"/>
      <c r="AQ142" s="2226"/>
      <c r="AR142" s="2226"/>
      <c r="AS142" s="2226"/>
      <c r="AT142" s="2226"/>
      <c r="AU142" s="2226"/>
      <c r="AV142" s="2226"/>
      <c r="AW142" s="2226"/>
      <c r="AX142" s="2226"/>
      <c r="AY142" s="2226"/>
      <c r="AZ142" s="2226"/>
      <c r="BA142" s="2226"/>
      <c r="BB142" s="2226"/>
      <c r="BC142" s="2226"/>
      <c r="BD142" s="2226"/>
      <c r="BE142" s="2226"/>
      <c r="BF142" s="2226"/>
      <c r="BG142" s="2226"/>
      <c r="BH142" s="2226"/>
      <c r="BI142" s="2226"/>
      <c r="BJ142" s="2226"/>
      <c r="BK142" s="2226"/>
      <c r="BL142" s="2226"/>
      <c r="BM142" s="2226"/>
      <c r="BN142" s="2226"/>
      <c r="BO142" s="2226"/>
      <c r="BP142" s="2226"/>
      <c r="BQ142" s="2188">
        <f t="shared" si="117"/>
        <v>0</v>
      </c>
      <c r="BS142" s="1845" t="s">
        <v>84</v>
      </c>
      <c r="BT142" s="1846">
        <f t="shared" si="118"/>
        <v>0</v>
      </c>
      <c r="BU142" s="2225"/>
      <c r="BV142" s="2225"/>
      <c r="BW142" s="2225"/>
      <c r="BX142" s="2225"/>
      <c r="BY142" s="2225"/>
      <c r="BZ142" s="2225"/>
      <c r="CA142" s="2225"/>
      <c r="CB142" s="2225"/>
      <c r="CC142" s="2225"/>
      <c r="CD142" s="2225"/>
      <c r="CE142" s="2225"/>
      <c r="CF142" s="2225"/>
      <c r="CG142" s="2225"/>
      <c r="CH142" s="2225"/>
      <c r="CI142" s="2225"/>
      <c r="CJ142" s="2225"/>
      <c r="CK142" s="2225"/>
      <c r="CL142" s="2225"/>
      <c r="CM142" s="2225"/>
      <c r="CN142" s="2225"/>
      <c r="CO142" s="2225"/>
      <c r="CP142" s="2225"/>
      <c r="CQ142" s="2225"/>
      <c r="CR142" s="2225"/>
      <c r="CS142" s="2225"/>
      <c r="CT142" s="2225"/>
      <c r="CU142" s="2225"/>
      <c r="CV142" s="2225"/>
      <c r="CW142" s="2225"/>
      <c r="CX142" s="2225"/>
      <c r="CY142" s="2225"/>
      <c r="CZ142" s="2180">
        <f t="shared" si="119"/>
        <v>0</v>
      </c>
      <c r="DB142" s="1249" t="s">
        <v>84</v>
      </c>
      <c r="DC142" s="1287">
        <f t="shared" si="120"/>
        <v>0</v>
      </c>
      <c r="DD142" s="2271"/>
      <c r="DE142" s="2271"/>
      <c r="DF142" s="2271"/>
      <c r="DG142" s="2271"/>
      <c r="DH142" s="2271"/>
      <c r="DI142" s="2271"/>
      <c r="DJ142" s="2271"/>
      <c r="DK142" s="2271"/>
      <c r="DL142" s="2271"/>
      <c r="DM142" s="2271"/>
      <c r="DN142" s="2271"/>
      <c r="DO142" s="2271"/>
      <c r="DP142" s="2271"/>
      <c r="DQ142" s="2271"/>
      <c r="DR142" s="2271"/>
      <c r="DS142" s="2271"/>
      <c r="DT142" s="2271"/>
      <c r="DU142" s="2271"/>
      <c r="DV142" s="2271"/>
      <c r="DW142" s="2271"/>
      <c r="DX142" s="2271"/>
      <c r="DY142" s="2271"/>
      <c r="DZ142" s="2271"/>
      <c r="EA142" s="2271"/>
      <c r="EB142" s="2271"/>
      <c r="EC142" s="2271"/>
      <c r="ED142" s="2271"/>
      <c r="EE142" s="2271"/>
      <c r="EF142" s="2271"/>
      <c r="EG142" s="2271"/>
      <c r="EH142" s="2271"/>
      <c r="EI142" s="1488">
        <f t="shared" si="121"/>
        <v>0</v>
      </c>
    </row>
    <row r="143" spans="1:139" ht="15">
      <c r="A143" s="1233" t="s">
        <v>85</v>
      </c>
      <c r="B143" s="1280">
        <f t="shared" si="114"/>
        <v>0</v>
      </c>
      <c r="C143" s="2345"/>
      <c r="D143" s="2345"/>
      <c r="E143" s="2345"/>
      <c r="F143" s="2345"/>
      <c r="G143" s="2345"/>
      <c r="H143" s="2345"/>
      <c r="I143" s="2345"/>
      <c r="J143" s="2345"/>
      <c r="K143" s="2345"/>
      <c r="L143" s="2345"/>
      <c r="M143" s="2345"/>
      <c r="N143" s="2345"/>
      <c r="O143" s="2345"/>
      <c r="P143" s="2345"/>
      <c r="Q143" s="2345"/>
      <c r="R143" s="2345"/>
      <c r="S143" s="2345"/>
      <c r="T143" s="2345"/>
      <c r="U143" s="2345"/>
      <c r="V143" s="2345"/>
      <c r="W143" s="2345"/>
      <c r="X143" s="2345"/>
      <c r="Y143" s="2345"/>
      <c r="Z143" s="2345"/>
      <c r="AA143" s="2345"/>
      <c r="AB143" s="2345"/>
      <c r="AC143" s="2345"/>
      <c r="AD143" s="2345"/>
      <c r="AE143" s="2345"/>
      <c r="AF143" s="2345"/>
      <c r="AG143" s="2346"/>
      <c r="AH143" s="2327">
        <f t="shared" si="115"/>
        <v>0</v>
      </c>
      <c r="AJ143" s="1746" t="s">
        <v>85</v>
      </c>
      <c r="AK143" s="1749">
        <f t="shared" si="116"/>
        <v>0</v>
      </c>
      <c r="AL143" s="2226"/>
      <c r="AM143" s="2226"/>
      <c r="AN143" s="2226"/>
      <c r="AO143" s="2226"/>
      <c r="AP143" s="2226"/>
      <c r="AQ143" s="2226"/>
      <c r="AR143" s="2226"/>
      <c r="AS143" s="2226"/>
      <c r="AT143" s="2226"/>
      <c r="AU143" s="2226"/>
      <c r="AV143" s="2226"/>
      <c r="AW143" s="2226"/>
      <c r="AX143" s="2226"/>
      <c r="AY143" s="2226"/>
      <c r="AZ143" s="2226"/>
      <c r="BA143" s="2226"/>
      <c r="BB143" s="2226"/>
      <c r="BC143" s="2226"/>
      <c r="BD143" s="2226"/>
      <c r="BE143" s="2226"/>
      <c r="BF143" s="2226"/>
      <c r="BG143" s="2226"/>
      <c r="BH143" s="2226"/>
      <c r="BI143" s="2226"/>
      <c r="BJ143" s="2226"/>
      <c r="BK143" s="2226"/>
      <c r="BL143" s="2226"/>
      <c r="BM143" s="2226"/>
      <c r="BN143" s="2226"/>
      <c r="BO143" s="2226"/>
      <c r="BP143" s="2226"/>
      <c r="BQ143" s="2188">
        <f t="shared" si="117"/>
        <v>0</v>
      </c>
      <c r="BS143" s="1845" t="s">
        <v>85</v>
      </c>
      <c r="BT143" s="1846">
        <f t="shared" si="118"/>
        <v>0</v>
      </c>
      <c r="BU143" s="2225"/>
      <c r="BV143" s="2225"/>
      <c r="BW143" s="2225"/>
      <c r="BX143" s="2225"/>
      <c r="BY143" s="2225"/>
      <c r="BZ143" s="2225"/>
      <c r="CA143" s="2225"/>
      <c r="CB143" s="2225"/>
      <c r="CC143" s="2225"/>
      <c r="CD143" s="2225"/>
      <c r="CE143" s="2225"/>
      <c r="CF143" s="2225"/>
      <c r="CG143" s="2225"/>
      <c r="CH143" s="2225"/>
      <c r="CI143" s="2225"/>
      <c r="CJ143" s="2225"/>
      <c r="CK143" s="2225"/>
      <c r="CL143" s="2225"/>
      <c r="CM143" s="2225"/>
      <c r="CN143" s="2225"/>
      <c r="CO143" s="2225"/>
      <c r="CP143" s="2225"/>
      <c r="CQ143" s="2225"/>
      <c r="CR143" s="2225"/>
      <c r="CS143" s="2225"/>
      <c r="CT143" s="2225"/>
      <c r="CU143" s="2225"/>
      <c r="CV143" s="2225"/>
      <c r="CW143" s="2225"/>
      <c r="CX143" s="2225"/>
      <c r="CY143" s="2230"/>
      <c r="CZ143" s="2180">
        <f t="shared" si="119"/>
        <v>0</v>
      </c>
      <c r="DB143" s="1249" t="s">
        <v>85</v>
      </c>
      <c r="DC143" s="1287">
        <f t="shared" si="120"/>
        <v>0</v>
      </c>
      <c r="DD143" s="2271"/>
      <c r="DE143" s="2271"/>
      <c r="DF143" s="2271"/>
      <c r="DG143" s="2271"/>
      <c r="DH143" s="2271"/>
      <c r="DI143" s="2271"/>
      <c r="DJ143" s="2271"/>
      <c r="DK143" s="2271"/>
      <c r="DL143" s="2271"/>
      <c r="DM143" s="2271"/>
      <c r="DN143" s="2271"/>
      <c r="DO143" s="2271"/>
      <c r="DP143" s="2271"/>
      <c r="DQ143" s="2271"/>
      <c r="DR143" s="2271"/>
      <c r="DS143" s="2271"/>
      <c r="DT143" s="2271"/>
      <c r="DU143" s="2271"/>
      <c r="DV143" s="2271"/>
      <c r="DW143" s="2271"/>
      <c r="DX143" s="2271"/>
      <c r="DY143" s="2271"/>
      <c r="DZ143" s="2271"/>
      <c r="EA143" s="2271"/>
      <c r="EB143" s="2271"/>
      <c r="EC143" s="2271"/>
      <c r="ED143" s="2271"/>
      <c r="EE143" s="2271"/>
      <c r="EF143" s="2271"/>
      <c r="EG143" s="2271"/>
      <c r="EH143" s="1760"/>
      <c r="EI143" s="1488">
        <f t="shared" si="121"/>
        <v>0</v>
      </c>
    </row>
    <row r="144" spans="1:139" ht="15">
      <c r="A144" s="1233" t="s">
        <v>86</v>
      </c>
      <c r="B144" s="1280">
        <f t="shared" si="114"/>
        <v>0</v>
      </c>
      <c r="C144" s="2345"/>
      <c r="D144" s="2345"/>
      <c r="E144" s="2345"/>
      <c r="F144" s="2345"/>
      <c r="G144" s="2345"/>
      <c r="H144" s="2345"/>
      <c r="I144" s="2345"/>
      <c r="J144" s="2345"/>
      <c r="K144" s="2345"/>
      <c r="L144" s="2345"/>
      <c r="M144" s="2345"/>
      <c r="N144" s="2345"/>
      <c r="O144" s="2345"/>
      <c r="P144" s="2345"/>
      <c r="Q144" s="2345"/>
      <c r="R144" s="2345"/>
      <c r="S144" s="2345"/>
      <c r="T144" s="2345"/>
      <c r="U144" s="2345"/>
      <c r="V144" s="2345"/>
      <c r="W144" s="2345"/>
      <c r="X144" s="2345"/>
      <c r="Y144" s="2345"/>
      <c r="Z144" s="2345"/>
      <c r="AA144" s="2345"/>
      <c r="AB144" s="2345"/>
      <c r="AC144" s="2345"/>
      <c r="AD144" s="2345"/>
      <c r="AE144" s="2345"/>
      <c r="AF144" s="2345"/>
      <c r="AG144" s="2345"/>
      <c r="AH144" s="2327">
        <f t="shared" si="115"/>
        <v>0</v>
      </c>
      <c r="AJ144" s="1746" t="s">
        <v>86</v>
      </c>
      <c r="AK144" s="1749">
        <f t="shared" si="116"/>
        <v>0</v>
      </c>
      <c r="AL144" s="2226"/>
      <c r="AM144" s="2226"/>
      <c r="AN144" s="2226"/>
      <c r="AO144" s="2226"/>
      <c r="AP144" s="2226"/>
      <c r="AQ144" s="2226"/>
      <c r="AR144" s="2226"/>
      <c r="AS144" s="2226"/>
      <c r="AT144" s="2226"/>
      <c r="AU144" s="2226"/>
      <c r="AV144" s="2226"/>
      <c r="AW144" s="2226"/>
      <c r="AX144" s="2226"/>
      <c r="AY144" s="2226"/>
      <c r="AZ144" s="2226"/>
      <c r="BA144" s="2226"/>
      <c r="BB144" s="2226"/>
      <c r="BC144" s="2226"/>
      <c r="BD144" s="2226"/>
      <c r="BE144" s="2226"/>
      <c r="BF144" s="2226"/>
      <c r="BG144" s="2226"/>
      <c r="BH144" s="2226"/>
      <c r="BI144" s="2226"/>
      <c r="BJ144" s="2226"/>
      <c r="BK144" s="2226"/>
      <c r="BL144" s="2226"/>
      <c r="BM144" s="2226"/>
      <c r="BN144" s="2226"/>
      <c r="BO144" s="2226"/>
      <c r="BP144" s="2226"/>
      <c r="BQ144" s="2188">
        <f t="shared" si="117"/>
        <v>0</v>
      </c>
      <c r="BS144" s="1845" t="s">
        <v>86</v>
      </c>
      <c r="BT144" s="1846">
        <f t="shared" si="118"/>
        <v>0</v>
      </c>
      <c r="BU144" s="2225"/>
      <c r="BV144" s="2225"/>
      <c r="BW144" s="2225"/>
      <c r="BX144" s="2225"/>
      <c r="BY144" s="2225"/>
      <c r="BZ144" s="2225"/>
      <c r="CA144" s="2225"/>
      <c r="CB144" s="2225"/>
      <c r="CC144" s="2225"/>
      <c r="CD144" s="2225"/>
      <c r="CE144" s="2225"/>
      <c r="CF144" s="2225"/>
      <c r="CG144" s="2225"/>
      <c r="CH144" s="2225"/>
      <c r="CI144" s="2225"/>
      <c r="CJ144" s="2225"/>
      <c r="CK144" s="2225"/>
      <c r="CL144" s="2225"/>
      <c r="CM144" s="2225"/>
      <c r="CN144" s="2225"/>
      <c r="CO144" s="2225"/>
      <c r="CP144" s="2225"/>
      <c r="CQ144" s="2225"/>
      <c r="CR144" s="2225"/>
      <c r="CS144" s="2225"/>
      <c r="CT144" s="2225"/>
      <c r="CU144" s="2225"/>
      <c r="CV144" s="2225"/>
      <c r="CW144" s="2225"/>
      <c r="CX144" s="2225"/>
      <c r="CY144" s="2225"/>
      <c r="CZ144" s="2180">
        <f t="shared" si="119"/>
        <v>0</v>
      </c>
      <c r="DB144" s="1249" t="s">
        <v>86</v>
      </c>
      <c r="DC144" s="1287">
        <f t="shared" si="120"/>
        <v>0</v>
      </c>
      <c r="DD144" s="2271"/>
      <c r="DE144" s="2271"/>
      <c r="DF144" s="2271"/>
      <c r="DG144" s="2271"/>
      <c r="DH144" s="2271"/>
      <c r="DI144" s="2271"/>
      <c r="DJ144" s="2271"/>
      <c r="DK144" s="2271"/>
      <c r="DL144" s="2271"/>
      <c r="DM144" s="2271"/>
      <c r="DN144" s="2271"/>
      <c r="DO144" s="2271"/>
      <c r="DP144" s="2271"/>
      <c r="DQ144" s="2271"/>
      <c r="DR144" s="2271"/>
      <c r="DS144" s="2271"/>
      <c r="DT144" s="2271"/>
      <c r="DU144" s="2271"/>
      <c r="DV144" s="2271"/>
      <c r="DW144" s="2271"/>
      <c r="DX144" s="2271"/>
      <c r="DY144" s="2271"/>
      <c r="DZ144" s="2271"/>
      <c r="EA144" s="2271"/>
      <c r="EB144" s="2271"/>
      <c r="EC144" s="2271"/>
      <c r="ED144" s="2271"/>
      <c r="EE144" s="2271"/>
      <c r="EF144" s="2271"/>
      <c r="EG144" s="2271"/>
      <c r="EH144" s="2271"/>
      <c r="EI144" s="1488">
        <f t="shared" si="121"/>
        <v>0</v>
      </c>
    </row>
    <row r="145" spans="1:139" ht="15">
      <c r="A145" s="2341" t="s">
        <v>74</v>
      </c>
      <c r="B145" s="2348">
        <f t="shared" ref="B145:AH145" si="122">SUM(B133:B144)</f>
        <v>0</v>
      </c>
      <c r="C145" s="2327">
        <f t="shared" si="122"/>
        <v>0</v>
      </c>
      <c r="D145" s="2327">
        <f t="shared" si="122"/>
        <v>0</v>
      </c>
      <c r="E145" s="2327">
        <f t="shared" si="122"/>
        <v>0</v>
      </c>
      <c r="F145" s="2327">
        <f t="shared" si="122"/>
        <v>0</v>
      </c>
      <c r="G145" s="2327">
        <f t="shared" si="122"/>
        <v>0</v>
      </c>
      <c r="H145" s="2327">
        <f t="shared" si="122"/>
        <v>0</v>
      </c>
      <c r="I145" s="2327">
        <f t="shared" si="122"/>
        <v>0</v>
      </c>
      <c r="J145" s="2327">
        <f t="shared" si="122"/>
        <v>0</v>
      </c>
      <c r="K145" s="2327">
        <f t="shared" si="122"/>
        <v>0</v>
      </c>
      <c r="L145" s="2327">
        <f t="shared" si="122"/>
        <v>0</v>
      </c>
      <c r="M145" s="2327">
        <f t="shared" si="122"/>
        <v>0</v>
      </c>
      <c r="N145" s="2327">
        <f t="shared" si="122"/>
        <v>0</v>
      </c>
      <c r="O145" s="2327">
        <f t="shared" si="122"/>
        <v>0</v>
      </c>
      <c r="P145" s="2327">
        <f t="shared" si="122"/>
        <v>0</v>
      </c>
      <c r="Q145" s="2327">
        <f t="shared" si="122"/>
        <v>0</v>
      </c>
      <c r="R145" s="2327">
        <f t="shared" si="122"/>
        <v>0</v>
      </c>
      <c r="S145" s="2327">
        <f t="shared" si="122"/>
        <v>0</v>
      </c>
      <c r="T145" s="2327">
        <f t="shared" si="122"/>
        <v>0</v>
      </c>
      <c r="U145" s="2327">
        <f t="shared" si="122"/>
        <v>0</v>
      </c>
      <c r="V145" s="2327">
        <f t="shared" si="122"/>
        <v>0</v>
      </c>
      <c r="W145" s="2327">
        <f t="shared" si="122"/>
        <v>0</v>
      </c>
      <c r="X145" s="2327">
        <f t="shared" si="122"/>
        <v>0</v>
      </c>
      <c r="Y145" s="2327">
        <f t="shared" si="122"/>
        <v>0</v>
      </c>
      <c r="Z145" s="2327">
        <f t="shared" si="122"/>
        <v>0</v>
      </c>
      <c r="AA145" s="2327">
        <f t="shared" si="122"/>
        <v>0</v>
      </c>
      <c r="AB145" s="2327">
        <f t="shared" si="122"/>
        <v>0</v>
      </c>
      <c r="AC145" s="2327">
        <f t="shared" si="122"/>
        <v>0</v>
      </c>
      <c r="AD145" s="2327">
        <f t="shared" si="122"/>
        <v>0</v>
      </c>
      <c r="AE145" s="2327">
        <f t="shared" si="122"/>
        <v>0</v>
      </c>
      <c r="AF145" s="2327">
        <f t="shared" si="122"/>
        <v>0</v>
      </c>
      <c r="AG145" s="2327">
        <f t="shared" si="122"/>
        <v>0</v>
      </c>
      <c r="AH145" s="2327">
        <f t="shared" si="122"/>
        <v>0</v>
      </c>
      <c r="AJ145" s="2191" t="s">
        <v>74</v>
      </c>
      <c r="AK145" s="2260">
        <f t="shared" ref="AK145:BQ145" si="123">SUM(AK133:AK144)</f>
        <v>0</v>
      </c>
      <c r="AL145" s="2188">
        <f t="shared" si="123"/>
        <v>0</v>
      </c>
      <c r="AM145" s="2188">
        <f t="shared" si="123"/>
        <v>0</v>
      </c>
      <c r="AN145" s="2188">
        <f t="shared" si="123"/>
        <v>0</v>
      </c>
      <c r="AO145" s="2188">
        <f t="shared" si="123"/>
        <v>0</v>
      </c>
      <c r="AP145" s="2188">
        <f t="shared" si="123"/>
        <v>0</v>
      </c>
      <c r="AQ145" s="2188">
        <f t="shared" si="123"/>
        <v>0</v>
      </c>
      <c r="AR145" s="2188">
        <f t="shared" si="123"/>
        <v>0</v>
      </c>
      <c r="AS145" s="2188">
        <f t="shared" si="123"/>
        <v>0</v>
      </c>
      <c r="AT145" s="2188">
        <f t="shared" si="123"/>
        <v>0</v>
      </c>
      <c r="AU145" s="2188">
        <f t="shared" si="123"/>
        <v>0</v>
      </c>
      <c r="AV145" s="2188">
        <f t="shared" si="123"/>
        <v>0</v>
      </c>
      <c r="AW145" s="2188">
        <f t="shared" si="123"/>
        <v>0</v>
      </c>
      <c r="AX145" s="2188">
        <f t="shared" si="123"/>
        <v>0</v>
      </c>
      <c r="AY145" s="2188">
        <f t="shared" si="123"/>
        <v>0</v>
      </c>
      <c r="AZ145" s="2188">
        <f t="shared" si="123"/>
        <v>0</v>
      </c>
      <c r="BA145" s="2188">
        <f t="shared" si="123"/>
        <v>0</v>
      </c>
      <c r="BB145" s="2188">
        <f t="shared" si="123"/>
        <v>0</v>
      </c>
      <c r="BC145" s="2188">
        <f t="shared" si="123"/>
        <v>0</v>
      </c>
      <c r="BD145" s="2188">
        <f t="shared" si="123"/>
        <v>0</v>
      </c>
      <c r="BE145" s="2188">
        <f t="shared" si="123"/>
        <v>0</v>
      </c>
      <c r="BF145" s="2188">
        <f t="shared" si="123"/>
        <v>0</v>
      </c>
      <c r="BG145" s="2188">
        <f t="shared" si="123"/>
        <v>0</v>
      </c>
      <c r="BH145" s="2188">
        <f t="shared" si="123"/>
        <v>0</v>
      </c>
      <c r="BI145" s="2188">
        <f t="shared" si="123"/>
        <v>0</v>
      </c>
      <c r="BJ145" s="2188">
        <f t="shared" si="123"/>
        <v>0</v>
      </c>
      <c r="BK145" s="2188">
        <f t="shared" si="123"/>
        <v>0</v>
      </c>
      <c r="BL145" s="2188">
        <f t="shared" si="123"/>
        <v>0</v>
      </c>
      <c r="BM145" s="2188">
        <f t="shared" si="123"/>
        <v>0</v>
      </c>
      <c r="BN145" s="2188">
        <f t="shared" si="123"/>
        <v>0</v>
      </c>
      <c r="BO145" s="2188">
        <f t="shared" si="123"/>
        <v>0</v>
      </c>
      <c r="BP145" s="2188">
        <f t="shared" si="123"/>
        <v>0</v>
      </c>
      <c r="BQ145" s="2188">
        <f t="shared" si="123"/>
        <v>0</v>
      </c>
      <c r="BS145" s="2183" t="s">
        <v>74</v>
      </c>
      <c r="BT145" s="2259">
        <f t="shared" ref="BT145:CZ145" si="124">SUM(BT133:BT144)</f>
        <v>0</v>
      </c>
      <c r="BU145" s="2180">
        <f t="shared" si="124"/>
        <v>0</v>
      </c>
      <c r="BV145" s="2180">
        <f t="shared" si="124"/>
        <v>0</v>
      </c>
      <c r="BW145" s="2180">
        <f t="shared" si="124"/>
        <v>0</v>
      </c>
      <c r="BX145" s="2180">
        <f t="shared" si="124"/>
        <v>0</v>
      </c>
      <c r="BY145" s="2180">
        <f t="shared" si="124"/>
        <v>0</v>
      </c>
      <c r="BZ145" s="2180">
        <f t="shared" si="124"/>
        <v>0</v>
      </c>
      <c r="CA145" s="2180">
        <f t="shared" si="124"/>
        <v>0</v>
      </c>
      <c r="CB145" s="2180">
        <f t="shared" si="124"/>
        <v>0</v>
      </c>
      <c r="CC145" s="2180">
        <f t="shared" si="124"/>
        <v>0</v>
      </c>
      <c r="CD145" s="2180">
        <f t="shared" si="124"/>
        <v>0</v>
      </c>
      <c r="CE145" s="2180">
        <f t="shared" si="124"/>
        <v>0</v>
      </c>
      <c r="CF145" s="2180">
        <f t="shared" si="124"/>
        <v>0</v>
      </c>
      <c r="CG145" s="2180">
        <f t="shared" si="124"/>
        <v>0</v>
      </c>
      <c r="CH145" s="2180">
        <f t="shared" si="124"/>
        <v>0</v>
      </c>
      <c r="CI145" s="2180">
        <f t="shared" si="124"/>
        <v>0</v>
      </c>
      <c r="CJ145" s="2180">
        <f t="shared" si="124"/>
        <v>0</v>
      </c>
      <c r="CK145" s="2180">
        <f t="shared" si="124"/>
        <v>0</v>
      </c>
      <c r="CL145" s="2180">
        <f t="shared" si="124"/>
        <v>0</v>
      </c>
      <c r="CM145" s="2180">
        <f t="shared" si="124"/>
        <v>0</v>
      </c>
      <c r="CN145" s="2180">
        <f t="shared" si="124"/>
        <v>0</v>
      </c>
      <c r="CO145" s="2180">
        <f t="shared" si="124"/>
        <v>0</v>
      </c>
      <c r="CP145" s="2180">
        <f t="shared" si="124"/>
        <v>0</v>
      </c>
      <c r="CQ145" s="2180">
        <f t="shared" si="124"/>
        <v>0</v>
      </c>
      <c r="CR145" s="2180">
        <f t="shared" si="124"/>
        <v>0</v>
      </c>
      <c r="CS145" s="2180">
        <f t="shared" si="124"/>
        <v>0</v>
      </c>
      <c r="CT145" s="2180">
        <f t="shared" si="124"/>
        <v>0</v>
      </c>
      <c r="CU145" s="2180">
        <f t="shared" si="124"/>
        <v>0</v>
      </c>
      <c r="CV145" s="2180">
        <f t="shared" si="124"/>
        <v>0</v>
      </c>
      <c r="CW145" s="2180">
        <f t="shared" si="124"/>
        <v>0</v>
      </c>
      <c r="CX145" s="2180">
        <f t="shared" si="124"/>
        <v>0</v>
      </c>
      <c r="CY145" s="2180">
        <f t="shared" si="124"/>
        <v>0</v>
      </c>
      <c r="CZ145" s="2180">
        <f t="shared" si="124"/>
        <v>0</v>
      </c>
      <c r="DB145" s="1470" t="s">
        <v>74</v>
      </c>
      <c r="DC145" s="2270">
        <f t="shared" ref="DC145:EI145" si="125">SUM(DC133:DC144)</f>
        <v>0</v>
      </c>
      <c r="DD145" s="1488">
        <f t="shared" si="125"/>
        <v>0</v>
      </c>
      <c r="DE145" s="1488">
        <f t="shared" si="125"/>
        <v>0</v>
      </c>
      <c r="DF145" s="1488">
        <f t="shared" si="125"/>
        <v>0</v>
      </c>
      <c r="DG145" s="1488">
        <f t="shared" si="125"/>
        <v>0</v>
      </c>
      <c r="DH145" s="1488">
        <f t="shared" si="125"/>
        <v>0</v>
      </c>
      <c r="DI145" s="1488">
        <f t="shared" si="125"/>
        <v>0</v>
      </c>
      <c r="DJ145" s="1488">
        <f t="shared" si="125"/>
        <v>0</v>
      </c>
      <c r="DK145" s="1488">
        <f t="shared" si="125"/>
        <v>0</v>
      </c>
      <c r="DL145" s="1488">
        <f t="shared" si="125"/>
        <v>0</v>
      </c>
      <c r="DM145" s="1488">
        <f t="shared" si="125"/>
        <v>0</v>
      </c>
      <c r="DN145" s="1488">
        <f t="shared" si="125"/>
        <v>0</v>
      </c>
      <c r="DO145" s="1488">
        <f t="shared" si="125"/>
        <v>0</v>
      </c>
      <c r="DP145" s="1488">
        <f t="shared" si="125"/>
        <v>0</v>
      </c>
      <c r="DQ145" s="1488">
        <f t="shared" si="125"/>
        <v>0</v>
      </c>
      <c r="DR145" s="1488">
        <f t="shared" si="125"/>
        <v>0</v>
      </c>
      <c r="DS145" s="1488">
        <f t="shared" si="125"/>
        <v>0</v>
      </c>
      <c r="DT145" s="1488">
        <f t="shared" si="125"/>
        <v>0</v>
      </c>
      <c r="DU145" s="1488">
        <f t="shared" si="125"/>
        <v>0</v>
      </c>
      <c r="DV145" s="1488">
        <f t="shared" si="125"/>
        <v>0</v>
      </c>
      <c r="DW145" s="1488">
        <f t="shared" si="125"/>
        <v>0</v>
      </c>
      <c r="DX145" s="1488">
        <f t="shared" si="125"/>
        <v>0</v>
      </c>
      <c r="DY145" s="1488">
        <f t="shared" si="125"/>
        <v>0</v>
      </c>
      <c r="DZ145" s="1488">
        <f t="shared" si="125"/>
        <v>0</v>
      </c>
      <c r="EA145" s="1488">
        <f t="shared" si="125"/>
        <v>0</v>
      </c>
      <c r="EB145" s="1488">
        <f t="shared" si="125"/>
        <v>0</v>
      </c>
      <c r="EC145" s="1488">
        <f t="shared" si="125"/>
        <v>0</v>
      </c>
      <c r="ED145" s="1488">
        <f t="shared" si="125"/>
        <v>0</v>
      </c>
      <c r="EE145" s="1488">
        <f t="shared" si="125"/>
        <v>0</v>
      </c>
      <c r="EF145" s="1488">
        <f t="shared" si="125"/>
        <v>0</v>
      </c>
      <c r="EG145" s="1488">
        <f t="shared" si="125"/>
        <v>0</v>
      </c>
      <c r="EH145" s="1488">
        <f t="shared" si="125"/>
        <v>0</v>
      </c>
      <c r="EI145" s="1488">
        <f t="shared" si="125"/>
        <v>0</v>
      </c>
    </row>
    <row r="146" spans="1:139" ht="15">
      <c r="A146" s="2320"/>
      <c r="B146" s="2321"/>
      <c r="C146" s="2322"/>
      <c r="D146" s="2322"/>
      <c r="E146" s="2322"/>
      <c r="F146" s="2322"/>
      <c r="G146" s="2322"/>
      <c r="H146" s="2322"/>
      <c r="I146" s="2322"/>
      <c r="J146" s="2322"/>
      <c r="K146" s="2322"/>
      <c r="L146" s="2322"/>
      <c r="M146" s="2322"/>
      <c r="N146" s="2322"/>
      <c r="O146" s="2322"/>
      <c r="P146" s="2322"/>
      <c r="Q146" s="2322"/>
      <c r="R146" s="2322"/>
      <c r="S146" s="2322"/>
      <c r="T146" s="2322"/>
      <c r="U146" s="2322"/>
      <c r="V146" s="2322"/>
      <c r="W146" s="2322"/>
      <c r="X146" s="2322"/>
      <c r="Y146" s="2322"/>
      <c r="Z146" s="2322"/>
      <c r="AA146" s="2322"/>
      <c r="AB146" s="2322"/>
      <c r="AC146" s="2322"/>
      <c r="AD146" s="2322"/>
      <c r="AE146" s="2322"/>
      <c r="AF146" s="2322"/>
      <c r="AG146" s="2322"/>
      <c r="AH146" s="2322"/>
      <c r="AJ146" s="2257"/>
      <c r="AK146" s="2256"/>
      <c r="AL146" s="2249"/>
      <c r="AM146" s="2249"/>
      <c r="AN146" s="2249"/>
      <c r="AO146" s="2249"/>
      <c r="AP146" s="2249"/>
      <c r="AQ146" s="2249"/>
      <c r="AR146" s="2249"/>
      <c r="AS146" s="2249"/>
      <c r="AT146" s="2249"/>
      <c r="AU146" s="2249"/>
      <c r="AV146" s="2249"/>
      <c r="AW146" s="2249"/>
      <c r="AX146" s="2249"/>
      <c r="AY146" s="2249"/>
      <c r="AZ146" s="2249"/>
      <c r="BA146" s="2249"/>
      <c r="BB146" s="2249"/>
      <c r="BC146" s="2249"/>
      <c r="BD146" s="2249"/>
      <c r="BE146" s="2249"/>
      <c r="BF146" s="2249"/>
      <c r="BG146" s="2249"/>
      <c r="BH146" s="2249"/>
      <c r="BI146" s="2249"/>
      <c r="BJ146" s="2249"/>
      <c r="BK146" s="2249"/>
      <c r="BL146" s="2249"/>
      <c r="BM146" s="2249"/>
      <c r="BN146" s="2249"/>
      <c r="BO146" s="2249"/>
      <c r="BP146" s="2249"/>
      <c r="BQ146" s="2249"/>
      <c r="BS146" s="2255"/>
      <c r="BT146" s="2254"/>
      <c r="BU146" s="2245"/>
      <c r="BV146" s="2245"/>
      <c r="BW146" s="2245"/>
      <c r="BX146" s="2245"/>
      <c r="BY146" s="2245"/>
      <c r="BZ146" s="2245"/>
      <c r="CA146" s="2245"/>
      <c r="CB146" s="2245"/>
      <c r="CC146" s="2245"/>
      <c r="CD146" s="2245"/>
      <c r="CE146" s="2245"/>
      <c r="CF146" s="2245"/>
      <c r="CG146" s="2245"/>
      <c r="CH146" s="2245"/>
      <c r="CI146" s="2245"/>
      <c r="CJ146" s="2245"/>
      <c r="CK146" s="2245"/>
      <c r="CL146" s="2245"/>
      <c r="CM146" s="2245"/>
      <c r="CN146" s="2245"/>
      <c r="CO146" s="2245"/>
      <c r="CP146" s="2245"/>
      <c r="CQ146" s="2245"/>
      <c r="CR146" s="2245"/>
      <c r="CS146" s="2245"/>
      <c r="CT146" s="2245"/>
      <c r="CU146" s="2245"/>
      <c r="CV146" s="2245"/>
      <c r="CW146" s="2245"/>
      <c r="CX146" s="2245"/>
      <c r="CY146" s="2245"/>
      <c r="CZ146" s="2245"/>
      <c r="DB146" s="2122"/>
      <c r="DC146" s="1922"/>
      <c r="DD146" s="1923"/>
      <c r="DE146" s="1923"/>
      <c r="DF146" s="1923"/>
      <c r="DG146" s="1923"/>
      <c r="DH146" s="1923"/>
      <c r="DI146" s="1923"/>
      <c r="DJ146" s="1923"/>
      <c r="DK146" s="1923"/>
      <c r="DL146" s="1923"/>
      <c r="DM146" s="1923"/>
      <c r="DN146" s="1923"/>
      <c r="DO146" s="1923"/>
      <c r="DP146" s="1923"/>
      <c r="DQ146" s="1923"/>
      <c r="DR146" s="1923"/>
      <c r="DS146" s="1923"/>
      <c r="DT146" s="1923"/>
      <c r="DU146" s="1923"/>
      <c r="DV146" s="1923"/>
      <c r="DW146" s="1923"/>
      <c r="DX146" s="1923"/>
      <c r="DY146" s="1923"/>
      <c r="DZ146" s="1923"/>
      <c r="EA146" s="1923"/>
      <c r="EB146" s="1923"/>
      <c r="EC146" s="1923"/>
      <c r="ED146" s="1923"/>
      <c r="EE146" s="1923"/>
      <c r="EF146" s="1923"/>
      <c r="EG146" s="1923"/>
      <c r="EH146" s="1923"/>
      <c r="EI146" s="1923"/>
    </row>
    <row r="147" spans="1:139" ht="15">
      <c r="A147" s="3634" t="s">
        <v>635</v>
      </c>
      <c r="B147" s="3635"/>
      <c r="C147" s="3636"/>
      <c r="D147" s="2323"/>
      <c r="E147" s="2323"/>
      <c r="F147" s="2323"/>
      <c r="G147" s="2323"/>
      <c r="H147" s="2323"/>
      <c r="I147" s="2323"/>
      <c r="J147" s="2323"/>
      <c r="K147" s="2323"/>
      <c r="L147" s="2323"/>
      <c r="M147" s="2324"/>
      <c r="N147" s="2323"/>
      <c r="O147" s="2323"/>
      <c r="P147" s="2323"/>
      <c r="Q147" s="2323"/>
      <c r="R147" s="2323"/>
      <c r="S147" s="2323"/>
      <c r="T147" s="2323"/>
      <c r="U147" s="2323"/>
      <c r="V147" s="2323"/>
      <c r="W147" s="2323"/>
      <c r="X147" s="2323"/>
      <c r="Y147" s="2323"/>
      <c r="Z147" s="2323"/>
      <c r="AA147" s="2323"/>
      <c r="AB147" s="2323"/>
      <c r="AC147" s="2323"/>
      <c r="AD147" s="2323"/>
      <c r="AE147" s="2323"/>
      <c r="AF147" s="2323"/>
      <c r="AG147" s="2323"/>
      <c r="AH147" s="2323"/>
      <c r="AJ147" s="3585" t="s">
        <v>635</v>
      </c>
      <c r="AK147" s="3586"/>
      <c r="AL147" s="3587"/>
      <c r="AM147" s="2193"/>
      <c r="AN147" s="2193"/>
      <c r="AO147" s="2193"/>
      <c r="AP147" s="2193"/>
      <c r="AQ147" s="2193"/>
      <c r="AR147" s="2193"/>
      <c r="AS147" s="2193"/>
      <c r="AT147" s="2193"/>
      <c r="AU147" s="2193"/>
      <c r="AV147" s="2194"/>
      <c r="AW147" s="2193"/>
      <c r="AX147" s="2193"/>
      <c r="AY147" s="2193"/>
      <c r="AZ147" s="2193"/>
      <c r="BA147" s="2193"/>
      <c r="BB147" s="2193"/>
      <c r="BC147" s="2193"/>
      <c r="BD147" s="2193"/>
      <c r="BE147" s="2193"/>
      <c r="BF147" s="2193"/>
      <c r="BG147" s="2193"/>
      <c r="BH147" s="2193"/>
      <c r="BI147" s="2193"/>
      <c r="BJ147" s="2193"/>
      <c r="BK147" s="2193"/>
      <c r="BL147" s="2193"/>
      <c r="BM147" s="2193"/>
      <c r="BN147" s="2193"/>
      <c r="BO147" s="2193"/>
      <c r="BP147" s="2193"/>
      <c r="BQ147" s="2193"/>
      <c r="BS147" s="3772" t="s">
        <v>635</v>
      </c>
      <c r="BT147" s="3773"/>
      <c r="BU147" s="3774"/>
      <c r="BV147" s="2185"/>
      <c r="BW147" s="2185"/>
      <c r="BX147" s="2185"/>
      <c r="BY147" s="2185"/>
      <c r="BZ147" s="2185"/>
      <c r="CA147" s="2185"/>
      <c r="CB147" s="2185"/>
      <c r="CC147" s="2185"/>
      <c r="CD147" s="2185"/>
      <c r="CE147" s="2186"/>
      <c r="CF147" s="2185"/>
      <c r="CG147" s="2185"/>
      <c r="CH147" s="2185"/>
      <c r="CI147" s="2185"/>
      <c r="CJ147" s="2185"/>
      <c r="CK147" s="2185"/>
      <c r="CL147" s="2185"/>
      <c r="CM147" s="2185"/>
      <c r="CN147" s="2185"/>
      <c r="CO147" s="2185"/>
      <c r="CP147" s="2185"/>
      <c r="CQ147" s="2185"/>
      <c r="CR147" s="2185"/>
      <c r="CS147" s="2185"/>
      <c r="CT147" s="2185"/>
      <c r="CU147" s="2185"/>
      <c r="CV147" s="2185"/>
      <c r="CW147" s="2185"/>
      <c r="CX147" s="2185"/>
      <c r="CY147" s="2185"/>
      <c r="CZ147" s="2185"/>
      <c r="DB147" s="3781" t="s">
        <v>635</v>
      </c>
      <c r="DC147" s="3782"/>
      <c r="DD147" s="3783"/>
      <c r="DE147" s="1433"/>
      <c r="DF147" s="1433"/>
      <c r="DG147" s="1433"/>
      <c r="DH147" s="1433"/>
      <c r="DI147" s="1433"/>
      <c r="DJ147" s="1433"/>
      <c r="DK147" s="1433"/>
      <c r="DL147" s="1433"/>
      <c r="DM147" s="1433"/>
      <c r="DN147" s="2274"/>
      <c r="DO147" s="1433"/>
      <c r="DP147" s="1433"/>
      <c r="DQ147" s="1433"/>
      <c r="DR147" s="1433"/>
      <c r="DS147" s="1433"/>
      <c r="DT147" s="1433"/>
      <c r="DU147" s="1433"/>
      <c r="DV147" s="1433"/>
      <c r="DW147" s="1433"/>
      <c r="DX147" s="1433"/>
      <c r="DY147" s="1433"/>
      <c r="DZ147" s="1433"/>
      <c r="EA147" s="1433"/>
      <c r="EB147" s="1433"/>
      <c r="EC147" s="1433"/>
      <c r="ED147" s="1433"/>
      <c r="EE147" s="1433"/>
      <c r="EF147" s="1433"/>
      <c r="EG147" s="1433"/>
      <c r="EH147" s="1433"/>
      <c r="EI147" s="1433"/>
    </row>
    <row r="148" spans="1:139" ht="15">
      <c r="A148" s="1233" t="s">
        <v>72</v>
      </c>
      <c r="B148" s="1233" t="s">
        <v>73</v>
      </c>
      <c r="C148" s="1233">
        <v>1</v>
      </c>
      <c r="D148" s="1233">
        <v>2</v>
      </c>
      <c r="E148" s="1233">
        <v>3</v>
      </c>
      <c r="F148" s="1233">
        <v>4</v>
      </c>
      <c r="G148" s="1233">
        <v>5</v>
      </c>
      <c r="H148" s="1233">
        <v>6</v>
      </c>
      <c r="I148" s="1233">
        <v>7</v>
      </c>
      <c r="J148" s="1233">
        <v>8</v>
      </c>
      <c r="K148" s="1233">
        <v>9</v>
      </c>
      <c r="L148" s="1233">
        <v>10</v>
      </c>
      <c r="M148" s="1233">
        <v>11</v>
      </c>
      <c r="N148" s="1233">
        <v>12</v>
      </c>
      <c r="O148" s="1233">
        <v>13</v>
      </c>
      <c r="P148" s="1233">
        <v>14</v>
      </c>
      <c r="Q148" s="1233">
        <v>15</v>
      </c>
      <c r="R148" s="1233">
        <v>16</v>
      </c>
      <c r="S148" s="1233">
        <v>17</v>
      </c>
      <c r="T148" s="1233">
        <v>18</v>
      </c>
      <c r="U148" s="1233">
        <v>19</v>
      </c>
      <c r="V148" s="1233">
        <v>20</v>
      </c>
      <c r="W148" s="1233">
        <v>21</v>
      </c>
      <c r="X148" s="1233">
        <v>22</v>
      </c>
      <c r="Y148" s="1233">
        <v>23</v>
      </c>
      <c r="Z148" s="1233">
        <v>24</v>
      </c>
      <c r="AA148" s="1233">
        <v>25</v>
      </c>
      <c r="AB148" s="1233">
        <v>26</v>
      </c>
      <c r="AC148" s="1233">
        <v>27</v>
      </c>
      <c r="AD148" s="1233">
        <v>28</v>
      </c>
      <c r="AE148" s="1233">
        <v>29</v>
      </c>
      <c r="AF148" s="1233">
        <v>30</v>
      </c>
      <c r="AG148" s="1233">
        <v>31</v>
      </c>
      <c r="AH148" s="2325" t="s">
        <v>74</v>
      </c>
      <c r="AJ148" s="1746" t="s">
        <v>72</v>
      </c>
      <c r="AK148" s="1746" t="s">
        <v>73</v>
      </c>
      <c r="AL148" s="1746">
        <v>1</v>
      </c>
      <c r="AM148" s="1746">
        <v>2</v>
      </c>
      <c r="AN148" s="1746">
        <v>3</v>
      </c>
      <c r="AO148" s="1746">
        <v>4</v>
      </c>
      <c r="AP148" s="1746">
        <v>5</v>
      </c>
      <c r="AQ148" s="1746">
        <v>6</v>
      </c>
      <c r="AR148" s="1746">
        <v>7</v>
      </c>
      <c r="AS148" s="1746">
        <v>8</v>
      </c>
      <c r="AT148" s="1746">
        <v>9</v>
      </c>
      <c r="AU148" s="1746">
        <v>10</v>
      </c>
      <c r="AV148" s="1746">
        <v>11</v>
      </c>
      <c r="AW148" s="1746">
        <v>12</v>
      </c>
      <c r="AX148" s="1746">
        <v>13</v>
      </c>
      <c r="AY148" s="1746">
        <v>14</v>
      </c>
      <c r="AZ148" s="1746">
        <v>15</v>
      </c>
      <c r="BA148" s="1746">
        <v>16</v>
      </c>
      <c r="BB148" s="1746">
        <v>17</v>
      </c>
      <c r="BC148" s="1746">
        <v>18</v>
      </c>
      <c r="BD148" s="1746">
        <v>19</v>
      </c>
      <c r="BE148" s="1746">
        <v>20</v>
      </c>
      <c r="BF148" s="1746">
        <v>21</v>
      </c>
      <c r="BG148" s="1746">
        <v>22</v>
      </c>
      <c r="BH148" s="1746">
        <v>23</v>
      </c>
      <c r="BI148" s="1746">
        <v>24</v>
      </c>
      <c r="BJ148" s="1746">
        <v>25</v>
      </c>
      <c r="BK148" s="1746">
        <v>26</v>
      </c>
      <c r="BL148" s="1746">
        <v>27</v>
      </c>
      <c r="BM148" s="1746">
        <v>28</v>
      </c>
      <c r="BN148" s="1746">
        <v>29</v>
      </c>
      <c r="BO148" s="1746">
        <v>30</v>
      </c>
      <c r="BP148" s="1746">
        <v>31</v>
      </c>
      <c r="BQ148" s="2192" t="s">
        <v>74</v>
      </c>
      <c r="BS148" s="1845" t="s">
        <v>72</v>
      </c>
      <c r="BT148" s="1845" t="s">
        <v>73</v>
      </c>
      <c r="BU148" s="1845">
        <v>1</v>
      </c>
      <c r="BV148" s="1845">
        <v>2</v>
      </c>
      <c r="BW148" s="1845">
        <v>3</v>
      </c>
      <c r="BX148" s="1845">
        <v>4</v>
      </c>
      <c r="BY148" s="1845">
        <v>5</v>
      </c>
      <c r="BZ148" s="1845">
        <v>6</v>
      </c>
      <c r="CA148" s="1845">
        <v>7</v>
      </c>
      <c r="CB148" s="1845">
        <v>8</v>
      </c>
      <c r="CC148" s="1845">
        <v>9</v>
      </c>
      <c r="CD148" s="1845">
        <v>10</v>
      </c>
      <c r="CE148" s="1845">
        <v>11</v>
      </c>
      <c r="CF148" s="1845">
        <v>12</v>
      </c>
      <c r="CG148" s="1845">
        <v>13</v>
      </c>
      <c r="CH148" s="1845">
        <v>14</v>
      </c>
      <c r="CI148" s="1845">
        <v>15</v>
      </c>
      <c r="CJ148" s="1845">
        <v>16</v>
      </c>
      <c r="CK148" s="1845">
        <v>17</v>
      </c>
      <c r="CL148" s="1845">
        <v>18</v>
      </c>
      <c r="CM148" s="1845">
        <v>19</v>
      </c>
      <c r="CN148" s="1845">
        <v>20</v>
      </c>
      <c r="CO148" s="1845">
        <v>21</v>
      </c>
      <c r="CP148" s="1845">
        <v>22</v>
      </c>
      <c r="CQ148" s="1845">
        <v>23</v>
      </c>
      <c r="CR148" s="1845">
        <v>24</v>
      </c>
      <c r="CS148" s="1845">
        <v>25</v>
      </c>
      <c r="CT148" s="1845">
        <v>26</v>
      </c>
      <c r="CU148" s="1845">
        <v>27</v>
      </c>
      <c r="CV148" s="1845">
        <v>28</v>
      </c>
      <c r="CW148" s="1845">
        <v>29</v>
      </c>
      <c r="CX148" s="1845">
        <v>30</v>
      </c>
      <c r="CY148" s="1845">
        <v>31</v>
      </c>
      <c r="CZ148" s="2184" t="s">
        <v>74</v>
      </c>
      <c r="DB148" s="1249" t="s">
        <v>72</v>
      </c>
      <c r="DC148" s="1249" t="s">
        <v>73</v>
      </c>
      <c r="DD148" s="1249">
        <v>1</v>
      </c>
      <c r="DE148" s="1249">
        <v>2</v>
      </c>
      <c r="DF148" s="1249">
        <v>3</v>
      </c>
      <c r="DG148" s="1249">
        <v>4</v>
      </c>
      <c r="DH148" s="1249">
        <v>5</v>
      </c>
      <c r="DI148" s="1249">
        <v>6</v>
      </c>
      <c r="DJ148" s="1249">
        <v>7</v>
      </c>
      <c r="DK148" s="1249">
        <v>8</v>
      </c>
      <c r="DL148" s="1249">
        <v>9</v>
      </c>
      <c r="DM148" s="1249">
        <v>10</v>
      </c>
      <c r="DN148" s="1249">
        <v>11</v>
      </c>
      <c r="DO148" s="1249">
        <v>12</v>
      </c>
      <c r="DP148" s="1249">
        <v>13</v>
      </c>
      <c r="DQ148" s="1249">
        <v>14</v>
      </c>
      <c r="DR148" s="1249">
        <v>15</v>
      </c>
      <c r="DS148" s="1249">
        <v>16</v>
      </c>
      <c r="DT148" s="1249">
        <v>17</v>
      </c>
      <c r="DU148" s="1249">
        <v>18</v>
      </c>
      <c r="DV148" s="1249">
        <v>19</v>
      </c>
      <c r="DW148" s="1249">
        <v>20</v>
      </c>
      <c r="DX148" s="1249">
        <v>21</v>
      </c>
      <c r="DY148" s="1249">
        <v>22</v>
      </c>
      <c r="DZ148" s="1249">
        <v>23</v>
      </c>
      <c r="EA148" s="1249">
        <v>24</v>
      </c>
      <c r="EB148" s="1249">
        <v>25</v>
      </c>
      <c r="EC148" s="1249">
        <v>26</v>
      </c>
      <c r="ED148" s="1249">
        <v>27</v>
      </c>
      <c r="EE148" s="1249">
        <v>28</v>
      </c>
      <c r="EF148" s="1249">
        <v>29</v>
      </c>
      <c r="EG148" s="1249">
        <v>30</v>
      </c>
      <c r="EH148" s="1249">
        <v>31</v>
      </c>
      <c r="EI148" s="1820" t="s">
        <v>74</v>
      </c>
    </row>
    <row r="149" spans="1:139" ht="15">
      <c r="A149" s="1233" t="s">
        <v>75</v>
      </c>
      <c r="B149" s="1280">
        <f t="shared" ref="B149:B160" si="126">+AH149</f>
        <v>0</v>
      </c>
      <c r="C149" s="2326"/>
      <c r="D149" s="2326"/>
      <c r="E149" s="2326"/>
      <c r="F149" s="2326"/>
      <c r="G149" s="2326"/>
      <c r="H149" s="2326"/>
      <c r="I149" s="2326"/>
      <c r="J149" s="2326"/>
      <c r="K149" s="2326"/>
      <c r="L149" s="2326"/>
      <c r="M149" s="2326"/>
      <c r="N149" s="2326"/>
      <c r="O149" s="2326"/>
      <c r="P149" s="2326"/>
      <c r="Q149" s="2326"/>
      <c r="R149" s="2326"/>
      <c r="S149" s="2326"/>
      <c r="T149" s="2326"/>
      <c r="U149" s="2326"/>
      <c r="V149" s="2326"/>
      <c r="W149" s="2326"/>
      <c r="X149" s="2326"/>
      <c r="Y149" s="2326"/>
      <c r="Z149" s="2326"/>
      <c r="AA149" s="2326"/>
      <c r="AB149" s="2326"/>
      <c r="AC149" s="2326"/>
      <c r="AD149" s="2326"/>
      <c r="AE149" s="2326"/>
      <c r="AF149" s="2326"/>
      <c r="AG149" s="2326"/>
      <c r="AH149" s="2327">
        <f t="shared" ref="AH149:AH160" si="127">SUM(C149:AG149)</f>
        <v>0</v>
      </c>
      <c r="AJ149" s="1746" t="s">
        <v>75</v>
      </c>
      <c r="AK149" s="1749">
        <f t="shared" ref="AK149:AK160" si="128">+BQ149</f>
        <v>0</v>
      </c>
      <c r="AL149" s="2189"/>
      <c r="AM149" s="2189"/>
      <c r="AN149" s="2189"/>
      <c r="AO149" s="2189"/>
      <c r="AP149" s="2189"/>
      <c r="AQ149" s="2189"/>
      <c r="AR149" s="2189"/>
      <c r="AS149" s="2189"/>
      <c r="AT149" s="2189"/>
      <c r="AU149" s="2189"/>
      <c r="AV149" s="2189"/>
      <c r="AW149" s="2189"/>
      <c r="AX149" s="2189"/>
      <c r="AY149" s="2189"/>
      <c r="AZ149" s="2189"/>
      <c r="BA149" s="2189"/>
      <c r="BB149" s="2189"/>
      <c r="BC149" s="2189"/>
      <c r="BD149" s="2189"/>
      <c r="BE149" s="2226"/>
      <c r="BF149" s="2226"/>
      <c r="BG149" s="2226"/>
      <c r="BH149" s="2226"/>
      <c r="BI149" s="2226"/>
      <c r="BJ149" s="2226"/>
      <c r="BK149" s="2226"/>
      <c r="BL149" s="2226"/>
      <c r="BM149" s="2226"/>
      <c r="BN149" s="2226"/>
      <c r="BO149" s="2226"/>
      <c r="BP149" s="2226"/>
      <c r="BQ149" s="2188">
        <f t="shared" ref="BQ149:BQ160" si="129">SUM(AL149:BP149)</f>
        <v>0</v>
      </c>
      <c r="BS149" s="1845" t="s">
        <v>75</v>
      </c>
      <c r="BT149" s="1846">
        <f t="shared" ref="BT149:BT160" si="130">+CZ149</f>
        <v>0</v>
      </c>
      <c r="BU149" s="2225"/>
      <c r="BV149" s="2225"/>
      <c r="BW149" s="2225"/>
      <c r="BX149" s="2225"/>
      <c r="BY149" s="2225"/>
      <c r="BZ149" s="2225"/>
      <c r="CA149" s="2225"/>
      <c r="CB149" s="2225"/>
      <c r="CC149" s="2225"/>
      <c r="CD149" s="2225"/>
      <c r="CE149" s="2225"/>
      <c r="CF149" s="2225"/>
      <c r="CG149" s="2181"/>
      <c r="CH149" s="2181"/>
      <c r="CI149" s="2181"/>
      <c r="CJ149" s="2181"/>
      <c r="CK149" s="2181"/>
      <c r="CL149" s="2181"/>
      <c r="CM149" s="2181"/>
      <c r="CN149" s="2181"/>
      <c r="CO149" s="2181"/>
      <c r="CP149" s="2181"/>
      <c r="CQ149" s="2181"/>
      <c r="CR149" s="2181"/>
      <c r="CS149" s="2181"/>
      <c r="CT149" s="2181"/>
      <c r="CU149" s="2181"/>
      <c r="CV149" s="2181"/>
      <c r="CW149" s="2181"/>
      <c r="CX149" s="2181"/>
      <c r="CY149" s="2181"/>
      <c r="CZ149" s="2180">
        <f t="shared" ref="CZ149:CZ160" si="131">SUM(BU149:CY149)</f>
        <v>0</v>
      </c>
      <c r="DB149" s="1249" t="s">
        <v>75</v>
      </c>
      <c r="DC149" s="1287">
        <f t="shared" ref="DC149:DC160" si="132">+EI149</f>
        <v>0</v>
      </c>
      <c r="DD149" s="1761"/>
      <c r="DE149" s="1761"/>
      <c r="DF149" s="1761"/>
      <c r="DG149" s="1761"/>
      <c r="DH149" s="1761"/>
      <c r="DI149" s="1761"/>
      <c r="DJ149" s="1761"/>
      <c r="DK149" s="1761"/>
      <c r="DL149" s="1761"/>
      <c r="DM149" s="1761"/>
      <c r="DN149" s="1761"/>
      <c r="DO149" s="1761"/>
      <c r="DP149" s="1761"/>
      <c r="DQ149" s="1761"/>
      <c r="DR149" s="1761"/>
      <c r="DS149" s="1761"/>
      <c r="DT149" s="1761"/>
      <c r="DU149" s="1761"/>
      <c r="DV149" s="1761"/>
      <c r="DW149" s="1761"/>
      <c r="DX149" s="1761"/>
      <c r="DY149" s="1761"/>
      <c r="DZ149" s="1761"/>
      <c r="EA149" s="1761"/>
      <c r="EB149" s="1761"/>
      <c r="EC149" s="1761"/>
      <c r="ED149" s="1761"/>
      <c r="EE149" s="1761"/>
      <c r="EF149" s="1761"/>
      <c r="EG149" s="1761"/>
      <c r="EH149" s="1761"/>
      <c r="EI149" s="1488">
        <f t="shared" ref="EI149:EI160" si="133">SUM(DD149:EH149)</f>
        <v>0</v>
      </c>
    </row>
    <row r="150" spans="1:139" ht="15">
      <c r="A150" s="1233" t="s">
        <v>76</v>
      </c>
      <c r="B150" s="1280">
        <f t="shared" si="126"/>
        <v>0</v>
      </c>
      <c r="C150" s="2326"/>
      <c r="D150" s="2328"/>
      <c r="E150" s="2328"/>
      <c r="F150" s="2328"/>
      <c r="G150" s="2328"/>
      <c r="H150" s="2328"/>
      <c r="I150" s="2328"/>
      <c r="J150" s="2328"/>
      <c r="K150" s="2328"/>
      <c r="L150" s="2328"/>
      <c r="M150" s="2328"/>
      <c r="N150" s="2328"/>
      <c r="O150" s="2328"/>
      <c r="P150" s="2328"/>
      <c r="Q150" s="2328"/>
      <c r="R150" s="2328"/>
      <c r="S150" s="2328"/>
      <c r="T150" s="2328"/>
      <c r="U150" s="2328"/>
      <c r="V150" s="2328"/>
      <c r="W150" s="2328"/>
      <c r="X150" s="2328"/>
      <c r="Y150" s="2326"/>
      <c r="Z150" s="2326"/>
      <c r="AA150" s="2326"/>
      <c r="AB150" s="2326"/>
      <c r="AC150" s="2326"/>
      <c r="AD150" s="2326"/>
      <c r="AE150" s="2326"/>
      <c r="AF150" s="2326"/>
      <c r="AG150" s="2326"/>
      <c r="AH150" s="2327">
        <f t="shared" si="127"/>
        <v>0</v>
      </c>
      <c r="AJ150" s="1746" t="s">
        <v>76</v>
      </c>
      <c r="AK150" s="1749">
        <f t="shared" si="128"/>
        <v>0</v>
      </c>
      <c r="AL150" s="2189"/>
      <c r="AM150" s="2243"/>
      <c r="AN150" s="2243"/>
      <c r="AO150" s="2243"/>
      <c r="AP150" s="2243"/>
      <c r="AQ150" s="2243"/>
      <c r="AR150" s="2243"/>
      <c r="AS150" s="2243"/>
      <c r="AT150" s="2243"/>
      <c r="AU150" s="2243"/>
      <c r="AV150" s="2243"/>
      <c r="AW150" s="2243"/>
      <c r="AX150" s="2243"/>
      <c r="AY150" s="2243"/>
      <c r="AZ150" s="2243"/>
      <c r="BA150" s="2243"/>
      <c r="BB150" s="2243"/>
      <c r="BC150" s="2243"/>
      <c r="BD150" s="2243"/>
      <c r="BE150" s="2226"/>
      <c r="BF150" s="2226"/>
      <c r="BG150" s="2226"/>
      <c r="BH150" s="2226"/>
      <c r="BI150" s="2226"/>
      <c r="BJ150" s="2226"/>
      <c r="BK150" s="2226"/>
      <c r="BL150" s="2226"/>
      <c r="BM150" s="2226"/>
      <c r="BN150" s="2226"/>
      <c r="BO150" s="2226"/>
      <c r="BP150" s="2226"/>
      <c r="BQ150" s="2188">
        <f t="shared" si="129"/>
        <v>0</v>
      </c>
      <c r="BS150" s="1845" t="s">
        <v>76</v>
      </c>
      <c r="BT150" s="1846">
        <f t="shared" si="130"/>
        <v>0</v>
      </c>
      <c r="BU150" s="2225"/>
      <c r="BV150" s="2225"/>
      <c r="BW150" s="2225"/>
      <c r="BX150" s="2225"/>
      <c r="BY150" s="2225"/>
      <c r="BZ150" s="2225"/>
      <c r="CA150" s="2225"/>
      <c r="CB150" s="2225"/>
      <c r="CC150" s="2225"/>
      <c r="CD150" s="2225"/>
      <c r="CE150" s="2225"/>
      <c r="CF150" s="2225"/>
      <c r="CG150" s="2224"/>
      <c r="CH150" s="2224"/>
      <c r="CI150" s="2224"/>
      <c r="CJ150" s="2224"/>
      <c r="CK150" s="2224"/>
      <c r="CL150" s="2224"/>
      <c r="CM150" s="2224"/>
      <c r="CN150" s="2224"/>
      <c r="CO150" s="2224"/>
      <c r="CP150" s="2224"/>
      <c r="CQ150" s="2181"/>
      <c r="CR150" s="2181"/>
      <c r="CS150" s="2181"/>
      <c r="CT150" s="2181"/>
      <c r="CU150" s="2181"/>
      <c r="CV150" s="2181"/>
      <c r="CW150" s="2181"/>
      <c r="CX150" s="2181"/>
      <c r="CY150" s="2181"/>
      <c r="CZ150" s="2180">
        <f t="shared" si="131"/>
        <v>0</v>
      </c>
      <c r="DB150" s="1249" t="s">
        <v>76</v>
      </c>
      <c r="DC150" s="1287">
        <f t="shared" si="132"/>
        <v>0</v>
      </c>
      <c r="DD150" s="1761"/>
      <c r="DE150" s="1762"/>
      <c r="DF150" s="1762"/>
      <c r="DG150" s="1762"/>
      <c r="DH150" s="1762"/>
      <c r="DI150" s="1762"/>
      <c r="DJ150" s="1762"/>
      <c r="DK150" s="1762"/>
      <c r="DL150" s="1762"/>
      <c r="DM150" s="1762"/>
      <c r="DN150" s="1762"/>
      <c r="DO150" s="1762"/>
      <c r="DP150" s="1762"/>
      <c r="DQ150" s="1762"/>
      <c r="DR150" s="1762"/>
      <c r="DS150" s="1762"/>
      <c r="DT150" s="1762"/>
      <c r="DU150" s="1762"/>
      <c r="DV150" s="1762"/>
      <c r="DW150" s="1762"/>
      <c r="DX150" s="1762"/>
      <c r="DY150" s="1762"/>
      <c r="DZ150" s="1761"/>
      <c r="EA150" s="1761"/>
      <c r="EB150" s="1761"/>
      <c r="EC150" s="1761"/>
      <c r="ED150" s="1761"/>
      <c r="EE150" s="1761"/>
      <c r="EF150" s="1761"/>
      <c r="EG150" s="1761"/>
      <c r="EH150" s="1761"/>
      <c r="EI150" s="1488">
        <f t="shared" si="133"/>
        <v>0</v>
      </c>
    </row>
    <row r="151" spans="1:139" ht="15.75">
      <c r="A151" s="1233" t="s">
        <v>77</v>
      </c>
      <c r="B151" s="1280">
        <f t="shared" si="126"/>
        <v>0</v>
      </c>
      <c r="C151" s="2329"/>
      <c r="D151" s="2329"/>
      <c r="E151" s="2330"/>
      <c r="F151" s="2331"/>
      <c r="G151" s="2332"/>
      <c r="H151" s="2333"/>
      <c r="I151" s="2333"/>
      <c r="J151" s="2329"/>
      <c r="K151" s="2329"/>
      <c r="L151" s="2329"/>
      <c r="M151" s="2329"/>
      <c r="N151" s="2329"/>
      <c r="O151" s="2329"/>
      <c r="P151" s="2333"/>
      <c r="Q151" s="2333"/>
      <c r="R151" s="2333"/>
      <c r="S151" s="2333"/>
      <c r="T151" s="2333"/>
      <c r="U151" s="2333"/>
      <c r="V151" s="2333"/>
      <c r="W151" s="2333"/>
      <c r="X151" s="2333"/>
      <c r="Y151" s="2333"/>
      <c r="Z151" s="2333"/>
      <c r="AA151" s="2333"/>
      <c r="AB151" s="2333"/>
      <c r="AC151" s="2333"/>
      <c r="AD151" s="2333"/>
      <c r="AE151" s="2334"/>
      <c r="AF151" s="2329"/>
      <c r="AG151" s="2329"/>
      <c r="AH151" s="2327">
        <f t="shared" si="127"/>
        <v>0</v>
      </c>
      <c r="AJ151" s="1746" t="s">
        <v>77</v>
      </c>
      <c r="AK151" s="1749">
        <f t="shared" si="128"/>
        <v>0</v>
      </c>
      <c r="AL151" s="2232"/>
      <c r="AM151" s="2232"/>
      <c r="AN151" s="2242"/>
      <c r="AO151" s="2241"/>
      <c r="AP151" s="2240"/>
      <c r="AQ151" s="2233"/>
      <c r="AR151" s="2233"/>
      <c r="AS151" s="2232"/>
      <c r="AT151" s="2232"/>
      <c r="AU151" s="2232"/>
      <c r="AV151" s="2232"/>
      <c r="AW151" s="2232"/>
      <c r="AX151" s="2232"/>
      <c r="AY151" s="2233"/>
      <c r="AZ151" s="2233"/>
      <c r="BA151" s="2233"/>
      <c r="BB151" s="2233"/>
      <c r="BC151" s="2233"/>
      <c r="BD151" s="2233"/>
      <c r="BE151" s="2226"/>
      <c r="BF151" s="2226"/>
      <c r="BG151" s="2226"/>
      <c r="BH151" s="2226"/>
      <c r="BI151" s="2226"/>
      <c r="BJ151" s="2226"/>
      <c r="BK151" s="2226"/>
      <c r="BL151" s="2226"/>
      <c r="BM151" s="2226"/>
      <c r="BN151" s="2226"/>
      <c r="BO151" s="2226"/>
      <c r="BP151" s="2226"/>
      <c r="BQ151" s="2188">
        <f t="shared" si="129"/>
        <v>0</v>
      </c>
      <c r="BS151" s="1845" t="s">
        <v>77</v>
      </c>
      <c r="BT151" s="1846">
        <f t="shared" si="130"/>
        <v>0</v>
      </c>
      <c r="BU151" s="2225"/>
      <c r="BV151" s="2225"/>
      <c r="BW151" s="2225"/>
      <c r="BX151" s="2225"/>
      <c r="BY151" s="2225"/>
      <c r="BZ151" s="2225"/>
      <c r="CA151" s="2225"/>
      <c r="CB151" s="2225"/>
      <c r="CC151" s="2225"/>
      <c r="CD151" s="2225"/>
      <c r="CE151" s="2225"/>
      <c r="CF151" s="2225"/>
      <c r="CG151" s="2216"/>
      <c r="CH151" s="2217"/>
      <c r="CI151" s="2217"/>
      <c r="CJ151" s="2217"/>
      <c r="CK151" s="2217"/>
      <c r="CL151" s="2217"/>
      <c r="CM151" s="2217"/>
      <c r="CN151" s="2217"/>
      <c r="CO151" s="2217"/>
      <c r="CP151" s="2217"/>
      <c r="CQ151" s="2217"/>
      <c r="CR151" s="2217"/>
      <c r="CS151" s="2217"/>
      <c r="CT151" s="2217"/>
      <c r="CU151" s="2217"/>
      <c r="CV151" s="2217"/>
      <c r="CW151" s="2222"/>
      <c r="CX151" s="2216"/>
      <c r="CY151" s="2216"/>
      <c r="CZ151" s="2180">
        <f t="shared" si="131"/>
        <v>0</v>
      </c>
      <c r="DB151" s="1249" t="s">
        <v>77</v>
      </c>
      <c r="DC151" s="1287">
        <f t="shared" si="132"/>
        <v>0</v>
      </c>
      <c r="DD151" s="2279"/>
      <c r="DE151" s="2279"/>
      <c r="DF151" s="2290"/>
      <c r="DG151" s="2289"/>
      <c r="DH151" s="2288"/>
      <c r="DI151" s="2280"/>
      <c r="DJ151" s="2280"/>
      <c r="DK151" s="2279"/>
      <c r="DL151" s="2279"/>
      <c r="DM151" s="2279"/>
      <c r="DN151" s="2279"/>
      <c r="DO151" s="2279"/>
      <c r="DP151" s="2279"/>
      <c r="DQ151" s="2280"/>
      <c r="DR151" s="2280"/>
      <c r="DS151" s="2280"/>
      <c r="DT151" s="2280"/>
      <c r="DU151" s="2280"/>
      <c r="DV151" s="2280"/>
      <c r="DW151" s="2280"/>
      <c r="DX151" s="2280"/>
      <c r="DY151" s="2280"/>
      <c r="DZ151" s="2280"/>
      <c r="EA151" s="2280"/>
      <c r="EB151" s="2280"/>
      <c r="EC151" s="2280"/>
      <c r="ED151" s="2280"/>
      <c r="EE151" s="2280"/>
      <c r="EF151" s="2287"/>
      <c r="EG151" s="2279"/>
      <c r="EH151" s="2279"/>
      <c r="EI151" s="1488">
        <f t="shared" si="133"/>
        <v>0</v>
      </c>
    </row>
    <row r="152" spans="1:139" ht="15">
      <c r="A152" s="1233" t="s">
        <v>78</v>
      </c>
      <c r="B152" s="1280">
        <f t="shared" si="126"/>
        <v>0</v>
      </c>
      <c r="C152" s="2335"/>
      <c r="D152" s="1933"/>
      <c r="E152" s="2336"/>
      <c r="F152" s="2337"/>
      <c r="G152" s="2338"/>
      <c r="H152" s="2339"/>
      <c r="I152" s="2333"/>
      <c r="J152" s="2333"/>
      <c r="K152" s="2333"/>
      <c r="L152" s="2333"/>
      <c r="M152" s="2329"/>
      <c r="N152" s="2329"/>
      <c r="O152" s="2329"/>
      <c r="P152" s="2329"/>
      <c r="Q152" s="2333"/>
      <c r="R152" s="2333"/>
      <c r="S152" s="2333"/>
      <c r="T152" s="2333"/>
      <c r="U152" s="2329"/>
      <c r="V152" s="2333"/>
      <c r="W152" s="2333"/>
      <c r="X152" s="2333"/>
      <c r="Y152" s="2333"/>
      <c r="Z152" s="2333"/>
      <c r="AA152" s="2333"/>
      <c r="AB152" s="2333"/>
      <c r="AC152" s="2329"/>
      <c r="AD152" s="2333"/>
      <c r="AE152" s="2333"/>
      <c r="AF152" s="2329"/>
      <c r="AG152" s="2329"/>
      <c r="AH152" s="2327">
        <f t="shared" si="127"/>
        <v>0</v>
      </c>
      <c r="AJ152" s="1746" t="s">
        <v>78</v>
      </c>
      <c r="AK152" s="1749">
        <f t="shared" si="128"/>
        <v>0</v>
      </c>
      <c r="AL152" s="2239"/>
      <c r="AM152" s="2238"/>
      <c r="AN152" s="2237"/>
      <c r="AO152" s="2236"/>
      <c r="AP152" s="2235"/>
      <c r="AQ152" s="2234"/>
      <c r="AR152" s="2233"/>
      <c r="AS152" s="2233"/>
      <c r="AT152" s="2233"/>
      <c r="AU152" s="2233"/>
      <c r="AV152" s="2232"/>
      <c r="AW152" s="2232"/>
      <c r="AX152" s="2232"/>
      <c r="AY152" s="2232"/>
      <c r="AZ152" s="2233"/>
      <c r="BA152" s="2233"/>
      <c r="BB152" s="2233"/>
      <c r="BC152" s="2233"/>
      <c r="BD152" s="2232"/>
      <c r="BE152" s="2231"/>
      <c r="BF152" s="2231"/>
      <c r="BG152" s="2231"/>
      <c r="BH152" s="2231"/>
      <c r="BI152" s="2231"/>
      <c r="BJ152" s="2231"/>
      <c r="BK152" s="2231"/>
      <c r="BL152" s="2231"/>
      <c r="BM152" s="2231"/>
      <c r="BN152" s="2231"/>
      <c r="BO152" s="2226"/>
      <c r="BP152" s="2226"/>
      <c r="BQ152" s="2188">
        <f t="shared" si="129"/>
        <v>0</v>
      </c>
      <c r="BS152" s="1845" t="s">
        <v>78</v>
      </c>
      <c r="BT152" s="1846">
        <f t="shared" si="130"/>
        <v>0</v>
      </c>
      <c r="BU152" s="2230"/>
      <c r="BV152" s="2230"/>
      <c r="BW152" s="2230"/>
      <c r="BX152" s="2230"/>
      <c r="BY152" s="2230"/>
      <c r="BZ152" s="2230"/>
      <c r="CA152" s="2230"/>
      <c r="CB152" s="2230"/>
      <c r="CC152" s="2230"/>
      <c r="CD152" s="2230"/>
      <c r="CE152" s="2225"/>
      <c r="CF152" s="2225"/>
      <c r="CG152" s="2216"/>
      <c r="CH152" s="2216"/>
      <c r="CI152" s="2217"/>
      <c r="CJ152" s="2217"/>
      <c r="CK152" s="2217"/>
      <c r="CL152" s="2217"/>
      <c r="CM152" s="2216"/>
      <c r="CN152" s="2217"/>
      <c r="CO152" s="2217"/>
      <c r="CP152" s="2217"/>
      <c r="CQ152" s="2217"/>
      <c r="CR152" s="2217"/>
      <c r="CS152" s="2217"/>
      <c r="CT152" s="2217"/>
      <c r="CU152" s="2216"/>
      <c r="CV152" s="2217"/>
      <c r="CW152" s="2217"/>
      <c r="CX152" s="2216"/>
      <c r="CY152" s="2216"/>
      <c r="CZ152" s="2180">
        <f t="shared" si="131"/>
        <v>0</v>
      </c>
      <c r="DB152" s="1249" t="s">
        <v>78</v>
      </c>
      <c r="DC152" s="1287">
        <f t="shared" si="132"/>
        <v>0</v>
      </c>
      <c r="DD152" s="2285"/>
      <c r="DE152" s="1393"/>
      <c r="DF152" s="2284"/>
      <c r="DG152" s="2283"/>
      <c r="DH152" s="2282"/>
      <c r="DI152" s="2281"/>
      <c r="DJ152" s="2280"/>
      <c r="DK152" s="2280"/>
      <c r="DL152" s="2280"/>
      <c r="DM152" s="2280"/>
      <c r="DN152" s="2279"/>
      <c r="DO152" s="2279"/>
      <c r="DP152" s="2279"/>
      <c r="DQ152" s="2279"/>
      <c r="DR152" s="2280"/>
      <c r="DS152" s="2280"/>
      <c r="DT152" s="2280"/>
      <c r="DU152" s="2280"/>
      <c r="DV152" s="2279"/>
      <c r="DW152" s="2280"/>
      <c r="DX152" s="2280"/>
      <c r="DY152" s="2280"/>
      <c r="DZ152" s="2280"/>
      <c r="EA152" s="2280"/>
      <c r="EB152" s="2280"/>
      <c r="EC152" s="2280"/>
      <c r="ED152" s="2279"/>
      <c r="EE152" s="2280"/>
      <c r="EF152" s="2280"/>
      <c r="EG152" s="2279"/>
      <c r="EH152" s="2279"/>
      <c r="EI152" s="1488">
        <f t="shared" si="133"/>
        <v>0</v>
      </c>
    </row>
    <row r="153" spans="1:139" ht="15">
      <c r="A153" s="1233" t="s">
        <v>79</v>
      </c>
      <c r="B153" s="1280">
        <f t="shared" si="126"/>
        <v>0</v>
      </c>
      <c r="C153" s="2326"/>
      <c r="D153" s="2326"/>
      <c r="E153" s="2326"/>
      <c r="F153" s="2326"/>
      <c r="G153" s="2326"/>
      <c r="H153" s="2326"/>
      <c r="I153" s="2326"/>
      <c r="J153" s="2326"/>
      <c r="K153" s="2326"/>
      <c r="L153" s="2326"/>
      <c r="M153" s="2326"/>
      <c r="N153" s="2326"/>
      <c r="O153" s="2326"/>
      <c r="P153" s="2326"/>
      <c r="Q153" s="2326"/>
      <c r="R153" s="2326"/>
      <c r="S153" s="2326"/>
      <c r="T153" s="2326"/>
      <c r="U153" s="2326"/>
      <c r="V153" s="2326"/>
      <c r="W153" s="2326"/>
      <c r="X153" s="2326"/>
      <c r="Y153" s="2326"/>
      <c r="Z153" s="2326"/>
      <c r="AA153" s="2326"/>
      <c r="AB153" s="2326"/>
      <c r="AC153" s="2326"/>
      <c r="AD153" s="2326"/>
      <c r="AE153" s="2326"/>
      <c r="AF153" s="2326"/>
      <c r="AG153" s="2326"/>
      <c r="AH153" s="2327">
        <f t="shared" si="127"/>
        <v>0</v>
      </c>
      <c r="AJ153" s="1746" t="s">
        <v>79</v>
      </c>
      <c r="AK153" s="1749">
        <f t="shared" si="128"/>
        <v>0</v>
      </c>
      <c r="AL153" s="2189"/>
      <c r="AM153" s="2189"/>
      <c r="AN153" s="2189"/>
      <c r="AO153" s="2189"/>
      <c r="AP153" s="2189"/>
      <c r="AQ153" s="2189"/>
      <c r="AR153" s="2189"/>
      <c r="AS153" s="2189"/>
      <c r="AT153" s="2189"/>
      <c r="AU153" s="2189"/>
      <c r="AV153" s="2189"/>
      <c r="AW153" s="2189"/>
      <c r="AX153" s="2189"/>
      <c r="AY153" s="2189"/>
      <c r="AZ153" s="2189"/>
      <c r="BA153" s="2189"/>
      <c r="BB153" s="2189"/>
      <c r="BC153" s="2189"/>
      <c r="BD153" s="2189"/>
      <c r="BE153" s="2231"/>
      <c r="BF153" s="2231"/>
      <c r="BG153" s="2231"/>
      <c r="BH153" s="2226"/>
      <c r="BI153" s="2231"/>
      <c r="BJ153" s="2226"/>
      <c r="BK153" s="2231"/>
      <c r="BL153" s="2226"/>
      <c r="BM153" s="2231"/>
      <c r="BN153" s="2231"/>
      <c r="BO153" s="2231"/>
      <c r="BP153" s="2231"/>
      <c r="BQ153" s="2188">
        <f t="shared" si="129"/>
        <v>0</v>
      </c>
      <c r="BS153" s="1845" t="s">
        <v>79</v>
      </c>
      <c r="BT153" s="1846">
        <f t="shared" si="130"/>
        <v>0</v>
      </c>
      <c r="BU153" s="2230"/>
      <c r="BV153" s="2230"/>
      <c r="BW153" s="2230"/>
      <c r="BX153" s="2225"/>
      <c r="BY153" s="2230"/>
      <c r="BZ153" s="2225"/>
      <c r="CA153" s="2230"/>
      <c r="CB153" s="2225"/>
      <c r="CC153" s="2230"/>
      <c r="CD153" s="2230"/>
      <c r="CE153" s="2230"/>
      <c r="CF153" s="2230"/>
      <c r="CG153" s="2181"/>
      <c r="CH153" s="2181"/>
      <c r="CI153" s="2181"/>
      <c r="CJ153" s="2181"/>
      <c r="CK153" s="2181"/>
      <c r="CL153" s="2181"/>
      <c r="CM153" s="2181"/>
      <c r="CN153" s="2181"/>
      <c r="CO153" s="2181"/>
      <c r="CP153" s="2181"/>
      <c r="CQ153" s="2181"/>
      <c r="CR153" s="2181"/>
      <c r="CS153" s="2181"/>
      <c r="CT153" s="2181"/>
      <c r="CU153" s="2181"/>
      <c r="CV153" s="2181"/>
      <c r="CW153" s="2181"/>
      <c r="CX153" s="2181"/>
      <c r="CY153" s="2181"/>
      <c r="CZ153" s="2180">
        <f t="shared" si="131"/>
        <v>0</v>
      </c>
      <c r="DB153" s="1249" t="s">
        <v>79</v>
      </c>
      <c r="DC153" s="1287">
        <f t="shared" si="132"/>
        <v>0</v>
      </c>
      <c r="DD153" s="1761"/>
      <c r="DE153" s="1761"/>
      <c r="DF153" s="1761"/>
      <c r="DG153" s="1761"/>
      <c r="DH153" s="1761"/>
      <c r="DI153" s="1761"/>
      <c r="DJ153" s="1761"/>
      <c r="DK153" s="1761"/>
      <c r="DL153" s="1761"/>
      <c r="DM153" s="1761"/>
      <c r="DN153" s="1761"/>
      <c r="DO153" s="1761"/>
      <c r="DP153" s="1761"/>
      <c r="DQ153" s="1761"/>
      <c r="DR153" s="1761"/>
      <c r="DS153" s="1761"/>
      <c r="DT153" s="1761"/>
      <c r="DU153" s="1761"/>
      <c r="DV153" s="1761"/>
      <c r="DW153" s="1761"/>
      <c r="DX153" s="1761"/>
      <c r="DY153" s="1761"/>
      <c r="DZ153" s="1761"/>
      <c r="EA153" s="1761"/>
      <c r="EB153" s="1761"/>
      <c r="EC153" s="1761"/>
      <c r="ED153" s="1761"/>
      <c r="EE153" s="1761"/>
      <c r="EF153" s="1761"/>
      <c r="EG153" s="1761"/>
      <c r="EH153" s="1761"/>
      <c r="EI153" s="1488">
        <f t="shared" si="133"/>
        <v>0</v>
      </c>
    </row>
    <row r="154" spans="1:139" ht="15">
      <c r="A154" s="1233" t="s">
        <v>80</v>
      </c>
      <c r="B154" s="1280">
        <f t="shared" si="126"/>
        <v>0</v>
      </c>
      <c r="C154" s="2326"/>
      <c r="D154" s="2326"/>
      <c r="E154" s="2326"/>
      <c r="F154" s="2326"/>
      <c r="G154" s="2326"/>
      <c r="H154" s="2326"/>
      <c r="I154" s="2326"/>
      <c r="J154" s="2326"/>
      <c r="K154" s="2326"/>
      <c r="L154" s="2326"/>
      <c r="M154" s="2326"/>
      <c r="N154" s="2326"/>
      <c r="O154" s="2326"/>
      <c r="P154" s="2326"/>
      <c r="Q154" s="2326"/>
      <c r="R154" s="2326"/>
      <c r="S154" s="2326"/>
      <c r="T154" s="2326"/>
      <c r="U154" s="2326"/>
      <c r="V154" s="2326"/>
      <c r="W154" s="2326"/>
      <c r="X154" s="2326"/>
      <c r="Y154" s="2326"/>
      <c r="Z154" s="2326"/>
      <c r="AA154" s="2326"/>
      <c r="AB154" s="2326"/>
      <c r="AC154" s="2326"/>
      <c r="AD154" s="2326"/>
      <c r="AE154" s="2326"/>
      <c r="AF154" s="2326"/>
      <c r="AG154" s="2326"/>
      <c r="AH154" s="2327">
        <f t="shared" si="127"/>
        <v>0</v>
      </c>
      <c r="AJ154" s="1746" t="s">
        <v>80</v>
      </c>
      <c r="AK154" s="1749">
        <f t="shared" si="128"/>
        <v>0</v>
      </c>
      <c r="AL154" s="2189"/>
      <c r="AM154" s="2189"/>
      <c r="AN154" s="2189"/>
      <c r="AO154" s="2189"/>
      <c r="AP154" s="2189"/>
      <c r="AQ154" s="2189"/>
      <c r="AR154" s="2189"/>
      <c r="AS154" s="2189"/>
      <c r="AT154" s="2189"/>
      <c r="AU154" s="2189"/>
      <c r="AV154" s="2189"/>
      <c r="AW154" s="2189"/>
      <c r="AX154" s="2189"/>
      <c r="AY154" s="2189"/>
      <c r="AZ154" s="2189"/>
      <c r="BA154" s="2189"/>
      <c r="BB154" s="2189"/>
      <c r="BC154" s="2189"/>
      <c r="BD154" s="2189"/>
      <c r="BE154" s="2231"/>
      <c r="BF154" s="2231"/>
      <c r="BG154" s="2231"/>
      <c r="BH154" s="2231"/>
      <c r="BI154" s="2231"/>
      <c r="BJ154" s="2231"/>
      <c r="BK154" s="2231"/>
      <c r="BL154" s="2231"/>
      <c r="BM154" s="2231"/>
      <c r="BN154" s="2231"/>
      <c r="BO154" s="2231"/>
      <c r="BP154" s="2226"/>
      <c r="BQ154" s="2188">
        <f t="shared" si="129"/>
        <v>0</v>
      </c>
      <c r="BS154" s="1845" t="s">
        <v>80</v>
      </c>
      <c r="BT154" s="1846">
        <f t="shared" si="130"/>
        <v>0</v>
      </c>
      <c r="BU154" s="2230"/>
      <c r="BV154" s="2230"/>
      <c r="BW154" s="2230"/>
      <c r="BX154" s="2230"/>
      <c r="BY154" s="2230"/>
      <c r="BZ154" s="2230"/>
      <c r="CA154" s="2230"/>
      <c r="CB154" s="2230"/>
      <c r="CC154" s="2230"/>
      <c r="CD154" s="2230"/>
      <c r="CE154" s="2230"/>
      <c r="CF154" s="2225"/>
      <c r="CG154" s="2181"/>
      <c r="CH154" s="2181"/>
      <c r="CI154" s="2181"/>
      <c r="CJ154" s="2181"/>
      <c r="CK154" s="2181"/>
      <c r="CL154" s="2181"/>
      <c r="CM154" s="2181"/>
      <c r="CN154" s="2181"/>
      <c r="CO154" s="2181"/>
      <c r="CP154" s="2181"/>
      <c r="CQ154" s="2181"/>
      <c r="CR154" s="2181"/>
      <c r="CS154" s="2181"/>
      <c r="CT154" s="2181"/>
      <c r="CU154" s="2181"/>
      <c r="CV154" s="2181"/>
      <c r="CW154" s="2181"/>
      <c r="CX154" s="2181"/>
      <c r="CY154" s="2181"/>
      <c r="CZ154" s="2180">
        <f t="shared" si="131"/>
        <v>0</v>
      </c>
      <c r="DB154" s="1249" t="s">
        <v>80</v>
      </c>
      <c r="DC154" s="1287">
        <f t="shared" si="132"/>
        <v>0</v>
      </c>
      <c r="DD154" s="1761"/>
      <c r="DE154" s="1761"/>
      <c r="DF154" s="1761"/>
      <c r="DG154" s="1761"/>
      <c r="DH154" s="1761"/>
      <c r="DI154" s="1761"/>
      <c r="DJ154" s="1761"/>
      <c r="DK154" s="1761"/>
      <c r="DL154" s="1761"/>
      <c r="DM154" s="1761"/>
      <c r="DN154" s="1761"/>
      <c r="DO154" s="1761"/>
      <c r="DP154" s="1761"/>
      <c r="DQ154" s="1761"/>
      <c r="DR154" s="1761"/>
      <c r="DS154" s="1761"/>
      <c r="DT154" s="1761"/>
      <c r="DU154" s="1761"/>
      <c r="DV154" s="1761"/>
      <c r="DW154" s="1761"/>
      <c r="DX154" s="1761"/>
      <c r="DY154" s="1761"/>
      <c r="DZ154" s="1761"/>
      <c r="EA154" s="1761"/>
      <c r="EB154" s="1761"/>
      <c r="EC154" s="1761"/>
      <c r="ED154" s="1761"/>
      <c r="EE154" s="1761"/>
      <c r="EF154" s="1761"/>
      <c r="EG154" s="1761"/>
      <c r="EH154" s="1761"/>
      <c r="EI154" s="1488">
        <f t="shared" si="133"/>
        <v>0</v>
      </c>
    </row>
    <row r="155" spans="1:139" ht="15">
      <c r="A155" s="1233" t="s">
        <v>81</v>
      </c>
      <c r="B155" s="1280">
        <f t="shared" si="126"/>
        <v>0</v>
      </c>
      <c r="C155" s="2326"/>
      <c r="D155" s="2326"/>
      <c r="E155" s="2326"/>
      <c r="F155" s="2326"/>
      <c r="G155" s="2326"/>
      <c r="H155" s="2326"/>
      <c r="I155" s="2326"/>
      <c r="J155" s="2326"/>
      <c r="K155" s="2326"/>
      <c r="L155" s="2326"/>
      <c r="M155" s="2326"/>
      <c r="N155" s="2326"/>
      <c r="O155" s="2326"/>
      <c r="P155" s="2326"/>
      <c r="Q155" s="2326"/>
      <c r="R155" s="2326"/>
      <c r="S155" s="2326"/>
      <c r="T155" s="2326"/>
      <c r="U155" s="2326"/>
      <c r="V155" s="2326"/>
      <c r="W155" s="2326"/>
      <c r="X155" s="2326"/>
      <c r="Y155" s="2326"/>
      <c r="Z155" s="2326"/>
      <c r="AA155" s="2326"/>
      <c r="AB155" s="2326"/>
      <c r="AC155" s="2326"/>
      <c r="AD155" s="2326"/>
      <c r="AE155" s="2326"/>
      <c r="AF155" s="2326"/>
      <c r="AG155" s="2326"/>
      <c r="AH155" s="2327">
        <f t="shared" si="127"/>
        <v>0</v>
      </c>
      <c r="AJ155" s="1746" t="s">
        <v>81</v>
      </c>
      <c r="AK155" s="1749">
        <f t="shared" si="128"/>
        <v>0</v>
      </c>
      <c r="AL155" s="2189"/>
      <c r="AM155" s="2189"/>
      <c r="AN155" s="2189"/>
      <c r="AO155" s="2189"/>
      <c r="AP155" s="2189"/>
      <c r="AQ155" s="2189"/>
      <c r="AR155" s="2189"/>
      <c r="AS155" s="2189"/>
      <c r="AT155" s="2189"/>
      <c r="AU155" s="2189"/>
      <c r="AV155" s="2189"/>
      <c r="AW155" s="2189"/>
      <c r="AX155" s="2189"/>
      <c r="AY155" s="2189"/>
      <c r="AZ155" s="2189"/>
      <c r="BA155" s="2189"/>
      <c r="BB155" s="2189"/>
      <c r="BC155" s="2189"/>
      <c r="BD155" s="2189"/>
      <c r="BE155" s="2231"/>
      <c r="BF155" s="2231"/>
      <c r="BG155" s="2231"/>
      <c r="BH155" s="2231"/>
      <c r="BI155" s="2231"/>
      <c r="BJ155" s="2231"/>
      <c r="BK155" s="2231"/>
      <c r="BL155" s="2231"/>
      <c r="BM155" s="2231"/>
      <c r="BN155" s="2231"/>
      <c r="BO155" s="2231"/>
      <c r="BP155" s="2231"/>
      <c r="BQ155" s="2188">
        <f t="shared" si="129"/>
        <v>0</v>
      </c>
      <c r="BS155" s="1845" t="s">
        <v>81</v>
      </c>
      <c r="BT155" s="1846">
        <f t="shared" si="130"/>
        <v>0</v>
      </c>
      <c r="BU155" s="2230"/>
      <c r="BV155" s="2230"/>
      <c r="BW155" s="2230"/>
      <c r="BX155" s="2230"/>
      <c r="BY155" s="2230"/>
      <c r="BZ155" s="2230"/>
      <c r="CA155" s="2230"/>
      <c r="CB155" s="2230"/>
      <c r="CC155" s="2230"/>
      <c r="CD155" s="2230"/>
      <c r="CE155" s="2230"/>
      <c r="CF155" s="2230"/>
      <c r="CG155" s="2181"/>
      <c r="CH155" s="2181"/>
      <c r="CI155" s="2181"/>
      <c r="CJ155" s="2181"/>
      <c r="CK155" s="2181"/>
      <c r="CL155" s="2181"/>
      <c r="CM155" s="2181"/>
      <c r="CN155" s="2181"/>
      <c r="CO155" s="2181"/>
      <c r="CP155" s="2181"/>
      <c r="CQ155" s="2181"/>
      <c r="CR155" s="2181"/>
      <c r="CS155" s="2181"/>
      <c r="CT155" s="2181"/>
      <c r="CU155" s="2181"/>
      <c r="CV155" s="2181"/>
      <c r="CW155" s="2181"/>
      <c r="CX155" s="2181"/>
      <c r="CY155" s="2181"/>
      <c r="CZ155" s="2180">
        <f t="shared" si="131"/>
        <v>0</v>
      </c>
      <c r="DB155" s="1249" t="s">
        <v>81</v>
      </c>
      <c r="DC155" s="1287">
        <f t="shared" si="132"/>
        <v>0</v>
      </c>
      <c r="DD155" s="1761"/>
      <c r="DE155" s="1761"/>
      <c r="DF155" s="1761"/>
      <c r="DG155" s="1761"/>
      <c r="DH155" s="1761"/>
      <c r="DI155" s="1761"/>
      <c r="DJ155" s="1761"/>
      <c r="DK155" s="1761"/>
      <c r="DL155" s="1761"/>
      <c r="DM155" s="1761"/>
      <c r="DN155" s="1761"/>
      <c r="DO155" s="1761"/>
      <c r="DP155" s="1761"/>
      <c r="DQ155" s="1761"/>
      <c r="DR155" s="1761"/>
      <c r="DS155" s="1761"/>
      <c r="DT155" s="1761"/>
      <c r="DU155" s="1761"/>
      <c r="DV155" s="1761"/>
      <c r="DW155" s="1761"/>
      <c r="DX155" s="1761"/>
      <c r="DY155" s="1761"/>
      <c r="DZ155" s="1761"/>
      <c r="EA155" s="1761"/>
      <c r="EB155" s="1761"/>
      <c r="EC155" s="1761"/>
      <c r="ED155" s="1761"/>
      <c r="EE155" s="1761"/>
      <c r="EF155" s="1761"/>
      <c r="EG155" s="1761"/>
      <c r="EH155" s="1761"/>
      <c r="EI155" s="1488">
        <f t="shared" si="133"/>
        <v>0</v>
      </c>
    </row>
    <row r="156" spans="1:139" ht="15">
      <c r="A156" s="1233" t="s">
        <v>82</v>
      </c>
      <c r="B156" s="1280">
        <f t="shared" si="126"/>
        <v>0</v>
      </c>
      <c r="C156" s="2326"/>
      <c r="D156" s="2326"/>
      <c r="E156" s="2326"/>
      <c r="F156" s="2326"/>
      <c r="G156" s="2326"/>
      <c r="H156" s="2326"/>
      <c r="I156" s="2326"/>
      <c r="J156" s="2326"/>
      <c r="K156" s="2326"/>
      <c r="L156" s="2326"/>
      <c r="M156" s="2326"/>
      <c r="N156" s="2326"/>
      <c r="O156" s="2326"/>
      <c r="P156" s="2326"/>
      <c r="Q156" s="2326"/>
      <c r="R156" s="2326"/>
      <c r="S156" s="2326"/>
      <c r="T156" s="2326"/>
      <c r="U156" s="2326"/>
      <c r="V156" s="2326"/>
      <c r="W156" s="2326"/>
      <c r="X156" s="2326"/>
      <c r="Y156" s="2326"/>
      <c r="Z156" s="2326"/>
      <c r="AA156" s="2326"/>
      <c r="AB156" s="2326"/>
      <c r="AC156" s="2326"/>
      <c r="AD156" s="2326"/>
      <c r="AE156" s="2326"/>
      <c r="AF156" s="2326"/>
      <c r="AG156" s="2326"/>
      <c r="AH156" s="2327">
        <f t="shared" si="127"/>
        <v>0</v>
      </c>
      <c r="AJ156" s="1746" t="s">
        <v>82</v>
      </c>
      <c r="AK156" s="1749">
        <f t="shared" si="128"/>
        <v>0</v>
      </c>
      <c r="AL156" s="2189"/>
      <c r="AM156" s="2189"/>
      <c r="AN156" s="2189"/>
      <c r="AO156" s="2189"/>
      <c r="AP156" s="2189"/>
      <c r="AQ156" s="2189"/>
      <c r="AR156" s="2189"/>
      <c r="AS156" s="2189"/>
      <c r="AT156" s="2189"/>
      <c r="AU156" s="2189"/>
      <c r="AV156" s="2189"/>
      <c r="AW156" s="2189"/>
      <c r="AX156" s="2189"/>
      <c r="AY156" s="2189"/>
      <c r="AZ156" s="2189"/>
      <c r="BA156" s="2189"/>
      <c r="BB156" s="2189"/>
      <c r="BC156" s="2189"/>
      <c r="BD156" s="2189"/>
      <c r="BE156" s="2226"/>
      <c r="BF156" s="2229"/>
      <c r="BG156" s="2226"/>
      <c r="BH156" s="2226"/>
      <c r="BI156" s="2226"/>
      <c r="BJ156" s="2226"/>
      <c r="BK156" s="2226"/>
      <c r="BL156" s="2226"/>
      <c r="BM156" s="2226"/>
      <c r="BN156" s="2226"/>
      <c r="BO156" s="2226"/>
      <c r="BP156" s="2226"/>
      <c r="BQ156" s="2188">
        <f t="shared" si="129"/>
        <v>0</v>
      </c>
      <c r="BS156" s="1845" t="s">
        <v>82</v>
      </c>
      <c r="BT156" s="1846">
        <f t="shared" si="130"/>
        <v>0</v>
      </c>
      <c r="BU156" s="2225"/>
      <c r="BV156" s="2228"/>
      <c r="BW156" s="2225"/>
      <c r="BX156" s="2225"/>
      <c r="BY156" s="2225"/>
      <c r="BZ156" s="2225"/>
      <c r="CA156" s="2225"/>
      <c r="CB156" s="2225"/>
      <c r="CC156" s="2225"/>
      <c r="CD156" s="2225"/>
      <c r="CE156" s="2225"/>
      <c r="CF156" s="2225"/>
      <c r="CG156" s="2181"/>
      <c r="CH156" s="2181"/>
      <c r="CI156" s="2181"/>
      <c r="CJ156" s="2181"/>
      <c r="CK156" s="2181"/>
      <c r="CL156" s="2181"/>
      <c r="CM156" s="2181"/>
      <c r="CN156" s="2181"/>
      <c r="CO156" s="2181"/>
      <c r="CP156" s="2181"/>
      <c r="CQ156" s="2181"/>
      <c r="CR156" s="2181"/>
      <c r="CS156" s="2181"/>
      <c r="CT156" s="2181"/>
      <c r="CU156" s="2181"/>
      <c r="CV156" s="2181"/>
      <c r="CW156" s="2181"/>
      <c r="CX156" s="2181"/>
      <c r="CY156" s="2181"/>
      <c r="CZ156" s="2180">
        <f t="shared" si="131"/>
        <v>0</v>
      </c>
      <c r="DB156" s="1249" t="s">
        <v>82</v>
      </c>
      <c r="DC156" s="1287">
        <f t="shared" si="132"/>
        <v>0</v>
      </c>
      <c r="DD156" s="1761"/>
      <c r="DE156" s="1761"/>
      <c r="DF156" s="1761"/>
      <c r="DG156" s="1761"/>
      <c r="DH156" s="1761"/>
      <c r="DI156" s="1761"/>
      <c r="DJ156" s="1761"/>
      <c r="DK156" s="1761"/>
      <c r="DL156" s="1761"/>
      <c r="DM156" s="1761"/>
      <c r="DN156" s="1761"/>
      <c r="DO156" s="1761"/>
      <c r="DP156" s="1761"/>
      <c r="DQ156" s="1761"/>
      <c r="DR156" s="1761"/>
      <c r="DS156" s="1761"/>
      <c r="DT156" s="1761"/>
      <c r="DU156" s="1761"/>
      <c r="DV156" s="1761"/>
      <c r="DW156" s="1761"/>
      <c r="DX156" s="1761"/>
      <c r="DY156" s="1761"/>
      <c r="DZ156" s="1761"/>
      <c r="EA156" s="1761"/>
      <c r="EB156" s="1761"/>
      <c r="EC156" s="1761"/>
      <c r="ED156" s="1761"/>
      <c r="EE156" s="1761"/>
      <c r="EF156" s="1761"/>
      <c r="EG156" s="1761"/>
      <c r="EH156" s="1761"/>
      <c r="EI156" s="1488">
        <f t="shared" si="133"/>
        <v>0</v>
      </c>
    </row>
    <row r="157" spans="1:139" ht="15">
      <c r="A157" s="1233" t="s">
        <v>83</v>
      </c>
      <c r="B157" s="1280">
        <f t="shared" si="126"/>
        <v>0</v>
      </c>
      <c r="C157" s="2326"/>
      <c r="D157" s="2326"/>
      <c r="E157" s="2326"/>
      <c r="F157" s="2326"/>
      <c r="G157" s="2326"/>
      <c r="H157" s="2326"/>
      <c r="I157" s="2326"/>
      <c r="J157" s="2326"/>
      <c r="K157" s="2326"/>
      <c r="L157" s="2326"/>
      <c r="M157" s="2326"/>
      <c r="N157" s="2326"/>
      <c r="O157" s="2326"/>
      <c r="P157" s="2326"/>
      <c r="Q157" s="2326"/>
      <c r="R157" s="2326"/>
      <c r="S157" s="2326"/>
      <c r="T157" s="2326"/>
      <c r="U157" s="2326"/>
      <c r="V157" s="2326"/>
      <c r="W157" s="2326"/>
      <c r="X157" s="2326"/>
      <c r="Y157" s="2326"/>
      <c r="Z157" s="2326"/>
      <c r="AA157" s="2326"/>
      <c r="AB157" s="2326"/>
      <c r="AC157" s="2326"/>
      <c r="AD157" s="2326"/>
      <c r="AE157" s="2326"/>
      <c r="AF157" s="2326"/>
      <c r="AG157" s="2326"/>
      <c r="AH157" s="2327">
        <f t="shared" si="127"/>
        <v>0</v>
      </c>
      <c r="AJ157" s="1746" t="s">
        <v>83</v>
      </c>
      <c r="AK157" s="1749">
        <f t="shared" si="128"/>
        <v>0</v>
      </c>
      <c r="AL157" s="2189"/>
      <c r="AM157" s="2189"/>
      <c r="AN157" s="2189"/>
      <c r="AO157" s="2189"/>
      <c r="AP157" s="2189"/>
      <c r="AQ157" s="2189"/>
      <c r="AR157" s="2189"/>
      <c r="AS157" s="2189"/>
      <c r="AT157" s="2189"/>
      <c r="AU157" s="2189"/>
      <c r="AV157" s="2189"/>
      <c r="AW157" s="2189"/>
      <c r="AX157" s="2189"/>
      <c r="AY157" s="2189"/>
      <c r="AZ157" s="2189"/>
      <c r="BA157" s="2189"/>
      <c r="BB157" s="2189"/>
      <c r="BC157" s="2189"/>
      <c r="BD157" s="2189"/>
      <c r="BE157" s="2226"/>
      <c r="BF157" s="2226"/>
      <c r="BG157" s="2226"/>
      <c r="BH157" s="2226"/>
      <c r="BI157" s="2226"/>
      <c r="BJ157" s="2226"/>
      <c r="BK157" s="2226"/>
      <c r="BL157" s="2226"/>
      <c r="BM157" s="2226"/>
      <c r="BN157" s="2226"/>
      <c r="BO157" s="2226"/>
      <c r="BP157" s="2226"/>
      <c r="BQ157" s="2188">
        <f t="shared" si="129"/>
        <v>0</v>
      </c>
      <c r="BS157" s="1845" t="s">
        <v>83</v>
      </c>
      <c r="BT157" s="1846">
        <f t="shared" si="130"/>
        <v>0</v>
      </c>
      <c r="BU157" s="2225"/>
      <c r="BV157" s="2225"/>
      <c r="BW157" s="2225"/>
      <c r="BX157" s="2225"/>
      <c r="BY157" s="2225"/>
      <c r="BZ157" s="2225"/>
      <c r="CA157" s="2225"/>
      <c r="CB157" s="2225"/>
      <c r="CC157" s="2225"/>
      <c r="CD157" s="2225"/>
      <c r="CE157" s="2225"/>
      <c r="CF157" s="2225"/>
      <c r="CG157" s="2181"/>
      <c r="CH157" s="2181"/>
      <c r="CI157" s="2181"/>
      <c r="CJ157" s="2181"/>
      <c r="CK157" s="2181"/>
      <c r="CL157" s="2181"/>
      <c r="CM157" s="2181"/>
      <c r="CN157" s="2181"/>
      <c r="CO157" s="2181"/>
      <c r="CP157" s="2181"/>
      <c r="CQ157" s="2181"/>
      <c r="CR157" s="2181"/>
      <c r="CS157" s="2181"/>
      <c r="CT157" s="2181"/>
      <c r="CU157" s="2181"/>
      <c r="CV157" s="2181"/>
      <c r="CW157" s="2181"/>
      <c r="CX157" s="2181"/>
      <c r="CY157" s="2181"/>
      <c r="CZ157" s="2180">
        <f t="shared" si="131"/>
        <v>0</v>
      </c>
      <c r="DB157" s="1249" t="s">
        <v>83</v>
      </c>
      <c r="DC157" s="1287">
        <f t="shared" si="132"/>
        <v>0</v>
      </c>
      <c r="DD157" s="1761"/>
      <c r="DE157" s="1761"/>
      <c r="DF157" s="1761"/>
      <c r="DG157" s="1761"/>
      <c r="DH157" s="1761"/>
      <c r="DI157" s="1761"/>
      <c r="DJ157" s="1761"/>
      <c r="DK157" s="1761"/>
      <c r="DL157" s="1761"/>
      <c r="DM157" s="1761"/>
      <c r="DN157" s="1761"/>
      <c r="DO157" s="1761"/>
      <c r="DP157" s="1761"/>
      <c r="DQ157" s="1761"/>
      <c r="DR157" s="1761"/>
      <c r="DS157" s="1761"/>
      <c r="DT157" s="1761"/>
      <c r="DU157" s="1761"/>
      <c r="DV157" s="1761"/>
      <c r="DW157" s="1761"/>
      <c r="DX157" s="1761"/>
      <c r="DY157" s="1761"/>
      <c r="DZ157" s="1761"/>
      <c r="EA157" s="1761"/>
      <c r="EB157" s="1761"/>
      <c r="EC157" s="1761"/>
      <c r="ED157" s="1761"/>
      <c r="EE157" s="1761"/>
      <c r="EF157" s="1761"/>
      <c r="EG157" s="1761"/>
      <c r="EH157" s="1761"/>
      <c r="EI157" s="1488">
        <f t="shared" si="133"/>
        <v>0</v>
      </c>
    </row>
    <row r="158" spans="1:139" ht="15">
      <c r="A158" s="1233" t="s">
        <v>84</v>
      </c>
      <c r="B158" s="1280">
        <f t="shared" si="126"/>
        <v>0</v>
      </c>
      <c r="C158" s="2326"/>
      <c r="D158" s="2326"/>
      <c r="E158" s="2326"/>
      <c r="F158" s="2326"/>
      <c r="G158" s="2326"/>
      <c r="H158" s="2326"/>
      <c r="I158" s="2326"/>
      <c r="J158" s="2326"/>
      <c r="K158" s="2326"/>
      <c r="L158" s="2326"/>
      <c r="M158" s="2326"/>
      <c r="N158" s="2326"/>
      <c r="O158" s="2326"/>
      <c r="P158" s="2326"/>
      <c r="Q158" s="2326"/>
      <c r="R158" s="2325"/>
      <c r="S158" s="2325"/>
      <c r="T158" s="2325"/>
      <c r="U158" s="2325"/>
      <c r="V158" s="2325"/>
      <c r="W158" s="2325"/>
      <c r="X158" s="2325"/>
      <c r="Y158" s="2325"/>
      <c r="Z158" s="2325"/>
      <c r="AA158" s="2325"/>
      <c r="AB158" s="2325"/>
      <c r="AC158" s="2325"/>
      <c r="AD158" s="2325"/>
      <c r="AE158" s="2325"/>
      <c r="AF158" s="2325"/>
      <c r="AG158" s="2325"/>
      <c r="AH158" s="2327">
        <f t="shared" si="127"/>
        <v>0</v>
      </c>
      <c r="AJ158" s="1746" t="s">
        <v>84</v>
      </c>
      <c r="AK158" s="1749">
        <f t="shared" si="128"/>
        <v>0</v>
      </c>
      <c r="AL158" s="2189"/>
      <c r="AM158" s="2189"/>
      <c r="AN158" s="2189"/>
      <c r="AO158" s="2189"/>
      <c r="AP158" s="2189"/>
      <c r="AQ158" s="2189"/>
      <c r="AR158" s="2189"/>
      <c r="AS158" s="2189"/>
      <c r="AT158" s="2189"/>
      <c r="AU158" s="2189"/>
      <c r="AV158" s="2189"/>
      <c r="AW158" s="2189"/>
      <c r="AX158" s="2189"/>
      <c r="AY158" s="2189"/>
      <c r="AZ158" s="2189"/>
      <c r="BA158" s="2192"/>
      <c r="BB158" s="2192"/>
      <c r="BC158" s="2192"/>
      <c r="BD158" s="2192"/>
      <c r="BE158" s="2226"/>
      <c r="BF158" s="2226"/>
      <c r="BG158" s="2226"/>
      <c r="BH158" s="2226"/>
      <c r="BI158" s="2226"/>
      <c r="BJ158" s="2226"/>
      <c r="BK158" s="2226"/>
      <c r="BL158" s="2226"/>
      <c r="BM158" s="2226"/>
      <c r="BN158" s="2226"/>
      <c r="BO158" s="2226"/>
      <c r="BP158" s="2226"/>
      <c r="BQ158" s="2188">
        <f t="shared" si="129"/>
        <v>0</v>
      </c>
      <c r="BS158" s="1845" t="s">
        <v>84</v>
      </c>
      <c r="BT158" s="1846">
        <f t="shared" si="130"/>
        <v>0</v>
      </c>
      <c r="BU158" s="2225"/>
      <c r="BV158" s="2225"/>
      <c r="BW158" s="2225"/>
      <c r="BX158" s="2225"/>
      <c r="BY158" s="2225"/>
      <c r="BZ158" s="2225"/>
      <c r="CA158" s="2225"/>
      <c r="CB158" s="2225"/>
      <c r="CC158" s="2225"/>
      <c r="CD158" s="2225"/>
      <c r="CE158" s="2225"/>
      <c r="CF158" s="2225"/>
      <c r="CG158" s="2181"/>
      <c r="CH158" s="2181"/>
      <c r="CI158" s="2181"/>
      <c r="CJ158" s="2184"/>
      <c r="CK158" s="2184"/>
      <c r="CL158" s="2184"/>
      <c r="CM158" s="2184"/>
      <c r="CN158" s="2184"/>
      <c r="CO158" s="2184"/>
      <c r="CP158" s="2184"/>
      <c r="CQ158" s="2184"/>
      <c r="CR158" s="2184"/>
      <c r="CS158" s="2184"/>
      <c r="CT158" s="2184"/>
      <c r="CU158" s="2184"/>
      <c r="CV158" s="2184"/>
      <c r="CW158" s="2184"/>
      <c r="CX158" s="2184"/>
      <c r="CY158" s="2184"/>
      <c r="CZ158" s="2180">
        <f t="shared" si="131"/>
        <v>0</v>
      </c>
      <c r="DB158" s="1249" t="s">
        <v>84</v>
      </c>
      <c r="DC158" s="1287">
        <f t="shared" si="132"/>
        <v>0</v>
      </c>
      <c r="DD158" s="1761"/>
      <c r="DE158" s="1761"/>
      <c r="DF158" s="1761"/>
      <c r="DG158" s="1761"/>
      <c r="DH158" s="1761"/>
      <c r="DI158" s="1761"/>
      <c r="DJ158" s="1761"/>
      <c r="DK158" s="1761"/>
      <c r="DL158" s="1761"/>
      <c r="DM158" s="1761"/>
      <c r="DN158" s="1761"/>
      <c r="DO158" s="1761"/>
      <c r="DP158" s="1761"/>
      <c r="DQ158" s="1761"/>
      <c r="DR158" s="1761"/>
      <c r="DS158" s="1820"/>
      <c r="DT158" s="1820"/>
      <c r="DU158" s="1820"/>
      <c r="DV158" s="1820"/>
      <c r="DW158" s="1820"/>
      <c r="DX158" s="1820"/>
      <c r="DY158" s="1820"/>
      <c r="DZ158" s="1820"/>
      <c r="EA158" s="1820"/>
      <c r="EB158" s="1820"/>
      <c r="EC158" s="1820"/>
      <c r="ED158" s="1820"/>
      <c r="EE158" s="1820"/>
      <c r="EF158" s="1820"/>
      <c r="EG158" s="1820"/>
      <c r="EH158" s="1820"/>
      <c r="EI158" s="1488">
        <f t="shared" si="133"/>
        <v>0</v>
      </c>
    </row>
    <row r="159" spans="1:139" ht="15">
      <c r="A159" s="1233" t="s">
        <v>85</v>
      </c>
      <c r="B159" s="1280">
        <f t="shared" si="126"/>
        <v>0</v>
      </c>
      <c r="C159" s="2326"/>
      <c r="D159" s="2325"/>
      <c r="E159" s="2325"/>
      <c r="F159" s="2325"/>
      <c r="G159" s="2325"/>
      <c r="H159" s="2325"/>
      <c r="I159" s="2325"/>
      <c r="J159" s="2325"/>
      <c r="K159" s="2325"/>
      <c r="L159" s="2325"/>
      <c r="M159" s="2325"/>
      <c r="N159" s="2325"/>
      <c r="O159" s="2325"/>
      <c r="P159" s="2325"/>
      <c r="Q159" s="2325"/>
      <c r="R159" s="2340"/>
      <c r="S159" s="2340"/>
      <c r="T159" s="2340"/>
      <c r="U159" s="2340"/>
      <c r="V159" s="2340"/>
      <c r="W159" s="2340"/>
      <c r="X159" s="2340"/>
      <c r="Y159" s="2340"/>
      <c r="Z159" s="2340"/>
      <c r="AA159" s="2340"/>
      <c r="AB159" s="2340"/>
      <c r="AC159" s="2340"/>
      <c r="AD159" s="2340"/>
      <c r="AE159" s="2340"/>
      <c r="AF159" s="2340"/>
      <c r="AG159" s="2326"/>
      <c r="AH159" s="2327">
        <f t="shared" si="127"/>
        <v>0</v>
      </c>
      <c r="AJ159" s="1746" t="s">
        <v>85</v>
      </c>
      <c r="AK159" s="1749">
        <f t="shared" si="128"/>
        <v>0</v>
      </c>
      <c r="AL159" s="2189"/>
      <c r="AM159" s="2192"/>
      <c r="AN159" s="2192"/>
      <c r="AO159" s="2192"/>
      <c r="AP159" s="2192"/>
      <c r="AQ159" s="2192"/>
      <c r="AR159" s="2192"/>
      <c r="AS159" s="2192"/>
      <c r="AT159" s="2192"/>
      <c r="AU159" s="2192"/>
      <c r="AV159" s="2192"/>
      <c r="AW159" s="2192"/>
      <c r="AX159" s="2192"/>
      <c r="AY159" s="2192"/>
      <c r="AZ159" s="2192"/>
      <c r="BA159" s="2227"/>
      <c r="BB159" s="2227"/>
      <c r="BC159" s="2227"/>
      <c r="BD159" s="2227"/>
      <c r="BE159" s="2226"/>
      <c r="BF159" s="2226"/>
      <c r="BG159" s="2226"/>
      <c r="BH159" s="2226"/>
      <c r="BI159" s="2226"/>
      <c r="BJ159" s="2226"/>
      <c r="BK159" s="2226"/>
      <c r="BL159" s="2226"/>
      <c r="BM159" s="2226"/>
      <c r="BN159" s="2226"/>
      <c r="BO159" s="2226"/>
      <c r="BP159" s="2226"/>
      <c r="BQ159" s="2188">
        <f t="shared" si="129"/>
        <v>0</v>
      </c>
      <c r="BS159" s="1845" t="s">
        <v>85</v>
      </c>
      <c r="BT159" s="1846">
        <f t="shared" si="130"/>
        <v>0</v>
      </c>
      <c r="BU159" s="2225"/>
      <c r="BV159" s="2225"/>
      <c r="BW159" s="2225"/>
      <c r="BX159" s="2225"/>
      <c r="BY159" s="2225"/>
      <c r="BZ159" s="2225"/>
      <c r="CA159" s="2225"/>
      <c r="CB159" s="2225"/>
      <c r="CC159" s="2225"/>
      <c r="CD159" s="2225"/>
      <c r="CE159" s="2225"/>
      <c r="CF159" s="2225"/>
      <c r="CG159" s="2184"/>
      <c r="CH159" s="2184"/>
      <c r="CI159" s="2184"/>
      <c r="CJ159" s="2207"/>
      <c r="CK159" s="2207"/>
      <c r="CL159" s="2207"/>
      <c r="CM159" s="2207"/>
      <c r="CN159" s="2207"/>
      <c r="CO159" s="2207"/>
      <c r="CP159" s="2207"/>
      <c r="CQ159" s="2207"/>
      <c r="CR159" s="2207"/>
      <c r="CS159" s="2207"/>
      <c r="CT159" s="2207"/>
      <c r="CU159" s="2207"/>
      <c r="CV159" s="2207"/>
      <c r="CW159" s="2207"/>
      <c r="CX159" s="2207"/>
      <c r="CY159" s="2181"/>
      <c r="CZ159" s="2180">
        <f t="shared" si="131"/>
        <v>0</v>
      </c>
      <c r="DB159" s="1249" t="s">
        <v>85</v>
      </c>
      <c r="DC159" s="1287">
        <f t="shared" si="132"/>
        <v>0</v>
      </c>
      <c r="DD159" s="1761"/>
      <c r="DE159" s="1820"/>
      <c r="DF159" s="1820"/>
      <c r="DG159" s="1820"/>
      <c r="DH159" s="1820"/>
      <c r="DI159" s="1820"/>
      <c r="DJ159" s="1820"/>
      <c r="DK159" s="1820"/>
      <c r="DL159" s="1820"/>
      <c r="DM159" s="1820"/>
      <c r="DN159" s="1820"/>
      <c r="DO159" s="1820"/>
      <c r="DP159" s="1820"/>
      <c r="DQ159" s="1820"/>
      <c r="DR159" s="1820"/>
      <c r="DS159" s="2278"/>
      <c r="DT159" s="2278"/>
      <c r="DU159" s="2278"/>
      <c r="DV159" s="2278"/>
      <c r="DW159" s="2278"/>
      <c r="DX159" s="2278"/>
      <c r="DY159" s="2278"/>
      <c r="DZ159" s="2278"/>
      <c r="EA159" s="2278"/>
      <c r="EB159" s="2278"/>
      <c r="EC159" s="2278"/>
      <c r="ED159" s="2278"/>
      <c r="EE159" s="2278"/>
      <c r="EF159" s="2278"/>
      <c r="EG159" s="2278"/>
      <c r="EH159" s="1761"/>
      <c r="EI159" s="1488">
        <f t="shared" si="133"/>
        <v>0</v>
      </c>
    </row>
    <row r="160" spans="1:139" ht="15">
      <c r="A160" s="1233" t="s">
        <v>86</v>
      </c>
      <c r="B160" s="1280">
        <f t="shared" si="126"/>
        <v>0</v>
      </c>
      <c r="C160" s="2326"/>
      <c r="D160" s="2340"/>
      <c r="E160" s="2340"/>
      <c r="F160" s="2340"/>
      <c r="G160" s="2326"/>
      <c r="H160" s="2326"/>
      <c r="I160" s="2326"/>
      <c r="J160" s="2326"/>
      <c r="K160" s="2326"/>
      <c r="L160" s="2326"/>
      <c r="M160" s="2326"/>
      <c r="N160" s="2326"/>
      <c r="O160" s="2326"/>
      <c r="P160" s="2326"/>
      <c r="Q160" s="2326"/>
      <c r="R160" s="2326"/>
      <c r="S160" s="2326"/>
      <c r="T160" s="2326"/>
      <c r="U160" s="2326"/>
      <c r="V160" s="2326"/>
      <c r="W160" s="2326"/>
      <c r="X160" s="2326"/>
      <c r="Y160" s="2326"/>
      <c r="Z160" s="2326"/>
      <c r="AA160" s="2326"/>
      <c r="AB160" s="2326"/>
      <c r="AC160" s="2326"/>
      <c r="AD160" s="2326"/>
      <c r="AE160" s="2326"/>
      <c r="AF160" s="2326"/>
      <c r="AG160" s="2326"/>
      <c r="AH160" s="2327">
        <f t="shared" si="127"/>
        <v>0</v>
      </c>
      <c r="AJ160" s="1746" t="s">
        <v>86</v>
      </c>
      <c r="AK160" s="1749">
        <f t="shared" si="128"/>
        <v>0</v>
      </c>
      <c r="AL160" s="2189"/>
      <c r="AM160" s="2227"/>
      <c r="AN160" s="2227"/>
      <c r="AO160" s="2227"/>
      <c r="AP160" s="2189"/>
      <c r="AQ160" s="2189"/>
      <c r="AR160" s="2189"/>
      <c r="AS160" s="2189"/>
      <c r="AT160" s="2189"/>
      <c r="AU160" s="2189"/>
      <c r="AV160" s="2189"/>
      <c r="AW160" s="2189"/>
      <c r="AX160" s="2189"/>
      <c r="AY160" s="2189"/>
      <c r="AZ160" s="2189"/>
      <c r="BA160" s="2189"/>
      <c r="BB160" s="2189"/>
      <c r="BC160" s="2189"/>
      <c r="BD160" s="2189"/>
      <c r="BE160" s="2226"/>
      <c r="BF160" s="2226"/>
      <c r="BG160" s="2226"/>
      <c r="BH160" s="2226"/>
      <c r="BI160" s="2226"/>
      <c r="BJ160" s="2226"/>
      <c r="BK160" s="2226"/>
      <c r="BL160" s="2226"/>
      <c r="BM160" s="2226"/>
      <c r="BN160" s="2226"/>
      <c r="BO160" s="2226"/>
      <c r="BP160" s="2226"/>
      <c r="BQ160" s="2188">
        <f t="shared" si="129"/>
        <v>0</v>
      </c>
      <c r="BS160" s="1845" t="s">
        <v>86</v>
      </c>
      <c r="BT160" s="1846">
        <f t="shared" si="130"/>
        <v>0</v>
      </c>
      <c r="BU160" s="2225"/>
      <c r="BV160" s="2225"/>
      <c r="BW160" s="2225"/>
      <c r="BX160" s="2225"/>
      <c r="BY160" s="2225"/>
      <c r="BZ160" s="2225"/>
      <c r="CA160" s="2225"/>
      <c r="CB160" s="2225"/>
      <c r="CC160" s="2225"/>
      <c r="CD160" s="2225"/>
      <c r="CE160" s="2225"/>
      <c r="CF160" s="2225"/>
      <c r="CG160" s="2181"/>
      <c r="CH160" s="2181"/>
      <c r="CI160" s="2181"/>
      <c r="CJ160" s="2181"/>
      <c r="CK160" s="2181"/>
      <c r="CL160" s="2181"/>
      <c r="CM160" s="2181"/>
      <c r="CN160" s="2181"/>
      <c r="CO160" s="2181"/>
      <c r="CP160" s="2181"/>
      <c r="CQ160" s="2181"/>
      <c r="CR160" s="2181"/>
      <c r="CS160" s="2181"/>
      <c r="CT160" s="2181"/>
      <c r="CU160" s="2181"/>
      <c r="CV160" s="2181"/>
      <c r="CW160" s="2181"/>
      <c r="CX160" s="2181"/>
      <c r="CY160" s="2181"/>
      <c r="CZ160" s="2180">
        <f t="shared" si="131"/>
        <v>0</v>
      </c>
      <c r="DB160" s="1249" t="s">
        <v>86</v>
      </c>
      <c r="DC160" s="1287">
        <f t="shared" si="132"/>
        <v>0</v>
      </c>
      <c r="DD160" s="1761"/>
      <c r="DE160" s="2278"/>
      <c r="DF160" s="2278"/>
      <c r="DG160" s="2278"/>
      <c r="DH160" s="1761"/>
      <c r="DI160" s="1761"/>
      <c r="DJ160" s="1761"/>
      <c r="DK160" s="1761"/>
      <c r="DL160" s="1761"/>
      <c r="DM160" s="1761"/>
      <c r="DN160" s="1761"/>
      <c r="DO160" s="1761"/>
      <c r="DP160" s="1761"/>
      <c r="DQ160" s="1761"/>
      <c r="DR160" s="1761"/>
      <c r="DS160" s="1761"/>
      <c r="DT160" s="1761"/>
      <c r="DU160" s="1761"/>
      <c r="DV160" s="1761"/>
      <c r="DW160" s="1761"/>
      <c r="DX160" s="1761"/>
      <c r="DY160" s="1761"/>
      <c r="DZ160" s="1761"/>
      <c r="EA160" s="1761"/>
      <c r="EB160" s="1761"/>
      <c r="EC160" s="1761"/>
      <c r="ED160" s="1761"/>
      <c r="EE160" s="1761"/>
      <c r="EF160" s="1761"/>
      <c r="EG160" s="1761"/>
      <c r="EH160" s="1761"/>
      <c r="EI160" s="1488">
        <f t="shared" si="133"/>
        <v>0</v>
      </c>
    </row>
    <row r="161" spans="1:139" ht="15">
      <c r="A161" s="2341" t="s">
        <v>74</v>
      </c>
      <c r="B161" s="2342">
        <f t="shared" ref="B161:AH161" si="134">SUM(B149:B160)</f>
        <v>0</v>
      </c>
      <c r="C161" s="2327">
        <f t="shared" si="134"/>
        <v>0</v>
      </c>
      <c r="D161" s="2327">
        <f t="shared" si="134"/>
        <v>0</v>
      </c>
      <c r="E161" s="2327">
        <f t="shared" si="134"/>
        <v>0</v>
      </c>
      <c r="F161" s="2327">
        <f t="shared" si="134"/>
        <v>0</v>
      </c>
      <c r="G161" s="2327">
        <f t="shared" si="134"/>
        <v>0</v>
      </c>
      <c r="H161" s="2327">
        <f t="shared" si="134"/>
        <v>0</v>
      </c>
      <c r="I161" s="2327">
        <f t="shared" si="134"/>
        <v>0</v>
      </c>
      <c r="J161" s="2327">
        <f t="shared" si="134"/>
        <v>0</v>
      </c>
      <c r="K161" s="2327">
        <f t="shared" si="134"/>
        <v>0</v>
      </c>
      <c r="L161" s="2327">
        <f t="shared" si="134"/>
        <v>0</v>
      </c>
      <c r="M161" s="2327">
        <f t="shared" si="134"/>
        <v>0</v>
      </c>
      <c r="N161" s="2327">
        <f t="shared" si="134"/>
        <v>0</v>
      </c>
      <c r="O161" s="2327">
        <f t="shared" si="134"/>
        <v>0</v>
      </c>
      <c r="P161" s="2327">
        <f t="shared" si="134"/>
        <v>0</v>
      </c>
      <c r="Q161" s="2327">
        <f t="shared" si="134"/>
        <v>0</v>
      </c>
      <c r="R161" s="2327">
        <f t="shared" si="134"/>
        <v>0</v>
      </c>
      <c r="S161" s="2327">
        <f t="shared" si="134"/>
        <v>0</v>
      </c>
      <c r="T161" s="2327">
        <f t="shared" si="134"/>
        <v>0</v>
      </c>
      <c r="U161" s="2327">
        <f t="shared" si="134"/>
        <v>0</v>
      </c>
      <c r="V161" s="2327">
        <f t="shared" si="134"/>
        <v>0</v>
      </c>
      <c r="W161" s="2327">
        <f t="shared" si="134"/>
        <v>0</v>
      </c>
      <c r="X161" s="2327">
        <f t="shared" si="134"/>
        <v>0</v>
      </c>
      <c r="Y161" s="2327">
        <f t="shared" si="134"/>
        <v>0</v>
      </c>
      <c r="Z161" s="2327">
        <f t="shared" si="134"/>
        <v>0</v>
      </c>
      <c r="AA161" s="2327">
        <f t="shared" si="134"/>
        <v>0</v>
      </c>
      <c r="AB161" s="2327">
        <f t="shared" si="134"/>
        <v>0</v>
      </c>
      <c r="AC161" s="2327">
        <f t="shared" si="134"/>
        <v>0</v>
      </c>
      <c r="AD161" s="2327">
        <f t="shared" si="134"/>
        <v>0</v>
      </c>
      <c r="AE161" s="2327">
        <f t="shared" si="134"/>
        <v>0</v>
      </c>
      <c r="AF161" s="2327">
        <f t="shared" si="134"/>
        <v>0</v>
      </c>
      <c r="AG161" s="2327">
        <f t="shared" si="134"/>
        <v>0</v>
      </c>
      <c r="AH161" s="2327">
        <f t="shared" si="134"/>
        <v>0</v>
      </c>
      <c r="AJ161" s="2191" t="s">
        <v>74</v>
      </c>
      <c r="AK161" s="2190">
        <f t="shared" ref="AK161:BQ161" si="135">SUM(AK149:AK160)</f>
        <v>0</v>
      </c>
      <c r="AL161" s="2188">
        <f t="shared" si="135"/>
        <v>0</v>
      </c>
      <c r="AM161" s="2188">
        <f t="shared" si="135"/>
        <v>0</v>
      </c>
      <c r="AN161" s="2188">
        <f t="shared" si="135"/>
        <v>0</v>
      </c>
      <c r="AO161" s="2188">
        <f t="shared" si="135"/>
        <v>0</v>
      </c>
      <c r="AP161" s="2188">
        <f t="shared" si="135"/>
        <v>0</v>
      </c>
      <c r="AQ161" s="2188">
        <f t="shared" si="135"/>
        <v>0</v>
      </c>
      <c r="AR161" s="2188">
        <f t="shared" si="135"/>
        <v>0</v>
      </c>
      <c r="AS161" s="2188">
        <f t="shared" si="135"/>
        <v>0</v>
      </c>
      <c r="AT161" s="2188">
        <f t="shared" si="135"/>
        <v>0</v>
      </c>
      <c r="AU161" s="2188">
        <f t="shared" si="135"/>
        <v>0</v>
      </c>
      <c r="AV161" s="2188">
        <f t="shared" si="135"/>
        <v>0</v>
      </c>
      <c r="AW161" s="2188">
        <f t="shared" si="135"/>
        <v>0</v>
      </c>
      <c r="AX161" s="2188">
        <f t="shared" si="135"/>
        <v>0</v>
      </c>
      <c r="AY161" s="2188">
        <f t="shared" si="135"/>
        <v>0</v>
      </c>
      <c r="AZ161" s="2188">
        <f t="shared" si="135"/>
        <v>0</v>
      </c>
      <c r="BA161" s="2188">
        <f t="shared" si="135"/>
        <v>0</v>
      </c>
      <c r="BB161" s="2188">
        <f t="shared" si="135"/>
        <v>0</v>
      </c>
      <c r="BC161" s="2188">
        <f t="shared" si="135"/>
        <v>0</v>
      </c>
      <c r="BD161" s="2188">
        <f t="shared" si="135"/>
        <v>0</v>
      </c>
      <c r="BE161" s="2188">
        <f t="shared" si="135"/>
        <v>0</v>
      </c>
      <c r="BF161" s="2188">
        <f t="shared" si="135"/>
        <v>0</v>
      </c>
      <c r="BG161" s="2188">
        <f t="shared" si="135"/>
        <v>0</v>
      </c>
      <c r="BH161" s="2188">
        <f t="shared" si="135"/>
        <v>0</v>
      </c>
      <c r="BI161" s="2188">
        <f t="shared" si="135"/>
        <v>0</v>
      </c>
      <c r="BJ161" s="2188">
        <f t="shared" si="135"/>
        <v>0</v>
      </c>
      <c r="BK161" s="2188">
        <f t="shared" si="135"/>
        <v>0</v>
      </c>
      <c r="BL161" s="2188">
        <f t="shared" si="135"/>
        <v>0</v>
      </c>
      <c r="BM161" s="2188">
        <f t="shared" si="135"/>
        <v>0</v>
      </c>
      <c r="BN161" s="2188">
        <f t="shared" si="135"/>
        <v>0</v>
      </c>
      <c r="BO161" s="2188">
        <f t="shared" si="135"/>
        <v>0</v>
      </c>
      <c r="BP161" s="2188">
        <f t="shared" si="135"/>
        <v>0</v>
      </c>
      <c r="BQ161" s="2188">
        <f t="shared" si="135"/>
        <v>0</v>
      </c>
      <c r="BS161" s="2183" t="s">
        <v>74</v>
      </c>
      <c r="BT161" s="2182">
        <f t="shared" ref="BT161:CZ161" si="136">SUM(BT149:BT160)</f>
        <v>0</v>
      </c>
      <c r="BU161" s="2180">
        <f t="shared" si="136"/>
        <v>0</v>
      </c>
      <c r="BV161" s="2180">
        <f t="shared" si="136"/>
        <v>0</v>
      </c>
      <c r="BW161" s="2180">
        <f t="shared" si="136"/>
        <v>0</v>
      </c>
      <c r="BX161" s="2180">
        <f t="shared" si="136"/>
        <v>0</v>
      </c>
      <c r="BY161" s="2180">
        <f t="shared" si="136"/>
        <v>0</v>
      </c>
      <c r="BZ161" s="2180">
        <f t="shared" si="136"/>
        <v>0</v>
      </c>
      <c r="CA161" s="2180">
        <f t="shared" si="136"/>
        <v>0</v>
      </c>
      <c r="CB161" s="2180">
        <f t="shared" si="136"/>
        <v>0</v>
      </c>
      <c r="CC161" s="2180">
        <f t="shared" si="136"/>
        <v>0</v>
      </c>
      <c r="CD161" s="2180">
        <f t="shared" si="136"/>
        <v>0</v>
      </c>
      <c r="CE161" s="2180">
        <f t="shared" si="136"/>
        <v>0</v>
      </c>
      <c r="CF161" s="2180">
        <f t="shared" si="136"/>
        <v>0</v>
      </c>
      <c r="CG161" s="2180">
        <f t="shared" si="136"/>
        <v>0</v>
      </c>
      <c r="CH161" s="2180">
        <f t="shared" si="136"/>
        <v>0</v>
      </c>
      <c r="CI161" s="2180">
        <f t="shared" si="136"/>
        <v>0</v>
      </c>
      <c r="CJ161" s="2180">
        <f t="shared" si="136"/>
        <v>0</v>
      </c>
      <c r="CK161" s="2180">
        <f t="shared" si="136"/>
        <v>0</v>
      </c>
      <c r="CL161" s="2180">
        <f t="shared" si="136"/>
        <v>0</v>
      </c>
      <c r="CM161" s="2180">
        <f t="shared" si="136"/>
        <v>0</v>
      </c>
      <c r="CN161" s="2180">
        <f t="shared" si="136"/>
        <v>0</v>
      </c>
      <c r="CO161" s="2180">
        <f t="shared" si="136"/>
        <v>0</v>
      </c>
      <c r="CP161" s="2180">
        <f t="shared" si="136"/>
        <v>0</v>
      </c>
      <c r="CQ161" s="2180">
        <f t="shared" si="136"/>
        <v>0</v>
      </c>
      <c r="CR161" s="2180">
        <f t="shared" si="136"/>
        <v>0</v>
      </c>
      <c r="CS161" s="2180">
        <f t="shared" si="136"/>
        <v>0</v>
      </c>
      <c r="CT161" s="2180">
        <f t="shared" si="136"/>
        <v>0</v>
      </c>
      <c r="CU161" s="2180">
        <f t="shared" si="136"/>
        <v>0</v>
      </c>
      <c r="CV161" s="2180">
        <f t="shared" si="136"/>
        <v>0</v>
      </c>
      <c r="CW161" s="2180">
        <f t="shared" si="136"/>
        <v>0</v>
      </c>
      <c r="CX161" s="2180">
        <f t="shared" si="136"/>
        <v>0</v>
      </c>
      <c r="CY161" s="2180">
        <f t="shared" si="136"/>
        <v>0</v>
      </c>
      <c r="CZ161" s="2180">
        <f t="shared" si="136"/>
        <v>0</v>
      </c>
      <c r="DB161" s="1470" t="s">
        <v>74</v>
      </c>
      <c r="DC161" s="2277">
        <f t="shared" ref="DC161:EI161" si="137">SUM(DC149:DC160)</f>
        <v>0</v>
      </c>
      <c r="DD161" s="1488">
        <f t="shared" si="137"/>
        <v>0</v>
      </c>
      <c r="DE161" s="1488">
        <f t="shared" si="137"/>
        <v>0</v>
      </c>
      <c r="DF161" s="1488">
        <f t="shared" si="137"/>
        <v>0</v>
      </c>
      <c r="DG161" s="1488">
        <f t="shared" si="137"/>
        <v>0</v>
      </c>
      <c r="DH161" s="1488">
        <f t="shared" si="137"/>
        <v>0</v>
      </c>
      <c r="DI161" s="1488">
        <f t="shared" si="137"/>
        <v>0</v>
      </c>
      <c r="DJ161" s="1488">
        <f t="shared" si="137"/>
        <v>0</v>
      </c>
      <c r="DK161" s="1488">
        <f t="shared" si="137"/>
        <v>0</v>
      </c>
      <c r="DL161" s="1488">
        <f t="shared" si="137"/>
        <v>0</v>
      </c>
      <c r="DM161" s="1488">
        <f t="shared" si="137"/>
        <v>0</v>
      </c>
      <c r="DN161" s="1488">
        <f t="shared" si="137"/>
        <v>0</v>
      </c>
      <c r="DO161" s="1488">
        <f t="shared" si="137"/>
        <v>0</v>
      </c>
      <c r="DP161" s="1488">
        <f t="shared" si="137"/>
        <v>0</v>
      </c>
      <c r="DQ161" s="1488">
        <f t="shared" si="137"/>
        <v>0</v>
      </c>
      <c r="DR161" s="1488">
        <f t="shared" si="137"/>
        <v>0</v>
      </c>
      <c r="DS161" s="1488">
        <f t="shared" si="137"/>
        <v>0</v>
      </c>
      <c r="DT161" s="1488">
        <f t="shared" si="137"/>
        <v>0</v>
      </c>
      <c r="DU161" s="1488">
        <f t="shared" si="137"/>
        <v>0</v>
      </c>
      <c r="DV161" s="1488">
        <f t="shared" si="137"/>
        <v>0</v>
      </c>
      <c r="DW161" s="1488">
        <f t="shared" si="137"/>
        <v>0</v>
      </c>
      <c r="DX161" s="1488">
        <f t="shared" si="137"/>
        <v>0</v>
      </c>
      <c r="DY161" s="1488">
        <f t="shared" si="137"/>
        <v>0</v>
      </c>
      <c r="DZ161" s="1488">
        <f t="shared" si="137"/>
        <v>0</v>
      </c>
      <c r="EA161" s="1488">
        <f t="shared" si="137"/>
        <v>0</v>
      </c>
      <c r="EB161" s="1488">
        <f t="shared" si="137"/>
        <v>0</v>
      </c>
      <c r="EC161" s="1488">
        <f t="shared" si="137"/>
        <v>0</v>
      </c>
      <c r="ED161" s="1488">
        <f t="shared" si="137"/>
        <v>0</v>
      </c>
      <c r="EE161" s="1488">
        <f t="shared" si="137"/>
        <v>0</v>
      </c>
      <c r="EF161" s="1488">
        <f t="shared" si="137"/>
        <v>0</v>
      </c>
      <c r="EG161" s="1488">
        <f t="shared" si="137"/>
        <v>0</v>
      </c>
      <c r="EH161" s="1488">
        <f t="shared" si="137"/>
        <v>0</v>
      </c>
      <c r="EI161" s="1488">
        <f t="shared" si="137"/>
        <v>0</v>
      </c>
    </row>
    <row r="162" spans="1:139">
      <c r="A162" s="1415"/>
      <c r="B162" s="1415"/>
      <c r="C162" s="1415"/>
      <c r="D162" s="1415"/>
      <c r="E162" s="1415"/>
      <c r="F162" s="1415"/>
      <c r="G162" s="1415"/>
      <c r="H162" s="1415"/>
      <c r="I162" s="1415"/>
      <c r="J162" s="1415"/>
      <c r="K162" s="1415"/>
      <c r="L162" s="1415"/>
      <c r="M162" s="1415"/>
      <c r="N162" s="1415"/>
      <c r="O162" s="1415"/>
      <c r="P162" s="1415"/>
      <c r="Q162" s="1415"/>
      <c r="R162" s="1415"/>
      <c r="S162" s="1415"/>
      <c r="T162" s="1415"/>
      <c r="U162" s="1415"/>
      <c r="V162" s="1415"/>
      <c r="W162" s="1415"/>
      <c r="X162" s="1415"/>
      <c r="Y162" s="1415"/>
      <c r="Z162" s="1415"/>
      <c r="AA162" s="1415"/>
      <c r="AB162" s="1415"/>
      <c r="AC162" s="1415"/>
      <c r="AD162" s="1415"/>
      <c r="AE162" s="1415"/>
      <c r="AF162" s="1415"/>
      <c r="AG162" s="1415"/>
      <c r="AH162" s="1415"/>
      <c r="AJ162" s="2195"/>
      <c r="AK162" s="2195"/>
      <c r="AL162" s="2195"/>
      <c r="AM162" s="2195"/>
      <c r="AN162" s="2195"/>
      <c r="AO162" s="2195"/>
      <c r="AP162" s="2195"/>
      <c r="AQ162" s="2195"/>
      <c r="AR162" s="2195"/>
      <c r="AS162" s="2195"/>
      <c r="AT162" s="2195"/>
      <c r="AU162" s="2195"/>
      <c r="AV162" s="2195"/>
      <c r="AW162" s="2195"/>
      <c r="AX162" s="2195"/>
      <c r="AY162" s="2195"/>
      <c r="AZ162" s="2195"/>
      <c r="BA162" s="2195"/>
      <c r="BB162" s="2195"/>
      <c r="BC162" s="2195"/>
      <c r="BD162" s="2195"/>
      <c r="BE162" s="2195"/>
      <c r="BF162" s="2195"/>
      <c r="BG162" s="2195"/>
      <c r="BH162" s="2195"/>
      <c r="BI162" s="2195"/>
      <c r="BJ162" s="2195"/>
      <c r="BK162" s="2195"/>
      <c r="BL162" s="2195"/>
      <c r="BM162" s="2195"/>
      <c r="BN162" s="2195"/>
      <c r="BO162" s="2195"/>
      <c r="BP162" s="2195"/>
      <c r="BQ162" s="2195"/>
      <c r="BS162" s="2187"/>
      <c r="BT162" s="2187"/>
      <c r="BU162" s="2187"/>
      <c r="BV162" s="2187"/>
      <c r="BW162" s="2187"/>
      <c r="BX162" s="2187"/>
      <c r="BY162" s="2187"/>
      <c r="BZ162" s="2187"/>
      <c r="CA162" s="2187"/>
      <c r="CB162" s="2187"/>
      <c r="CC162" s="2187"/>
      <c r="CD162" s="2187"/>
      <c r="CE162" s="2187"/>
      <c r="CF162" s="2187"/>
      <c r="CG162" s="2187"/>
      <c r="CH162" s="2187"/>
      <c r="CI162" s="2187"/>
      <c r="CJ162" s="2187"/>
      <c r="CK162" s="2187"/>
      <c r="CL162" s="2187"/>
      <c r="CM162" s="2187"/>
      <c r="CN162" s="2187"/>
      <c r="CO162" s="2187"/>
      <c r="CP162" s="2187"/>
      <c r="CQ162" s="2187"/>
      <c r="CR162" s="2187"/>
      <c r="CS162" s="2187"/>
      <c r="CT162" s="2187"/>
      <c r="CU162" s="2187"/>
      <c r="CV162" s="2187"/>
      <c r="CW162" s="2187"/>
      <c r="CX162" s="2187"/>
      <c r="CY162" s="2187"/>
      <c r="CZ162" s="2187"/>
      <c r="DB162" s="2124"/>
      <c r="DC162" s="2124"/>
      <c r="DD162" s="2124"/>
      <c r="DE162" s="2124"/>
      <c r="DF162" s="2124"/>
      <c r="DG162" s="2124"/>
      <c r="DH162" s="2124"/>
      <c r="DI162" s="2124"/>
      <c r="DJ162" s="2124"/>
      <c r="DK162" s="2124"/>
      <c r="DL162" s="2124"/>
      <c r="DM162" s="2124"/>
      <c r="DN162" s="2124"/>
      <c r="DO162" s="2124"/>
      <c r="DP162" s="2124"/>
      <c r="DQ162" s="2124"/>
      <c r="DR162" s="2124"/>
      <c r="DS162" s="2124"/>
      <c r="DT162" s="2124"/>
      <c r="DU162" s="2124"/>
      <c r="DV162" s="2124"/>
      <c r="DW162" s="2124"/>
      <c r="DX162" s="2124"/>
      <c r="DY162" s="2124"/>
      <c r="DZ162" s="2124"/>
      <c r="EA162" s="2124"/>
      <c r="EB162" s="2124"/>
      <c r="EC162" s="2124"/>
      <c r="ED162" s="2124"/>
      <c r="EE162" s="2124"/>
      <c r="EF162" s="2124"/>
      <c r="EG162" s="2124"/>
      <c r="EH162" s="2124"/>
      <c r="EI162" s="2124"/>
    </row>
    <row r="163" spans="1:139" ht="15">
      <c r="A163" s="3634" t="s">
        <v>634</v>
      </c>
      <c r="B163" s="3635"/>
      <c r="C163" s="3636"/>
      <c r="D163" s="2323"/>
      <c r="E163" s="2323"/>
      <c r="F163" s="2323"/>
      <c r="G163" s="2323"/>
      <c r="H163" s="2323"/>
      <c r="I163" s="2323"/>
      <c r="J163" s="2323"/>
      <c r="K163" s="2323"/>
      <c r="L163" s="2323"/>
      <c r="M163" s="2324"/>
      <c r="N163" s="2323"/>
      <c r="O163" s="2323"/>
      <c r="P163" s="2323"/>
      <c r="Q163" s="2323"/>
      <c r="R163" s="2323"/>
      <c r="S163" s="2323"/>
      <c r="T163" s="2323"/>
      <c r="U163" s="2323"/>
      <c r="V163" s="2323"/>
      <c r="W163" s="2323"/>
      <c r="X163" s="2323"/>
      <c r="Y163" s="2323"/>
      <c r="Z163" s="2323"/>
      <c r="AA163" s="2323"/>
      <c r="AB163" s="2323"/>
      <c r="AC163" s="2323"/>
      <c r="AD163" s="2323"/>
      <c r="AE163" s="2323"/>
      <c r="AF163" s="2323"/>
      <c r="AG163" s="2323"/>
      <c r="AH163" s="2323"/>
      <c r="AJ163" s="3585" t="s">
        <v>634</v>
      </c>
      <c r="AK163" s="3586"/>
      <c r="AL163" s="3587"/>
      <c r="AM163" s="2193"/>
      <c r="AN163" s="2193"/>
      <c r="AO163" s="2193"/>
      <c r="AP163" s="2193"/>
      <c r="AQ163" s="2193"/>
      <c r="AR163" s="2193"/>
      <c r="AS163" s="2193"/>
      <c r="AT163" s="2193"/>
      <c r="AU163" s="2193"/>
      <c r="AV163" s="2194"/>
      <c r="AW163" s="2193"/>
      <c r="AX163" s="2193"/>
      <c r="AY163" s="2193"/>
      <c r="AZ163" s="2193"/>
      <c r="BA163" s="2193"/>
      <c r="BB163" s="2193"/>
      <c r="BC163" s="2193"/>
      <c r="BD163" s="2193"/>
      <c r="BE163" s="2193"/>
      <c r="BF163" s="2193"/>
      <c r="BG163" s="2193"/>
      <c r="BH163" s="2193"/>
      <c r="BI163" s="2193"/>
      <c r="BJ163" s="2193"/>
      <c r="BK163" s="2193"/>
      <c r="BL163" s="2193"/>
      <c r="BM163" s="2193"/>
      <c r="BN163" s="2193"/>
      <c r="BO163" s="2193"/>
      <c r="BP163" s="2193"/>
      <c r="BQ163" s="2193"/>
      <c r="BS163" s="3772" t="s">
        <v>634</v>
      </c>
      <c r="BT163" s="3773"/>
      <c r="BU163" s="3774"/>
      <c r="BV163" s="2185"/>
      <c r="BW163" s="2185"/>
      <c r="BX163" s="2185"/>
      <c r="BY163" s="2185"/>
      <c r="BZ163" s="2185"/>
      <c r="CA163" s="2185"/>
      <c r="CB163" s="2185"/>
      <c r="CC163" s="2185"/>
      <c r="CD163" s="2185"/>
      <c r="CE163" s="2186"/>
      <c r="CF163" s="2185"/>
      <c r="CG163" s="2185"/>
      <c r="CH163" s="2185"/>
      <c r="CI163" s="2185"/>
      <c r="CJ163" s="2185"/>
      <c r="CK163" s="2185"/>
      <c r="CL163" s="2185"/>
      <c r="CM163" s="2185"/>
      <c r="CN163" s="2185"/>
      <c r="CO163" s="2185"/>
      <c r="CP163" s="2185"/>
      <c r="CQ163" s="2185"/>
      <c r="CR163" s="2185"/>
      <c r="CS163" s="2185"/>
      <c r="CT163" s="2185"/>
      <c r="CU163" s="2185"/>
      <c r="CV163" s="2185"/>
      <c r="CW163" s="2185"/>
      <c r="CX163" s="2185"/>
      <c r="CY163" s="2185"/>
      <c r="CZ163" s="2185"/>
      <c r="DB163" s="3781" t="s">
        <v>634</v>
      </c>
      <c r="DC163" s="3782"/>
      <c r="DD163" s="3783"/>
      <c r="DE163" s="1433"/>
      <c r="DF163" s="1433"/>
      <c r="DG163" s="1433"/>
      <c r="DH163" s="1433"/>
      <c r="DI163" s="1433"/>
      <c r="DJ163" s="1433"/>
      <c r="DK163" s="1433"/>
      <c r="DL163" s="1433"/>
      <c r="DM163" s="1433"/>
      <c r="DN163" s="2274"/>
      <c r="DO163" s="1433"/>
      <c r="DP163" s="1433"/>
      <c r="DQ163" s="1433"/>
      <c r="DR163" s="1433"/>
      <c r="DS163" s="1433"/>
      <c r="DT163" s="1433"/>
      <c r="DU163" s="1433"/>
      <c r="DV163" s="1433"/>
      <c r="DW163" s="1433"/>
      <c r="DX163" s="1433"/>
      <c r="DY163" s="1433"/>
      <c r="DZ163" s="1433"/>
      <c r="EA163" s="1433"/>
      <c r="EB163" s="1433"/>
      <c r="EC163" s="1433"/>
      <c r="ED163" s="1433"/>
      <c r="EE163" s="1433"/>
      <c r="EF163" s="1433"/>
      <c r="EG163" s="1433"/>
      <c r="EH163" s="1433"/>
      <c r="EI163" s="1433"/>
    </row>
    <row r="164" spans="1:139" ht="15">
      <c r="A164" s="1233" t="s">
        <v>72</v>
      </c>
      <c r="B164" s="1233" t="s">
        <v>73</v>
      </c>
      <c r="C164" s="1233">
        <v>1</v>
      </c>
      <c r="D164" s="1233">
        <v>2</v>
      </c>
      <c r="E164" s="1233">
        <v>3</v>
      </c>
      <c r="F164" s="1233">
        <v>4</v>
      </c>
      <c r="G164" s="1233">
        <v>5</v>
      </c>
      <c r="H164" s="1233">
        <v>6</v>
      </c>
      <c r="I164" s="1233">
        <v>7</v>
      </c>
      <c r="J164" s="1233">
        <v>8</v>
      </c>
      <c r="K164" s="1233">
        <v>9</v>
      </c>
      <c r="L164" s="1233">
        <v>10</v>
      </c>
      <c r="M164" s="1233">
        <v>11</v>
      </c>
      <c r="N164" s="1233">
        <v>12</v>
      </c>
      <c r="O164" s="1233">
        <v>13</v>
      </c>
      <c r="P164" s="1233">
        <v>14</v>
      </c>
      <c r="Q164" s="1233">
        <v>15</v>
      </c>
      <c r="R164" s="1233">
        <v>16</v>
      </c>
      <c r="S164" s="1233">
        <v>17</v>
      </c>
      <c r="T164" s="1233">
        <v>18</v>
      </c>
      <c r="U164" s="1233">
        <v>19</v>
      </c>
      <c r="V164" s="1233">
        <v>20</v>
      </c>
      <c r="W164" s="1233">
        <v>21</v>
      </c>
      <c r="X164" s="1233">
        <v>22</v>
      </c>
      <c r="Y164" s="1233">
        <v>23</v>
      </c>
      <c r="Z164" s="1233">
        <v>24</v>
      </c>
      <c r="AA164" s="1233">
        <v>25</v>
      </c>
      <c r="AB164" s="1233">
        <v>26</v>
      </c>
      <c r="AC164" s="1233">
        <v>27</v>
      </c>
      <c r="AD164" s="1233">
        <v>28</v>
      </c>
      <c r="AE164" s="1233">
        <v>29</v>
      </c>
      <c r="AF164" s="1233">
        <v>30</v>
      </c>
      <c r="AG164" s="1233">
        <v>31</v>
      </c>
      <c r="AH164" s="2325" t="s">
        <v>74</v>
      </c>
      <c r="AJ164" s="1746" t="s">
        <v>72</v>
      </c>
      <c r="AK164" s="1746" t="s">
        <v>73</v>
      </c>
      <c r="AL164" s="1746">
        <v>1</v>
      </c>
      <c r="AM164" s="1746">
        <v>2</v>
      </c>
      <c r="AN164" s="1746">
        <v>3</v>
      </c>
      <c r="AO164" s="1746">
        <v>4</v>
      </c>
      <c r="AP164" s="1746">
        <v>5</v>
      </c>
      <c r="AQ164" s="1746">
        <v>6</v>
      </c>
      <c r="AR164" s="1746">
        <v>7</v>
      </c>
      <c r="AS164" s="1746">
        <v>8</v>
      </c>
      <c r="AT164" s="1746">
        <v>9</v>
      </c>
      <c r="AU164" s="1746">
        <v>10</v>
      </c>
      <c r="AV164" s="1746">
        <v>11</v>
      </c>
      <c r="AW164" s="1746">
        <v>12</v>
      </c>
      <c r="AX164" s="1746">
        <v>13</v>
      </c>
      <c r="AY164" s="1746">
        <v>14</v>
      </c>
      <c r="AZ164" s="1746">
        <v>15</v>
      </c>
      <c r="BA164" s="1746">
        <v>16</v>
      </c>
      <c r="BB164" s="1746">
        <v>17</v>
      </c>
      <c r="BC164" s="1746">
        <v>18</v>
      </c>
      <c r="BD164" s="1746">
        <v>19</v>
      </c>
      <c r="BE164" s="1746">
        <v>20</v>
      </c>
      <c r="BF164" s="1746">
        <v>21</v>
      </c>
      <c r="BG164" s="1746">
        <v>22</v>
      </c>
      <c r="BH164" s="1746">
        <v>23</v>
      </c>
      <c r="BI164" s="1746">
        <v>24</v>
      </c>
      <c r="BJ164" s="1746">
        <v>25</v>
      </c>
      <c r="BK164" s="1746">
        <v>26</v>
      </c>
      <c r="BL164" s="1746">
        <v>27</v>
      </c>
      <c r="BM164" s="1746">
        <v>28</v>
      </c>
      <c r="BN164" s="1746">
        <v>29</v>
      </c>
      <c r="BO164" s="1746">
        <v>30</v>
      </c>
      <c r="BP164" s="1746">
        <v>31</v>
      </c>
      <c r="BQ164" s="2192" t="s">
        <v>74</v>
      </c>
      <c r="BS164" s="1845" t="s">
        <v>72</v>
      </c>
      <c r="BT164" s="1845" t="s">
        <v>73</v>
      </c>
      <c r="BU164" s="1845">
        <v>1</v>
      </c>
      <c r="BV164" s="1845">
        <v>2</v>
      </c>
      <c r="BW164" s="1845">
        <v>3</v>
      </c>
      <c r="BX164" s="1845">
        <v>4</v>
      </c>
      <c r="BY164" s="1845">
        <v>5</v>
      </c>
      <c r="BZ164" s="1845">
        <v>6</v>
      </c>
      <c r="CA164" s="1845">
        <v>7</v>
      </c>
      <c r="CB164" s="1845">
        <v>8</v>
      </c>
      <c r="CC164" s="1845">
        <v>9</v>
      </c>
      <c r="CD164" s="1845">
        <v>10</v>
      </c>
      <c r="CE164" s="1845">
        <v>11</v>
      </c>
      <c r="CF164" s="1845">
        <v>12</v>
      </c>
      <c r="CG164" s="1845">
        <v>13</v>
      </c>
      <c r="CH164" s="1845">
        <v>14</v>
      </c>
      <c r="CI164" s="1845">
        <v>15</v>
      </c>
      <c r="CJ164" s="1845">
        <v>16</v>
      </c>
      <c r="CK164" s="1845">
        <v>17</v>
      </c>
      <c r="CL164" s="1845">
        <v>18</v>
      </c>
      <c r="CM164" s="1845">
        <v>19</v>
      </c>
      <c r="CN164" s="1845">
        <v>20</v>
      </c>
      <c r="CO164" s="1845">
        <v>21</v>
      </c>
      <c r="CP164" s="1845">
        <v>22</v>
      </c>
      <c r="CQ164" s="1845">
        <v>23</v>
      </c>
      <c r="CR164" s="1845">
        <v>24</v>
      </c>
      <c r="CS164" s="1845">
        <v>25</v>
      </c>
      <c r="CT164" s="1845">
        <v>26</v>
      </c>
      <c r="CU164" s="1845">
        <v>27</v>
      </c>
      <c r="CV164" s="1845">
        <v>28</v>
      </c>
      <c r="CW164" s="1845">
        <v>29</v>
      </c>
      <c r="CX164" s="1845">
        <v>30</v>
      </c>
      <c r="CY164" s="1845">
        <v>31</v>
      </c>
      <c r="CZ164" s="2184" t="s">
        <v>74</v>
      </c>
      <c r="DB164" s="1249" t="s">
        <v>72</v>
      </c>
      <c r="DC164" s="1249" t="s">
        <v>73</v>
      </c>
      <c r="DD164" s="1249">
        <v>1</v>
      </c>
      <c r="DE164" s="1249">
        <v>2</v>
      </c>
      <c r="DF164" s="1249">
        <v>3</v>
      </c>
      <c r="DG164" s="1249">
        <v>4</v>
      </c>
      <c r="DH164" s="1249">
        <v>5</v>
      </c>
      <c r="DI164" s="1249">
        <v>6</v>
      </c>
      <c r="DJ164" s="1249">
        <v>7</v>
      </c>
      <c r="DK164" s="1249">
        <v>8</v>
      </c>
      <c r="DL164" s="1249">
        <v>9</v>
      </c>
      <c r="DM164" s="1249">
        <v>10</v>
      </c>
      <c r="DN164" s="1249">
        <v>11</v>
      </c>
      <c r="DO164" s="1249">
        <v>12</v>
      </c>
      <c r="DP164" s="1249">
        <v>13</v>
      </c>
      <c r="DQ164" s="1249">
        <v>14</v>
      </c>
      <c r="DR164" s="1249">
        <v>15</v>
      </c>
      <c r="DS164" s="1249">
        <v>16</v>
      </c>
      <c r="DT164" s="1249">
        <v>17</v>
      </c>
      <c r="DU164" s="1249">
        <v>18</v>
      </c>
      <c r="DV164" s="1249">
        <v>19</v>
      </c>
      <c r="DW164" s="1249">
        <v>20</v>
      </c>
      <c r="DX164" s="1249">
        <v>21</v>
      </c>
      <c r="DY164" s="1249">
        <v>22</v>
      </c>
      <c r="DZ164" s="1249">
        <v>23</v>
      </c>
      <c r="EA164" s="1249">
        <v>24</v>
      </c>
      <c r="EB164" s="1249">
        <v>25</v>
      </c>
      <c r="EC164" s="1249">
        <v>26</v>
      </c>
      <c r="ED164" s="1249">
        <v>27</v>
      </c>
      <c r="EE164" s="1249">
        <v>28</v>
      </c>
      <c r="EF164" s="1249">
        <v>29</v>
      </c>
      <c r="EG164" s="1249">
        <v>30</v>
      </c>
      <c r="EH164" s="1249">
        <v>31</v>
      </c>
      <c r="EI164" s="1820" t="s">
        <v>74</v>
      </c>
    </row>
    <row r="165" spans="1:139" ht="15">
      <c r="A165" s="1233" t="s">
        <v>75</v>
      </c>
      <c r="B165" s="1280">
        <f t="shared" ref="B165:B176" si="138">+AH165</f>
        <v>0</v>
      </c>
      <c r="C165" s="2326"/>
      <c r="D165" s="2326"/>
      <c r="E165" s="2326"/>
      <c r="F165" s="2326"/>
      <c r="G165" s="2326"/>
      <c r="H165" s="2326"/>
      <c r="I165" s="2326"/>
      <c r="J165" s="2326"/>
      <c r="K165" s="2326"/>
      <c r="L165" s="2326"/>
      <c r="M165" s="2326"/>
      <c r="N165" s="2326"/>
      <c r="O165" s="2326"/>
      <c r="P165" s="2326"/>
      <c r="Q165" s="2326"/>
      <c r="R165" s="2326"/>
      <c r="S165" s="2326"/>
      <c r="T165" s="2326"/>
      <c r="U165" s="2326"/>
      <c r="V165" s="2326"/>
      <c r="W165" s="2326"/>
      <c r="X165" s="2326"/>
      <c r="Y165" s="2326"/>
      <c r="Z165" s="2326"/>
      <c r="AA165" s="2326"/>
      <c r="AB165" s="2326"/>
      <c r="AC165" s="2326"/>
      <c r="AD165" s="2326"/>
      <c r="AE165" s="2326"/>
      <c r="AF165" s="2326"/>
      <c r="AG165" s="2326"/>
      <c r="AH165" s="2327">
        <f t="shared" ref="AH165:AH176" si="139">SUM(C165:AG165)</f>
        <v>0</v>
      </c>
      <c r="AJ165" s="1746" t="s">
        <v>75</v>
      </c>
      <c r="AK165" s="1749">
        <f t="shared" ref="AK165:AK176" si="140">+BQ165</f>
        <v>0</v>
      </c>
      <c r="AL165" s="2189"/>
      <c r="AM165" s="2189"/>
      <c r="AN165" s="2189"/>
      <c r="AO165" s="2189"/>
      <c r="AP165" s="2189"/>
      <c r="AQ165" s="2189"/>
      <c r="AR165" s="2189"/>
      <c r="AS165" s="2189"/>
      <c r="AT165" s="2189"/>
      <c r="AU165" s="2189"/>
      <c r="AV165" s="2189"/>
      <c r="AW165" s="2189"/>
      <c r="AX165" s="2189"/>
      <c r="AY165" s="2189"/>
      <c r="AZ165" s="2189"/>
      <c r="BA165" s="2189"/>
      <c r="BB165" s="2189"/>
      <c r="BC165" s="2189"/>
      <c r="BD165" s="2189"/>
      <c r="BE165" s="2226"/>
      <c r="BF165" s="2226"/>
      <c r="BG165" s="2226"/>
      <c r="BH165" s="2226"/>
      <c r="BI165" s="2226"/>
      <c r="BJ165" s="2226"/>
      <c r="BK165" s="2226"/>
      <c r="BL165" s="2226"/>
      <c r="BM165" s="2226"/>
      <c r="BN165" s="2226"/>
      <c r="BO165" s="2226"/>
      <c r="BP165" s="2226"/>
      <c r="BQ165" s="2188">
        <f t="shared" ref="BQ165:BQ176" si="141">SUM(AL165:BP165)</f>
        <v>0</v>
      </c>
      <c r="BS165" s="1845" t="s">
        <v>75</v>
      </c>
      <c r="BT165" s="1846">
        <f t="shared" ref="BT165:BT176" si="142">+CZ165</f>
        <v>0</v>
      </c>
      <c r="BU165" s="2225"/>
      <c r="BV165" s="2225"/>
      <c r="BW165" s="2225"/>
      <c r="BX165" s="2225"/>
      <c r="BY165" s="2225"/>
      <c r="BZ165" s="2225"/>
      <c r="CA165" s="2225"/>
      <c r="CB165" s="2225"/>
      <c r="CC165" s="2225"/>
      <c r="CD165" s="2225"/>
      <c r="CE165" s="2225"/>
      <c r="CF165" s="2225"/>
      <c r="CG165" s="2181"/>
      <c r="CH165" s="2181"/>
      <c r="CI165" s="2181"/>
      <c r="CJ165" s="2181"/>
      <c r="CK165" s="2181"/>
      <c r="CL165" s="2181"/>
      <c r="CM165" s="2181"/>
      <c r="CN165" s="2181"/>
      <c r="CO165" s="2181"/>
      <c r="CP165" s="2181"/>
      <c r="CQ165" s="2181"/>
      <c r="CR165" s="2181"/>
      <c r="CS165" s="2181"/>
      <c r="CT165" s="2181"/>
      <c r="CU165" s="2181"/>
      <c r="CV165" s="2181"/>
      <c r="CW165" s="2181"/>
      <c r="CX165" s="2181"/>
      <c r="CY165" s="2181"/>
      <c r="CZ165" s="2180">
        <f t="shared" ref="CZ165:CZ176" si="143">SUM(BU165:CY165)</f>
        <v>0</v>
      </c>
      <c r="DB165" s="1249" t="s">
        <v>75</v>
      </c>
      <c r="DC165" s="1287">
        <f t="shared" ref="DC165:DC176" si="144">+EI165</f>
        <v>0</v>
      </c>
      <c r="DD165" s="1761"/>
      <c r="DE165" s="1761"/>
      <c r="DF165" s="1761"/>
      <c r="DG165" s="1761"/>
      <c r="DH165" s="1761"/>
      <c r="DI165" s="1761"/>
      <c r="DJ165" s="1761"/>
      <c r="DK165" s="1761"/>
      <c r="DL165" s="1761"/>
      <c r="DM165" s="1761"/>
      <c r="DN165" s="1761"/>
      <c r="DO165" s="1761"/>
      <c r="DP165" s="1761"/>
      <c r="DQ165" s="1761"/>
      <c r="DR165" s="1761"/>
      <c r="DS165" s="1761"/>
      <c r="DT165" s="1761"/>
      <c r="DU165" s="1761"/>
      <c r="DV165" s="1761"/>
      <c r="DW165" s="1761"/>
      <c r="DX165" s="1761"/>
      <c r="DY165" s="1761"/>
      <c r="DZ165" s="1761"/>
      <c r="EA165" s="1761"/>
      <c r="EB165" s="1761"/>
      <c r="EC165" s="1761"/>
      <c r="ED165" s="1761"/>
      <c r="EE165" s="1761"/>
      <c r="EF165" s="1761"/>
      <c r="EG165" s="1761"/>
      <c r="EH165" s="1761"/>
      <c r="EI165" s="1488">
        <f t="shared" ref="EI165:EI176" si="145">SUM(DD165:EH165)</f>
        <v>0</v>
      </c>
    </row>
    <row r="166" spans="1:139" ht="15">
      <c r="A166" s="1233" t="s">
        <v>76</v>
      </c>
      <c r="B166" s="1280">
        <f t="shared" si="138"/>
        <v>0</v>
      </c>
      <c r="C166" s="2326"/>
      <c r="D166" s="2328"/>
      <c r="E166" s="2328"/>
      <c r="F166" s="2328"/>
      <c r="G166" s="2328"/>
      <c r="H166" s="2328"/>
      <c r="I166" s="2328"/>
      <c r="J166" s="2328"/>
      <c r="K166" s="2328"/>
      <c r="L166" s="2328"/>
      <c r="M166" s="2328"/>
      <c r="N166" s="2328"/>
      <c r="O166" s="2328"/>
      <c r="P166" s="2328"/>
      <c r="Q166" s="2328"/>
      <c r="R166" s="2328"/>
      <c r="S166" s="2328"/>
      <c r="T166" s="2328"/>
      <c r="U166" s="2328"/>
      <c r="V166" s="2328"/>
      <c r="W166" s="2328"/>
      <c r="X166" s="2328"/>
      <c r="Y166" s="2326"/>
      <c r="Z166" s="2326"/>
      <c r="AA166" s="2326"/>
      <c r="AB166" s="2326"/>
      <c r="AC166" s="2326"/>
      <c r="AD166" s="2326"/>
      <c r="AE166" s="2326"/>
      <c r="AF166" s="2326"/>
      <c r="AG166" s="2326"/>
      <c r="AH166" s="2327">
        <f t="shared" si="139"/>
        <v>0</v>
      </c>
      <c r="AJ166" s="1746" t="s">
        <v>76</v>
      </c>
      <c r="AK166" s="1749">
        <f t="shared" si="140"/>
        <v>0</v>
      </c>
      <c r="AL166" s="2189"/>
      <c r="AM166" s="2243"/>
      <c r="AN166" s="2243"/>
      <c r="AO166" s="2243"/>
      <c r="AP166" s="2243"/>
      <c r="AQ166" s="2243"/>
      <c r="AR166" s="2243"/>
      <c r="AS166" s="2243"/>
      <c r="AT166" s="2243"/>
      <c r="AU166" s="2243"/>
      <c r="AV166" s="2243"/>
      <c r="AW166" s="2243"/>
      <c r="AX166" s="2243"/>
      <c r="AY166" s="2243"/>
      <c r="AZ166" s="2243"/>
      <c r="BA166" s="2243"/>
      <c r="BB166" s="2243"/>
      <c r="BC166" s="2243"/>
      <c r="BD166" s="2243"/>
      <c r="BE166" s="2226"/>
      <c r="BF166" s="2226"/>
      <c r="BG166" s="2226"/>
      <c r="BH166" s="2226"/>
      <c r="BI166" s="2226"/>
      <c r="BJ166" s="2226"/>
      <c r="BK166" s="2226"/>
      <c r="BL166" s="2226"/>
      <c r="BM166" s="2226"/>
      <c r="BN166" s="2226"/>
      <c r="BO166" s="2226"/>
      <c r="BP166" s="2226"/>
      <c r="BQ166" s="2188">
        <f t="shared" si="141"/>
        <v>0</v>
      </c>
      <c r="BS166" s="1845" t="s">
        <v>76</v>
      </c>
      <c r="BT166" s="1846">
        <f t="shared" si="142"/>
        <v>0</v>
      </c>
      <c r="BU166" s="2225"/>
      <c r="BV166" s="2225"/>
      <c r="BW166" s="2225"/>
      <c r="BX166" s="2225"/>
      <c r="BY166" s="2225"/>
      <c r="BZ166" s="2225"/>
      <c r="CA166" s="2225"/>
      <c r="CB166" s="2225"/>
      <c r="CC166" s="2225"/>
      <c r="CD166" s="2225"/>
      <c r="CE166" s="2225"/>
      <c r="CF166" s="2225"/>
      <c r="CG166" s="2224"/>
      <c r="CH166" s="2224"/>
      <c r="CI166" s="2224"/>
      <c r="CJ166" s="2224"/>
      <c r="CK166" s="2224"/>
      <c r="CL166" s="2224"/>
      <c r="CM166" s="2224"/>
      <c r="CN166" s="2224"/>
      <c r="CO166" s="2224"/>
      <c r="CP166" s="2224"/>
      <c r="CQ166" s="2181"/>
      <c r="CR166" s="2181"/>
      <c r="CS166" s="2181"/>
      <c r="CT166" s="2181"/>
      <c r="CU166" s="2181"/>
      <c r="CV166" s="2181"/>
      <c r="CW166" s="2181"/>
      <c r="CX166" s="2181"/>
      <c r="CY166" s="2181"/>
      <c r="CZ166" s="2180">
        <f t="shared" si="143"/>
        <v>0</v>
      </c>
      <c r="DB166" s="1249" t="s">
        <v>76</v>
      </c>
      <c r="DC166" s="1287">
        <f t="shared" si="144"/>
        <v>0</v>
      </c>
      <c r="DD166" s="1761"/>
      <c r="DE166" s="1762"/>
      <c r="DF166" s="1762"/>
      <c r="DG166" s="1762"/>
      <c r="DH166" s="1762"/>
      <c r="DI166" s="1762"/>
      <c r="DJ166" s="1762"/>
      <c r="DK166" s="1762"/>
      <c r="DL166" s="1762"/>
      <c r="DM166" s="1762"/>
      <c r="DN166" s="1762"/>
      <c r="DO166" s="1762"/>
      <c r="DP166" s="1762"/>
      <c r="DQ166" s="1762"/>
      <c r="DR166" s="1762"/>
      <c r="DS166" s="1762"/>
      <c r="DT166" s="1762"/>
      <c r="DU166" s="1762"/>
      <c r="DV166" s="1762"/>
      <c r="DW166" s="1762"/>
      <c r="DX166" s="1762"/>
      <c r="DY166" s="1762"/>
      <c r="DZ166" s="1761"/>
      <c r="EA166" s="1761"/>
      <c r="EB166" s="1761"/>
      <c r="EC166" s="1761"/>
      <c r="ED166" s="1761"/>
      <c r="EE166" s="1761"/>
      <c r="EF166" s="1761"/>
      <c r="EG166" s="1761"/>
      <c r="EH166" s="1761"/>
      <c r="EI166" s="1488">
        <f t="shared" si="145"/>
        <v>0</v>
      </c>
    </row>
    <row r="167" spans="1:139" ht="15.75">
      <c r="A167" s="1233" t="s">
        <v>77</v>
      </c>
      <c r="B167" s="1280">
        <f t="shared" si="138"/>
        <v>0</v>
      </c>
      <c r="C167" s="2329"/>
      <c r="D167" s="2329"/>
      <c r="E167" s="2330"/>
      <c r="F167" s="2331"/>
      <c r="G167" s="2332"/>
      <c r="H167" s="2333"/>
      <c r="I167" s="2333"/>
      <c r="J167" s="2329"/>
      <c r="K167" s="2329"/>
      <c r="L167" s="2329"/>
      <c r="M167" s="2329"/>
      <c r="N167" s="2329"/>
      <c r="O167" s="2329"/>
      <c r="P167" s="2333"/>
      <c r="Q167" s="2333"/>
      <c r="R167" s="2333"/>
      <c r="S167" s="2333"/>
      <c r="T167" s="2333"/>
      <c r="U167" s="2333"/>
      <c r="V167" s="2333"/>
      <c r="W167" s="2333"/>
      <c r="X167" s="2333"/>
      <c r="Y167" s="2333"/>
      <c r="Z167" s="2333"/>
      <c r="AA167" s="2333"/>
      <c r="AB167" s="2333"/>
      <c r="AC167" s="2333"/>
      <c r="AD167" s="2333"/>
      <c r="AE167" s="2334"/>
      <c r="AF167" s="2329"/>
      <c r="AG167" s="2329"/>
      <c r="AH167" s="2327">
        <f t="shared" si="139"/>
        <v>0</v>
      </c>
      <c r="AJ167" s="1746" t="s">
        <v>77</v>
      </c>
      <c r="AK167" s="1749">
        <f t="shared" si="140"/>
        <v>0</v>
      </c>
      <c r="AL167" s="2232"/>
      <c r="AM167" s="2232"/>
      <c r="AN167" s="2242"/>
      <c r="AO167" s="2241"/>
      <c r="AP167" s="2240"/>
      <c r="AQ167" s="2233"/>
      <c r="AR167" s="2233"/>
      <c r="AS167" s="2232"/>
      <c r="AT167" s="2232"/>
      <c r="AU167" s="2232"/>
      <c r="AV167" s="2232"/>
      <c r="AW167" s="2232"/>
      <c r="AX167" s="2232"/>
      <c r="AY167" s="2233"/>
      <c r="AZ167" s="2233"/>
      <c r="BA167" s="2233"/>
      <c r="BB167" s="2233"/>
      <c r="BC167" s="2233"/>
      <c r="BD167" s="2233"/>
      <c r="BE167" s="2226"/>
      <c r="BF167" s="2226"/>
      <c r="BG167" s="2226"/>
      <c r="BH167" s="2226"/>
      <c r="BI167" s="2226"/>
      <c r="BJ167" s="2226"/>
      <c r="BK167" s="2226"/>
      <c r="BL167" s="2226"/>
      <c r="BM167" s="2226"/>
      <c r="BN167" s="2226"/>
      <c r="BO167" s="2226"/>
      <c r="BP167" s="2226"/>
      <c r="BQ167" s="2188">
        <f t="shared" si="141"/>
        <v>0</v>
      </c>
      <c r="BS167" s="1845" t="s">
        <v>77</v>
      </c>
      <c r="BT167" s="1846">
        <f t="shared" si="142"/>
        <v>0</v>
      </c>
      <c r="BU167" s="2225"/>
      <c r="BV167" s="2225"/>
      <c r="BW167" s="2225"/>
      <c r="BX167" s="2225"/>
      <c r="BY167" s="2225"/>
      <c r="BZ167" s="2225"/>
      <c r="CA167" s="2225"/>
      <c r="CB167" s="2225"/>
      <c r="CC167" s="2225"/>
      <c r="CD167" s="2225"/>
      <c r="CE167" s="2225"/>
      <c r="CF167" s="2225"/>
      <c r="CG167" s="2216"/>
      <c r="CH167" s="2217"/>
      <c r="CI167" s="2217"/>
      <c r="CJ167" s="2217"/>
      <c r="CK167" s="2217"/>
      <c r="CL167" s="2217"/>
      <c r="CM167" s="2217"/>
      <c r="CN167" s="2217"/>
      <c r="CO167" s="2217"/>
      <c r="CP167" s="2217"/>
      <c r="CQ167" s="2217"/>
      <c r="CR167" s="2217"/>
      <c r="CS167" s="2217"/>
      <c r="CT167" s="2217"/>
      <c r="CU167" s="2217"/>
      <c r="CV167" s="2217"/>
      <c r="CW167" s="2222"/>
      <c r="CX167" s="2216"/>
      <c r="CY167" s="2216"/>
      <c r="CZ167" s="2180">
        <f t="shared" si="143"/>
        <v>0</v>
      </c>
      <c r="DB167" s="1249" t="s">
        <v>77</v>
      </c>
      <c r="DC167" s="1287">
        <f t="shared" si="144"/>
        <v>0</v>
      </c>
      <c r="DD167" s="2279"/>
      <c r="DE167" s="2279"/>
      <c r="DF167" s="2290"/>
      <c r="DG167" s="2289"/>
      <c r="DH167" s="2288"/>
      <c r="DI167" s="2280"/>
      <c r="DJ167" s="2280"/>
      <c r="DK167" s="2279"/>
      <c r="DL167" s="2279"/>
      <c r="DM167" s="2279"/>
      <c r="DN167" s="2279"/>
      <c r="DO167" s="2279"/>
      <c r="DP167" s="2279"/>
      <c r="DQ167" s="2280"/>
      <c r="DR167" s="2280"/>
      <c r="DS167" s="2280"/>
      <c r="DT167" s="2280"/>
      <c r="DU167" s="2280"/>
      <c r="DV167" s="2280"/>
      <c r="DW167" s="2280"/>
      <c r="DX167" s="2280"/>
      <c r="DY167" s="2280"/>
      <c r="DZ167" s="2280"/>
      <c r="EA167" s="2280"/>
      <c r="EB167" s="2280"/>
      <c r="EC167" s="2280"/>
      <c r="ED167" s="2280"/>
      <c r="EE167" s="2280"/>
      <c r="EF167" s="2287"/>
      <c r="EG167" s="2279"/>
      <c r="EH167" s="2279"/>
      <c r="EI167" s="1488">
        <f t="shared" si="145"/>
        <v>0</v>
      </c>
    </row>
    <row r="168" spans="1:139" ht="15">
      <c r="A168" s="1233" t="s">
        <v>78</v>
      </c>
      <c r="B168" s="1280">
        <f t="shared" si="138"/>
        <v>0</v>
      </c>
      <c r="C168" s="2335"/>
      <c r="D168" s="1933"/>
      <c r="E168" s="2336"/>
      <c r="F168" s="2337"/>
      <c r="G168" s="2338"/>
      <c r="H168" s="2339"/>
      <c r="I168" s="2333"/>
      <c r="J168" s="2333"/>
      <c r="K168" s="2333"/>
      <c r="L168" s="2333"/>
      <c r="M168" s="2329"/>
      <c r="N168" s="2329"/>
      <c r="O168" s="2329"/>
      <c r="P168" s="2329"/>
      <c r="Q168" s="2333"/>
      <c r="R168" s="2333"/>
      <c r="S168" s="2333"/>
      <c r="T168" s="2333"/>
      <c r="U168" s="2329"/>
      <c r="V168" s="2333"/>
      <c r="W168" s="2333"/>
      <c r="X168" s="2333"/>
      <c r="Y168" s="2333"/>
      <c r="Z168" s="2333"/>
      <c r="AA168" s="2333"/>
      <c r="AB168" s="2333"/>
      <c r="AC168" s="2329"/>
      <c r="AD168" s="2333"/>
      <c r="AE168" s="2333"/>
      <c r="AF168" s="2329"/>
      <c r="AG168" s="2329"/>
      <c r="AH168" s="2327">
        <f t="shared" si="139"/>
        <v>0</v>
      </c>
      <c r="AJ168" s="1746" t="s">
        <v>78</v>
      </c>
      <c r="AK168" s="1749">
        <f t="shared" si="140"/>
        <v>0</v>
      </c>
      <c r="AL168" s="2239"/>
      <c r="AM168" s="2238"/>
      <c r="AN168" s="2237"/>
      <c r="AO168" s="2236"/>
      <c r="AP168" s="2235"/>
      <c r="AQ168" s="2234"/>
      <c r="AR168" s="2233"/>
      <c r="AS168" s="2233"/>
      <c r="AT168" s="2233"/>
      <c r="AU168" s="2233"/>
      <c r="AV168" s="2232"/>
      <c r="AW168" s="2232"/>
      <c r="AX168" s="2232"/>
      <c r="AY168" s="2232"/>
      <c r="AZ168" s="2233"/>
      <c r="BA168" s="2233"/>
      <c r="BB168" s="2233"/>
      <c r="BC168" s="2233"/>
      <c r="BD168" s="2232"/>
      <c r="BE168" s="2231"/>
      <c r="BF168" s="2231"/>
      <c r="BG168" s="2231"/>
      <c r="BH168" s="2231"/>
      <c r="BI168" s="2231"/>
      <c r="BJ168" s="2231"/>
      <c r="BK168" s="2231"/>
      <c r="BL168" s="2231"/>
      <c r="BM168" s="2231"/>
      <c r="BN168" s="2231"/>
      <c r="BO168" s="2226"/>
      <c r="BP168" s="2226"/>
      <c r="BQ168" s="2188">
        <f t="shared" si="141"/>
        <v>0</v>
      </c>
      <c r="BS168" s="1845" t="s">
        <v>78</v>
      </c>
      <c r="BT168" s="1846">
        <f t="shared" si="142"/>
        <v>0</v>
      </c>
      <c r="BU168" s="2230"/>
      <c r="BV168" s="2230"/>
      <c r="BW168" s="2230"/>
      <c r="BX168" s="2230"/>
      <c r="BY168" s="2230"/>
      <c r="BZ168" s="2230"/>
      <c r="CA168" s="2230"/>
      <c r="CB168" s="2230"/>
      <c r="CC168" s="2230"/>
      <c r="CD168" s="2230"/>
      <c r="CE168" s="2225"/>
      <c r="CF168" s="2225"/>
      <c r="CG168" s="2216"/>
      <c r="CH168" s="2216"/>
      <c r="CI168" s="2217"/>
      <c r="CJ168" s="2217"/>
      <c r="CK168" s="2217"/>
      <c r="CL168" s="2217"/>
      <c r="CM168" s="2216"/>
      <c r="CN168" s="2217"/>
      <c r="CO168" s="2217"/>
      <c r="CP168" s="2217"/>
      <c r="CQ168" s="2217"/>
      <c r="CR168" s="2217"/>
      <c r="CS168" s="2217"/>
      <c r="CT168" s="2217"/>
      <c r="CU168" s="2216"/>
      <c r="CV168" s="2217"/>
      <c r="CW168" s="2217"/>
      <c r="CX168" s="2216"/>
      <c r="CY168" s="2216"/>
      <c r="CZ168" s="2180">
        <f t="shared" si="143"/>
        <v>0</v>
      </c>
      <c r="DB168" s="1249" t="s">
        <v>78</v>
      </c>
      <c r="DC168" s="1287">
        <f t="shared" si="144"/>
        <v>0</v>
      </c>
      <c r="DD168" s="2285"/>
      <c r="DE168" s="1393"/>
      <c r="DF168" s="2284"/>
      <c r="DG168" s="2283"/>
      <c r="DH168" s="2282"/>
      <c r="DI168" s="2281"/>
      <c r="DJ168" s="2280"/>
      <c r="DK168" s="2280"/>
      <c r="DL168" s="2280"/>
      <c r="DM168" s="2280"/>
      <c r="DN168" s="2279"/>
      <c r="DO168" s="2279"/>
      <c r="DP168" s="2279"/>
      <c r="DQ168" s="2279"/>
      <c r="DR168" s="2280"/>
      <c r="DS168" s="2280"/>
      <c r="DT168" s="2280"/>
      <c r="DU168" s="2280"/>
      <c r="DV168" s="2279"/>
      <c r="DW168" s="2280"/>
      <c r="DX168" s="2280"/>
      <c r="DY168" s="2280"/>
      <c r="DZ168" s="2280"/>
      <c r="EA168" s="2280"/>
      <c r="EB168" s="2280"/>
      <c r="EC168" s="2280"/>
      <c r="ED168" s="2279"/>
      <c r="EE168" s="2280"/>
      <c r="EF168" s="2280"/>
      <c r="EG168" s="2279"/>
      <c r="EH168" s="2279"/>
      <c r="EI168" s="1488">
        <f t="shared" si="145"/>
        <v>0</v>
      </c>
    </row>
    <row r="169" spans="1:139" ht="15">
      <c r="A169" s="1233" t="s">
        <v>79</v>
      </c>
      <c r="B169" s="1280">
        <f t="shared" si="138"/>
        <v>0</v>
      </c>
      <c r="C169" s="2326"/>
      <c r="D169" s="2326"/>
      <c r="E169" s="2326"/>
      <c r="F169" s="2326"/>
      <c r="G169" s="2326"/>
      <c r="H169" s="2326"/>
      <c r="I169" s="2326"/>
      <c r="J169" s="2326"/>
      <c r="K169" s="2326"/>
      <c r="L169" s="2326"/>
      <c r="M169" s="2326"/>
      <c r="N169" s="2326"/>
      <c r="O169" s="2326"/>
      <c r="P169" s="2326"/>
      <c r="Q169" s="2326"/>
      <c r="R169" s="2326"/>
      <c r="S169" s="2326"/>
      <c r="T169" s="2326"/>
      <c r="U169" s="2326"/>
      <c r="V169" s="2326"/>
      <c r="W169" s="2326"/>
      <c r="X169" s="2326"/>
      <c r="Y169" s="2326"/>
      <c r="Z169" s="2326"/>
      <c r="AA169" s="2326"/>
      <c r="AB169" s="2326"/>
      <c r="AC169" s="2326"/>
      <c r="AD169" s="2326"/>
      <c r="AE169" s="2326"/>
      <c r="AF169" s="2326"/>
      <c r="AG169" s="2326"/>
      <c r="AH169" s="2327">
        <f t="shared" si="139"/>
        <v>0</v>
      </c>
      <c r="AJ169" s="1746" t="s">
        <v>79</v>
      </c>
      <c r="AK169" s="1749">
        <f t="shared" si="140"/>
        <v>0</v>
      </c>
      <c r="AL169" s="2189"/>
      <c r="AM169" s="2189"/>
      <c r="AN169" s="2189"/>
      <c r="AO169" s="2189"/>
      <c r="AP169" s="2189"/>
      <c r="AQ169" s="2189"/>
      <c r="AR169" s="2189"/>
      <c r="AS169" s="2189"/>
      <c r="AT169" s="2189"/>
      <c r="AU169" s="2189"/>
      <c r="AV169" s="2189"/>
      <c r="AW169" s="2189"/>
      <c r="AX169" s="2189"/>
      <c r="AY169" s="2189"/>
      <c r="AZ169" s="2189"/>
      <c r="BA169" s="2189"/>
      <c r="BB169" s="2189"/>
      <c r="BC169" s="2189"/>
      <c r="BD169" s="2189"/>
      <c r="BE169" s="2231"/>
      <c r="BF169" s="2231"/>
      <c r="BG169" s="2231"/>
      <c r="BH169" s="2226"/>
      <c r="BI169" s="2231"/>
      <c r="BJ169" s="2226"/>
      <c r="BK169" s="2231"/>
      <c r="BL169" s="2226"/>
      <c r="BM169" s="2231"/>
      <c r="BN169" s="2231"/>
      <c r="BO169" s="2231"/>
      <c r="BP169" s="2231"/>
      <c r="BQ169" s="2188">
        <f t="shared" si="141"/>
        <v>0</v>
      </c>
      <c r="BS169" s="1845" t="s">
        <v>79</v>
      </c>
      <c r="BT169" s="1846">
        <f t="shared" si="142"/>
        <v>0</v>
      </c>
      <c r="BU169" s="2230"/>
      <c r="BV169" s="2230"/>
      <c r="BW169" s="2230"/>
      <c r="BX169" s="2225"/>
      <c r="BY169" s="2230"/>
      <c r="BZ169" s="2225"/>
      <c r="CA169" s="2230"/>
      <c r="CB169" s="2225"/>
      <c r="CC169" s="2230"/>
      <c r="CD169" s="2230"/>
      <c r="CE169" s="2230"/>
      <c r="CF169" s="2230"/>
      <c r="CG169" s="2181"/>
      <c r="CH169" s="2181"/>
      <c r="CI169" s="2181"/>
      <c r="CJ169" s="2181"/>
      <c r="CK169" s="2181"/>
      <c r="CL169" s="2181"/>
      <c r="CM169" s="2181"/>
      <c r="CN169" s="2181"/>
      <c r="CO169" s="2181"/>
      <c r="CP169" s="2181"/>
      <c r="CQ169" s="2181"/>
      <c r="CR169" s="2181"/>
      <c r="CS169" s="2181"/>
      <c r="CT169" s="2181"/>
      <c r="CU169" s="2181"/>
      <c r="CV169" s="2181"/>
      <c r="CW169" s="2181"/>
      <c r="CX169" s="2181"/>
      <c r="CY169" s="2181"/>
      <c r="CZ169" s="2180">
        <f t="shared" si="143"/>
        <v>0</v>
      </c>
      <c r="DB169" s="1249" t="s">
        <v>79</v>
      </c>
      <c r="DC169" s="1287">
        <f t="shared" si="144"/>
        <v>0</v>
      </c>
      <c r="DD169" s="1761"/>
      <c r="DE169" s="1761"/>
      <c r="DF169" s="1761"/>
      <c r="DG169" s="1761"/>
      <c r="DH169" s="1761"/>
      <c r="DI169" s="1761"/>
      <c r="DJ169" s="1761"/>
      <c r="DK169" s="1761"/>
      <c r="DL169" s="1761"/>
      <c r="DM169" s="1761"/>
      <c r="DN169" s="1761"/>
      <c r="DO169" s="1761"/>
      <c r="DP169" s="1761"/>
      <c r="DQ169" s="1761"/>
      <c r="DR169" s="1761"/>
      <c r="DS169" s="1761"/>
      <c r="DT169" s="1761"/>
      <c r="DU169" s="1761"/>
      <c r="DV169" s="1761"/>
      <c r="DW169" s="1761"/>
      <c r="DX169" s="1761"/>
      <c r="DY169" s="1761"/>
      <c r="DZ169" s="1761"/>
      <c r="EA169" s="1761"/>
      <c r="EB169" s="1761"/>
      <c r="EC169" s="1761"/>
      <c r="ED169" s="1761"/>
      <c r="EE169" s="1761"/>
      <c r="EF169" s="1761"/>
      <c r="EG169" s="1761"/>
      <c r="EH169" s="1761"/>
      <c r="EI169" s="1488">
        <f t="shared" si="145"/>
        <v>0</v>
      </c>
    </row>
    <row r="170" spans="1:139" ht="15">
      <c r="A170" s="1233" t="s">
        <v>80</v>
      </c>
      <c r="B170" s="1280">
        <f t="shared" si="138"/>
        <v>0</v>
      </c>
      <c r="C170" s="2326"/>
      <c r="D170" s="2326"/>
      <c r="E170" s="2326"/>
      <c r="F170" s="2326"/>
      <c r="G170" s="2326"/>
      <c r="H170" s="2326"/>
      <c r="I170" s="2326"/>
      <c r="J170" s="2326"/>
      <c r="K170" s="2326"/>
      <c r="L170" s="2326"/>
      <c r="M170" s="2326"/>
      <c r="N170" s="2326"/>
      <c r="O170" s="2326"/>
      <c r="P170" s="2326"/>
      <c r="Q170" s="2326"/>
      <c r="R170" s="2326"/>
      <c r="S170" s="2326"/>
      <c r="T170" s="2326"/>
      <c r="U170" s="2326"/>
      <c r="V170" s="2326"/>
      <c r="W170" s="2326"/>
      <c r="X170" s="2326"/>
      <c r="Y170" s="2326"/>
      <c r="Z170" s="2326"/>
      <c r="AA170" s="2326"/>
      <c r="AB170" s="2326"/>
      <c r="AC170" s="2326"/>
      <c r="AD170" s="2326"/>
      <c r="AE170" s="2326"/>
      <c r="AF170" s="2326"/>
      <c r="AG170" s="2326"/>
      <c r="AH170" s="2327">
        <f t="shared" si="139"/>
        <v>0</v>
      </c>
      <c r="AJ170" s="1746" t="s">
        <v>80</v>
      </c>
      <c r="AK170" s="1749">
        <f t="shared" si="140"/>
        <v>0</v>
      </c>
      <c r="AL170" s="2189"/>
      <c r="AM170" s="2189"/>
      <c r="AN170" s="2189"/>
      <c r="AO170" s="2189"/>
      <c r="AP170" s="2189"/>
      <c r="AQ170" s="2189"/>
      <c r="AR170" s="2189"/>
      <c r="AS170" s="2189"/>
      <c r="AT170" s="2189"/>
      <c r="AU170" s="2189"/>
      <c r="AV170" s="2189"/>
      <c r="AW170" s="2189"/>
      <c r="AX170" s="2189"/>
      <c r="AY170" s="2189"/>
      <c r="AZ170" s="2189"/>
      <c r="BA170" s="2189"/>
      <c r="BB170" s="2189"/>
      <c r="BC170" s="2189"/>
      <c r="BD170" s="2189"/>
      <c r="BE170" s="2231"/>
      <c r="BF170" s="2231"/>
      <c r="BG170" s="2231"/>
      <c r="BH170" s="2231"/>
      <c r="BI170" s="2231"/>
      <c r="BJ170" s="2231"/>
      <c r="BK170" s="2231"/>
      <c r="BL170" s="2231"/>
      <c r="BM170" s="2231"/>
      <c r="BN170" s="2231"/>
      <c r="BO170" s="2231"/>
      <c r="BP170" s="2226"/>
      <c r="BQ170" s="2188">
        <f t="shared" si="141"/>
        <v>0</v>
      </c>
      <c r="BS170" s="1845" t="s">
        <v>80</v>
      </c>
      <c r="BT170" s="1846">
        <f t="shared" si="142"/>
        <v>0</v>
      </c>
      <c r="BU170" s="2230"/>
      <c r="BV170" s="2230"/>
      <c r="BW170" s="2230"/>
      <c r="BX170" s="2230"/>
      <c r="BY170" s="2230"/>
      <c r="BZ170" s="2230"/>
      <c r="CA170" s="2230"/>
      <c r="CB170" s="2230"/>
      <c r="CC170" s="2230"/>
      <c r="CD170" s="2230"/>
      <c r="CE170" s="2230"/>
      <c r="CF170" s="2225"/>
      <c r="CG170" s="2181"/>
      <c r="CH170" s="2181"/>
      <c r="CI170" s="2181"/>
      <c r="CJ170" s="2181"/>
      <c r="CK170" s="2181"/>
      <c r="CL170" s="2181"/>
      <c r="CM170" s="2181"/>
      <c r="CN170" s="2181"/>
      <c r="CO170" s="2181"/>
      <c r="CP170" s="2181"/>
      <c r="CQ170" s="2181"/>
      <c r="CR170" s="2181"/>
      <c r="CS170" s="2181"/>
      <c r="CT170" s="2181"/>
      <c r="CU170" s="2181"/>
      <c r="CV170" s="2181"/>
      <c r="CW170" s="2181"/>
      <c r="CX170" s="2181"/>
      <c r="CY170" s="2181"/>
      <c r="CZ170" s="2180">
        <f t="shared" si="143"/>
        <v>0</v>
      </c>
      <c r="DB170" s="1249" t="s">
        <v>80</v>
      </c>
      <c r="DC170" s="1287">
        <f t="shared" si="144"/>
        <v>0</v>
      </c>
      <c r="DD170" s="1761"/>
      <c r="DE170" s="1761"/>
      <c r="DF170" s="1761"/>
      <c r="DG170" s="1761"/>
      <c r="DH170" s="1761"/>
      <c r="DI170" s="1761"/>
      <c r="DJ170" s="1761"/>
      <c r="DK170" s="1761"/>
      <c r="DL170" s="1761"/>
      <c r="DM170" s="1761"/>
      <c r="DN170" s="1761"/>
      <c r="DO170" s="1761"/>
      <c r="DP170" s="1761"/>
      <c r="DQ170" s="1761"/>
      <c r="DR170" s="1761"/>
      <c r="DS170" s="1761"/>
      <c r="DT170" s="1761"/>
      <c r="DU170" s="1761"/>
      <c r="DV170" s="1761"/>
      <c r="DW170" s="1761"/>
      <c r="DX170" s="1761"/>
      <c r="DY170" s="1761"/>
      <c r="DZ170" s="1761"/>
      <c r="EA170" s="1761"/>
      <c r="EB170" s="1761"/>
      <c r="EC170" s="1761"/>
      <c r="ED170" s="1761"/>
      <c r="EE170" s="1761"/>
      <c r="EF170" s="1761"/>
      <c r="EG170" s="1761"/>
      <c r="EH170" s="1761"/>
      <c r="EI170" s="1488">
        <f t="shared" si="145"/>
        <v>0</v>
      </c>
    </row>
    <row r="171" spans="1:139" ht="15">
      <c r="A171" s="1233" t="s">
        <v>81</v>
      </c>
      <c r="B171" s="1280">
        <f t="shared" si="138"/>
        <v>0</v>
      </c>
      <c r="C171" s="2326"/>
      <c r="D171" s="2326"/>
      <c r="E171" s="2326"/>
      <c r="F171" s="2326"/>
      <c r="G171" s="2326"/>
      <c r="H171" s="2326"/>
      <c r="I171" s="2326"/>
      <c r="J171" s="2326"/>
      <c r="K171" s="2326"/>
      <c r="L171" s="2326"/>
      <c r="M171" s="2326"/>
      <c r="N171" s="2326"/>
      <c r="O171" s="2326"/>
      <c r="P171" s="2326"/>
      <c r="Q171" s="2326"/>
      <c r="R171" s="2326"/>
      <c r="S171" s="2326"/>
      <c r="T171" s="2326"/>
      <c r="U171" s="2326"/>
      <c r="V171" s="2326"/>
      <c r="W171" s="2326"/>
      <c r="X171" s="2326"/>
      <c r="Y171" s="2326"/>
      <c r="Z171" s="2326"/>
      <c r="AA171" s="2326"/>
      <c r="AB171" s="2326"/>
      <c r="AC171" s="2326"/>
      <c r="AD171" s="2326"/>
      <c r="AE171" s="2326"/>
      <c r="AF171" s="2326"/>
      <c r="AG171" s="2326"/>
      <c r="AH171" s="2327">
        <f t="shared" si="139"/>
        <v>0</v>
      </c>
      <c r="AJ171" s="1746" t="s">
        <v>81</v>
      </c>
      <c r="AK171" s="1749">
        <f t="shared" si="140"/>
        <v>0</v>
      </c>
      <c r="AL171" s="2189"/>
      <c r="AM171" s="2189"/>
      <c r="AN171" s="2189"/>
      <c r="AO171" s="2189"/>
      <c r="AP171" s="2189"/>
      <c r="AQ171" s="2189"/>
      <c r="AR171" s="2189"/>
      <c r="AS171" s="2189"/>
      <c r="AT171" s="2189"/>
      <c r="AU171" s="2189"/>
      <c r="AV171" s="2189"/>
      <c r="AW171" s="2189"/>
      <c r="AX171" s="2189"/>
      <c r="AY171" s="2189"/>
      <c r="AZ171" s="2189"/>
      <c r="BA171" s="2189"/>
      <c r="BB171" s="2189"/>
      <c r="BC171" s="2189"/>
      <c r="BD171" s="2189"/>
      <c r="BE171" s="2231"/>
      <c r="BF171" s="2231"/>
      <c r="BG171" s="2231"/>
      <c r="BH171" s="2231"/>
      <c r="BI171" s="2231"/>
      <c r="BJ171" s="2231"/>
      <c r="BK171" s="2231"/>
      <c r="BL171" s="2231"/>
      <c r="BM171" s="2231"/>
      <c r="BN171" s="2231"/>
      <c r="BO171" s="2231"/>
      <c r="BP171" s="2231"/>
      <c r="BQ171" s="2188">
        <f t="shared" si="141"/>
        <v>0</v>
      </c>
      <c r="BS171" s="1845" t="s">
        <v>81</v>
      </c>
      <c r="BT171" s="1846">
        <f t="shared" si="142"/>
        <v>0</v>
      </c>
      <c r="BU171" s="2230"/>
      <c r="BV171" s="2230"/>
      <c r="BW171" s="2230"/>
      <c r="BX171" s="2230"/>
      <c r="BY171" s="2230"/>
      <c r="BZ171" s="2230"/>
      <c r="CA171" s="2230"/>
      <c r="CB171" s="2230"/>
      <c r="CC171" s="2230"/>
      <c r="CD171" s="2230"/>
      <c r="CE171" s="2230"/>
      <c r="CF171" s="2230"/>
      <c r="CG171" s="2181"/>
      <c r="CH171" s="2181"/>
      <c r="CI171" s="2181"/>
      <c r="CJ171" s="2181"/>
      <c r="CK171" s="2181"/>
      <c r="CL171" s="2181"/>
      <c r="CM171" s="2181"/>
      <c r="CN171" s="2181"/>
      <c r="CO171" s="2181"/>
      <c r="CP171" s="2181"/>
      <c r="CQ171" s="2181"/>
      <c r="CR171" s="2181"/>
      <c r="CS171" s="2181"/>
      <c r="CT171" s="2181"/>
      <c r="CU171" s="2181"/>
      <c r="CV171" s="2181"/>
      <c r="CW171" s="2181"/>
      <c r="CX171" s="2181"/>
      <c r="CY171" s="2181"/>
      <c r="CZ171" s="2180">
        <f t="shared" si="143"/>
        <v>0</v>
      </c>
      <c r="DB171" s="1249" t="s">
        <v>81</v>
      </c>
      <c r="DC171" s="1287">
        <f t="shared" si="144"/>
        <v>0</v>
      </c>
      <c r="DD171" s="1761"/>
      <c r="DE171" s="1761"/>
      <c r="DF171" s="1761"/>
      <c r="DG171" s="1761"/>
      <c r="DH171" s="1761"/>
      <c r="DI171" s="1761"/>
      <c r="DJ171" s="1761"/>
      <c r="DK171" s="1761"/>
      <c r="DL171" s="1761"/>
      <c r="DM171" s="1761"/>
      <c r="DN171" s="1761"/>
      <c r="DO171" s="1761"/>
      <c r="DP171" s="1761"/>
      <c r="DQ171" s="1761"/>
      <c r="DR171" s="1761"/>
      <c r="DS171" s="1761"/>
      <c r="DT171" s="1761"/>
      <c r="DU171" s="1761"/>
      <c r="DV171" s="1761"/>
      <c r="DW171" s="1761"/>
      <c r="DX171" s="1761"/>
      <c r="DY171" s="1761"/>
      <c r="DZ171" s="1761"/>
      <c r="EA171" s="1761"/>
      <c r="EB171" s="1761"/>
      <c r="EC171" s="1761"/>
      <c r="ED171" s="1761"/>
      <c r="EE171" s="1761"/>
      <c r="EF171" s="1761"/>
      <c r="EG171" s="1761"/>
      <c r="EH171" s="1761"/>
      <c r="EI171" s="1488">
        <f t="shared" si="145"/>
        <v>0</v>
      </c>
    </row>
    <row r="172" spans="1:139" ht="15">
      <c r="A172" s="1233" t="s">
        <v>82</v>
      </c>
      <c r="B172" s="1280">
        <f t="shared" si="138"/>
        <v>0</v>
      </c>
      <c r="C172" s="2326"/>
      <c r="D172" s="2326"/>
      <c r="E172" s="2326"/>
      <c r="F172" s="2326"/>
      <c r="G172" s="2326"/>
      <c r="H172" s="2326"/>
      <c r="I172" s="2326"/>
      <c r="J172" s="2326"/>
      <c r="K172" s="2326"/>
      <c r="L172" s="2326"/>
      <c r="M172" s="2326"/>
      <c r="N172" s="2326"/>
      <c r="O172" s="2326"/>
      <c r="P172" s="2326"/>
      <c r="Q172" s="2326"/>
      <c r="R172" s="2326"/>
      <c r="S172" s="2326"/>
      <c r="T172" s="2326"/>
      <c r="U172" s="2326"/>
      <c r="V172" s="2326"/>
      <c r="W172" s="2326"/>
      <c r="X172" s="2326"/>
      <c r="Y172" s="2326"/>
      <c r="Z172" s="2326"/>
      <c r="AA172" s="2326"/>
      <c r="AB172" s="2326"/>
      <c r="AC172" s="2326"/>
      <c r="AD172" s="2326"/>
      <c r="AE172" s="2326"/>
      <c r="AF172" s="2326"/>
      <c r="AG172" s="2326"/>
      <c r="AH172" s="2327">
        <f t="shared" si="139"/>
        <v>0</v>
      </c>
      <c r="AJ172" s="1746" t="s">
        <v>82</v>
      </c>
      <c r="AK172" s="1749">
        <f t="shared" si="140"/>
        <v>0</v>
      </c>
      <c r="AL172" s="2189"/>
      <c r="AM172" s="2189"/>
      <c r="AN172" s="2189"/>
      <c r="AO172" s="2189"/>
      <c r="AP172" s="2189"/>
      <c r="AQ172" s="2189"/>
      <c r="AR172" s="2189"/>
      <c r="AS172" s="2189"/>
      <c r="AT172" s="2189"/>
      <c r="AU172" s="2189"/>
      <c r="AV172" s="2189"/>
      <c r="AW172" s="2189"/>
      <c r="AX172" s="2189"/>
      <c r="AY172" s="2189"/>
      <c r="AZ172" s="2189"/>
      <c r="BA172" s="2189"/>
      <c r="BB172" s="2189"/>
      <c r="BC172" s="2189"/>
      <c r="BD172" s="2189"/>
      <c r="BE172" s="2226"/>
      <c r="BF172" s="2229"/>
      <c r="BG172" s="2226"/>
      <c r="BH172" s="2226"/>
      <c r="BI172" s="2226"/>
      <c r="BJ172" s="2226"/>
      <c r="BK172" s="2226"/>
      <c r="BL172" s="2226"/>
      <c r="BM172" s="2226"/>
      <c r="BN172" s="2226"/>
      <c r="BO172" s="2226"/>
      <c r="BP172" s="2226"/>
      <c r="BQ172" s="2188">
        <f t="shared" si="141"/>
        <v>0</v>
      </c>
      <c r="BS172" s="1845" t="s">
        <v>82</v>
      </c>
      <c r="BT172" s="1846">
        <f t="shared" si="142"/>
        <v>0</v>
      </c>
      <c r="BU172" s="2225"/>
      <c r="BV172" s="2228"/>
      <c r="BW172" s="2225"/>
      <c r="BX172" s="2225"/>
      <c r="BY172" s="2225"/>
      <c r="BZ172" s="2225"/>
      <c r="CA172" s="2225"/>
      <c r="CB172" s="2225"/>
      <c r="CC172" s="2225"/>
      <c r="CD172" s="2225"/>
      <c r="CE172" s="2225"/>
      <c r="CF172" s="2225"/>
      <c r="CG172" s="2181"/>
      <c r="CH172" s="2181"/>
      <c r="CI172" s="2181"/>
      <c r="CJ172" s="2181"/>
      <c r="CK172" s="2181"/>
      <c r="CL172" s="2181"/>
      <c r="CM172" s="2181"/>
      <c r="CN172" s="2181"/>
      <c r="CO172" s="2181"/>
      <c r="CP172" s="2181"/>
      <c r="CQ172" s="2181"/>
      <c r="CR172" s="2181"/>
      <c r="CS172" s="2181"/>
      <c r="CT172" s="2181"/>
      <c r="CU172" s="2181"/>
      <c r="CV172" s="2181"/>
      <c r="CW172" s="2181"/>
      <c r="CX172" s="2181"/>
      <c r="CY172" s="2181"/>
      <c r="CZ172" s="2180">
        <f t="shared" si="143"/>
        <v>0</v>
      </c>
      <c r="DB172" s="1249" t="s">
        <v>82</v>
      </c>
      <c r="DC172" s="1287">
        <f t="shared" si="144"/>
        <v>0</v>
      </c>
      <c r="DD172" s="1761"/>
      <c r="DE172" s="1761"/>
      <c r="DF172" s="1761"/>
      <c r="DG172" s="1761"/>
      <c r="DH172" s="1761"/>
      <c r="DI172" s="1761"/>
      <c r="DJ172" s="1761"/>
      <c r="DK172" s="1761"/>
      <c r="DL172" s="1761"/>
      <c r="DM172" s="1761"/>
      <c r="DN172" s="1761"/>
      <c r="DO172" s="1761"/>
      <c r="DP172" s="1761"/>
      <c r="DQ172" s="1761"/>
      <c r="DR172" s="1761"/>
      <c r="DS172" s="1761"/>
      <c r="DT172" s="1761"/>
      <c r="DU172" s="1761"/>
      <c r="DV172" s="1761"/>
      <c r="DW172" s="1761"/>
      <c r="DX172" s="1761"/>
      <c r="DY172" s="1761"/>
      <c r="DZ172" s="1761"/>
      <c r="EA172" s="1761"/>
      <c r="EB172" s="1761"/>
      <c r="EC172" s="1761"/>
      <c r="ED172" s="1761"/>
      <c r="EE172" s="1761"/>
      <c r="EF172" s="1761"/>
      <c r="EG172" s="1761"/>
      <c r="EH172" s="1761"/>
      <c r="EI172" s="1488">
        <f t="shared" si="145"/>
        <v>0</v>
      </c>
    </row>
    <row r="173" spans="1:139" ht="15">
      <c r="A173" s="1233" t="s">
        <v>83</v>
      </c>
      <c r="B173" s="1280">
        <f t="shared" si="138"/>
        <v>0</v>
      </c>
      <c r="C173" s="2326"/>
      <c r="D173" s="2326"/>
      <c r="E173" s="2326"/>
      <c r="F173" s="2326"/>
      <c r="G173" s="2326"/>
      <c r="H173" s="2326"/>
      <c r="I173" s="2326"/>
      <c r="J173" s="2326"/>
      <c r="K173" s="2326"/>
      <c r="L173" s="2326"/>
      <c r="M173" s="2326"/>
      <c r="N173" s="2326"/>
      <c r="O173" s="2326"/>
      <c r="P173" s="2326"/>
      <c r="Q173" s="2326"/>
      <c r="R173" s="2326"/>
      <c r="S173" s="2326"/>
      <c r="T173" s="2326"/>
      <c r="U173" s="2326"/>
      <c r="V173" s="2326"/>
      <c r="W173" s="2326"/>
      <c r="X173" s="2326"/>
      <c r="Y173" s="2326"/>
      <c r="Z173" s="2326"/>
      <c r="AA173" s="2326"/>
      <c r="AB173" s="2326"/>
      <c r="AC173" s="2326"/>
      <c r="AD173" s="2326"/>
      <c r="AE173" s="2326"/>
      <c r="AF173" s="2326"/>
      <c r="AG173" s="2326"/>
      <c r="AH173" s="2327">
        <f t="shared" si="139"/>
        <v>0</v>
      </c>
      <c r="AJ173" s="1746" t="s">
        <v>83</v>
      </c>
      <c r="AK173" s="1749">
        <f t="shared" si="140"/>
        <v>0</v>
      </c>
      <c r="AL173" s="2189"/>
      <c r="AM173" s="2189"/>
      <c r="AN173" s="2189"/>
      <c r="AO173" s="2189"/>
      <c r="AP173" s="2189"/>
      <c r="AQ173" s="2189"/>
      <c r="AR173" s="2189"/>
      <c r="AS173" s="2189"/>
      <c r="AT173" s="2189"/>
      <c r="AU173" s="2189"/>
      <c r="AV173" s="2189"/>
      <c r="AW173" s="2189"/>
      <c r="AX173" s="2189"/>
      <c r="AY173" s="2189"/>
      <c r="AZ173" s="2189"/>
      <c r="BA173" s="2189"/>
      <c r="BB173" s="2189"/>
      <c r="BC173" s="2189"/>
      <c r="BD173" s="2189"/>
      <c r="BE173" s="2226"/>
      <c r="BF173" s="2226"/>
      <c r="BG173" s="2226"/>
      <c r="BH173" s="2226"/>
      <c r="BI173" s="2226"/>
      <c r="BJ173" s="2226"/>
      <c r="BK173" s="2226"/>
      <c r="BL173" s="2226"/>
      <c r="BM173" s="2226"/>
      <c r="BN173" s="2226"/>
      <c r="BO173" s="2226"/>
      <c r="BP173" s="2226"/>
      <c r="BQ173" s="2188">
        <f t="shared" si="141"/>
        <v>0</v>
      </c>
      <c r="BS173" s="1845" t="s">
        <v>83</v>
      </c>
      <c r="BT173" s="1846">
        <f t="shared" si="142"/>
        <v>0</v>
      </c>
      <c r="BU173" s="2225"/>
      <c r="BV173" s="2225"/>
      <c r="BW173" s="2225"/>
      <c r="BX173" s="2225"/>
      <c r="BY173" s="2225"/>
      <c r="BZ173" s="2225"/>
      <c r="CA173" s="2225"/>
      <c r="CB173" s="2225"/>
      <c r="CC173" s="2225"/>
      <c r="CD173" s="2225"/>
      <c r="CE173" s="2225"/>
      <c r="CF173" s="2225"/>
      <c r="CG173" s="2181"/>
      <c r="CH173" s="2181"/>
      <c r="CI173" s="2181"/>
      <c r="CJ173" s="2181"/>
      <c r="CK173" s="2181"/>
      <c r="CL173" s="2181"/>
      <c r="CM173" s="2181"/>
      <c r="CN173" s="2181"/>
      <c r="CO173" s="2181"/>
      <c r="CP173" s="2181"/>
      <c r="CQ173" s="2181"/>
      <c r="CR173" s="2181"/>
      <c r="CS173" s="2181"/>
      <c r="CT173" s="2181"/>
      <c r="CU173" s="2181"/>
      <c r="CV173" s="2181"/>
      <c r="CW173" s="2181"/>
      <c r="CX173" s="2181"/>
      <c r="CY173" s="2181"/>
      <c r="CZ173" s="2180">
        <f t="shared" si="143"/>
        <v>0</v>
      </c>
      <c r="DB173" s="1249" t="s">
        <v>83</v>
      </c>
      <c r="DC173" s="1287">
        <f t="shared" si="144"/>
        <v>0</v>
      </c>
      <c r="DD173" s="1761"/>
      <c r="DE173" s="1761"/>
      <c r="DF173" s="1761"/>
      <c r="DG173" s="1761"/>
      <c r="DH173" s="1761"/>
      <c r="DI173" s="1761"/>
      <c r="DJ173" s="1761"/>
      <c r="DK173" s="1761"/>
      <c r="DL173" s="1761"/>
      <c r="DM173" s="1761"/>
      <c r="DN173" s="1761"/>
      <c r="DO173" s="1761"/>
      <c r="DP173" s="1761"/>
      <c r="DQ173" s="1761"/>
      <c r="DR173" s="1761"/>
      <c r="DS173" s="1761"/>
      <c r="DT173" s="1761"/>
      <c r="DU173" s="1761"/>
      <c r="DV173" s="1761"/>
      <c r="DW173" s="1761"/>
      <c r="DX173" s="1761"/>
      <c r="DY173" s="1761"/>
      <c r="DZ173" s="1761"/>
      <c r="EA173" s="1761"/>
      <c r="EB173" s="1761"/>
      <c r="EC173" s="1761"/>
      <c r="ED173" s="1761"/>
      <c r="EE173" s="1761"/>
      <c r="EF173" s="1761"/>
      <c r="EG173" s="1761"/>
      <c r="EH173" s="1761"/>
      <c r="EI173" s="1488">
        <f t="shared" si="145"/>
        <v>0</v>
      </c>
    </row>
    <row r="174" spans="1:139" ht="15">
      <c r="A174" s="1233" t="s">
        <v>84</v>
      </c>
      <c r="B174" s="1280">
        <f t="shared" si="138"/>
        <v>0</v>
      </c>
      <c r="C174" s="2326"/>
      <c r="D174" s="2326"/>
      <c r="E174" s="2326"/>
      <c r="F174" s="2326"/>
      <c r="G174" s="2326"/>
      <c r="H174" s="2326"/>
      <c r="I174" s="2326"/>
      <c r="J174" s="2326"/>
      <c r="K174" s="2326"/>
      <c r="L174" s="2326"/>
      <c r="M174" s="2326"/>
      <c r="N174" s="2326"/>
      <c r="O174" s="2326"/>
      <c r="P174" s="2326"/>
      <c r="Q174" s="2326"/>
      <c r="R174" s="2325"/>
      <c r="S174" s="2325"/>
      <c r="T174" s="2325"/>
      <c r="U174" s="2325"/>
      <c r="V174" s="2325"/>
      <c r="W174" s="2325"/>
      <c r="X174" s="2325"/>
      <c r="Y174" s="2325"/>
      <c r="Z174" s="2325"/>
      <c r="AA174" s="2325"/>
      <c r="AB174" s="2325"/>
      <c r="AC174" s="2325"/>
      <c r="AD174" s="2325"/>
      <c r="AE174" s="2325"/>
      <c r="AF174" s="2325"/>
      <c r="AG174" s="2325"/>
      <c r="AH174" s="2327">
        <f t="shared" si="139"/>
        <v>0</v>
      </c>
      <c r="AJ174" s="1746" t="s">
        <v>84</v>
      </c>
      <c r="AK174" s="1749">
        <f t="shared" si="140"/>
        <v>0</v>
      </c>
      <c r="AL174" s="2189"/>
      <c r="AM174" s="2189"/>
      <c r="AN174" s="2189"/>
      <c r="AO174" s="2189"/>
      <c r="AP174" s="2189"/>
      <c r="AQ174" s="2189"/>
      <c r="AR174" s="2189"/>
      <c r="AS174" s="2189"/>
      <c r="AT174" s="2189"/>
      <c r="AU174" s="2189"/>
      <c r="AV174" s="2189"/>
      <c r="AW174" s="2189"/>
      <c r="AX174" s="2189"/>
      <c r="AY174" s="2189"/>
      <c r="AZ174" s="2189"/>
      <c r="BA174" s="2192"/>
      <c r="BB174" s="2192"/>
      <c r="BC174" s="2192"/>
      <c r="BD174" s="2192"/>
      <c r="BE174" s="2226"/>
      <c r="BF174" s="2226"/>
      <c r="BG174" s="2226"/>
      <c r="BH174" s="2226"/>
      <c r="BI174" s="2226"/>
      <c r="BJ174" s="2226"/>
      <c r="BK174" s="2226"/>
      <c r="BL174" s="2226"/>
      <c r="BM174" s="2226"/>
      <c r="BN174" s="2226"/>
      <c r="BO174" s="2226"/>
      <c r="BP174" s="2226"/>
      <c r="BQ174" s="2188">
        <f t="shared" si="141"/>
        <v>0</v>
      </c>
      <c r="BS174" s="1845" t="s">
        <v>84</v>
      </c>
      <c r="BT174" s="1846">
        <f t="shared" si="142"/>
        <v>0</v>
      </c>
      <c r="BU174" s="2225"/>
      <c r="BV174" s="2225"/>
      <c r="BW174" s="2225"/>
      <c r="BX174" s="2225"/>
      <c r="BY174" s="2225"/>
      <c r="BZ174" s="2225"/>
      <c r="CA174" s="2225"/>
      <c r="CB174" s="2225"/>
      <c r="CC174" s="2225"/>
      <c r="CD174" s="2225"/>
      <c r="CE174" s="2225"/>
      <c r="CF174" s="2225"/>
      <c r="CG174" s="2181"/>
      <c r="CH174" s="2181"/>
      <c r="CI174" s="2181"/>
      <c r="CJ174" s="2184"/>
      <c r="CK174" s="2184"/>
      <c r="CL174" s="2184"/>
      <c r="CM174" s="2184"/>
      <c r="CN174" s="2184"/>
      <c r="CO174" s="2184"/>
      <c r="CP174" s="2184"/>
      <c r="CQ174" s="2184"/>
      <c r="CR174" s="2184"/>
      <c r="CS174" s="2184"/>
      <c r="CT174" s="2184"/>
      <c r="CU174" s="2184"/>
      <c r="CV174" s="2184"/>
      <c r="CW174" s="2184"/>
      <c r="CX174" s="2184"/>
      <c r="CY174" s="2184"/>
      <c r="CZ174" s="2180">
        <f t="shared" si="143"/>
        <v>0</v>
      </c>
      <c r="DB174" s="1249" t="s">
        <v>84</v>
      </c>
      <c r="DC174" s="1287">
        <f t="shared" si="144"/>
        <v>0</v>
      </c>
      <c r="DD174" s="1761"/>
      <c r="DE174" s="1761"/>
      <c r="DF174" s="1761"/>
      <c r="DG174" s="1761"/>
      <c r="DH174" s="1761"/>
      <c r="DI174" s="1761"/>
      <c r="DJ174" s="1761"/>
      <c r="DK174" s="1761"/>
      <c r="DL174" s="1761"/>
      <c r="DM174" s="1761"/>
      <c r="DN174" s="1761"/>
      <c r="DO174" s="1761"/>
      <c r="DP174" s="1761"/>
      <c r="DQ174" s="1761"/>
      <c r="DR174" s="1761"/>
      <c r="DS174" s="1820"/>
      <c r="DT174" s="1820"/>
      <c r="DU174" s="1820"/>
      <c r="DV174" s="1820"/>
      <c r="DW174" s="1820"/>
      <c r="DX174" s="1820"/>
      <c r="DY174" s="1820"/>
      <c r="DZ174" s="1820"/>
      <c r="EA174" s="1820"/>
      <c r="EB174" s="1820"/>
      <c r="EC174" s="1820"/>
      <c r="ED174" s="1820"/>
      <c r="EE174" s="1820"/>
      <c r="EF174" s="1820"/>
      <c r="EG174" s="1820"/>
      <c r="EH174" s="1820"/>
      <c r="EI174" s="1488">
        <f t="shared" si="145"/>
        <v>0</v>
      </c>
    </row>
    <row r="175" spans="1:139" ht="15">
      <c r="A175" s="1233" t="s">
        <v>85</v>
      </c>
      <c r="B175" s="1280">
        <f t="shared" si="138"/>
        <v>0</v>
      </c>
      <c r="C175" s="2326"/>
      <c r="D175" s="2325"/>
      <c r="E175" s="2325"/>
      <c r="F175" s="2325"/>
      <c r="G175" s="2325"/>
      <c r="H175" s="2325"/>
      <c r="I175" s="2325"/>
      <c r="J175" s="2325"/>
      <c r="K175" s="2325"/>
      <c r="L175" s="2325"/>
      <c r="M175" s="2325"/>
      <c r="N175" s="2325"/>
      <c r="O175" s="2325"/>
      <c r="P175" s="2325"/>
      <c r="Q175" s="2325"/>
      <c r="R175" s="2340"/>
      <c r="S175" s="2340"/>
      <c r="T175" s="2340"/>
      <c r="U175" s="2340"/>
      <c r="V175" s="2340"/>
      <c r="W175" s="2340"/>
      <c r="X175" s="2340"/>
      <c r="Y175" s="2340"/>
      <c r="Z175" s="2340"/>
      <c r="AA175" s="2340"/>
      <c r="AB175" s="2340"/>
      <c r="AC175" s="2340"/>
      <c r="AD175" s="2340"/>
      <c r="AE175" s="2340"/>
      <c r="AF175" s="2340"/>
      <c r="AG175" s="2326"/>
      <c r="AH175" s="2327">
        <f t="shared" si="139"/>
        <v>0</v>
      </c>
      <c r="AJ175" s="1746" t="s">
        <v>85</v>
      </c>
      <c r="AK175" s="1749">
        <f t="shared" si="140"/>
        <v>0</v>
      </c>
      <c r="AL175" s="2189"/>
      <c r="AM175" s="2192"/>
      <c r="AN175" s="2192"/>
      <c r="AO175" s="2192"/>
      <c r="AP175" s="2192"/>
      <c r="AQ175" s="2192"/>
      <c r="AR175" s="2192"/>
      <c r="AS175" s="2192"/>
      <c r="AT175" s="2192"/>
      <c r="AU175" s="2192"/>
      <c r="AV175" s="2192"/>
      <c r="AW175" s="2192"/>
      <c r="AX175" s="2192"/>
      <c r="AY175" s="2192"/>
      <c r="AZ175" s="2192"/>
      <c r="BA175" s="2227"/>
      <c r="BB175" s="2227"/>
      <c r="BC175" s="2227"/>
      <c r="BD175" s="2227"/>
      <c r="BE175" s="2226"/>
      <c r="BF175" s="2226"/>
      <c r="BG175" s="2226"/>
      <c r="BH175" s="2226"/>
      <c r="BI175" s="2226"/>
      <c r="BJ175" s="2226"/>
      <c r="BK175" s="2226"/>
      <c r="BL175" s="2226"/>
      <c r="BM175" s="2226"/>
      <c r="BN175" s="2226"/>
      <c r="BO175" s="2226"/>
      <c r="BP175" s="2226"/>
      <c r="BQ175" s="2188">
        <f t="shared" si="141"/>
        <v>0</v>
      </c>
      <c r="BS175" s="1845" t="s">
        <v>85</v>
      </c>
      <c r="BT175" s="1846">
        <f t="shared" si="142"/>
        <v>0</v>
      </c>
      <c r="BU175" s="2225"/>
      <c r="BV175" s="2225"/>
      <c r="BW175" s="2225"/>
      <c r="BX175" s="2225"/>
      <c r="BY175" s="2225"/>
      <c r="BZ175" s="2225"/>
      <c r="CA175" s="2225"/>
      <c r="CB175" s="2225"/>
      <c r="CC175" s="2225"/>
      <c r="CD175" s="2225"/>
      <c r="CE175" s="2225"/>
      <c r="CF175" s="2225"/>
      <c r="CG175" s="2184"/>
      <c r="CH175" s="2184"/>
      <c r="CI175" s="2184"/>
      <c r="CJ175" s="2207"/>
      <c r="CK175" s="2207"/>
      <c r="CL175" s="2207"/>
      <c r="CM175" s="2207"/>
      <c r="CN175" s="2207"/>
      <c r="CO175" s="2207"/>
      <c r="CP175" s="2207"/>
      <c r="CQ175" s="2207"/>
      <c r="CR175" s="2207"/>
      <c r="CS175" s="2207"/>
      <c r="CT175" s="2207"/>
      <c r="CU175" s="2207"/>
      <c r="CV175" s="2207"/>
      <c r="CW175" s="2207"/>
      <c r="CX175" s="2207"/>
      <c r="CY175" s="2181"/>
      <c r="CZ175" s="2180">
        <f t="shared" si="143"/>
        <v>0</v>
      </c>
      <c r="DB175" s="1249" t="s">
        <v>85</v>
      </c>
      <c r="DC175" s="1287">
        <f t="shared" si="144"/>
        <v>0</v>
      </c>
      <c r="DD175" s="1761"/>
      <c r="DE175" s="1820"/>
      <c r="DF175" s="1820"/>
      <c r="DG175" s="1820"/>
      <c r="DH175" s="1820"/>
      <c r="DI175" s="1820"/>
      <c r="DJ175" s="1820"/>
      <c r="DK175" s="1820"/>
      <c r="DL175" s="1820"/>
      <c r="DM175" s="1820"/>
      <c r="DN175" s="1820"/>
      <c r="DO175" s="1820"/>
      <c r="DP175" s="1820"/>
      <c r="DQ175" s="1820"/>
      <c r="DR175" s="1820"/>
      <c r="DS175" s="2278"/>
      <c r="DT175" s="2278"/>
      <c r="DU175" s="2278"/>
      <c r="DV175" s="2278"/>
      <c r="DW175" s="2278"/>
      <c r="DX175" s="2278"/>
      <c r="DY175" s="2278"/>
      <c r="DZ175" s="2278"/>
      <c r="EA175" s="2278"/>
      <c r="EB175" s="2278"/>
      <c r="EC175" s="2278"/>
      <c r="ED175" s="2278"/>
      <c r="EE175" s="2278"/>
      <c r="EF175" s="2278"/>
      <c r="EG175" s="2278"/>
      <c r="EH175" s="1761"/>
      <c r="EI175" s="1488">
        <f t="shared" si="145"/>
        <v>0</v>
      </c>
    </row>
    <row r="176" spans="1:139" ht="15">
      <c r="A176" s="1233" t="s">
        <v>86</v>
      </c>
      <c r="B176" s="1280">
        <f t="shared" si="138"/>
        <v>0</v>
      </c>
      <c r="C176" s="2326"/>
      <c r="D176" s="2340"/>
      <c r="E176" s="2340"/>
      <c r="F176" s="2340"/>
      <c r="G176" s="2326"/>
      <c r="H176" s="2326"/>
      <c r="I176" s="2326"/>
      <c r="J176" s="2326"/>
      <c r="K176" s="2326"/>
      <c r="L176" s="2326"/>
      <c r="M176" s="2326"/>
      <c r="N176" s="2326"/>
      <c r="O176" s="2326"/>
      <c r="P176" s="2326"/>
      <c r="Q176" s="2326"/>
      <c r="R176" s="2326"/>
      <c r="S176" s="2326"/>
      <c r="T176" s="2326"/>
      <c r="U176" s="2326"/>
      <c r="V176" s="2326"/>
      <c r="W176" s="2326"/>
      <c r="X176" s="2326"/>
      <c r="Y176" s="2326"/>
      <c r="Z176" s="2326"/>
      <c r="AA176" s="2326"/>
      <c r="AB176" s="2326"/>
      <c r="AC176" s="2326"/>
      <c r="AD176" s="2326"/>
      <c r="AE176" s="2326"/>
      <c r="AF176" s="2326"/>
      <c r="AG176" s="2326"/>
      <c r="AH176" s="2327">
        <f t="shared" si="139"/>
        <v>0</v>
      </c>
      <c r="AJ176" s="1746" t="s">
        <v>86</v>
      </c>
      <c r="AK176" s="1749">
        <f t="shared" si="140"/>
        <v>0</v>
      </c>
      <c r="AL176" s="2189"/>
      <c r="AM176" s="2227"/>
      <c r="AN176" s="2227"/>
      <c r="AO176" s="2227"/>
      <c r="AP176" s="2189"/>
      <c r="AQ176" s="2189"/>
      <c r="AR176" s="2189"/>
      <c r="AS176" s="2189"/>
      <c r="AT176" s="2189"/>
      <c r="AU176" s="2189"/>
      <c r="AV176" s="2189"/>
      <c r="AW176" s="2189"/>
      <c r="AX176" s="2189"/>
      <c r="AY176" s="2189"/>
      <c r="AZ176" s="2189"/>
      <c r="BA176" s="2189"/>
      <c r="BB176" s="2189"/>
      <c r="BC176" s="2189"/>
      <c r="BD176" s="2189"/>
      <c r="BE176" s="2226"/>
      <c r="BF176" s="2226"/>
      <c r="BG176" s="2226"/>
      <c r="BH176" s="2226"/>
      <c r="BI176" s="2226"/>
      <c r="BJ176" s="2226"/>
      <c r="BK176" s="2226"/>
      <c r="BL176" s="2226"/>
      <c r="BM176" s="2226"/>
      <c r="BN176" s="2226"/>
      <c r="BO176" s="2226"/>
      <c r="BP176" s="2226"/>
      <c r="BQ176" s="2188">
        <f t="shared" si="141"/>
        <v>0</v>
      </c>
      <c r="BS176" s="1845" t="s">
        <v>86</v>
      </c>
      <c r="BT176" s="1846">
        <f t="shared" si="142"/>
        <v>0</v>
      </c>
      <c r="BU176" s="2225"/>
      <c r="BV176" s="2225"/>
      <c r="BW176" s="2225"/>
      <c r="BX176" s="2225"/>
      <c r="BY176" s="2225"/>
      <c r="BZ176" s="2225"/>
      <c r="CA176" s="2225"/>
      <c r="CB176" s="2225"/>
      <c r="CC176" s="2225"/>
      <c r="CD176" s="2225"/>
      <c r="CE176" s="2225"/>
      <c r="CF176" s="2225"/>
      <c r="CG176" s="2181"/>
      <c r="CH176" s="2181"/>
      <c r="CI176" s="2181"/>
      <c r="CJ176" s="2181"/>
      <c r="CK176" s="2181"/>
      <c r="CL176" s="2181"/>
      <c r="CM176" s="2181"/>
      <c r="CN176" s="2181"/>
      <c r="CO176" s="2181"/>
      <c r="CP176" s="2181"/>
      <c r="CQ176" s="2181"/>
      <c r="CR176" s="2181"/>
      <c r="CS176" s="2181"/>
      <c r="CT176" s="2181"/>
      <c r="CU176" s="2181"/>
      <c r="CV176" s="2181"/>
      <c r="CW176" s="2181"/>
      <c r="CX176" s="2181"/>
      <c r="CY176" s="2181"/>
      <c r="CZ176" s="2180">
        <f t="shared" si="143"/>
        <v>0</v>
      </c>
      <c r="DB176" s="1249" t="s">
        <v>86</v>
      </c>
      <c r="DC176" s="1287">
        <f t="shared" si="144"/>
        <v>0</v>
      </c>
      <c r="DD176" s="1761"/>
      <c r="DE176" s="2278"/>
      <c r="DF176" s="2278"/>
      <c r="DG176" s="2278"/>
      <c r="DH176" s="1761"/>
      <c r="DI176" s="1761"/>
      <c r="DJ176" s="1761"/>
      <c r="DK176" s="1761"/>
      <c r="DL176" s="1761"/>
      <c r="DM176" s="1761"/>
      <c r="DN176" s="1761"/>
      <c r="DO176" s="1761"/>
      <c r="DP176" s="1761"/>
      <c r="DQ176" s="1761"/>
      <c r="DR176" s="1761"/>
      <c r="DS176" s="1761"/>
      <c r="DT176" s="1761"/>
      <c r="DU176" s="1761"/>
      <c r="DV176" s="1761"/>
      <c r="DW176" s="1761"/>
      <c r="DX176" s="1761"/>
      <c r="DY176" s="1761"/>
      <c r="DZ176" s="1761"/>
      <c r="EA176" s="1761"/>
      <c r="EB176" s="1761"/>
      <c r="EC176" s="1761"/>
      <c r="ED176" s="1761"/>
      <c r="EE176" s="1761"/>
      <c r="EF176" s="1761"/>
      <c r="EG176" s="1761"/>
      <c r="EH176" s="1761"/>
      <c r="EI176" s="1488">
        <f t="shared" si="145"/>
        <v>0</v>
      </c>
    </row>
    <row r="177" spans="1:139" ht="15">
      <c r="A177" s="2341" t="s">
        <v>74</v>
      </c>
      <c r="B177" s="2342">
        <f t="shared" ref="B177:AH177" si="146">SUM(B165:B176)</f>
        <v>0</v>
      </c>
      <c r="C177" s="2327">
        <f t="shared" si="146"/>
        <v>0</v>
      </c>
      <c r="D177" s="2327">
        <f t="shared" si="146"/>
        <v>0</v>
      </c>
      <c r="E177" s="2327">
        <f t="shared" si="146"/>
        <v>0</v>
      </c>
      <c r="F177" s="2327">
        <f t="shared" si="146"/>
        <v>0</v>
      </c>
      <c r="G177" s="2327">
        <f t="shared" si="146"/>
        <v>0</v>
      </c>
      <c r="H177" s="2327">
        <f t="shared" si="146"/>
        <v>0</v>
      </c>
      <c r="I177" s="2327">
        <f t="shared" si="146"/>
        <v>0</v>
      </c>
      <c r="J177" s="2327">
        <f t="shared" si="146"/>
        <v>0</v>
      </c>
      <c r="K177" s="2327">
        <f t="shared" si="146"/>
        <v>0</v>
      </c>
      <c r="L177" s="2327">
        <f t="shared" si="146"/>
        <v>0</v>
      </c>
      <c r="M177" s="2327">
        <f t="shared" si="146"/>
        <v>0</v>
      </c>
      <c r="N177" s="2327">
        <f t="shared" si="146"/>
        <v>0</v>
      </c>
      <c r="O177" s="2327">
        <f t="shared" si="146"/>
        <v>0</v>
      </c>
      <c r="P177" s="2327">
        <f t="shared" si="146"/>
        <v>0</v>
      </c>
      <c r="Q177" s="2327">
        <f t="shared" si="146"/>
        <v>0</v>
      </c>
      <c r="R177" s="2327">
        <f t="shared" si="146"/>
        <v>0</v>
      </c>
      <c r="S177" s="2327">
        <f t="shared" si="146"/>
        <v>0</v>
      </c>
      <c r="T177" s="2327">
        <f t="shared" si="146"/>
        <v>0</v>
      </c>
      <c r="U177" s="2327">
        <f t="shared" si="146"/>
        <v>0</v>
      </c>
      <c r="V177" s="2327">
        <f t="shared" si="146"/>
        <v>0</v>
      </c>
      <c r="W177" s="2327">
        <f t="shared" si="146"/>
        <v>0</v>
      </c>
      <c r="X177" s="2327">
        <f t="shared" si="146"/>
        <v>0</v>
      </c>
      <c r="Y177" s="2327">
        <f t="shared" si="146"/>
        <v>0</v>
      </c>
      <c r="Z177" s="2327">
        <f t="shared" si="146"/>
        <v>0</v>
      </c>
      <c r="AA177" s="2327">
        <f t="shared" si="146"/>
        <v>0</v>
      </c>
      <c r="AB177" s="2327">
        <f t="shared" si="146"/>
        <v>0</v>
      </c>
      <c r="AC177" s="2327">
        <f t="shared" si="146"/>
        <v>0</v>
      </c>
      <c r="AD177" s="2327">
        <f t="shared" si="146"/>
        <v>0</v>
      </c>
      <c r="AE177" s="2327">
        <f t="shared" si="146"/>
        <v>0</v>
      </c>
      <c r="AF177" s="2327">
        <f t="shared" si="146"/>
        <v>0</v>
      </c>
      <c r="AG177" s="2327">
        <f t="shared" si="146"/>
        <v>0</v>
      </c>
      <c r="AH177" s="2327">
        <f t="shared" si="146"/>
        <v>0</v>
      </c>
      <c r="AJ177" s="2191" t="s">
        <v>74</v>
      </c>
      <c r="AK177" s="2190">
        <f t="shared" ref="AK177:BQ177" si="147">SUM(AK165:AK176)</f>
        <v>0</v>
      </c>
      <c r="AL177" s="2188">
        <f t="shared" si="147"/>
        <v>0</v>
      </c>
      <c r="AM177" s="2188">
        <f t="shared" si="147"/>
        <v>0</v>
      </c>
      <c r="AN177" s="2188">
        <f t="shared" si="147"/>
        <v>0</v>
      </c>
      <c r="AO177" s="2188">
        <f t="shared" si="147"/>
        <v>0</v>
      </c>
      <c r="AP177" s="2188">
        <f t="shared" si="147"/>
        <v>0</v>
      </c>
      <c r="AQ177" s="2188">
        <f t="shared" si="147"/>
        <v>0</v>
      </c>
      <c r="AR177" s="2188">
        <f t="shared" si="147"/>
        <v>0</v>
      </c>
      <c r="AS177" s="2188">
        <f t="shared" si="147"/>
        <v>0</v>
      </c>
      <c r="AT177" s="2188">
        <f t="shared" si="147"/>
        <v>0</v>
      </c>
      <c r="AU177" s="2188">
        <f t="shared" si="147"/>
        <v>0</v>
      </c>
      <c r="AV177" s="2188">
        <f t="shared" si="147"/>
        <v>0</v>
      </c>
      <c r="AW177" s="2188">
        <f t="shared" si="147"/>
        <v>0</v>
      </c>
      <c r="AX177" s="2188">
        <f t="shared" si="147"/>
        <v>0</v>
      </c>
      <c r="AY177" s="2188">
        <f t="shared" si="147"/>
        <v>0</v>
      </c>
      <c r="AZ177" s="2188">
        <f t="shared" si="147"/>
        <v>0</v>
      </c>
      <c r="BA177" s="2188">
        <f t="shared" si="147"/>
        <v>0</v>
      </c>
      <c r="BB177" s="2188">
        <f t="shared" si="147"/>
        <v>0</v>
      </c>
      <c r="BC177" s="2188">
        <f t="shared" si="147"/>
        <v>0</v>
      </c>
      <c r="BD177" s="2188">
        <f t="shared" si="147"/>
        <v>0</v>
      </c>
      <c r="BE177" s="2188">
        <f t="shared" si="147"/>
        <v>0</v>
      </c>
      <c r="BF177" s="2188">
        <f t="shared" si="147"/>
        <v>0</v>
      </c>
      <c r="BG177" s="2188">
        <f t="shared" si="147"/>
        <v>0</v>
      </c>
      <c r="BH177" s="2188">
        <f t="shared" si="147"/>
        <v>0</v>
      </c>
      <c r="BI177" s="2188">
        <f t="shared" si="147"/>
        <v>0</v>
      </c>
      <c r="BJ177" s="2188">
        <f t="shared" si="147"/>
        <v>0</v>
      </c>
      <c r="BK177" s="2188">
        <f t="shared" si="147"/>
        <v>0</v>
      </c>
      <c r="BL177" s="2188">
        <f t="shared" si="147"/>
        <v>0</v>
      </c>
      <c r="BM177" s="2188">
        <f t="shared" si="147"/>
        <v>0</v>
      </c>
      <c r="BN177" s="2188">
        <f t="shared" si="147"/>
        <v>0</v>
      </c>
      <c r="BO177" s="2188">
        <f t="shared" si="147"/>
        <v>0</v>
      </c>
      <c r="BP177" s="2188">
        <f t="shared" si="147"/>
        <v>0</v>
      </c>
      <c r="BQ177" s="2188">
        <f t="shared" si="147"/>
        <v>0</v>
      </c>
      <c r="BS177" s="2183" t="s">
        <v>74</v>
      </c>
      <c r="BT177" s="2182">
        <f t="shared" ref="BT177:CZ177" si="148">SUM(BT165:BT176)</f>
        <v>0</v>
      </c>
      <c r="BU177" s="2180">
        <f t="shared" si="148"/>
        <v>0</v>
      </c>
      <c r="BV177" s="2180">
        <f t="shared" si="148"/>
        <v>0</v>
      </c>
      <c r="BW177" s="2180">
        <f t="shared" si="148"/>
        <v>0</v>
      </c>
      <c r="BX177" s="2180">
        <f t="shared" si="148"/>
        <v>0</v>
      </c>
      <c r="BY177" s="2180">
        <f t="shared" si="148"/>
        <v>0</v>
      </c>
      <c r="BZ177" s="2180">
        <f t="shared" si="148"/>
        <v>0</v>
      </c>
      <c r="CA177" s="2180">
        <f t="shared" si="148"/>
        <v>0</v>
      </c>
      <c r="CB177" s="2180">
        <f t="shared" si="148"/>
        <v>0</v>
      </c>
      <c r="CC177" s="2180">
        <f t="shared" si="148"/>
        <v>0</v>
      </c>
      <c r="CD177" s="2180">
        <f t="shared" si="148"/>
        <v>0</v>
      </c>
      <c r="CE177" s="2180">
        <f t="shared" si="148"/>
        <v>0</v>
      </c>
      <c r="CF177" s="2180">
        <f t="shared" si="148"/>
        <v>0</v>
      </c>
      <c r="CG177" s="2180">
        <f t="shared" si="148"/>
        <v>0</v>
      </c>
      <c r="CH177" s="2180">
        <f t="shared" si="148"/>
        <v>0</v>
      </c>
      <c r="CI177" s="2180">
        <f t="shared" si="148"/>
        <v>0</v>
      </c>
      <c r="CJ177" s="2180">
        <f t="shared" si="148"/>
        <v>0</v>
      </c>
      <c r="CK177" s="2180">
        <f t="shared" si="148"/>
        <v>0</v>
      </c>
      <c r="CL177" s="2180">
        <f t="shared" si="148"/>
        <v>0</v>
      </c>
      <c r="CM177" s="2180">
        <f t="shared" si="148"/>
        <v>0</v>
      </c>
      <c r="CN177" s="2180">
        <f t="shared" si="148"/>
        <v>0</v>
      </c>
      <c r="CO177" s="2180">
        <f t="shared" si="148"/>
        <v>0</v>
      </c>
      <c r="CP177" s="2180">
        <f t="shared" si="148"/>
        <v>0</v>
      </c>
      <c r="CQ177" s="2180">
        <f t="shared" si="148"/>
        <v>0</v>
      </c>
      <c r="CR177" s="2180">
        <f t="shared" si="148"/>
        <v>0</v>
      </c>
      <c r="CS177" s="2180">
        <f t="shared" si="148"/>
        <v>0</v>
      </c>
      <c r="CT177" s="2180">
        <f t="shared" si="148"/>
        <v>0</v>
      </c>
      <c r="CU177" s="2180">
        <f t="shared" si="148"/>
        <v>0</v>
      </c>
      <c r="CV177" s="2180">
        <f t="shared" si="148"/>
        <v>0</v>
      </c>
      <c r="CW177" s="2180">
        <f t="shared" si="148"/>
        <v>0</v>
      </c>
      <c r="CX177" s="2180">
        <f t="shared" si="148"/>
        <v>0</v>
      </c>
      <c r="CY177" s="2180">
        <f t="shared" si="148"/>
        <v>0</v>
      </c>
      <c r="CZ177" s="2180">
        <f t="shared" si="148"/>
        <v>0</v>
      </c>
      <c r="DB177" s="1470" t="s">
        <v>74</v>
      </c>
      <c r="DC177" s="2277">
        <f t="shared" ref="DC177:EI177" si="149">SUM(DC165:DC176)</f>
        <v>0</v>
      </c>
      <c r="DD177" s="1488">
        <f t="shared" si="149"/>
        <v>0</v>
      </c>
      <c r="DE177" s="1488">
        <f t="shared" si="149"/>
        <v>0</v>
      </c>
      <c r="DF177" s="1488">
        <f t="shared" si="149"/>
        <v>0</v>
      </c>
      <c r="DG177" s="1488">
        <f t="shared" si="149"/>
        <v>0</v>
      </c>
      <c r="DH177" s="1488">
        <f t="shared" si="149"/>
        <v>0</v>
      </c>
      <c r="DI177" s="1488">
        <f t="shared" si="149"/>
        <v>0</v>
      </c>
      <c r="DJ177" s="1488">
        <f t="shared" si="149"/>
        <v>0</v>
      </c>
      <c r="DK177" s="1488">
        <f t="shared" si="149"/>
        <v>0</v>
      </c>
      <c r="DL177" s="1488">
        <f t="shared" si="149"/>
        <v>0</v>
      </c>
      <c r="DM177" s="1488">
        <f t="shared" si="149"/>
        <v>0</v>
      </c>
      <c r="DN177" s="1488">
        <f t="shared" si="149"/>
        <v>0</v>
      </c>
      <c r="DO177" s="1488">
        <f t="shared" si="149"/>
        <v>0</v>
      </c>
      <c r="DP177" s="1488">
        <f t="shared" si="149"/>
        <v>0</v>
      </c>
      <c r="DQ177" s="1488">
        <f t="shared" si="149"/>
        <v>0</v>
      </c>
      <c r="DR177" s="1488">
        <f t="shared" si="149"/>
        <v>0</v>
      </c>
      <c r="DS177" s="1488">
        <f t="shared" si="149"/>
        <v>0</v>
      </c>
      <c r="DT177" s="1488">
        <f t="shared" si="149"/>
        <v>0</v>
      </c>
      <c r="DU177" s="1488">
        <f t="shared" si="149"/>
        <v>0</v>
      </c>
      <c r="DV177" s="1488">
        <f t="shared" si="149"/>
        <v>0</v>
      </c>
      <c r="DW177" s="1488">
        <f t="shared" si="149"/>
        <v>0</v>
      </c>
      <c r="DX177" s="1488">
        <f t="shared" si="149"/>
        <v>0</v>
      </c>
      <c r="DY177" s="1488">
        <f t="shared" si="149"/>
        <v>0</v>
      </c>
      <c r="DZ177" s="1488">
        <f t="shared" si="149"/>
        <v>0</v>
      </c>
      <c r="EA177" s="1488">
        <f t="shared" si="149"/>
        <v>0</v>
      </c>
      <c r="EB177" s="1488">
        <f t="shared" si="149"/>
        <v>0</v>
      </c>
      <c r="EC177" s="1488">
        <f t="shared" si="149"/>
        <v>0</v>
      </c>
      <c r="ED177" s="1488">
        <f t="shared" si="149"/>
        <v>0</v>
      </c>
      <c r="EE177" s="1488">
        <f t="shared" si="149"/>
        <v>0</v>
      </c>
      <c r="EF177" s="1488">
        <f t="shared" si="149"/>
        <v>0</v>
      </c>
      <c r="EG177" s="1488">
        <f t="shared" si="149"/>
        <v>0</v>
      </c>
      <c r="EH177" s="1488">
        <f t="shared" si="149"/>
        <v>0</v>
      </c>
      <c r="EI177" s="1488">
        <f t="shared" si="149"/>
        <v>0</v>
      </c>
    </row>
    <row r="178" spans="1:139" ht="15">
      <c r="A178" s="2123"/>
      <c r="B178" s="2349"/>
      <c r="C178" s="2350"/>
      <c r="D178" s="2322"/>
      <c r="E178" s="2322"/>
      <c r="F178" s="2322"/>
      <c r="G178" s="2322"/>
      <c r="H178" s="2322"/>
      <c r="I178" s="2322"/>
      <c r="J178" s="2322"/>
      <c r="K178" s="2322"/>
      <c r="L178" s="2322"/>
      <c r="M178" s="2322"/>
      <c r="N178" s="2322"/>
      <c r="O178" s="2322"/>
      <c r="P178" s="2322"/>
      <c r="Q178" s="2322"/>
      <c r="R178" s="2322"/>
      <c r="S178" s="2322"/>
      <c r="T178" s="2322"/>
      <c r="U178" s="2322"/>
      <c r="V178" s="2322"/>
      <c r="W178" s="2322"/>
      <c r="X178" s="2322"/>
      <c r="Y178" s="2322"/>
      <c r="Z178" s="2322"/>
      <c r="AA178" s="2322"/>
      <c r="AB178" s="2322"/>
      <c r="AC178" s="2322"/>
      <c r="AD178" s="2322"/>
      <c r="AE178" s="2322"/>
      <c r="AF178" s="2322"/>
      <c r="AG178" s="2322"/>
      <c r="AH178" s="2322"/>
      <c r="AJ178" s="2119"/>
      <c r="AK178" s="2251"/>
      <c r="AL178" s="2250"/>
      <c r="AM178" s="2249"/>
      <c r="AN178" s="2249"/>
      <c r="AO178" s="2249"/>
      <c r="AP178" s="2249"/>
      <c r="AQ178" s="2249"/>
      <c r="AR178" s="2249"/>
      <c r="AS178" s="2249"/>
      <c r="AT178" s="2249"/>
      <c r="AU178" s="2249"/>
      <c r="AV178" s="2249"/>
      <c r="AW178" s="2249"/>
      <c r="AX178" s="2249"/>
      <c r="AY178" s="2249"/>
      <c r="AZ178" s="2249"/>
      <c r="BA178" s="2249"/>
      <c r="BB178" s="2249"/>
      <c r="BC178" s="2249"/>
      <c r="BD178" s="2249"/>
      <c r="BE178" s="2249"/>
      <c r="BF178" s="2249"/>
      <c r="BG178" s="2249"/>
      <c r="BH178" s="2249"/>
      <c r="BI178" s="2249"/>
      <c r="BJ178" s="2249"/>
      <c r="BK178" s="2249"/>
      <c r="BL178" s="2249"/>
      <c r="BM178" s="2249"/>
      <c r="BN178" s="2249"/>
      <c r="BO178" s="2249"/>
      <c r="BP178" s="2249"/>
      <c r="BQ178" s="2249"/>
      <c r="BS178" s="2248"/>
      <c r="BT178" s="2247"/>
      <c r="BU178" s="2246"/>
      <c r="BV178" s="2245"/>
      <c r="BW178" s="2245"/>
      <c r="BX178" s="2245"/>
      <c r="BY178" s="2245"/>
      <c r="BZ178" s="2245"/>
      <c r="CA178" s="2245"/>
      <c r="CB178" s="2245"/>
      <c r="CC178" s="2245"/>
      <c r="CD178" s="2245"/>
      <c r="CE178" s="2245"/>
      <c r="CF178" s="2245"/>
      <c r="CG178" s="2245"/>
      <c r="CH178" s="2245"/>
      <c r="CI178" s="2245"/>
      <c r="CJ178" s="2245"/>
      <c r="CK178" s="2245"/>
      <c r="CL178" s="2245"/>
      <c r="CM178" s="2245"/>
      <c r="CN178" s="2245"/>
      <c r="CO178" s="2245"/>
      <c r="CP178" s="2245"/>
      <c r="CQ178" s="2245"/>
      <c r="CR178" s="2245"/>
      <c r="CS178" s="2245"/>
      <c r="CT178" s="2245"/>
      <c r="CU178" s="2245"/>
      <c r="CV178" s="2245"/>
      <c r="CW178" s="2245"/>
      <c r="CX178" s="2245"/>
      <c r="CY178" s="2245"/>
      <c r="CZ178" s="2245"/>
      <c r="DB178" s="2276"/>
      <c r="DC178" s="2355"/>
      <c r="DD178" s="2356"/>
      <c r="DE178" s="1923"/>
      <c r="DF178" s="1923"/>
      <c r="DG178" s="1923"/>
      <c r="DH178" s="1923"/>
      <c r="DI178" s="1923"/>
      <c r="DJ178" s="1923"/>
      <c r="DK178" s="1923"/>
      <c r="DL178" s="1923"/>
      <c r="DM178" s="1923"/>
      <c r="DN178" s="1923"/>
      <c r="DO178" s="1923"/>
      <c r="DP178" s="1923"/>
      <c r="DQ178" s="1923"/>
      <c r="DR178" s="1923"/>
      <c r="DS178" s="1923"/>
      <c r="DT178" s="1923"/>
      <c r="DU178" s="1923"/>
      <c r="DV178" s="1923"/>
      <c r="DW178" s="1923"/>
      <c r="DX178" s="1923"/>
      <c r="DY178" s="1923"/>
      <c r="DZ178" s="1923"/>
      <c r="EA178" s="1923"/>
      <c r="EB178" s="1923"/>
      <c r="EC178" s="1923"/>
      <c r="ED178" s="1923"/>
      <c r="EE178" s="1923"/>
      <c r="EF178" s="1923"/>
      <c r="EG178" s="1923"/>
      <c r="EH178" s="1923"/>
      <c r="EI178" s="1923"/>
    </row>
    <row r="179" spans="1:139" ht="15">
      <c r="A179" s="3634" t="s">
        <v>619</v>
      </c>
      <c r="B179" s="3635"/>
      <c r="C179" s="3636"/>
      <c r="D179" s="2323"/>
      <c r="E179" s="2323"/>
      <c r="F179" s="2323"/>
      <c r="G179" s="2323"/>
      <c r="H179" s="2323"/>
      <c r="I179" s="2323"/>
      <c r="J179" s="2323"/>
      <c r="K179" s="2323"/>
      <c r="L179" s="2323"/>
      <c r="M179" s="2324"/>
      <c r="N179" s="2323"/>
      <c r="O179" s="2323"/>
      <c r="P179" s="2323"/>
      <c r="Q179" s="2323"/>
      <c r="R179" s="2323"/>
      <c r="S179" s="2323"/>
      <c r="T179" s="2323"/>
      <c r="U179" s="2323"/>
      <c r="V179" s="2323"/>
      <c r="W179" s="2323"/>
      <c r="X179" s="2323"/>
      <c r="Y179" s="2323"/>
      <c r="Z179" s="2323"/>
      <c r="AA179" s="2323"/>
      <c r="AB179" s="2323"/>
      <c r="AC179" s="2323"/>
      <c r="AD179" s="2323"/>
      <c r="AE179" s="2323"/>
      <c r="AF179" s="2323"/>
      <c r="AG179" s="2323"/>
      <c r="AH179" s="2323"/>
      <c r="AJ179" s="3585" t="s">
        <v>619</v>
      </c>
      <c r="AK179" s="3586"/>
      <c r="AL179" s="3587"/>
      <c r="AM179" s="2193"/>
      <c r="AN179" s="2193"/>
      <c r="AO179" s="2193"/>
      <c r="AP179" s="2193"/>
      <c r="AQ179" s="2193"/>
      <c r="AR179" s="2193"/>
      <c r="AS179" s="2193"/>
      <c r="AT179" s="2193"/>
      <c r="AU179" s="2193"/>
      <c r="AV179" s="2194"/>
      <c r="AW179" s="2193"/>
      <c r="AX179" s="2193"/>
      <c r="AY179" s="2193"/>
      <c r="AZ179" s="2193"/>
      <c r="BA179" s="2193"/>
      <c r="BB179" s="2193"/>
      <c r="BC179" s="2193"/>
      <c r="BD179" s="2193"/>
      <c r="BE179" s="2193"/>
      <c r="BF179" s="2193"/>
      <c r="BG179" s="2193"/>
      <c r="BH179" s="2193"/>
      <c r="BI179" s="2193"/>
      <c r="BJ179" s="2193"/>
      <c r="BK179" s="2193"/>
      <c r="BL179" s="2193"/>
      <c r="BM179" s="2193"/>
      <c r="BN179" s="2193"/>
      <c r="BO179" s="2193"/>
      <c r="BP179" s="2193"/>
      <c r="BQ179" s="2193"/>
      <c r="BS179" s="3772" t="s">
        <v>619</v>
      </c>
      <c r="BT179" s="3773"/>
      <c r="BU179" s="3774"/>
      <c r="BV179" s="2185"/>
      <c r="BW179" s="2185"/>
      <c r="BX179" s="2185"/>
      <c r="BY179" s="2185"/>
      <c r="BZ179" s="2185"/>
      <c r="CA179" s="2185"/>
      <c r="CB179" s="2185"/>
      <c r="CC179" s="2185"/>
      <c r="CD179" s="2185"/>
      <c r="CE179" s="2186"/>
      <c r="CF179" s="2185"/>
      <c r="CG179" s="2185"/>
      <c r="CH179" s="2185"/>
      <c r="CI179" s="2185"/>
      <c r="CJ179" s="2185"/>
      <c r="CK179" s="2185"/>
      <c r="CL179" s="2185"/>
      <c r="CM179" s="2185"/>
      <c r="CN179" s="2185"/>
      <c r="CO179" s="2185"/>
      <c r="CP179" s="2185"/>
      <c r="CQ179" s="2185"/>
      <c r="CR179" s="2185"/>
      <c r="CS179" s="2185"/>
      <c r="CT179" s="2185"/>
      <c r="CU179" s="2185"/>
      <c r="CV179" s="2185"/>
      <c r="CW179" s="2185"/>
      <c r="CX179" s="2185"/>
      <c r="CY179" s="2185"/>
      <c r="CZ179" s="2185"/>
      <c r="DB179" s="3781" t="s">
        <v>619</v>
      </c>
      <c r="DC179" s="3782"/>
      <c r="DD179" s="3783"/>
      <c r="DE179" s="1433"/>
      <c r="DF179" s="1433"/>
      <c r="DG179" s="1433"/>
      <c r="DH179" s="1433"/>
      <c r="DI179" s="1433"/>
      <c r="DJ179" s="1433"/>
      <c r="DK179" s="1433"/>
      <c r="DL179" s="1433"/>
      <c r="DM179" s="1433"/>
      <c r="DN179" s="2274"/>
      <c r="DO179" s="1433"/>
      <c r="DP179" s="1433"/>
      <c r="DQ179" s="1433"/>
      <c r="DR179" s="1433"/>
      <c r="DS179" s="1433"/>
      <c r="DT179" s="1433"/>
      <c r="DU179" s="1433"/>
      <c r="DV179" s="1433"/>
      <c r="DW179" s="1433"/>
      <c r="DX179" s="1433"/>
      <c r="DY179" s="1433"/>
      <c r="DZ179" s="1433"/>
      <c r="EA179" s="1433"/>
      <c r="EB179" s="1433"/>
      <c r="EC179" s="1433"/>
      <c r="ED179" s="1433"/>
      <c r="EE179" s="1433"/>
      <c r="EF179" s="1433"/>
      <c r="EG179" s="1433"/>
      <c r="EH179" s="1433"/>
      <c r="EI179" s="1433"/>
    </row>
    <row r="180" spans="1:139" ht="15">
      <c r="A180" s="1233" t="s">
        <v>72</v>
      </c>
      <c r="B180" s="1233" t="s">
        <v>73</v>
      </c>
      <c r="C180" s="1233">
        <v>1</v>
      </c>
      <c r="D180" s="1233">
        <v>2</v>
      </c>
      <c r="E180" s="1233">
        <v>3</v>
      </c>
      <c r="F180" s="1233">
        <v>4</v>
      </c>
      <c r="G180" s="1233">
        <v>5</v>
      </c>
      <c r="H180" s="1233">
        <v>6</v>
      </c>
      <c r="I180" s="1233">
        <v>7</v>
      </c>
      <c r="J180" s="1233">
        <v>8</v>
      </c>
      <c r="K180" s="1233">
        <v>9</v>
      </c>
      <c r="L180" s="1233">
        <v>10</v>
      </c>
      <c r="M180" s="1233">
        <v>11</v>
      </c>
      <c r="N180" s="1233">
        <v>12</v>
      </c>
      <c r="O180" s="1233">
        <v>13</v>
      </c>
      <c r="P180" s="1233">
        <v>14</v>
      </c>
      <c r="Q180" s="1233">
        <v>15</v>
      </c>
      <c r="R180" s="1233">
        <v>16</v>
      </c>
      <c r="S180" s="1233">
        <v>17</v>
      </c>
      <c r="T180" s="1233">
        <v>18</v>
      </c>
      <c r="U180" s="1233">
        <v>19</v>
      </c>
      <c r="V180" s="1233">
        <v>20</v>
      </c>
      <c r="W180" s="1233">
        <v>21</v>
      </c>
      <c r="X180" s="1233">
        <v>22</v>
      </c>
      <c r="Y180" s="1233">
        <v>23</v>
      </c>
      <c r="Z180" s="1233">
        <v>24</v>
      </c>
      <c r="AA180" s="1233">
        <v>25</v>
      </c>
      <c r="AB180" s="1233">
        <v>26</v>
      </c>
      <c r="AC180" s="1233">
        <v>27</v>
      </c>
      <c r="AD180" s="1233">
        <v>28</v>
      </c>
      <c r="AE180" s="1233">
        <v>29</v>
      </c>
      <c r="AF180" s="1233">
        <v>30</v>
      </c>
      <c r="AG180" s="1233">
        <v>31</v>
      </c>
      <c r="AH180" s="2325" t="s">
        <v>74</v>
      </c>
      <c r="AJ180" s="1746" t="s">
        <v>72</v>
      </c>
      <c r="AK180" s="1746" t="s">
        <v>73</v>
      </c>
      <c r="AL180" s="1746">
        <v>1</v>
      </c>
      <c r="AM180" s="1746">
        <v>2</v>
      </c>
      <c r="AN180" s="1746">
        <v>3</v>
      </c>
      <c r="AO180" s="1746">
        <v>4</v>
      </c>
      <c r="AP180" s="1746">
        <v>5</v>
      </c>
      <c r="AQ180" s="1746">
        <v>6</v>
      </c>
      <c r="AR180" s="1746">
        <v>7</v>
      </c>
      <c r="AS180" s="1746">
        <v>8</v>
      </c>
      <c r="AT180" s="1746">
        <v>9</v>
      </c>
      <c r="AU180" s="1746">
        <v>10</v>
      </c>
      <c r="AV180" s="1746">
        <v>11</v>
      </c>
      <c r="AW180" s="1746">
        <v>12</v>
      </c>
      <c r="AX180" s="1746">
        <v>13</v>
      </c>
      <c r="AY180" s="1746">
        <v>14</v>
      </c>
      <c r="AZ180" s="1746">
        <v>15</v>
      </c>
      <c r="BA180" s="1746">
        <v>16</v>
      </c>
      <c r="BB180" s="1746">
        <v>17</v>
      </c>
      <c r="BC180" s="1746">
        <v>18</v>
      </c>
      <c r="BD180" s="1746">
        <v>19</v>
      </c>
      <c r="BE180" s="1746">
        <v>20</v>
      </c>
      <c r="BF180" s="1746">
        <v>21</v>
      </c>
      <c r="BG180" s="1746">
        <v>22</v>
      </c>
      <c r="BH180" s="1746">
        <v>23</v>
      </c>
      <c r="BI180" s="1746">
        <v>24</v>
      </c>
      <c r="BJ180" s="1746">
        <v>25</v>
      </c>
      <c r="BK180" s="1746">
        <v>26</v>
      </c>
      <c r="BL180" s="1746">
        <v>27</v>
      </c>
      <c r="BM180" s="1746">
        <v>28</v>
      </c>
      <c r="BN180" s="1746">
        <v>29</v>
      </c>
      <c r="BO180" s="1746">
        <v>30</v>
      </c>
      <c r="BP180" s="1746">
        <v>31</v>
      </c>
      <c r="BQ180" s="2192" t="s">
        <v>74</v>
      </c>
      <c r="BS180" s="1845" t="s">
        <v>72</v>
      </c>
      <c r="BT180" s="1845" t="s">
        <v>73</v>
      </c>
      <c r="BU180" s="1845">
        <v>1</v>
      </c>
      <c r="BV180" s="1845">
        <v>2</v>
      </c>
      <c r="BW180" s="1845">
        <v>3</v>
      </c>
      <c r="BX180" s="1845">
        <v>4</v>
      </c>
      <c r="BY180" s="1845">
        <v>5</v>
      </c>
      <c r="BZ180" s="1845">
        <v>6</v>
      </c>
      <c r="CA180" s="1845">
        <v>7</v>
      </c>
      <c r="CB180" s="1845">
        <v>8</v>
      </c>
      <c r="CC180" s="1845">
        <v>9</v>
      </c>
      <c r="CD180" s="1845">
        <v>10</v>
      </c>
      <c r="CE180" s="1845">
        <v>11</v>
      </c>
      <c r="CF180" s="1845">
        <v>12</v>
      </c>
      <c r="CG180" s="1845">
        <v>13</v>
      </c>
      <c r="CH180" s="1845">
        <v>14</v>
      </c>
      <c r="CI180" s="1845">
        <v>15</v>
      </c>
      <c r="CJ180" s="1845">
        <v>16</v>
      </c>
      <c r="CK180" s="1845">
        <v>17</v>
      </c>
      <c r="CL180" s="1845">
        <v>18</v>
      </c>
      <c r="CM180" s="1845">
        <v>19</v>
      </c>
      <c r="CN180" s="1845">
        <v>20</v>
      </c>
      <c r="CO180" s="1845">
        <v>21</v>
      </c>
      <c r="CP180" s="1845">
        <v>22</v>
      </c>
      <c r="CQ180" s="1845">
        <v>23</v>
      </c>
      <c r="CR180" s="1845">
        <v>24</v>
      </c>
      <c r="CS180" s="1845">
        <v>25</v>
      </c>
      <c r="CT180" s="1845">
        <v>26</v>
      </c>
      <c r="CU180" s="1845">
        <v>27</v>
      </c>
      <c r="CV180" s="1845">
        <v>28</v>
      </c>
      <c r="CW180" s="1845">
        <v>29</v>
      </c>
      <c r="CX180" s="1845">
        <v>30</v>
      </c>
      <c r="CY180" s="1845">
        <v>31</v>
      </c>
      <c r="CZ180" s="2184" t="s">
        <v>74</v>
      </c>
      <c r="DB180" s="1249" t="s">
        <v>72</v>
      </c>
      <c r="DC180" s="1249" t="s">
        <v>73</v>
      </c>
      <c r="DD180" s="1249">
        <v>1</v>
      </c>
      <c r="DE180" s="1249">
        <v>2</v>
      </c>
      <c r="DF180" s="1249">
        <v>3</v>
      </c>
      <c r="DG180" s="1249">
        <v>4</v>
      </c>
      <c r="DH180" s="1249">
        <v>5</v>
      </c>
      <c r="DI180" s="1249">
        <v>6</v>
      </c>
      <c r="DJ180" s="1249">
        <v>7</v>
      </c>
      <c r="DK180" s="1249">
        <v>8</v>
      </c>
      <c r="DL180" s="1249">
        <v>9</v>
      </c>
      <c r="DM180" s="1249">
        <v>10</v>
      </c>
      <c r="DN180" s="1249">
        <v>11</v>
      </c>
      <c r="DO180" s="1249">
        <v>12</v>
      </c>
      <c r="DP180" s="1249">
        <v>13</v>
      </c>
      <c r="DQ180" s="1249">
        <v>14</v>
      </c>
      <c r="DR180" s="1249">
        <v>15</v>
      </c>
      <c r="DS180" s="1249">
        <v>16</v>
      </c>
      <c r="DT180" s="1249">
        <v>17</v>
      </c>
      <c r="DU180" s="1249">
        <v>18</v>
      </c>
      <c r="DV180" s="1249">
        <v>19</v>
      </c>
      <c r="DW180" s="1249">
        <v>20</v>
      </c>
      <c r="DX180" s="1249">
        <v>21</v>
      </c>
      <c r="DY180" s="1249">
        <v>22</v>
      </c>
      <c r="DZ180" s="1249">
        <v>23</v>
      </c>
      <c r="EA180" s="1249">
        <v>24</v>
      </c>
      <c r="EB180" s="1249">
        <v>25</v>
      </c>
      <c r="EC180" s="1249">
        <v>26</v>
      </c>
      <c r="ED180" s="1249">
        <v>27</v>
      </c>
      <c r="EE180" s="1249">
        <v>28</v>
      </c>
      <c r="EF180" s="1249">
        <v>29</v>
      </c>
      <c r="EG180" s="1249">
        <v>30</v>
      </c>
      <c r="EH180" s="1249">
        <v>31</v>
      </c>
      <c r="EI180" s="1820" t="s">
        <v>74</v>
      </c>
    </row>
    <row r="181" spans="1:139" ht="15">
      <c r="A181" s="1233" t="s">
        <v>75</v>
      </c>
      <c r="B181" s="1280">
        <f t="shared" ref="B181:B192" si="150">+AH181</f>
        <v>0</v>
      </c>
      <c r="C181" s="2326"/>
      <c r="D181" s="2326"/>
      <c r="E181" s="2326"/>
      <c r="F181" s="2326"/>
      <c r="G181" s="2326"/>
      <c r="H181" s="2326"/>
      <c r="I181" s="2326"/>
      <c r="J181" s="2326"/>
      <c r="K181" s="2326"/>
      <c r="L181" s="2326"/>
      <c r="M181" s="2326"/>
      <c r="N181" s="2326"/>
      <c r="O181" s="2326"/>
      <c r="P181" s="2326"/>
      <c r="Q181" s="2326"/>
      <c r="R181" s="2326"/>
      <c r="S181" s="2326"/>
      <c r="T181" s="2326"/>
      <c r="U181" s="2326"/>
      <c r="V181" s="2326"/>
      <c r="W181" s="2326"/>
      <c r="X181" s="2326"/>
      <c r="Y181" s="2326"/>
      <c r="Z181" s="2326"/>
      <c r="AA181" s="2326"/>
      <c r="AB181" s="2326"/>
      <c r="AC181" s="2326"/>
      <c r="AD181" s="2326"/>
      <c r="AE181" s="2326"/>
      <c r="AF181" s="2326"/>
      <c r="AG181" s="2326"/>
      <c r="AH181" s="2327">
        <f t="shared" ref="AH181:AH192" si="151">SUM(C181:AG181)</f>
        <v>0</v>
      </c>
      <c r="AJ181" s="1746" t="s">
        <v>75</v>
      </c>
      <c r="AK181" s="1749">
        <f t="shared" ref="AK181:AK192" si="152">+BQ181</f>
        <v>0</v>
      </c>
      <c r="AL181" s="2189"/>
      <c r="AM181" s="2189"/>
      <c r="AN181" s="2189"/>
      <c r="AO181" s="2189"/>
      <c r="AP181" s="2189"/>
      <c r="AQ181" s="2189"/>
      <c r="AR181" s="2189"/>
      <c r="AS181" s="2189"/>
      <c r="AT181" s="2189"/>
      <c r="AU181" s="2189"/>
      <c r="AV181" s="2189"/>
      <c r="AW181" s="2189"/>
      <c r="AX181" s="2189"/>
      <c r="AY181" s="2189"/>
      <c r="AZ181" s="2189"/>
      <c r="BA181" s="2189"/>
      <c r="BB181" s="2189"/>
      <c r="BC181" s="2189"/>
      <c r="BD181" s="2189"/>
      <c r="BE181" s="2226"/>
      <c r="BF181" s="2226"/>
      <c r="BG181" s="2226"/>
      <c r="BH181" s="2226"/>
      <c r="BI181" s="2226"/>
      <c r="BJ181" s="2226"/>
      <c r="BK181" s="2226"/>
      <c r="BL181" s="2226"/>
      <c r="BM181" s="2226"/>
      <c r="BN181" s="2226"/>
      <c r="BO181" s="2226"/>
      <c r="BP181" s="2226"/>
      <c r="BQ181" s="2188">
        <f t="shared" ref="BQ181:BQ192" si="153">SUM(AL181:BP181)</f>
        <v>0</v>
      </c>
      <c r="BS181" s="1845" t="s">
        <v>75</v>
      </c>
      <c r="BT181" s="1846">
        <f t="shared" ref="BT181:BT192" si="154">+CZ181</f>
        <v>0</v>
      </c>
      <c r="BU181" s="2225"/>
      <c r="BV181" s="2225"/>
      <c r="BW181" s="2225"/>
      <c r="BX181" s="2225"/>
      <c r="BY181" s="2225"/>
      <c r="BZ181" s="2225"/>
      <c r="CA181" s="2225"/>
      <c r="CB181" s="2225"/>
      <c r="CC181" s="2225"/>
      <c r="CD181" s="2225"/>
      <c r="CE181" s="2225"/>
      <c r="CF181" s="2225"/>
      <c r="CG181" s="2181"/>
      <c r="CH181" s="2181"/>
      <c r="CI181" s="2181"/>
      <c r="CJ181" s="2181"/>
      <c r="CK181" s="2181"/>
      <c r="CL181" s="2181"/>
      <c r="CM181" s="2181"/>
      <c r="CN181" s="2181"/>
      <c r="CO181" s="2181"/>
      <c r="CP181" s="2181"/>
      <c r="CQ181" s="2181"/>
      <c r="CR181" s="2181"/>
      <c r="CS181" s="2181"/>
      <c r="CT181" s="2181"/>
      <c r="CU181" s="2181"/>
      <c r="CV181" s="2181"/>
      <c r="CW181" s="2181"/>
      <c r="CX181" s="2181"/>
      <c r="CY181" s="2181"/>
      <c r="CZ181" s="2180">
        <f t="shared" ref="CZ181:CZ192" si="155">SUM(BU181:CY181)</f>
        <v>0</v>
      </c>
      <c r="DB181" s="1249" t="s">
        <v>75</v>
      </c>
      <c r="DC181" s="1287">
        <f t="shared" ref="DC181:DC192" si="156">+EI181</f>
        <v>0</v>
      </c>
      <c r="DD181" s="1761"/>
      <c r="DE181" s="1761"/>
      <c r="DF181" s="1761"/>
      <c r="DG181" s="1761"/>
      <c r="DH181" s="1761"/>
      <c r="DI181" s="1761"/>
      <c r="DJ181" s="1761"/>
      <c r="DK181" s="1761"/>
      <c r="DL181" s="1761"/>
      <c r="DM181" s="1761"/>
      <c r="DN181" s="1761"/>
      <c r="DO181" s="1761"/>
      <c r="DP181" s="1761"/>
      <c r="DQ181" s="1761"/>
      <c r="DR181" s="1761"/>
      <c r="DS181" s="1761"/>
      <c r="DT181" s="1761"/>
      <c r="DU181" s="1761"/>
      <c r="DV181" s="1761"/>
      <c r="DW181" s="1761"/>
      <c r="DX181" s="1761"/>
      <c r="DY181" s="1761"/>
      <c r="DZ181" s="1761"/>
      <c r="EA181" s="1761"/>
      <c r="EB181" s="1761"/>
      <c r="EC181" s="1761"/>
      <c r="ED181" s="1761"/>
      <c r="EE181" s="1761"/>
      <c r="EF181" s="1761"/>
      <c r="EG181" s="1761"/>
      <c r="EH181" s="1761"/>
      <c r="EI181" s="1488">
        <f t="shared" ref="EI181:EI192" si="157">SUM(DD181:EH181)</f>
        <v>0</v>
      </c>
    </row>
    <row r="182" spans="1:139" ht="15">
      <c r="A182" s="1233" t="s">
        <v>76</v>
      </c>
      <c r="B182" s="1280">
        <f t="shared" si="150"/>
        <v>47.123999999999995</v>
      </c>
      <c r="C182" s="2329"/>
      <c r="D182" s="2328"/>
      <c r="E182" s="2328"/>
      <c r="F182" s="2328"/>
      <c r="G182" s="2328">
        <v>1.004</v>
      </c>
      <c r="H182" s="2328">
        <v>5.8050000000000006</v>
      </c>
      <c r="I182" s="2328">
        <v>1.349</v>
      </c>
      <c r="J182" s="2328">
        <v>5.0329999999999995</v>
      </c>
      <c r="K182" s="2328">
        <v>2.754</v>
      </c>
      <c r="L182" s="2328">
        <v>3.1619999999999999</v>
      </c>
      <c r="M182" s="2328">
        <v>2.99</v>
      </c>
      <c r="N182" s="2328"/>
      <c r="O182" s="2328"/>
      <c r="P182" s="2328"/>
      <c r="Q182" s="2328">
        <v>12.814000000000002</v>
      </c>
      <c r="R182" s="2328">
        <v>2.891</v>
      </c>
      <c r="S182" s="2328"/>
      <c r="T182" s="2328">
        <v>5.2260000000000009</v>
      </c>
      <c r="U182" s="2328"/>
      <c r="V182" s="2328">
        <v>1.18</v>
      </c>
      <c r="W182" s="2328"/>
      <c r="X182" s="2328">
        <v>2.9159999999999999</v>
      </c>
      <c r="Y182" s="2326"/>
      <c r="Z182" s="2326"/>
      <c r="AA182" s="2326"/>
      <c r="AB182" s="2326"/>
      <c r="AC182" s="2326"/>
      <c r="AD182" s="2326"/>
      <c r="AE182" s="2326"/>
      <c r="AF182" s="2326"/>
      <c r="AG182" s="2326"/>
      <c r="AH182" s="2327">
        <f t="shared" si="151"/>
        <v>47.123999999999995</v>
      </c>
      <c r="AJ182" s="1746" t="s">
        <v>76</v>
      </c>
      <c r="AK182" s="1749">
        <f t="shared" si="152"/>
        <v>3.3139999999999996</v>
      </c>
      <c r="AL182" s="2189"/>
      <c r="AM182" s="2243"/>
      <c r="AN182" s="2243"/>
      <c r="AO182" s="2243"/>
      <c r="AP182" s="2243"/>
      <c r="AQ182" s="2243"/>
      <c r="AR182" s="2243"/>
      <c r="AS182" s="2243"/>
      <c r="AT182" s="2243"/>
      <c r="AU182" s="2243"/>
      <c r="AV182" s="2243"/>
      <c r="AW182" s="2243"/>
      <c r="AX182" s="2243"/>
      <c r="AY182" s="2243"/>
      <c r="AZ182" s="2243">
        <v>2.5939999999999999</v>
      </c>
      <c r="BA182" s="2243"/>
      <c r="BB182" s="2243"/>
      <c r="BC182" s="2243">
        <v>0.40899999999999997</v>
      </c>
      <c r="BD182" s="2243"/>
      <c r="BE182" s="2226"/>
      <c r="BF182" s="2226"/>
      <c r="BG182" s="2226"/>
      <c r="BH182" s="2226">
        <v>0.311</v>
      </c>
      <c r="BI182" s="2226"/>
      <c r="BJ182" s="2226"/>
      <c r="BK182" s="2226"/>
      <c r="BL182" s="2226"/>
      <c r="BM182" s="2226"/>
      <c r="BN182" s="2226"/>
      <c r="BO182" s="2226"/>
      <c r="BP182" s="2226"/>
      <c r="BQ182" s="2188">
        <f t="shared" si="153"/>
        <v>3.3139999999999996</v>
      </c>
      <c r="BS182" s="1845" t="s">
        <v>76</v>
      </c>
      <c r="BT182" s="1846">
        <f t="shared" si="154"/>
        <v>0</v>
      </c>
      <c r="BU182" s="2225"/>
      <c r="BV182" s="2225"/>
      <c r="BW182" s="2225"/>
      <c r="BX182" s="2225"/>
      <c r="BY182" s="2225"/>
      <c r="BZ182" s="2225"/>
      <c r="CA182" s="2225"/>
      <c r="CB182" s="2225"/>
      <c r="CC182" s="2225"/>
      <c r="CD182" s="2225"/>
      <c r="CE182" s="2225"/>
      <c r="CF182" s="2225"/>
      <c r="CG182" s="2224"/>
      <c r="CH182" s="2224"/>
      <c r="CI182" s="2224"/>
      <c r="CJ182" s="2224"/>
      <c r="CK182" s="2224"/>
      <c r="CL182" s="2224"/>
      <c r="CM182" s="2224"/>
      <c r="CN182" s="2224"/>
      <c r="CO182" s="2224"/>
      <c r="CP182" s="2224"/>
      <c r="CQ182" s="2181"/>
      <c r="CR182" s="2181"/>
      <c r="CS182" s="2181"/>
      <c r="CT182" s="2181"/>
      <c r="CU182" s="2181"/>
      <c r="CV182" s="2181"/>
      <c r="CW182" s="2181"/>
      <c r="CX182" s="2181"/>
      <c r="CY182" s="2181"/>
      <c r="CZ182" s="2180">
        <f t="shared" si="155"/>
        <v>0</v>
      </c>
      <c r="DB182" s="1249" t="s">
        <v>76</v>
      </c>
      <c r="DC182" s="1287">
        <f t="shared" si="156"/>
        <v>0</v>
      </c>
      <c r="DD182" s="1761"/>
      <c r="DE182" s="1762"/>
      <c r="DF182" s="1762"/>
      <c r="DG182" s="1762"/>
      <c r="DH182" s="1762"/>
      <c r="DI182" s="1762"/>
      <c r="DJ182" s="1762"/>
      <c r="DK182" s="1762"/>
      <c r="DL182" s="1762"/>
      <c r="DM182" s="1762"/>
      <c r="DN182" s="1762"/>
      <c r="DO182" s="1762"/>
      <c r="DP182" s="1762"/>
      <c r="DQ182" s="1762"/>
      <c r="DR182" s="1762"/>
      <c r="DS182" s="1762"/>
      <c r="DT182" s="1762"/>
      <c r="DU182" s="1762"/>
      <c r="DV182" s="1762"/>
      <c r="DW182" s="1762"/>
      <c r="DX182" s="1762"/>
      <c r="DY182" s="1762"/>
      <c r="DZ182" s="1761"/>
      <c r="EA182" s="1761"/>
      <c r="EB182" s="1761"/>
      <c r="EC182" s="1761"/>
      <c r="ED182" s="1761"/>
      <c r="EE182" s="1761"/>
      <c r="EF182" s="1761"/>
      <c r="EG182" s="1761"/>
      <c r="EH182" s="1761"/>
      <c r="EI182" s="1488">
        <f t="shared" si="157"/>
        <v>0</v>
      </c>
    </row>
    <row r="183" spans="1:139" ht="15.75">
      <c r="A183" s="1233" t="s">
        <v>77</v>
      </c>
      <c r="B183" s="1280">
        <f t="shared" si="150"/>
        <v>59.347000000000001</v>
      </c>
      <c r="C183" s="2335"/>
      <c r="D183" s="2329"/>
      <c r="E183" s="2330"/>
      <c r="F183" s="2331"/>
      <c r="G183" s="2332">
        <v>1.2989999999999999</v>
      </c>
      <c r="H183" s="2333">
        <v>10.365</v>
      </c>
      <c r="I183" s="2333">
        <v>2.835</v>
      </c>
      <c r="J183" s="2329"/>
      <c r="K183" s="2329">
        <v>5.9609999999999994</v>
      </c>
      <c r="L183" s="2329"/>
      <c r="M183" s="2329">
        <v>5.9029999999999996</v>
      </c>
      <c r="N183" s="2329"/>
      <c r="O183" s="2329">
        <v>5.7710000000000008</v>
      </c>
      <c r="P183" s="2333">
        <v>9.1630000000000003</v>
      </c>
      <c r="Q183" s="2333">
        <v>2.2210000000000001</v>
      </c>
      <c r="R183" s="2333">
        <v>4.8750000000000009</v>
      </c>
      <c r="S183" s="2333"/>
      <c r="T183" s="2333"/>
      <c r="U183" s="2333"/>
      <c r="V183" s="2333">
        <v>2.1360000000000001</v>
      </c>
      <c r="W183" s="2333">
        <v>0.77200000000000002</v>
      </c>
      <c r="X183" s="2333">
        <v>2.1890000000000001</v>
      </c>
      <c r="Y183" s="2333">
        <v>0.23899999999999999</v>
      </c>
      <c r="Z183" s="2333"/>
      <c r="AA183" s="2333">
        <v>0.62</v>
      </c>
      <c r="AB183" s="2333">
        <v>3.9009999999999998</v>
      </c>
      <c r="AC183" s="2333"/>
      <c r="AD183" s="2333">
        <v>1.097</v>
      </c>
      <c r="AE183" s="2334"/>
      <c r="AF183" s="2329"/>
      <c r="AG183" s="2329"/>
      <c r="AH183" s="2327">
        <f t="shared" si="151"/>
        <v>59.347000000000001</v>
      </c>
      <c r="AJ183" s="1746" t="s">
        <v>77</v>
      </c>
      <c r="AK183" s="1749">
        <f t="shared" si="152"/>
        <v>2.669</v>
      </c>
      <c r="AL183" s="2232"/>
      <c r="AM183" s="2232"/>
      <c r="AN183" s="2242"/>
      <c r="AO183" s="2241"/>
      <c r="AP183" s="2240"/>
      <c r="AQ183" s="2233"/>
      <c r="AR183" s="2233">
        <v>1.4810000000000001</v>
      </c>
      <c r="AS183" s="2232"/>
      <c r="AT183" s="2232"/>
      <c r="AU183" s="2232"/>
      <c r="AV183" s="2232"/>
      <c r="AW183" s="2232"/>
      <c r="AX183" s="2232"/>
      <c r="AY183" s="2233"/>
      <c r="AZ183" s="2233"/>
      <c r="BA183" s="2233"/>
      <c r="BB183" s="2233"/>
      <c r="BC183" s="2233"/>
      <c r="BD183" s="2233"/>
      <c r="BE183" s="2226"/>
      <c r="BF183" s="2226">
        <v>1.1879999999999999</v>
      </c>
      <c r="BG183" s="2226"/>
      <c r="BH183" s="2226"/>
      <c r="BI183" s="2226"/>
      <c r="BJ183" s="2226"/>
      <c r="BK183" s="2226"/>
      <c r="BL183" s="2226"/>
      <c r="BM183" s="2226"/>
      <c r="BN183" s="2226"/>
      <c r="BO183" s="2226"/>
      <c r="BP183" s="2226"/>
      <c r="BQ183" s="2188">
        <f t="shared" si="153"/>
        <v>2.669</v>
      </c>
      <c r="BS183" s="1845" t="s">
        <v>77</v>
      </c>
      <c r="BT183" s="1846">
        <f t="shared" si="154"/>
        <v>0</v>
      </c>
      <c r="BU183" s="2225"/>
      <c r="BV183" s="2225"/>
      <c r="BW183" s="2225"/>
      <c r="BX183" s="2225"/>
      <c r="BY183" s="2225"/>
      <c r="BZ183" s="2225"/>
      <c r="CA183" s="2225"/>
      <c r="CB183" s="2225"/>
      <c r="CC183" s="2225"/>
      <c r="CD183" s="2225"/>
      <c r="CE183" s="2225"/>
      <c r="CF183" s="2225"/>
      <c r="CG183" s="2216"/>
      <c r="CH183" s="2217"/>
      <c r="CI183" s="2217"/>
      <c r="CJ183" s="2217"/>
      <c r="CK183" s="2217"/>
      <c r="CL183" s="2217"/>
      <c r="CM183" s="2217"/>
      <c r="CN183" s="2217"/>
      <c r="CO183" s="2217"/>
      <c r="CP183" s="2217"/>
      <c r="CQ183" s="2217"/>
      <c r="CR183" s="2217"/>
      <c r="CS183" s="2217"/>
      <c r="CT183" s="2217"/>
      <c r="CU183" s="2217"/>
      <c r="CV183" s="2217"/>
      <c r="CW183" s="2222"/>
      <c r="CX183" s="2216"/>
      <c r="CY183" s="2216"/>
      <c r="CZ183" s="2180">
        <f t="shared" si="155"/>
        <v>0</v>
      </c>
      <c r="DB183" s="1249" t="s">
        <v>77</v>
      </c>
      <c r="DC183" s="1287">
        <f t="shared" si="156"/>
        <v>0</v>
      </c>
      <c r="DD183" s="2279"/>
      <c r="DE183" s="2279"/>
      <c r="DF183" s="2290"/>
      <c r="DG183" s="2289"/>
      <c r="DH183" s="2288"/>
      <c r="DI183" s="2280"/>
      <c r="DJ183" s="2280"/>
      <c r="DK183" s="2279"/>
      <c r="DL183" s="2279"/>
      <c r="DM183" s="2279"/>
      <c r="DN183" s="2279"/>
      <c r="DO183" s="2279"/>
      <c r="DP183" s="2279"/>
      <c r="DQ183" s="2280"/>
      <c r="DR183" s="2280"/>
      <c r="DS183" s="2280"/>
      <c r="DT183" s="2280"/>
      <c r="DU183" s="2280"/>
      <c r="DV183" s="2280"/>
      <c r="DW183" s="2280"/>
      <c r="DX183" s="2280"/>
      <c r="DY183" s="2280"/>
      <c r="DZ183" s="2280"/>
      <c r="EA183" s="2280"/>
      <c r="EB183" s="2280"/>
      <c r="EC183" s="2280"/>
      <c r="ED183" s="2280"/>
      <c r="EE183" s="2280"/>
      <c r="EF183" s="2287"/>
      <c r="EG183" s="2279"/>
      <c r="EH183" s="2279"/>
      <c r="EI183" s="1488">
        <f t="shared" si="157"/>
        <v>0</v>
      </c>
    </row>
    <row r="184" spans="1:139" ht="15">
      <c r="A184" s="1233" t="s">
        <v>78</v>
      </c>
      <c r="B184" s="1280">
        <f t="shared" si="150"/>
        <v>19.810999999999996</v>
      </c>
      <c r="C184" s="2326">
        <v>0.44500000000000001</v>
      </c>
      <c r="D184" s="1933"/>
      <c r="E184" s="2336">
        <v>1.536</v>
      </c>
      <c r="F184" s="2337">
        <v>1.4889999999999999</v>
      </c>
      <c r="G184" s="2338">
        <v>0.745</v>
      </c>
      <c r="H184" s="2339"/>
      <c r="I184" s="2333"/>
      <c r="J184" s="2333">
        <v>7.7929999999999993</v>
      </c>
      <c r="K184" s="2333">
        <v>2.677</v>
      </c>
      <c r="L184" s="2333"/>
      <c r="M184" s="2329">
        <v>0.50600000000000001</v>
      </c>
      <c r="N184" s="2329">
        <v>0.2</v>
      </c>
      <c r="O184" s="2329">
        <v>3.63</v>
      </c>
      <c r="P184" s="2329"/>
      <c r="Q184" s="2333">
        <v>0.79</v>
      </c>
      <c r="R184" s="2333"/>
      <c r="S184" s="2333"/>
      <c r="T184" s="2333"/>
      <c r="U184" s="2329"/>
      <c r="V184" s="2333"/>
      <c r="W184" s="2333"/>
      <c r="X184" s="2333"/>
      <c r="Y184" s="2333"/>
      <c r="Z184" s="2333"/>
      <c r="AA184" s="2333"/>
      <c r="AB184" s="2333"/>
      <c r="AC184" s="2329"/>
      <c r="AD184" s="2333"/>
      <c r="AE184" s="2333"/>
      <c r="AF184" s="2329"/>
      <c r="AG184" s="2329"/>
      <c r="AH184" s="2327">
        <f t="shared" si="151"/>
        <v>19.810999999999996</v>
      </c>
      <c r="AJ184" s="1746" t="s">
        <v>78</v>
      </c>
      <c r="AK184" s="1749">
        <f t="shared" si="152"/>
        <v>0</v>
      </c>
      <c r="AL184" s="2239"/>
      <c r="AM184" s="2238"/>
      <c r="AN184" s="2237"/>
      <c r="AO184" s="2236"/>
      <c r="AP184" s="2235"/>
      <c r="AQ184" s="2234"/>
      <c r="AR184" s="2233"/>
      <c r="AS184" s="2233"/>
      <c r="AT184" s="2233"/>
      <c r="AU184" s="2233"/>
      <c r="AV184" s="2232"/>
      <c r="AW184" s="2232"/>
      <c r="AX184" s="2232"/>
      <c r="AY184" s="2232"/>
      <c r="AZ184" s="2233"/>
      <c r="BA184" s="2233"/>
      <c r="BB184" s="2233"/>
      <c r="BC184" s="2233"/>
      <c r="BD184" s="2232"/>
      <c r="BE184" s="2231"/>
      <c r="BF184" s="2231"/>
      <c r="BG184" s="2231"/>
      <c r="BH184" s="2231"/>
      <c r="BI184" s="2231"/>
      <c r="BJ184" s="2231"/>
      <c r="BK184" s="2231"/>
      <c r="BL184" s="2231"/>
      <c r="BM184" s="2231"/>
      <c r="BN184" s="2231"/>
      <c r="BO184" s="2226"/>
      <c r="BP184" s="2226"/>
      <c r="BQ184" s="2188">
        <f t="shared" si="153"/>
        <v>0</v>
      </c>
      <c r="BS184" s="1845" t="s">
        <v>78</v>
      </c>
      <c r="BT184" s="1846">
        <f t="shared" si="154"/>
        <v>0</v>
      </c>
      <c r="BU184" s="2230"/>
      <c r="BV184" s="2230"/>
      <c r="BW184" s="2230"/>
      <c r="BX184" s="2230"/>
      <c r="BY184" s="2230"/>
      <c r="BZ184" s="2230"/>
      <c r="CA184" s="2230"/>
      <c r="CB184" s="2230"/>
      <c r="CC184" s="2230"/>
      <c r="CD184" s="2230"/>
      <c r="CE184" s="2225"/>
      <c r="CF184" s="2225"/>
      <c r="CG184" s="2216"/>
      <c r="CH184" s="2216"/>
      <c r="CI184" s="2217"/>
      <c r="CJ184" s="2217"/>
      <c r="CK184" s="2217"/>
      <c r="CL184" s="2217"/>
      <c r="CM184" s="2216"/>
      <c r="CN184" s="2217"/>
      <c r="CO184" s="2217"/>
      <c r="CP184" s="2217"/>
      <c r="CQ184" s="2217"/>
      <c r="CR184" s="2217"/>
      <c r="CS184" s="2217"/>
      <c r="CT184" s="2217"/>
      <c r="CU184" s="2216"/>
      <c r="CV184" s="2217"/>
      <c r="CW184" s="2217"/>
      <c r="CX184" s="2216"/>
      <c r="CY184" s="2216"/>
      <c r="CZ184" s="2180">
        <f t="shared" si="155"/>
        <v>0</v>
      </c>
      <c r="DB184" s="1249" t="s">
        <v>78</v>
      </c>
      <c r="DC184" s="1287">
        <f t="shared" si="156"/>
        <v>0</v>
      </c>
      <c r="DD184" s="2285"/>
      <c r="DE184" s="1393"/>
      <c r="DF184" s="2284"/>
      <c r="DG184" s="2283"/>
      <c r="DH184" s="2282"/>
      <c r="DI184" s="2281"/>
      <c r="DJ184" s="2280"/>
      <c r="DK184" s="2280"/>
      <c r="DL184" s="2280"/>
      <c r="DM184" s="2280"/>
      <c r="DN184" s="2279"/>
      <c r="DO184" s="2279"/>
      <c r="DP184" s="2279"/>
      <c r="DQ184" s="2279"/>
      <c r="DR184" s="2280"/>
      <c r="DS184" s="2280"/>
      <c r="DT184" s="2280"/>
      <c r="DU184" s="2280"/>
      <c r="DV184" s="2279"/>
      <c r="DW184" s="2280"/>
      <c r="DX184" s="2280"/>
      <c r="DY184" s="2280"/>
      <c r="DZ184" s="2280"/>
      <c r="EA184" s="2280"/>
      <c r="EB184" s="2280"/>
      <c r="EC184" s="2280"/>
      <c r="ED184" s="2279"/>
      <c r="EE184" s="2280"/>
      <c r="EF184" s="2280"/>
      <c r="EG184" s="2279"/>
      <c r="EH184" s="2279"/>
      <c r="EI184" s="1488">
        <f t="shared" si="157"/>
        <v>0</v>
      </c>
    </row>
    <row r="185" spans="1:139" ht="15">
      <c r="A185" s="1233" t="s">
        <v>79</v>
      </c>
      <c r="B185" s="1280">
        <f t="shared" si="150"/>
        <v>1.5289999999999999</v>
      </c>
      <c r="C185" s="2326"/>
      <c r="D185" s="2326"/>
      <c r="E185" s="2326"/>
      <c r="F185" s="2326"/>
      <c r="G185" s="2326"/>
      <c r="H185" s="2326"/>
      <c r="I185" s="2326">
        <v>0.49</v>
      </c>
      <c r="J185" s="2326"/>
      <c r="K185" s="2326"/>
      <c r="L185" s="2326"/>
      <c r="M185" s="2326"/>
      <c r="N185" s="2326"/>
      <c r="O185" s="2326"/>
      <c r="P185" s="2326"/>
      <c r="Q185" s="2326"/>
      <c r="R185" s="2326"/>
      <c r="S185" s="2326"/>
      <c r="T185" s="2326"/>
      <c r="U185" s="2326"/>
      <c r="V185" s="2326">
        <v>1.0389999999999999</v>
      </c>
      <c r="W185" s="2326"/>
      <c r="X185" s="2326"/>
      <c r="Y185" s="2326"/>
      <c r="Z185" s="2326"/>
      <c r="AA185" s="2326"/>
      <c r="AB185" s="2326"/>
      <c r="AC185" s="2326"/>
      <c r="AD185" s="2326"/>
      <c r="AE185" s="2326"/>
      <c r="AF185" s="2326"/>
      <c r="AG185" s="2326"/>
      <c r="AH185" s="2327">
        <f t="shared" si="151"/>
        <v>1.5289999999999999</v>
      </c>
      <c r="AJ185" s="1746" t="s">
        <v>79</v>
      </c>
      <c r="AK185" s="1749">
        <f t="shared" si="152"/>
        <v>0</v>
      </c>
      <c r="AL185" s="2189"/>
      <c r="AM185" s="2189"/>
      <c r="AN185" s="2189"/>
      <c r="AO185" s="2189"/>
      <c r="AP185" s="2189"/>
      <c r="AQ185" s="2189"/>
      <c r="AR185" s="2189"/>
      <c r="AS185" s="2189"/>
      <c r="AT185" s="2189"/>
      <c r="AU185" s="2189"/>
      <c r="AV185" s="2189"/>
      <c r="AW185" s="2189"/>
      <c r="AX185" s="2189"/>
      <c r="AY185" s="2189"/>
      <c r="AZ185" s="2189"/>
      <c r="BA185" s="2189"/>
      <c r="BB185" s="2189"/>
      <c r="BC185" s="2189"/>
      <c r="BD185" s="2189"/>
      <c r="BE185" s="2231"/>
      <c r="BF185" s="2231"/>
      <c r="BG185" s="2231"/>
      <c r="BH185" s="2226"/>
      <c r="BI185" s="2231"/>
      <c r="BJ185" s="2226"/>
      <c r="BK185" s="2231"/>
      <c r="BL185" s="2226"/>
      <c r="BM185" s="2231"/>
      <c r="BN185" s="2231"/>
      <c r="BO185" s="2231"/>
      <c r="BP185" s="2231"/>
      <c r="BQ185" s="2188">
        <f t="shared" si="153"/>
        <v>0</v>
      </c>
      <c r="BS185" s="1845" t="s">
        <v>79</v>
      </c>
      <c r="BT185" s="1846">
        <f t="shared" si="154"/>
        <v>0</v>
      </c>
      <c r="BU185" s="2230"/>
      <c r="BV185" s="2230"/>
      <c r="BW185" s="2230"/>
      <c r="BX185" s="2225"/>
      <c r="BY185" s="2230"/>
      <c r="BZ185" s="2225"/>
      <c r="CA185" s="2230"/>
      <c r="CB185" s="2225"/>
      <c r="CC185" s="2230"/>
      <c r="CD185" s="2230"/>
      <c r="CE185" s="2230"/>
      <c r="CF185" s="2230"/>
      <c r="CG185" s="2181"/>
      <c r="CH185" s="2181"/>
      <c r="CI185" s="2181"/>
      <c r="CJ185" s="2181"/>
      <c r="CK185" s="2181"/>
      <c r="CL185" s="2181"/>
      <c r="CM185" s="2181"/>
      <c r="CN185" s="2181"/>
      <c r="CO185" s="2181"/>
      <c r="CP185" s="2181"/>
      <c r="CQ185" s="2181"/>
      <c r="CR185" s="2181"/>
      <c r="CS185" s="2181"/>
      <c r="CT185" s="2181"/>
      <c r="CU185" s="2181"/>
      <c r="CV185" s="2181"/>
      <c r="CW185" s="2181"/>
      <c r="CX185" s="2181"/>
      <c r="CY185" s="2181"/>
      <c r="CZ185" s="2180">
        <f t="shared" si="155"/>
        <v>0</v>
      </c>
      <c r="DB185" s="1249" t="s">
        <v>79</v>
      </c>
      <c r="DC185" s="1287">
        <f t="shared" si="156"/>
        <v>0</v>
      </c>
      <c r="DD185" s="1761"/>
      <c r="DE185" s="1761"/>
      <c r="DF185" s="1761"/>
      <c r="DG185" s="1761"/>
      <c r="DH185" s="1761"/>
      <c r="DI185" s="1761"/>
      <c r="DJ185" s="1761"/>
      <c r="DK185" s="1761"/>
      <c r="DL185" s="1761"/>
      <c r="DM185" s="1761"/>
      <c r="DN185" s="1761"/>
      <c r="DO185" s="1761"/>
      <c r="DP185" s="1761"/>
      <c r="DQ185" s="1761"/>
      <c r="DR185" s="1761"/>
      <c r="DS185" s="1761"/>
      <c r="DT185" s="1761"/>
      <c r="DU185" s="1761"/>
      <c r="DV185" s="1761"/>
      <c r="DW185" s="1761"/>
      <c r="DX185" s="1761"/>
      <c r="DY185" s="1761"/>
      <c r="DZ185" s="1761"/>
      <c r="EA185" s="1761"/>
      <c r="EB185" s="1761"/>
      <c r="EC185" s="1761"/>
      <c r="ED185" s="1761"/>
      <c r="EE185" s="1761"/>
      <c r="EF185" s="1761"/>
      <c r="EG185" s="1761"/>
      <c r="EH185" s="1761"/>
      <c r="EI185" s="1488">
        <f t="shared" si="157"/>
        <v>0</v>
      </c>
    </row>
    <row r="186" spans="1:139" ht="15">
      <c r="A186" s="1233" t="s">
        <v>80</v>
      </c>
      <c r="B186" s="1280">
        <f t="shared" si="150"/>
        <v>7.020999999999999</v>
      </c>
      <c r="C186" s="2326"/>
      <c r="D186" s="2326"/>
      <c r="E186" s="2326"/>
      <c r="F186" s="2326"/>
      <c r="G186" s="2326"/>
      <c r="H186" s="2326">
        <v>0.316</v>
      </c>
      <c r="I186" s="2326">
        <v>7.0000000000000007E-2</v>
      </c>
      <c r="J186" s="2326">
        <v>0.20399999999999999</v>
      </c>
      <c r="K186" s="2326"/>
      <c r="L186" s="2326">
        <v>1.272</v>
      </c>
      <c r="M186" s="2326"/>
      <c r="N186" s="2326">
        <v>0.39600000000000002</v>
      </c>
      <c r="O186" s="2326">
        <v>0.57699999999999996</v>
      </c>
      <c r="P186" s="2326">
        <v>1.383</v>
      </c>
      <c r="Q186" s="2326"/>
      <c r="R186" s="2326"/>
      <c r="S186" s="2326">
        <v>0.50800000000000001</v>
      </c>
      <c r="T186" s="2326"/>
      <c r="U186" s="2326"/>
      <c r="V186" s="2326">
        <v>1.6719999999999999</v>
      </c>
      <c r="W186" s="2326">
        <v>0.217</v>
      </c>
      <c r="X186" s="2326">
        <v>0.40600000000000003</v>
      </c>
      <c r="Y186" s="2326"/>
      <c r="Z186" s="2326"/>
      <c r="AA186" s="2326"/>
      <c r="AB186" s="2326"/>
      <c r="AC186" s="2326"/>
      <c r="AD186" s="2326"/>
      <c r="AE186" s="2326"/>
      <c r="AF186" s="2326"/>
      <c r="AG186" s="2326"/>
      <c r="AH186" s="2327">
        <f t="shared" si="151"/>
        <v>7.020999999999999</v>
      </c>
      <c r="AJ186" s="1746" t="s">
        <v>80</v>
      </c>
      <c r="AK186" s="1749">
        <f t="shared" si="152"/>
        <v>0</v>
      </c>
      <c r="AL186" s="2189"/>
      <c r="AM186" s="2189"/>
      <c r="AN186" s="2189"/>
      <c r="AO186" s="2189"/>
      <c r="AP186" s="2189"/>
      <c r="AQ186" s="2189"/>
      <c r="AR186" s="2189"/>
      <c r="AS186" s="2189"/>
      <c r="AT186" s="2189"/>
      <c r="AU186" s="2189"/>
      <c r="AV186" s="2189"/>
      <c r="AW186" s="2189"/>
      <c r="AX186" s="2189"/>
      <c r="AY186" s="2189"/>
      <c r="AZ186" s="2189"/>
      <c r="BA186" s="2189"/>
      <c r="BB186" s="2189"/>
      <c r="BC186" s="2189"/>
      <c r="BD186" s="2189"/>
      <c r="BE186" s="2231"/>
      <c r="BF186" s="2231"/>
      <c r="BG186" s="2231"/>
      <c r="BH186" s="2231"/>
      <c r="BI186" s="2231"/>
      <c r="BJ186" s="2231"/>
      <c r="BK186" s="2231"/>
      <c r="BL186" s="2231"/>
      <c r="BM186" s="2231"/>
      <c r="BN186" s="2231"/>
      <c r="BO186" s="2231"/>
      <c r="BP186" s="2226"/>
      <c r="BQ186" s="2188">
        <f t="shared" si="153"/>
        <v>0</v>
      </c>
      <c r="BS186" s="1845" t="s">
        <v>80</v>
      </c>
      <c r="BT186" s="1846">
        <f t="shared" si="154"/>
        <v>0</v>
      </c>
      <c r="BU186" s="2230"/>
      <c r="BV186" s="2230"/>
      <c r="BW186" s="2230"/>
      <c r="BX186" s="2230"/>
      <c r="BY186" s="2230"/>
      <c r="BZ186" s="2230"/>
      <c r="CA186" s="2230"/>
      <c r="CB186" s="2230"/>
      <c r="CC186" s="2230"/>
      <c r="CD186" s="2230"/>
      <c r="CE186" s="2230"/>
      <c r="CF186" s="2225"/>
      <c r="CG186" s="2181"/>
      <c r="CH186" s="2181"/>
      <c r="CI186" s="2181"/>
      <c r="CJ186" s="2181"/>
      <c r="CK186" s="2181"/>
      <c r="CL186" s="2181"/>
      <c r="CM186" s="2181"/>
      <c r="CN186" s="2181"/>
      <c r="CO186" s="2181"/>
      <c r="CP186" s="2181"/>
      <c r="CQ186" s="2181"/>
      <c r="CR186" s="2181"/>
      <c r="CS186" s="2181"/>
      <c r="CT186" s="2181"/>
      <c r="CU186" s="2181"/>
      <c r="CV186" s="2181"/>
      <c r="CW186" s="2181"/>
      <c r="CX186" s="2181"/>
      <c r="CY186" s="2181"/>
      <c r="CZ186" s="2180">
        <f t="shared" si="155"/>
        <v>0</v>
      </c>
      <c r="DB186" s="1249" t="s">
        <v>80</v>
      </c>
      <c r="DC186" s="1287">
        <f t="shared" si="156"/>
        <v>0</v>
      </c>
      <c r="DD186" s="1761"/>
      <c r="DE186" s="1761"/>
      <c r="DF186" s="1761"/>
      <c r="DG186" s="1761"/>
      <c r="DH186" s="1761"/>
      <c r="DI186" s="1761"/>
      <c r="DJ186" s="1761"/>
      <c r="DK186" s="1761"/>
      <c r="DL186" s="1761"/>
      <c r="DM186" s="1761"/>
      <c r="DN186" s="1761"/>
      <c r="DO186" s="1761"/>
      <c r="DP186" s="1761"/>
      <c r="DQ186" s="1761"/>
      <c r="DR186" s="1761"/>
      <c r="DS186" s="1761"/>
      <c r="DT186" s="1761"/>
      <c r="DU186" s="1761"/>
      <c r="DV186" s="1761"/>
      <c r="DW186" s="1761"/>
      <c r="DX186" s="1761"/>
      <c r="DY186" s="1761"/>
      <c r="DZ186" s="1761"/>
      <c r="EA186" s="1761"/>
      <c r="EB186" s="1761"/>
      <c r="EC186" s="1761"/>
      <c r="ED186" s="1761"/>
      <c r="EE186" s="1761"/>
      <c r="EF186" s="1761"/>
      <c r="EG186" s="1761"/>
      <c r="EH186" s="1761"/>
      <c r="EI186" s="1488">
        <f t="shared" si="157"/>
        <v>0</v>
      </c>
    </row>
    <row r="187" spans="1:139" ht="15">
      <c r="A187" s="1233" t="s">
        <v>81</v>
      </c>
      <c r="B187" s="1280">
        <f t="shared" si="150"/>
        <v>7.8E-2</v>
      </c>
      <c r="C187" s="2326"/>
      <c r="D187" s="2326"/>
      <c r="E187" s="2326"/>
      <c r="F187" s="2326"/>
      <c r="G187" s="2326">
        <v>7.8E-2</v>
      </c>
      <c r="H187" s="2326"/>
      <c r="I187" s="2326"/>
      <c r="J187" s="2326"/>
      <c r="K187" s="2326"/>
      <c r="L187" s="2326"/>
      <c r="M187" s="2326"/>
      <c r="N187" s="2326"/>
      <c r="O187" s="2326"/>
      <c r="P187" s="2326"/>
      <c r="Q187" s="2326"/>
      <c r="R187" s="2326"/>
      <c r="S187" s="2326"/>
      <c r="T187" s="2326"/>
      <c r="U187" s="2326"/>
      <c r="V187" s="2326"/>
      <c r="W187" s="2326"/>
      <c r="X187" s="2326"/>
      <c r="Y187" s="2326"/>
      <c r="Z187" s="2326"/>
      <c r="AA187" s="2326"/>
      <c r="AB187" s="2326"/>
      <c r="AC187" s="2326"/>
      <c r="AD187" s="2326"/>
      <c r="AE187" s="2326"/>
      <c r="AF187" s="2326"/>
      <c r="AG187" s="2326"/>
      <c r="AH187" s="2327">
        <f t="shared" si="151"/>
        <v>7.8E-2</v>
      </c>
      <c r="AJ187" s="1746" t="s">
        <v>81</v>
      </c>
      <c r="AK187" s="1749">
        <f t="shared" si="152"/>
        <v>0</v>
      </c>
      <c r="AL187" s="2189"/>
      <c r="AM187" s="2189"/>
      <c r="AN187" s="2189"/>
      <c r="AO187" s="2189"/>
      <c r="AP187" s="2189"/>
      <c r="AQ187" s="2189"/>
      <c r="AR187" s="2189"/>
      <c r="AS187" s="2189"/>
      <c r="AT187" s="2189"/>
      <c r="AU187" s="2189"/>
      <c r="AV187" s="2189"/>
      <c r="AW187" s="2189"/>
      <c r="AX187" s="2189"/>
      <c r="AY187" s="2189"/>
      <c r="AZ187" s="2189"/>
      <c r="BA187" s="2189"/>
      <c r="BB187" s="2189"/>
      <c r="BC187" s="2189"/>
      <c r="BD187" s="2189"/>
      <c r="BE187" s="2231"/>
      <c r="BF187" s="2231"/>
      <c r="BG187" s="2231"/>
      <c r="BH187" s="2231"/>
      <c r="BI187" s="2231"/>
      <c r="BJ187" s="2231"/>
      <c r="BK187" s="2231"/>
      <c r="BL187" s="2231"/>
      <c r="BM187" s="2231"/>
      <c r="BN187" s="2231"/>
      <c r="BO187" s="2231"/>
      <c r="BP187" s="2231"/>
      <c r="BQ187" s="2188">
        <f t="shared" si="153"/>
        <v>0</v>
      </c>
      <c r="BS187" s="1845" t="s">
        <v>81</v>
      </c>
      <c r="BT187" s="1846">
        <f t="shared" si="154"/>
        <v>0</v>
      </c>
      <c r="BU187" s="2230"/>
      <c r="BV187" s="2230"/>
      <c r="BW187" s="2230"/>
      <c r="BX187" s="2230"/>
      <c r="BY187" s="2230"/>
      <c r="BZ187" s="2230"/>
      <c r="CA187" s="2230"/>
      <c r="CB187" s="2230"/>
      <c r="CC187" s="2230"/>
      <c r="CD187" s="2230"/>
      <c r="CE187" s="2230"/>
      <c r="CF187" s="2230"/>
      <c r="CG187" s="2181"/>
      <c r="CH187" s="2181"/>
      <c r="CI187" s="2181"/>
      <c r="CJ187" s="2181"/>
      <c r="CK187" s="2181"/>
      <c r="CL187" s="2181"/>
      <c r="CM187" s="2181"/>
      <c r="CN187" s="2181"/>
      <c r="CO187" s="2181"/>
      <c r="CP187" s="2181"/>
      <c r="CQ187" s="2181"/>
      <c r="CR187" s="2181"/>
      <c r="CS187" s="2181"/>
      <c r="CT187" s="2181"/>
      <c r="CU187" s="2181"/>
      <c r="CV187" s="2181"/>
      <c r="CW187" s="2181"/>
      <c r="CX187" s="2181"/>
      <c r="CY187" s="2181"/>
      <c r="CZ187" s="2180">
        <f t="shared" si="155"/>
        <v>0</v>
      </c>
      <c r="DB187" s="1249" t="s">
        <v>81</v>
      </c>
      <c r="DC187" s="1287">
        <f t="shared" si="156"/>
        <v>0</v>
      </c>
      <c r="DD187" s="1761"/>
      <c r="DE187" s="1761"/>
      <c r="DF187" s="1761"/>
      <c r="DG187" s="1761"/>
      <c r="DH187" s="1761"/>
      <c r="DI187" s="1761"/>
      <c r="DJ187" s="1761"/>
      <c r="DK187" s="1761"/>
      <c r="DL187" s="1761"/>
      <c r="DM187" s="1761"/>
      <c r="DN187" s="1761"/>
      <c r="DO187" s="1761"/>
      <c r="DP187" s="1761"/>
      <c r="DQ187" s="1761"/>
      <c r="DR187" s="1761"/>
      <c r="DS187" s="1761"/>
      <c r="DT187" s="1761"/>
      <c r="DU187" s="1761"/>
      <c r="DV187" s="1761"/>
      <c r="DW187" s="1761"/>
      <c r="DX187" s="1761"/>
      <c r="DY187" s="1761"/>
      <c r="DZ187" s="1761"/>
      <c r="EA187" s="1761"/>
      <c r="EB187" s="1761"/>
      <c r="EC187" s="1761"/>
      <c r="ED187" s="1761"/>
      <c r="EE187" s="1761"/>
      <c r="EF187" s="1761"/>
      <c r="EG187" s="1761"/>
      <c r="EH187" s="1761"/>
      <c r="EI187" s="1488">
        <f t="shared" si="157"/>
        <v>0</v>
      </c>
    </row>
    <row r="188" spans="1:139" ht="15">
      <c r="A188" s="1233" t="s">
        <v>82</v>
      </c>
      <c r="B188" s="1280">
        <f t="shared" si="150"/>
        <v>5.5919999999999996</v>
      </c>
      <c r="C188" s="2326">
        <v>4.718</v>
      </c>
      <c r="D188" s="2326"/>
      <c r="E188" s="2326">
        <v>0.156</v>
      </c>
      <c r="F188" s="2326"/>
      <c r="G188" s="2326"/>
      <c r="H188" s="2326"/>
      <c r="I188" s="2326"/>
      <c r="J188" s="2326"/>
      <c r="K188" s="2326"/>
      <c r="L188" s="2326"/>
      <c r="M188" s="2326"/>
      <c r="N188" s="2326"/>
      <c r="O188" s="2326"/>
      <c r="P188" s="2326">
        <v>0.48199999999999998</v>
      </c>
      <c r="Q188" s="2326"/>
      <c r="R188" s="2326"/>
      <c r="S188" s="2326">
        <v>0.23599999999999999</v>
      </c>
      <c r="T188" s="2326"/>
      <c r="U188" s="2326"/>
      <c r="V188" s="2326"/>
      <c r="W188" s="2326"/>
      <c r="X188" s="2326"/>
      <c r="Y188" s="2326"/>
      <c r="Z188" s="2326"/>
      <c r="AA188" s="2326"/>
      <c r="AB188" s="2326"/>
      <c r="AC188" s="2326"/>
      <c r="AD188" s="2326"/>
      <c r="AE188" s="2326"/>
      <c r="AF188" s="2326"/>
      <c r="AG188" s="2326"/>
      <c r="AH188" s="2327">
        <f t="shared" si="151"/>
        <v>5.5919999999999996</v>
      </c>
      <c r="AJ188" s="1746" t="s">
        <v>82</v>
      </c>
      <c r="AK188" s="1749">
        <f t="shared" si="152"/>
        <v>0</v>
      </c>
      <c r="AL188" s="2189"/>
      <c r="AM188" s="2189"/>
      <c r="AN188" s="2189"/>
      <c r="AO188" s="2189"/>
      <c r="AP188" s="2189"/>
      <c r="AQ188" s="2189"/>
      <c r="AR188" s="2189"/>
      <c r="AS188" s="2189"/>
      <c r="AT188" s="2189"/>
      <c r="AU188" s="2189"/>
      <c r="AV188" s="2189"/>
      <c r="AW188" s="2189"/>
      <c r="AX188" s="2189"/>
      <c r="AY188" s="2189"/>
      <c r="AZ188" s="2189"/>
      <c r="BA188" s="2189"/>
      <c r="BB188" s="2189"/>
      <c r="BC188" s="2189"/>
      <c r="BD188" s="2189"/>
      <c r="BE188" s="2226"/>
      <c r="BF188" s="2229"/>
      <c r="BG188" s="2226"/>
      <c r="BH188" s="2226"/>
      <c r="BI188" s="2226"/>
      <c r="BJ188" s="2226"/>
      <c r="BK188" s="2226"/>
      <c r="BL188" s="2226"/>
      <c r="BM188" s="2226"/>
      <c r="BN188" s="2226"/>
      <c r="BO188" s="2226"/>
      <c r="BP188" s="2226"/>
      <c r="BQ188" s="2188">
        <f t="shared" si="153"/>
        <v>0</v>
      </c>
      <c r="BS188" s="1845" t="s">
        <v>82</v>
      </c>
      <c r="BT188" s="1846">
        <f t="shared" si="154"/>
        <v>0</v>
      </c>
      <c r="BU188" s="2225"/>
      <c r="BV188" s="2228"/>
      <c r="BW188" s="2225"/>
      <c r="BX188" s="2225"/>
      <c r="BY188" s="2225"/>
      <c r="BZ188" s="2225"/>
      <c r="CA188" s="2225"/>
      <c r="CB188" s="2225"/>
      <c r="CC188" s="2225"/>
      <c r="CD188" s="2225"/>
      <c r="CE188" s="2225"/>
      <c r="CF188" s="2225"/>
      <c r="CG188" s="2181"/>
      <c r="CH188" s="2181"/>
      <c r="CI188" s="2181"/>
      <c r="CJ188" s="2181"/>
      <c r="CK188" s="2181"/>
      <c r="CL188" s="2181"/>
      <c r="CM188" s="2181"/>
      <c r="CN188" s="2181"/>
      <c r="CO188" s="2181"/>
      <c r="CP188" s="2181"/>
      <c r="CQ188" s="2181"/>
      <c r="CR188" s="2181"/>
      <c r="CS188" s="2181"/>
      <c r="CT188" s="2181"/>
      <c r="CU188" s="2181"/>
      <c r="CV188" s="2181"/>
      <c r="CW188" s="2181"/>
      <c r="CX188" s="2181"/>
      <c r="CY188" s="2181"/>
      <c r="CZ188" s="2180">
        <f t="shared" si="155"/>
        <v>0</v>
      </c>
      <c r="DB188" s="1249" t="s">
        <v>82</v>
      </c>
      <c r="DC188" s="1287">
        <f t="shared" si="156"/>
        <v>0</v>
      </c>
      <c r="DD188" s="1761"/>
      <c r="DE188" s="1761"/>
      <c r="DF188" s="1761"/>
      <c r="DG188" s="1761"/>
      <c r="DH188" s="1761"/>
      <c r="DI188" s="1761"/>
      <c r="DJ188" s="1761"/>
      <c r="DK188" s="1761"/>
      <c r="DL188" s="1761"/>
      <c r="DM188" s="1761"/>
      <c r="DN188" s="1761"/>
      <c r="DO188" s="1761"/>
      <c r="DP188" s="1761"/>
      <c r="DQ188" s="1761"/>
      <c r="DR188" s="1761"/>
      <c r="DS188" s="1761"/>
      <c r="DT188" s="1761"/>
      <c r="DU188" s="1761"/>
      <c r="DV188" s="1761"/>
      <c r="DW188" s="1761"/>
      <c r="DX188" s="1761"/>
      <c r="DY188" s="1761"/>
      <c r="DZ188" s="1761"/>
      <c r="EA188" s="1761"/>
      <c r="EB188" s="1761"/>
      <c r="EC188" s="1761"/>
      <c r="ED188" s="1761"/>
      <c r="EE188" s="1761"/>
      <c r="EF188" s="1761"/>
      <c r="EG188" s="1761"/>
      <c r="EH188" s="1761"/>
      <c r="EI188" s="1488">
        <f t="shared" si="157"/>
        <v>0</v>
      </c>
    </row>
    <row r="189" spans="1:139" ht="15">
      <c r="A189" s="1233" t="s">
        <v>83</v>
      </c>
      <c r="B189" s="1280">
        <f t="shared" si="150"/>
        <v>5.2409999999999997</v>
      </c>
      <c r="C189" s="2326"/>
      <c r="D189" s="2326"/>
      <c r="E189" s="2326">
        <v>1.2839999999999998</v>
      </c>
      <c r="F189" s="2326">
        <v>0.111</v>
      </c>
      <c r="G189" s="2326"/>
      <c r="H189" s="2326"/>
      <c r="I189" s="2326"/>
      <c r="J189" s="2326"/>
      <c r="K189" s="2326"/>
      <c r="L189" s="2326"/>
      <c r="M189" s="2326">
        <v>1.9490000000000001</v>
      </c>
      <c r="N189" s="2326"/>
      <c r="O189" s="2326"/>
      <c r="P189" s="2326">
        <v>1.897</v>
      </c>
      <c r="Q189" s="2326"/>
      <c r="R189" s="2326"/>
      <c r="S189" s="2326"/>
      <c r="T189" s="2326"/>
      <c r="U189" s="2326"/>
      <c r="V189" s="2326"/>
      <c r="W189" s="2326"/>
      <c r="X189" s="2326"/>
      <c r="Y189" s="2326"/>
      <c r="Z189" s="2326"/>
      <c r="AA189" s="2326"/>
      <c r="AB189" s="2326"/>
      <c r="AC189" s="2326"/>
      <c r="AD189" s="2326"/>
      <c r="AE189" s="2326"/>
      <c r="AF189" s="2326"/>
      <c r="AG189" s="2326"/>
      <c r="AH189" s="2327">
        <f t="shared" si="151"/>
        <v>5.2409999999999997</v>
      </c>
      <c r="AJ189" s="1746" t="s">
        <v>83</v>
      </c>
      <c r="AK189" s="1749">
        <f t="shared" si="152"/>
        <v>1.954</v>
      </c>
      <c r="AL189" s="2189"/>
      <c r="AM189" s="2189"/>
      <c r="AN189" s="2189"/>
      <c r="AO189" s="2189"/>
      <c r="AP189" s="2189"/>
      <c r="AQ189" s="2189">
        <v>0.47499999999999998</v>
      </c>
      <c r="AR189" s="2189"/>
      <c r="AS189" s="2189"/>
      <c r="AT189" s="2189"/>
      <c r="AU189" s="2189"/>
      <c r="AV189" s="2189">
        <v>0.39</v>
      </c>
      <c r="AW189" s="2189"/>
      <c r="AX189" s="2189">
        <v>0.52</v>
      </c>
      <c r="AY189" s="2189">
        <v>0.56899999999999995</v>
      </c>
      <c r="AZ189" s="2189"/>
      <c r="BA189" s="2189"/>
      <c r="BB189" s="2189"/>
      <c r="BC189" s="2189"/>
      <c r="BD189" s="2189"/>
      <c r="BE189" s="2226"/>
      <c r="BF189" s="2226"/>
      <c r="BG189" s="2226"/>
      <c r="BH189" s="2226"/>
      <c r="BI189" s="2226"/>
      <c r="BJ189" s="2226"/>
      <c r="BK189" s="2226"/>
      <c r="BL189" s="2226"/>
      <c r="BM189" s="2226"/>
      <c r="BN189" s="2226"/>
      <c r="BO189" s="2226"/>
      <c r="BP189" s="2226"/>
      <c r="BQ189" s="2188">
        <f t="shared" si="153"/>
        <v>1.954</v>
      </c>
      <c r="BS189" s="1845" t="s">
        <v>83</v>
      </c>
      <c r="BT189" s="1846">
        <f t="shared" si="154"/>
        <v>0</v>
      </c>
      <c r="BU189" s="2225"/>
      <c r="BV189" s="2225"/>
      <c r="BW189" s="2225"/>
      <c r="BX189" s="2225"/>
      <c r="BY189" s="2225"/>
      <c r="BZ189" s="2225"/>
      <c r="CA189" s="2225"/>
      <c r="CB189" s="2225"/>
      <c r="CC189" s="2225"/>
      <c r="CD189" s="2225"/>
      <c r="CE189" s="2225"/>
      <c r="CF189" s="2225"/>
      <c r="CG189" s="2181"/>
      <c r="CH189" s="2181"/>
      <c r="CI189" s="2181"/>
      <c r="CJ189" s="2181"/>
      <c r="CK189" s="2181"/>
      <c r="CL189" s="2181"/>
      <c r="CM189" s="2181"/>
      <c r="CN189" s="2181"/>
      <c r="CO189" s="2181"/>
      <c r="CP189" s="2181"/>
      <c r="CQ189" s="2181"/>
      <c r="CR189" s="2181"/>
      <c r="CS189" s="2181"/>
      <c r="CT189" s="2181"/>
      <c r="CU189" s="2181"/>
      <c r="CV189" s="2181"/>
      <c r="CW189" s="2181"/>
      <c r="CX189" s="2181"/>
      <c r="CY189" s="2181"/>
      <c r="CZ189" s="2180">
        <f t="shared" si="155"/>
        <v>0</v>
      </c>
      <c r="DB189" s="1249" t="s">
        <v>83</v>
      </c>
      <c r="DC189" s="1287">
        <f t="shared" si="156"/>
        <v>0</v>
      </c>
      <c r="DD189" s="1761"/>
      <c r="DE189" s="1761"/>
      <c r="DF189" s="1761"/>
      <c r="DG189" s="1761"/>
      <c r="DH189" s="1761"/>
      <c r="DI189" s="1761"/>
      <c r="DJ189" s="1761"/>
      <c r="DK189" s="1761"/>
      <c r="DL189" s="1761"/>
      <c r="DM189" s="1761"/>
      <c r="DN189" s="1761"/>
      <c r="DO189" s="1761"/>
      <c r="DP189" s="1761"/>
      <c r="DQ189" s="1761"/>
      <c r="DR189" s="1761"/>
      <c r="DS189" s="1761"/>
      <c r="DT189" s="1761"/>
      <c r="DU189" s="1761"/>
      <c r="DV189" s="1761"/>
      <c r="DW189" s="1761"/>
      <c r="DX189" s="1761"/>
      <c r="DY189" s="1761"/>
      <c r="DZ189" s="1761"/>
      <c r="EA189" s="1761"/>
      <c r="EB189" s="1761"/>
      <c r="EC189" s="1761"/>
      <c r="ED189" s="1761"/>
      <c r="EE189" s="1761"/>
      <c r="EF189" s="1761"/>
      <c r="EG189" s="1761"/>
      <c r="EH189" s="1761"/>
      <c r="EI189" s="1488">
        <f t="shared" si="157"/>
        <v>0</v>
      </c>
    </row>
    <row r="190" spans="1:139" ht="15">
      <c r="A190" s="1233" t="s">
        <v>84</v>
      </c>
      <c r="B190" s="1280">
        <f t="shared" si="150"/>
        <v>3.8</v>
      </c>
      <c r="C190" s="2326"/>
      <c r="D190" s="2326"/>
      <c r="E190" s="2326"/>
      <c r="F190" s="2326"/>
      <c r="G190" s="2326"/>
      <c r="H190" s="2326"/>
      <c r="I190" s="2326"/>
      <c r="J190" s="2326"/>
      <c r="K190" s="2326"/>
      <c r="L190" s="2326"/>
      <c r="M190" s="2326"/>
      <c r="N190" s="2326"/>
      <c r="O190" s="2326"/>
      <c r="P190" s="2326"/>
      <c r="Q190" s="2326"/>
      <c r="R190" s="2325"/>
      <c r="S190" s="2325"/>
      <c r="T190" s="2325"/>
      <c r="U190" s="2325"/>
      <c r="V190" s="2325"/>
      <c r="W190" s="2325"/>
      <c r="X190" s="2325"/>
      <c r="Y190" s="2325"/>
      <c r="Z190" s="2325"/>
      <c r="AA190" s="2325"/>
      <c r="AB190" s="2325"/>
      <c r="AC190" s="2325"/>
      <c r="AD190" s="2325"/>
      <c r="AE190" s="2325">
        <v>2</v>
      </c>
      <c r="AF190" s="2325">
        <v>1.8</v>
      </c>
      <c r="AG190" s="2325"/>
      <c r="AH190" s="2327">
        <f t="shared" si="151"/>
        <v>3.8</v>
      </c>
      <c r="AJ190" s="1746" t="s">
        <v>84</v>
      </c>
      <c r="AK190" s="1749">
        <f t="shared" si="152"/>
        <v>0.45</v>
      </c>
      <c r="AL190" s="2189"/>
      <c r="AM190" s="2189"/>
      <c r="AN190" s="2189"/>
      <c r="AO190" s="2189"/>
      <c r="AP190" s="2189"/>
      <c r="AQ190" s="2189"/>
      <c r="AR190" s="2189"/>
      <c r="AS190" s="2189"/>
      <c r="AT190" s="2189"/>
      <c r="AU190" s="2189"/>
      <c r="AV190" s="2189"/>
      <c r="AW190" s="2189"/>
      <c r="AX190" s="2189"/>
      <c r="AY190" s="2189"/>
      <c r="AZ190" s="2189"/>
      <c r="BA190" s="2192">
        <v>0.45</v>
      </c>
      <c r="BB190" s="2192"/>
      <c r="BC190" s="2192"/>
      <c r="BD190" s="2192"/>
      <c r="BE190" s="2226"/>
      <c r="BF190" s="2226"/>
      <c r="BG190" s="2226"/>
      <c r="BH190" s="2226"/>
      <c r="BI190" s="2226"/>
      <c r="BJ190" s="2226"/>
      <c r="BK190" s="2226"/>
      <c r="BL190" s="2226"/>
      <c r="BM190" s="2226"/>
      <c r="BN190" s="2226"/>
      <c r="BO190" s="2226"/>
      <c r="BP190" s="2226"/>
      <c r="BQ190" s="2188">
        <f t="shared" si="153"/>
        <v>0.45</v>
      </c>
      <c r="BS190" s="1845" t="s">
        <v>84</v>
      </c>
      <c r="BT190" s="1846">
        <f t="shared" si="154"/>
        <v>0</v>
      </c>
      <c r="BU190" s="2225"/>
      <c r="BV190" s="2225"/>
      <c r="BW190" s="2225"/>
      <c r="BX190" s="2225"/>
      <c r="BY190" s="2225"/>
      <c r="BZ190" s="2225"/>
      <c r="CA190" s="2225"/>
      <c r="CB190" s="2225"/>
      <c r="CC190" s="2225"/>
      <c r="CD190" s="2225"/>
      <c r="CE190" s="2225"/>
      <c r="CF190" s="2225"/>
      <c r="CG190" s="2181"/>
      <c r="CH190" s="2181"/>
      <c r="CI190" s="2181"/>
      <c r="CJ190" s="2184"/>
      <c r="CK190" s="2184"/>
      <c r="CL190" s="2184"/>
      <c r="CM190" s="2184"/>
      <c r="CN190" s="2184"/>
      <c r="CO190" s="2184"/>
      <c r="CP190" s="2184"/>
      <c r="CQ190" s="2184"/>
      <c r="CR190" s="2184"/>
      <c r="CS190" s="2184"/>
      <c r="CT190" s="2184"/>
      <c r="CU190" s="2184"/>
      <c r="CV190" s="2184"/>
      <c r="CW190" s="2184"/>
      <c r="CX190" s="2184"/>
      <c r="CY190" s="2184"/>
      <c r="CZ190" s="2180">
        <f t="shared" si="155"/>
        <v>0</v>
      </c>
      <c r="DB190" s="1249" t="s">
        <v>84</v>
      </c>
      <c r="DC190" s="1287">
        <f t="shared" si="156"/>
        <v>0</v>
      </c>
      <c r="DD190" s="1761"/>
      <c r="DE190" s="1761"/>
      <c r="DF190" s="1761"/>
      <c r="DG190" s="1761"/>
      <c r="DH190" s="1761"/>
      <c r="DI190" s="1761"/>
      <c r="DJ190" s="1761"/>
      <c r="DK190" s="1761"/>
      <c r="DL190" s="1761"/>
      <c r="DM190" s="1761"/>
      <c r="DN190" s="1761"/>
      <c r="DO190" s="1761"/>
      <c r="DP190" s="1761"/>
      <c r="DQ190" s="1761"/>
      <c r="DR190" s="1761"/>
      <c r="DS190" s="1820"/>
      <c r="DT190" s="1820"/>
      <c r="DU190" s="1820"/>
      <c r="DV190" s="1820"/>
      <c r="DW190" s="1820"/>
      <c r="DX190" s="1820"/>
      <c r="DY190" s="1820"/>
      <c r="DZ190" s="1820"/>
      <c r="EA190" s="1820"/>
      <c r="EB190" s="1820"/>
      <c r="EC190" s="1820"/>
      <c r="ED190" s="1820"/>
      <c r="EE190" s="1820"/>
      <c r="EF190" s="1820"/>
      <c r="EG190" s="1820"/>
      <c r="EH190" s="1820"/>
      <c r="EI190" s="1488">
        <f t="shared" si="157"/>
        <v>0</v>
      </c>
    </row>
    <row r="191" spans="1:139" ht="15">
      <c r="A191" s="1233" t="s">
        <v>85</v>
      </c>
      <c r="B191" s="1280">
        <f t="shared" si="150"/>
        <v>19.692</v>
      </c>
      <c r="C191" s="2326"/>
      <c r="D191" s="2325"/>
      <c r="E191" s="2325"/>
      <c r="F191" s="2325">
        <v>2.5</v>
      </c>
      <c r="G191" s="2325"/>
      <c r="H191" s="2325">
        <v>2.1</v>
      </c>
      <c r="I191" s="2325"/>
      <c r="J191" s="2325"/>
      <c r="K191" s="2325"/>
      <c r="L191" s="2325"/>
      <c r="M191" s="2325"/>
      <c r="N191" s="2325"/>
      <c r="O191" s="2325"/>
      <c r="P191" s="2325"/>
      <c r="Q191" s="2325"/>
      <c r="R191" s="2340">
        <v>0.56999999999999995</v>
      </c>
      <c r="S191" s="2340"/>
      <c r="T191" s="2340"/>
      <c r="U191" s="2340"/>
      <c r="V191" s="2340"/>
      <c r="W191" s="2340"/>
      <c r="X191" s="2340">
        <v>4.4130000000000003</v>
      </c>
      <c r="Y191" s="2340"/>
      <c r="Z191" s="2340"/>
      <c r="AA191" s="2340"/>
      <c r="AB191" s="2340"/>
      <c r="AC191" s="2340"/>
      <c r="AD191" s="2340">
        <v>3.6269999999999998</v>
      </c>
      <c r="AE191" s="2340">
        <v>5.3330000000000002</v>
      </c>
      <c r="AF191" s="2340">
        <v>1.149</v>
      </c>
      <c r="AG191" s="2326"/>
      <c r="AH191" s="2327">
        <f t="shared" si="151"/>
        <v>19.692</v>
      </c>
      <c r="AJ191" s="1746" t="s">
        <v>85</v>
      </c>
      <c r="AK191" s="1749">
        <f t="shared" si="152"/>
        <v>2.2750000000000004</v>
      </c>
      <c r="AL191" s="2189"/>
      <c r="AM191" s="2192"/>
      <c r="AN191" s="2192"/>
      <c r="AO191" s="2192"/>
      <c r="AP191" s="2192"/>
      <c r="AQ191" s="2192"/>
      <c r="AR191" s="2192"/>
      <c r="AS191" s="2192"/>
      <c r="AT191" s="2192"/>
      <c r="AU191" s="2192"/>
      <c r="AV191" s="2192"/>
      <c r="AW191" s="2192"/>
      <c r="AX191" s="2192"/>
      <c r="AY191" s="2192"/>
      <c r="AZ191" s="2192"/>
      <c r="BA191" s="2227"/>
      <c r="BB191" s="2227"/>
      <c r="BC191" s="2227"/>
      <c r="BD191" s="2227"/>
      <c r="BE191" s="2226"/>
      <c r="BF191" s="2226"/>
      <c r="BG191" s="2226">
        <v>0.55200000000000005</v>
      </c>
      <c r="BH191" s="2226"/>
      <c r="BI191" s="2226"/>
      <c r="BJ191" s="2226"/>
      <c r="BK191" s="2226"/>
      <c r="BL191" s="2226"/>
      <c r="BM191" s="2226"/>
      <c r="BN191" s="2226"/>
      <c r="BO191" s="2226">
        <v>1.7230000000000001</v>
      </c>
      <c r="BP191" s="2226"/>
      <c r="BQ191" s="2188">
        <f t="shared" si="153"/>
        <v>2.2750000000000004</v>
      </c>
      <c r="BS191" s="1845" t="s">
        <v>85</v>
      </c>
      <c r="BT191" s="1846">
        <f t="shared" si="154"/>
        <v>0</v>
      </c>
      <c r="BU191" s="2225"/>
      <c r="BV191" s="2225"/>
      <c r="BW191" s="2225"/>
      <c r="BX191" s="2225"/>
      <c r="BY191" s="2225"/>
      <c r="BZ191" s="2225"/>
      <c r="CA191" s="2225"/>
      <c r="CB191" s="2225"/>
      <c r="CC191" s="2225"/>
      <c r="CD191" s="2225"/>
      <c r="CE191" s="2225"/>
      <c r="CF191" s="2225"/>
      <c r="CG191" s="2184"/>
      <c r="CH191" s="2184"/>
      <c r="CI191" s="2184"/>
      <c r="CJ191" s="2207"/>
      <c r="CK191" s="2207"/>
      <c r="CL191" s="2207"/>
      <c r="CM191" s="2207"/>
      <c r="CN191" s="2207"/>
      <c r="CO191" s="2207"/>
      <c r="CP191" s="2207"/>
      <c r="CQ191" s="2207"/>
      <c r="CR191" s="2207"/>
      <c r="CS191" s="2207"/>
      <c r="CT191" s="2207"/>
      <c r="CU191" s="2207"/>
      <c r="CV191" s="2207"/>
      <c r="CW191" s="2207"/>
      <c r="CX191" s="2207"/>
      <c r="CY191" s="2181"/>
      <c r="CZ191" s="2180">
        <f t="shared" si="155"/>
        <v>0</v>
      </c>
      <c r="DB191" s="1249" t="s">
        <v>85</v>
      </c>
      <c r="DC191" s="1287">
        <f t="shared" si="156"/>
        <v>0</v>
      </c>
      <c r="DD191" s="1761"/>
      <c r="DE191" s="1820"/>
      <c r="DF191" s="1820"/>
      <c r="DG191" s="1820"/>
      <c r="DH191" s="1820"/>
      <c r="DI191" s="1820"/>
      <c r="DJ191" s="1820"/>
      <c r="DK191" s="1820"/>
      <c r="DL191" s="1820"/>
      <c r="DM191" s="1820"/>
      <c r="DN191" s="1820"/>
      <c r="DO191" s="1820"/>
      <c r="DP191" s="1820"/>
      <c r="DQ191" s="1820"/>
      <c r="DR191" s="1820"/>
      <c r="DS191" s="2278"/>
      <c r="DT191" s="2278"/>
      <c r="DU191" s="2278"/>
      <c r="DV191" s="2278"/>
      <c r="DW191" s="2278"/>
      <c r="DX191" s="2278"/>
      <c r="DY191" s="2278"/>
      <c r="DZ191" s="2278"/>
      <c r="EA191" s="2278"/>
      <c r="EB191" s="2278"/>
      <c r="EC191" s="2278"/>
      <c r="ED191" s="2278"/>
      <c r="EE191" s="2278"/>
      <c r="EF191" s="2278"/>
      <c r="EG191" s="2278"/>
      <c r="EH191" s="1761"/>
      <c r="EI191" s="1488">
        <f t="shared" si="157"/>
        <v>0</v>
      </c>
    </row>
    <row r="192" spans="1:139" ht="15">
      <c r="A192" s="1233" t="s">
        <v>86</v>
      </c>
      <c r="B192" s="1280">
        <f t="shared" si="150"/>
        <v>14.201000000000002</v>
      </c>
      <c r="C192" s="2326"/>
      <c r="D192" s="2340"/>
      <c r="E192" s="2340">
        <v>3.867</v>
      </c>
      <c r="F192" s="2340">
        <v>2.673</v>
      </c>
      <c r="G192" s="2326">
        <v>6.6590000000000007</v>
      </c>
      <c r="H192" s="2326">
        <v>0.76900000000000002</v>
      </c>
      <c r="I192" s="2326"/>
      <c r="J192" s="2326"/>
      <c r="K192" s="2326"/>
      <c r="L192" s="2326"/>
      <c r="M192" s="2326">
        <v>8.2000000000000003E-2</v>
      </c>
      <c r="N192" s="2326"/>
      <c r="O192" s="2326"/>
      <c r="P192" s="2326"/>
      <c r="Q192" s="2326"/>
      <c r="R192" s="2326"/>
      <c r="S192" s="2326"/>
      <c r="T192" s="2326"/>
      <c r="U192" s="2326"/>
      <c r="V192" s="2326"/>
      <c r="W192" s="2326"/>
      <c r="X192" s="2326"/>
      <c r="Y192" s="2326"/>
      <c r="Z192" s="2326"/>
      <c r="AA192" s="2326"/>
      <c r="AB192" s="2326"/>
      <c r="AC192" s="2326">
        <v>0.151</v>
      </c>
      <c r="AD192" s="2326"/>
      <c r="AE192" s="2326"/>
      <c r="AF192" s="2326"/>
      <c r="AG192" s="2326"/>
      <c r="AH192" s="2327">
        <f t="shared" si="151"/>
        <v>14.201000000000002</v>
      </c>
      <c r="AJ192" s="1746" t="s">
        <v>86</v>
      </c>
      <c r="AK192" s="1749">
        <f t="shared" si="152"/>
        <v>15.594000000000001</v>
      </c>
      <c r="AL192" s="2189"/>
      <c r="AM192" s="2227"/>
      <c r="AN192" s="2227">
        <v>5.601</v>
      </c>
      <c r="AO192" s="2227">
        <v>0.247</v>
      </c>
      <c r="AP192" s="2189">
        <v>7.9640000000000004</v>
      </c>
      <c r="AQ192" s="2189">
        <v>0.38400000000000001</v>
      </c>
      <c r="AR192" s="2189"/>
      <c r="AS192" s="2189"/>
      <c r="AT192" s="2189">
        <v>1.3979999999999999</v>
      </c>
      <c r="AU192" s="2189"/>
      <c r="AV192" s="2189"/>
      <c r="AW192" s="2189"/>
      <c r="AX192" s="2189"/>
      <c r="AY192" s="2189"/>
      <c r="AZ192" s="2189"/>
      <c r="BA192" s="2189"/>
      <c r="BB192" s="2189"/>
      <c r="BC192" s="2189"/>
      <c r="BD192" s="2189"/>
      <c r="BE192" s="2226"/>
      <c r="BF192" s="2226"/>
      <c r="BG192" s="2226"/>
      <c r="BH192" s="2226"/>
      <c r="BI192" s="2226"/>
      <c r="BJ192" s="2226"/>
      <c r="BK192" s="2226"/>
      <c r="BL192" s="2226"/>
      <c r="BM192" s="2226"/>
      <c r="BN192" s="2226"/>
      <c r="BO192" s="2226"/>
      <c r="BP192" s="2226"/>
      <c r="BQ192" s="2188">
        <f t="shared" si="153"/>
        <v>15.594000000000001</v>
      </c>
      <c r="BS192" s="1845" t="s">
        <v>86</v>
      </c>
      <c r="BT192" s="1846">
        <f t="shared" si="154"/>
        <v>0</v>
      </c>
      <c r="BU192" s="2225"/>
      <c r="BV192" s="2225"/>
      <c r="BW192" s="2225"/>
      <c r="BX192" s="2225"/>
      <c r="BY192" s="2225"/>
      <c r="BZ192" s="2225"/>
      <c r="CA192" s="2225"/>
      <c r="CB192" s="2225"/>
      <c r="CC192" s="2225"/>
      <c r="CD192" s="2225"/>
      <c r="CE192" s="2225"/>
      <c r="CF192" s="2225"/>
      <c r="CG192" s="2181"/>
      <c r="CH192" s="2181"/>
      <c r="CI192" s="2181"/>
      <c r="CJ192" s="2181"/>
      <c r="CK192" s="2181"/>
      <c r="CL192" s="2181"/>
      <c r="CM192" s="2181"/>
      <c r="CN192" s="2181"/>
      <c r="CO192" s="2181"/>
      <c r="CP192" s="2181"/>
      <c r="CQ192" s="2181"/>
      <c r="CR192" s="2181"/>
      <c r="CS192" s="2181"/>
      <c r="CT192" s="2181"/>
      <c r="CU192" s="2181"/>
      <c r="CV192" s="2181"/>
      <c r="CW192" s="2181"/>
      <c r="CX192" s="2181"/>
      <c r="CY192" s="2181"/>
      <c r="CZ192" s="2180">
        <f t="shared" si="155"/>
        <v>0</v>
      </c>
      <c r="DB192" s="1249" t="s">
        <v>86</v>
      </c>
      <c r="DC192" s="1287">
        <f t="shared" si="156"/>
        <v>0</v>
      </c>
      <c r="DD192" s="1761"/>
      <c r="DE192" s="2278"/>
      <c r="DF192" s="2278"/>
      <c r="DG192" s="2278"/>
      <c r="DH192" s="1761"/>
      <c r="DI192" s="1761"/>
      <c r="DJ192" s="1761"/>
      <c r="DK192" s="1761"/>
      <c r="DL192" s="1761"/>
      <c r="DM192" s="1761"/>
      <c r="DN192" s="1761"/>
      <c r="DO192" s="1761"/>
      <c r="DP192" s="1761"/>
      <c r="DQ192" s="1761"/>
      <c r="DR192" s="1761"/>
      <c r="DS192" s="1761"/>
      <c r="DT192" s="1761"/>
      <c r="DU192" s="1761"/>
      <c r="DV192" s="1761"/>
      <c r="DW192" s="1761"/>
      <c r="DX192" s="1761"/>
      <c r="DY192" s="1761"/>
      <c r="DZ192" s="1761"/>
      <c r="EA192" s="1761"/>
      <c r="EB192" s="1761"/>
      <c r="EC192" s="1761"/>
      <c r="ED192" s="1761"/>
      <c r="EE192" s="1761"/>
      <c r="EF192" s="1761"/>
      <c r="EG192" s="1761"/>
      <c r="EH192" s="1761"/>
      <c r="EI192" s="1488">
        <f t="shared" si="157"/>
        <v>0</v>
      </c>
    </row>
    <row r="193" spans="1:139" ht="15">
      <c r="A193" s="2341" t="s">
        <v>74</v>
      </c>
      <c r="B193" s="2342">
        <f t="shared" ref="B193:AH193" si="158">SUM(B181:B192)</f>
        <v>183.43600000000001</v>
      </c>
      <c r="C193" s="2327">
        <f t="shared" si="158"/>
        <v>5.1630000000000003</v>
      </c>
      <c r="D193" s="2327">
        <f t="shared" si="158"/>
        <v>0</v>
      </c>
      <c r="E193" s="2327">
        <f t="shared" si="158"/>
        <v>6.843</v>
      </c>
      <c r="F193" s="2327">
        <f t="shared" si="158"/>
        <v>6.7729999999999997</v>
      </c>
      <c r="G193" s="2327">
        <f t="shared" si="158"/>
        <v>9.7850000000000001</v>
      </c>
      <c r="H193" s="2327">
        <f t="shared" si="158"/>
        <v>19.355</v>
      </c>
      <c r="I193" s="2327">
        <f t="shared" si="158"/>
        <v>4.7440000000000007</v>
      </c>
      <c r="J193" s="2327">
        <f t="shared" si="158"/>
        <v>13.03</v>
      </c>
      <c r="K193" s="2327">
        <f t="shared" si="158"/>
        <v>11.391999999999999</v>
      </c>
      <c r="L193" s="2327">
        <f t="shared" si="158"/>
        <v>4.4340000000000002</v>
      </c>
      <c r="M193" s="2327">
        <f t="shared" si="158"/>
        <v>11.430000000000001</v>
      </c>
      <c r="N193" s="2327">
        <f t="shared" si="158"/>
        <v>0.59600000000000009</v>
      </c>
      <c r="O193" s="2327">
        <f t="shared" si="158"/>
        <v>9.9779999999999998</v>
      </c>
      <c r="P193" s="2327">
        <f t="shared" si="158"/>
        <v>12.924999999999999</v>
      </c>
      <c r="Q193" s="2327">
        <f t="shared" si="158"/>
        <v>15.825000000000003</v>
      </c>
      <c r="R193" s="2327">
        <f t="shared" si="158"/>
        <v>8.3360000000000003</v>
      </c>
      <c r="S193" s="2327">
        <f t="shared" si="158"/>
        <v>0.74399999999999999</v>
      </c>
      <c r="T193" s="2327">
        <f t="shared" si="158"/>
        <v>5.2260000000000009</v>
      </c>
      <c r="U193" s="2327">
        <f t="shared" si="158"/>
        <v>0</v>
      </c>
      <c r="V193" s="2327">
        <f t="shared" si="158"/>
        <v>6.0269999999999992</v>
      </c>
      <c r="W193" s="2327">
        <f t="shared" si="158"/>
        <v>0.98899999999999999</v>
      </c>
      <c r="X193" s="2327">
        <f t="shared" si="158"/>
        <v>9.9239999999999995</v>
      </c>
      <c r="Y193" s="2327">
        <f t="shared" si="158"/>
        <v>0.23899999999999999</v>
      </c>
      <c r="Z193" s="2327">
        <f t="shared" si="158"/>
        <v>0</v>
      </c>
      <c r="AA193" s="2327">
        <f t="shared" si="158"/>
        <v>0.62</v>
      </c>
      <c r="AB193" s="2327">
        <f t="shared" si="158"/>
        <v>3.9009999999999998</v>
      </c>
      <c r="AC193" s="2327">
        <f t="shared" si="158"/>
        <v>0.151</v>
      </c>
      <c r="AD193" s="2327">
        <f t="shared" si="158"/>
        <v>4.7240000000000002</v>
      </c>
      <c r="AE193" s="2327">
        <f t="shared" si="158"/>
        <v>7.3330000000000002</v>
      </c>
      <c r="AF193" s="2327">
        <f t="shared" si="158"/>
        <v>2.9489999999999998</v>
      </c>
      <c r="AG193" s="2327">
        <f t="shared" si="158"/>
        <v>0</v>
      </c>
      <c r="AH193" s="2327">
        <f t="shared" si="158"/>
        <v>183.43600000000001</v>
      </c>
      <c r="AJ193" s="2191" t="s">
        <v>74</v>
      </c>
      <c r="AK193" s="2190">
        <f t="shared" ref="AK193:BQ193" si="159">SUM(AK181:AK192)</f>
        <v>26.256</v>
      </c>
      <c r="AL193" s="2188">
        <f t="shared" si="159"/>
        <v>0</v>
      </c>
      <c r="AM193" s="2188">
        <f t="shared" si="159"/>
        <v>0</v>
      </c>
      <c r="AN193" s="2188">
        <f t="shared" si="159"/>
        <v>5.601</v>
      </c>
      <c r="AO193" s="2188">
        <f t="shared" si="159"/>
        <v>0.247</v>
      </c>
      <c r="AP193" s="2188">
        <f t="shared" si="159"/>
        <v>7.9640000000000004</v>
      </c>
      <c r="AQ193" s="2188">
        <f t="shared" si="159"/>
        <v>0.85899999999999999</v>
      </c>
      <c r="AR193" s="2188">
        <f t="shared" si="159"/>
        <v>1.4810000000000001</v>
      </c>
      <c r="AS193" s="2188">
        <f t="shared" si="159"/>
        <v>0</v>
      </c>
      <c r="AT193" s="2188">
        <f t="shared" si="159"/>
        <v>1.3979999999999999</v>
      </c>
      <c r="AU193" s="2188">
        <f t="shared" si="159"/>
        <v>0</v>
      </c>
      <c r="AV193" s="2188">
        <f t="shared" si="159"/>
        <v>0.39</v>
      </c>
      <c r="AW193" s="2188">
        <f t="shared" si="159"/>
        <v>0</v>
      </c>
      <c r="AX193" s="2188">
        <f t="shared" si="159"/>
        <v>0.52</v>
      </c>
      <c r="AY193" s="2188">
        <f t="shared" si="159"/>
        <v>0.56899999999999995</v>
      </c>
      <c r="AZ193" s="2188">
        <f t="shared" si="159"/>
        <v>2.5939999999999999</v>
      </c>
      <c r="BA193" s="2188">
        <f t="shared" si="159"/>
        <v>0.45</v>
      </c>
      <c r="BB193" s="2188">
        <f t="shared" si="159"/>
        <v>0</v>
      </c>
      <c r="BC193" s="2188">
        <f t="shared" si="159"/>
        <v>0.40899999999999997</v>
      </c>
      <c r="BD193" s="2188">
        <f t="shared" si="159"/>
        <v>0</v>
      </c>
      <c r="BE193" s="2188">
        <f t="shared" si="159"/>
        <v>0</v>
      </c>
      <c r="BF193" s="2188">
        <f t="shared" si="159"/>
        <v>1.1879999999999999</v>
      </c>
      <c r="BG193" s="2188">
        <f t="shared" si="159"/>
        <v>0.55200000000000005</v>
      </c>
      <c r="BH193" s="2188">
        <f t="shared" si="159"/>
        <v>0.311</v>
      </c>
      <c r="BI193" s="2188">
        <f t="shared" si="159"/>
        <v>0</v>
      </c>
      <c r="BJ193" s="2188">
        <f t="shared" si="159"/>
        <v>0</v>
      </c>
      <c r="BK193" s="2188">
        <f t="shared" si="159"/>
        <v>0</v>
      </c>
      <c r="BL193" s="2188">
        <f t="shared" si="159"/>
        <v>0</v>
      </c>
      <c r="BM193" s="2188">
        <f t="shared" si="159"/>
        <v>0</v>
      </c>
      <c r="BN193" s="2188">
        <f t="shared" si="159"/>
        <v>0</v>
      </c>
      <c r="BO193" s="2188">
        <f t="shared" si="159"/>
        <v>1.7230000000000001</v>
      </c>
      <c r="BP193" s="2188">
        <f t="shared" si="159"/>
        <v>0</v>
      </c>
      <c r="BQ193" s="2188">
        <f t="shared" si="159"/>
        <v>26.256</v>
      </c>
      <c r="BS193" s="2183" t="s">
        <v>74</v>
      </c>
      <c r="BT193" s="2182">
        <f t="shared" ref="BT193:CZ193" si="160">SUM(BT181:BT192)</f>
        <v>0</v>
      </c>
      <c r="BU193" s="2180">
        <f t="shared" si="160"/>
        <v>0</v>
      </c>
      <c r="BV193" s="2180">
        <f t="shared" si="160"/>
        <v>0</v>
      </c>
      <c r="BW193" s="2180">
        <f t="shared" si="160"/>
        <v>0</v>
      </c>
      <c r="BX193" s="2180">
        <f t="shared" si="160"/>
        <v>0</v>
      </c>
      <c r="BY193" s="2180">
        <f t="shared" si="160"/>
        <v>0</v>
      </c>
      <c r="BZ193" s="2180">
        <f t="shared" si="160"/>
        <v>0</v>
      </c>
      <c r="CA193" s="2180">
        <f t="shared" si="160"/>
        <v>0</v>
      </c>
      <c r="CB193" s="2180">
        <f t="shared" si="160"/>
        <v>0</v>
      </c>
      <c r="CC193" s="2180">
        <f t="shared" si="160"/>
        <v>0</v>
      </c>
      <c r="CD193" s="2180">
        <f t="shared" si="160"/>
        <v>0</v>
      </c>
      <c r="CE193" s="2180">
        <f t="shared" si="160"/>
        <v>0</v>
      </c>
      <c r="CF193" s="2180">
        <f t="shared" si="160"/>
        <v>0</v>
      </c>
      <c r="CG193" s="2180">
        <f t="shared" si="160"/>
        <v>0</v>
      </c>
      <c r="CH193" s="2180">
        <f t="shared" si="160"/>
        <v>0</v>
      </c>
      <c r="CI193" s="2180">
        <f t="shared" si="160"/>
        <v>0</v>
      </c>
      <c r="CJ193" s="2180">
        <f t="shared" si="160"/>
        <v>0</v>
      </c>
      <c r="CK193" s="2180">
        <f t="shared" si="160"/>
        <v>0</v>
      </c>
      <c r="CL193" s="2180">
        <f t="shared" si="160"/>
        <v>0</v>
      </c>
      <c r="CM193" s="2180">
        <f t="shared" si="160"/>
        <v>0</v>
      </c>
      <c r="CN193" s="2180">
        <f t="shared" si="160"/>
        <v>0</v>
      </c>
      <c r="CO193" s="2180">
        <f t="shared" si="160"/>
        <v>0</v>
      </c>
      <c r="CP193" s="2180">
        <f t="shared" si="160"/>
        <v>0</v>
      </c>
      <c r="CQ193" s="2180">
        <f t="shared" si="160"/>
        <v>0</v>
      </c>
      <c r="CR193" s="2180">
        <f t="shared" si="160"/>
        <v>0</v>
      </c>
      <c r="CS193" s="2180">
        <f t="shared" si="160"/>
        <v>0</v>
      </c>
      <c r="CT193" s="2180">
        <f t="shared" si="160"/>
        <v>0</v>
      </c>
      <c r="CU193" s="2180">
        <f t="shared" si="160"/>
        <v>0</v>
      </c>
      <c r="CV193" s="2180">
        <f t="shared" si="160"/>
        <v>0</v>
      </c>
      <c r="CW193" s="2180">
        <f t="shared" si="160"/>
        <v>0</v>
      </c>
      <c r="CX193" s="2180">
        <f t="shared" si="160"/>
        <v>0</v>
      </c>
      <c r="CY193" s="2180">
        <f t="shared" si="160"/>
        <v>0</v>
      </c>
      <c r="CZ193" s="2180">
        <f t="shared" si="160"/>
        <v>0</v>
      </c>
      <c r="DB193" s="1470" t="s">
        <v>74</v>
      </c>
      <c r="DC193" s="2277">
        <f t="shared" ref="DC193:EI193" si="161">SUM(DC181:DC192)</f>
        <v>0</v>
      </c>
      <c r="DD193" s="1488">
        <f t="shared" si="161"/>
        <v>0</v>
      </c>
      <c r="DE193" s="1488">
        <f t="shared" si="161"/>
        <v>0</v>
      </c>
      <c r="DF193" s="1488">
        <f t="shared" si="161"/>
        <v>0</v>
      </c>
      <c r="DG193" s="1488">
        <f t="shared" si="161"/>
        <v>0</v>
      </c>
      <c r="DH193" s="1488">
        <f t="shared" si="161"/>
        <v>0</v>
      </c>
      <c r="DI193" s="1488">
        <f t="shared" si="161"/>
        <v>0</v>
      </c>
      <c r="DJ193" s="1488">
        <f t="shared" si="161"/>
        <v>0</v>
      </c>
      <c r="DK193" s="1488">
        <f t="shared" si="161"/>
        <v>0</v>
      </c>
      <c r="DL193" s="1488">
        <f t="shared" si="161"/>
        <v>0</v>
      </c>
      <c r="DM193" s="1488">
        <f t="shared" si="161"/>
        <v>0</v>
      </c>
      <c r="DN193" s="1488">
        <f t="shared" si="161"/>
        <v>0</v>
      </c>
      <c r="DO193" s="1488">
        <f t="shared" si="161"/>
        <v>0</v>
      </c>
      <c r="DP193" s="1488">
        <f t="shared" si="161"/>
        <v>0</v>
      </c>
      <c r="DQ193" s="1488">
        <f t="shared" si="161"/>
        <v>0</v>
      </c>
      <c r="DR193" s="1488">
        <f t="shared" si="161"/>
        <v>0</v>
      </c>
      <c r="DS193" s="1488">
        <f t="shared" si="161"/>
        <v>0</v>
      </c>
      <c r="DT193" s="1488">
        <f t="shared" si="161"/>
        <v>0</v>
      </c>
      <c r="DU193" s="1488">
        <f t="shared" si="161"/>
        <v>0</v>
      </c>
      <c r="DV193" s="1488">
        <f t="shared" si="161"/>
        <v>0</v>
      </c>
      <c r="DW193" s="1488">
        <f t="shared" si="161"/>
        <v>0</v>
      </c>
      <c r="DX193" s="1488">
        <f t="shared" si="161"/>
        <v>0</v>
      </c>
      <c r="DY193" s="1488">
        <f t="shared" si="161"/>
        <v>0</v>
      </c>
      <c r="DZ193" s="1488">
        <f t="shared" si="161"/>
        <v>0</v>
      </c>
      <c r="EA193" s="1488">
        <f t="shared" si="161"/>
        <v>0</v>
      </c>
      <c r="EB193" s="1488">
        <f t="shared" si="161"/>
        <v>0</v>
      </c>
      <c r="EC193" s="1488">
        <f t="shared" si="161"/>
        <v>0</v>
      </c>
      <c r="ED193" s="1488">
        <f t="shared" si="161"/>
        <v>0</v>
      </c>
      <c r="EE193" s="1488">
        <f t="shared" si="161"/>
        <v>0</v>
      </c>
      <c r="EF193" s="1488">
        <f t="shared" si="161"/>
        <v>0</v>
      </c>
      <c r="EG193" s="1488">
        <f t="shared" si="161"/>
        <v>0</v>
      </c>
      <c r="EH193" s="1488">
        <f t="shared" si="161"/>
        <v>0</v>
      </c>
      <c r="EI193" s="1488">
        <f t="shared" si="161"/>
        <v>0</v>
      </c>
    </row>
    <row r="194" spans="1:139">
      <c r="A194" s="1415"/>
      <c r="B194" s="1415"/>
      <c r="C194" s="1415"/>
      <c r="D194" s="1415"/>
      <c r="E194" s="1415"/>
      <c r="F194" s="1415"/>
      <c r="G194" s="1415"/>
      <c r="H194" s="1415"/>
      <c r="I194" s="1415"/>
      <c r="J194" s="1415"/>
      <c r="K194" s="1415"/>
      <c r="L194" s="1415"/>
      <c r="M194" s="1415"/>
      <c r="N194" s="1415"/>
      <c r="O194" s="1415"/>
      <c r="P194" s="1415"/>
      <c r="Q194" s="1415"/>
      <c r="R194" s="1415"/>
      <c r="S194" s="1415"/>
      <c r="T194" s="1415"/>
      <c r="U194" s="1415"/>
      <c r="V194" s="1415"/>
      <c r="W194" s="1415"/>
      <c r="X194" s="1415"/>
      <c r="Y194" s="1415"/>
      <c r="Z194" s="1415"/>
      <c r="AA194" s="1415"/>
      <c r="AB194" s="1415"/>
      <c r="AC194" s="1415"/>
      <c r="AD194" s="1415"/>
      <c r="AE194" s="1415"/>
      <c r="AF194" s="1415"/>
      <c r="AG194" s="1415"/>
      <c r="AH194" s="1415"/>
      <c r="AJ194" s="2195"/>
      <c r="AK194" s="2195"/>
      <c r="AL194" s="2195"/>
      <c r="AM194" s="2195"/>
      <c r="AN194" s="2195"/>
      <c r="AO194" s="2195"/>
      <c r="AP194" s="2195"/>
      <c r="AQ194" s="2195"/>
      <c r="AR194" s="2195"/>
      <c r="AS194" s="2195"/>
      <c r="AT194" s="2195"/>
      <c r="AU194" s="2195"/>
      <c r="AV194" s="2195"/>
      <c r="AW194" s="2195"/>
      <c r="AX194" s="2195"/>
      <c r="AY194" s="2195"/>
      <c r="AZ194" s="2195"/>
      <c r="BA194" s="2195"/>
      <c r="BB194" s="2195"/>
      <c r="BC194" s="2195"/>
      <c r="BD194" s="2195"/>
      <c r="BE194" s="2195"/>
      <c r="BF194" s="2195"/>
      <c r="BG194" s="2195"/>
      <c r="BH194" s="2195"/>
      <c r="BI194" s="2195"/>
      <c r="BJ194" s="2195"/>
      <c r="BK194" s="2195"/>
      <c r="BL194" s="2195"/>
      <c r="BM194" s="2195"/>
      <c r="BN194" s="2195"/>
      <c r="BO194" s="2195"/>
      <c r="BP194" s="2195"/>
      <c r="BQ194" s="2195"/>
      <c r="BS194" s="2187"/>
      <c r="BT194" s="2187"/>
      <c r="BU194" s="2187"/>
      <c r="BV194" s="2187"/>
      <c r="BW194" s="2187"/>
      <c r="BX194" s="2187"/>
      <c r="BY194" s="2187"/>
      <c r="BZ194" s="2187"/>
      <c r="CA194" s="2187"/>
      <c r="CB194" s="2187"/>
      <c r="CC194" s="2187"/>
      <c r="CD194" s="2187"/>
      <c r="CE194" s="2187"/>
      <c r="CF194" s="2187"/>
      <c r="CG194" s="2187"/>
      <c r="CH194" s="2187"/>
      <c r="CI194" s="2187"/>
      <c r="CJ194" s="2187"/>
      <c r="CK194" s="2187"/>
      <c r="CL194" s="2187"/>
      <c r="CM194" s="2187"/>
      <c r="CN194" s="2187"/>
      <c r="CO194" s="2187"/>
      <c r="CP194" s="2187"/>
      <c r="CQ194" s="2187"/>
      <c r="CR194" s="2187"/>
      <c r="CS194" s="2187"/>
      <c r="CT194" s="2187"/>
      <c r="CU194" s="2187"/>
      <c r="CV194" s="2187"/>
      <c r="CW194" s="2187"/>
      <c r="CX194" s="2187"/>
      <c r="CY194" s="2187"/>
      <c r="CZ194" s="2187"/>
      <c r="DB194" s="2179"/>
      <c r="DC194" s="2179"/>
      <c r="DD194" s="2179"/>
      <c r="DE194" s="2179"/>
      <c r="DF194" s="2179"/>
      <c r="DG194" s="2179"/>
      <c r="DH194" s="2179"/>
      <c r="DI194" s="2179"/>
      <c r="DJ194" s="2179"/>
      <c r="DK194" s="2179"/>
      <c r="DL194" s="2179"/>
      <c r="DM194" s="2179"/>
      <c r="DN194" s="2179"/>
      <c r="DO194" s="2179"/>
      <c r="DP194" s="2179"/>
      <c r="DQ194" s="2179"/>
      <c r="DR194" s="2179"/>
      <c r="DS194" s="2179"/>
      <c r="DT194" s="2179"/>
      <c r="DU194" s="2179"/>
      <c r="DV194" s="2179"/>
      <c r="DW194" s="2179"/>
      <c r="DX194" s="2179"/>
      <c r="DY194" s="2179"/>
      <c r="DZ194" s="2179"/>
      <c r="EA194" s="2179"/>
      <c r="EB194" s="2179"/>
      <c r="EC194" s="2179"/>
      <c r="ED194" s="2179"/>
      <c r="EE194" s="2179"/>
      <c r="EF194" s="2179"/>
      <c r="EG194" s="2179"/>
      <c r="EH194" s="2179"/>
      <c r="EI194" s="2179"/>
    </row>
    <row r="195" spans="1:139" ht="15">
      <c r="A195" s="3634" t="s">
        <v>631</v>
      </c>
      <c r="B195" s="3635"/>
      <c r="C195" s="3636"/>
      <c r="D195" s="2323"/>
      <c r="E195" s="2323"/>
      <c r="F195" s="2323"/>
      <c r="G195" s="2323"/>
      <c r="H195" s="2323"/>
      <c r="I195" s="2323"/>
      <c r="J195" s="2323"/>
      <c r="K195" s="2323"/>
      <c r="L195" s="2323"/>
      <c r="M195" s="2324"/>
      <c r="N195" s="2323"/>
      <c r="O195" s="2323"/>
      <c r="P195" s="2323"/>
      <c r="Q195" s="2323"/>
      <c r="R195" s="2323"/>
      <c r="S195" s="2323"/>
      <c r="T195" s="2323"/>
      <c r="U195" s="2323"/>
      <c r="V195" s="2323"/>
      <c r="W195" s="2323"/>
      <c r="X195" s="2323"/>
      <c r="Y195" s="2323"/>
      <c r="Z195" s="2323"/>
      <c r="AA195" s="2323"/>
      <c r="AB195" s="2323"/>
      <c r="AC195" s="2323"/>
      <c r="AD195" s="2323"/>
      <c r="AE195" s="2323"/>
      <c r="AF195" s="2323"/>
      <c r="AG195" s="2323"/>
      <c r="AH195" s="2323"/>
      <c r="AJ195" s="3585" t="s">
        <v>633</v>
      </c>
      <c r="AK195" s="3586"/>
      <c r="AL195" s="3587"/>
      <c r="AM195" s="2193"/>
      <c r="AN195" s="2193"/>
      <c r="AO195" s="2193"/>
      <c r="AP195" s="2193"/>
      <c r="AQ195" s="2193"/>
      <c r="AR195" s="2193"/>
      <c r="AS195" s="2193"/>
      <c r="AT195" s="2193"/>
      <c r="AU195" s="2193"/>
      <c r="AV195" s="2194"/>
      <c r="AW195" s="2193"/>
      <c r="AX195" s="2193"/>
      <c r="AY195" s="2193"/>
      <c r="AZ195" s="2193"/>
      <c r="BA195" s="2193"/>
      <c r="BB195" s="2193"/>
      <c r="BC195" s="2193"/>
      <c r="BD195" s="2193"/>
      <c r="BE195" s="2193"/>
      <c r="BF195" s="2193"/>
      <c r="BG195" s="2193"/>
      <c r="BH195" s="2193"/>
      <c r="BI195" s="2193"/>
      <c r="BJ195" s="2193"/>
      <c r="BK195" s="2193"/>
      <c r="BL195" s="2193"/>
      <c r="BM195" s="2193"/>
      <c r="BN195" s="2193"/>
      <c r="BO195" s="2193"/>
      <c r="BP195" s="2193"/>
      <c r="BQ195" s="2193"/>
      <c r="BS195" s="3772" t="s">
        <v>625</v>
      </c>
      <c r="BT195" s="3773"/>
      <c r="BU195" s="3774"/>
      <c r="BV195" s="2185"/>
      <c r="BW195" s="2185"/>
      <c r="BX195" s="2185"/>
      <c r="BY195" s="2185"/>
      <c r="BZ195" s="2185"/>
      <c r="CA195" s="2185"/>
      <c r="CB195" s="2185"/>
      <c r="CC195" s="2185"/>
      <c r="CD195" s="2185"/>
      <c r="CE195" s="2186"/>
      <c r="CF195" s="2185"/>
      <c r="CG195" s="2185"/>
      <c r="CH195" s="2185"/>
      <c r="CI195" s="2185"/>
      <c r="CJ195" s="2185"/>
      <c r="CK195" s="2185"/>
      <c r="CL195" s="2185"/>
      <c r="CM195" s="2185"/>
      <c r="CN195" s="2185"/>
      <c r="CO195" s="2185"/>
      <c r="CP195" s="2185"/>
      <c r="CQ195" s="2185"/>
      <c r="CR195" s="2185"/>
      <c r="CS195" s="2185"/>
      <c r="CT195" s="2185"/>
      <c r="CU195" s="2185"/>
      <c r="CV195" s="2185"/>
      <c r="CW195" s="2185"/>
      <c r="CX195" s="2185"/>
      <c r="CY195" s="2185"/>
      <c r="CZ195" s="2185"/>
      <c r="DB195" s="3775" t="s">
        <v>630</v>
      </c>
      <c r="DC195" s="3776"/>
      <c r="DD195" s="3777"/>
      <c r="DE195" s="2177"/>
      <c r="DF195" s="2177"/>
      <c r="DG195" s="2177"/>
      <c r="DH195" s="2177"/>
      <c r="DI195" s="2177"/>
      <c r="DJ195" s="2177"/>
      <c r="DK195" s="2177"/>
      <c r="DL195" s="2177"/>
      <c r="DM195" s="2177"/>
      <c r="DN195" s="2178"/>
      <c r="DO195" s="2177"/>
      <c r="DP195" s="2177"/>
      <c r="DQ195" s="2177"/>
      <c r="DR195" s="2177"/>
      <c r="DS195" s="2177"/>
      <c r="DT195" s="2177"/>
      <c r="DU195" s="2177"/>
      <c r="DV195" s="2177"/>
      <c r="DW195" s="2177"/>
      <c r="DX195" s="2177"/>
      <c r="DY195" s="2177"/>
      <c r="DZ195" s="2177"/>
      <c r="EA195" s="2177"/>
      <c r="EB195" s="2177"/>
      <c r="EC195" s="2177"/>
      <c r="ED195" s="2177"/>
      <c r="EE195" s="2177"/>
      <c r="EF195" s="2177"/>
      <c r="EG195" s="2177"/>
      <c r="EH195" s="2177"/>
      <c r="EI195" s="2177"/>
    </row>
    <row r="196" spans="1:139" ht="15">
      <c r="A196" s="1233" t="s">
        <v>72</v>
      </c>
      <c r="B196" s="1233" t="s">
        <v>73</v>
      </c>
      <c r="C196" s="1233">
        <v>1</v>
      </c>
      <c r="D196" s="1233">
        <v>2</v>
      </c>
      <c r="E196" s="1233">
        <v>3</v>
      </c>
      <c r="F196" s="1233">
        <v>4</v>
      </c>
      <c r="G196" s="1233">
        <v>5</v>
      </c>
      <c r="H196" s="1233">
        <v>6</v>
      </c>
      <c r="I196" s="1233">
        <v>7</v>
      </c>
      <c r="J196" s="1233">
        <v>8</v>
      </c>
      <c r="K196" s="1233">
        <v>9</v>
      </c>
      <c r="L196" s="1233">
        <v>10</v>
      </c>
      <c r="M196" s="1233">
        <v>11</v>
      </c>
      <c r="N196" s="1233">
        <v>12</v>
      </c>
      <c r="O196" s="1233">
        <v>13</v>
      </c>
      <c r="P196" s="1233">
        <v>14</v>
      </c>
      <c r="Q196" s="1233">
        <v>15</v>
      </c>
      <c r="R196" s="1233">
        <v>16</v>
      </c>
      <c r="S196" s="1233">
        <v>17</v>
      </c>
      <c r="T196" s="1233">
        <v>18</v>
      </c>
      <c r="U196" s="1233">
        <v>19</v>
      </c>
      <c r="V196" s="1233">
        <v>20</v>
      </c>
      <c r="W196" s="1233">
        <v>21</v>
      </c>
      <c r="X196" s="1233">
        <v>22</v>
      </c>
      <c r="Y196" s="1233">
        <v>23</v>
      </c>
      <c r="Z196" s="1233">
        <v>24</v>
      </c>
      <c r="AA196" s="1233">
        <v>25</v>
      </c>
      <c r="AB196" s="1233">
        <v>26</v>
      </c>
      <c r="AC196" s="1233">
        <v>27</v>
      </c>
      <c r="AD196" s="1233">
        <v>28</v>
      </c>
      <c r="AE196" s="1233">
        <v>29</v>
      </c>
      <c r="AF196" s="1233">
        <v>30</v>
      </c>
      <c r="AG196" s="1233">
        <v>31</v>
      </c>
      <c r="AH196" s="2325" t="s">
        <v>74</v>
      </c>
      <c r="AJ196" s="1746" t="s">
        <v>72</v>
      </c>
      <c r="AK196" s="1746" t="s">
        <v>73</v>
      </c>
      <c r="AL196" s="1746">
        <v>1</v>
      </c>
      <c r="AM196" s="1746">
        <v>2</v>
      </c>
      <c r="AN196" s="1746">
        <v>3</v>
      </c>
      <c r="AO196" s="1746">
        <v>4</v>
      </c>
      <c r="AP196" s="1746">
        <v>5</v>
      </c>
      <c r="AQ196" s="1746">
        <v>6</v>
      </c>
      <c r="AR196" s="1746">
        <v>7</v>
      </c>
      <c r="AS196" s="1746">
        <v>8</v>
      </c>
      <c r="AT196" s="1746">
        <v>9</v>
      </c>
      <c r="AU196" s="1746">
        <v>10</v>
      </c>
      <c r="AV196" s="1746">
        <v>11</v>
      </c>
      <c r="AW196" s="1746">
        <v>12</v>
      </c>
      <c r="AX196" s="1746">
        <v>13</v>
      </c>
      <c r="AY196" s="1746">
        <v>14</v>
      </c>
      <c r="AZ196" s="1746">
        <v>15</v>
      </c>
      <c r="BA196" s="1746">
        <v>16</v>
      </c>
      <c r="BB196" s="1746">
        <v>17</v>
      </c>
      <c r="BC196" s="1746">
        <v>18</v>
      </c>
      <c r="BD196" s="1746">
        <v>19</v>
      </c>
      <c r="BE196" s="1746">
        <v>20</v>
      </c>
      <c r="BF196" s="1746">
        <v>21</v>
      </c>
      <c r="BG196" s="1746">
        <v>22</v>
      </c>
      <c r="BH196" s="1746">
        <v>23</v>
      </c>
      <c r="BI196" s="1746">
        <v>24</v>
      </c>
      <c r="BJ196" s="1746">
        <v>25</v>
      </c>
      <c r="BK196" s="1746">
        <v>26</v>
      </c>
      <c r="BL196" s="1746">
        <v>27</v>
      </c>
      <c r="BM196" s="1746">
        <v>28</v>
      </c>
      <c r="BN196" s="1746">
        <v>29</v>
      </c>
      <c r="BO196" s="1746">
        <v>30</v>
      </c>
      <c r="BP196" s="1746">
        <v>31</v>
      </c>
      <c r="BQ196" s="2192" t="s">
        <v>74</v>
      </c>
      <c r="BS196" s="1845" t="s">
        <v>72</v>
      </c>
      <c r="BT196" s="1845" t="s">
        <v>73</v>
      </c>
      <c r="BU196" s="1845">
        <v>1</v>
      </c>
      <c r="BV196" s="1845">
        <v>2</v>
      </c>
      <c r="BW196" s="1845">
        <v>3</v>
      </c>
      <c r="BX196" s="1845">
        <v>4</v>
      </c>
      <c r="BY196" s="1845">
        <v>5</v>
      </c>
      <c r="BZ196" s="1845">
        <v>6</v>
      </c>
      <c r="CA196" s="1845">
        <v>7</v>
      </c>
      <c r="CB196" s="1845">
        <v>8</v>
      </c>
      <c r="CC196" s="1845">
        <v>9</v>
      </c>
      <c r="CD196" s="1845">
        <v>10</v>
      </c>
      <c r="CE196" s="1845">
        <v>11</v>
      </c>
      <c r="CF196" s="1845">
        <v>12</v>
      </c>
      <c r="CG196" s="1845">
        <v>13</v>
      </c>
      <c r="CH196" s="1845">
        <v>14</v>
      </c>
      <c r="CI196" s="1845">
        <v>15</v>
      </c>
      <c r="CJ196" s="1845">
        <v>16</v>
      </c>
      <c r="CK196" s="1845">
        <v>17</v>
      </c>
      <c r="CL196" s="1845">
        <v>18</v>
      </c>
      <c r="CM196" s="1845">
        <v>19</v>
      </c>
      <c r="CN196" s="1845">
        <v>20</v>
      </c>
      <c r="CO196" s="1845">
        <v>21</v>
      </c>
      <c r="CP196" s="1845">
        <v>22</v>
      </c>
      <c r="CQ196" s="1845">
        <v>23</v>
      </c>
      <c r="CR196" s="1845">
        <v>24</v>
      </c>
      <c r="CS196" s="1845">
        <v>25</v>
      </c>
      <c r="CT196" s="1845">
        <v>26</v>
      </c>
      <c r="CU196" s="1845">
        <v>27</v>
      </c>
      <c r="CV196" s="1845">
        <v>28</v>
      </c>
      <c r="CW196" s="1845">
        <v>29</v>
      </c>
      <c r="CX196" s="1845">
        <v>30</v>
      </c>
      <c r="CY196" s="1845">
        <v>31</v>
      </c>
      <c r="CZ196" s="2184" t="s">
        <v>74</v>
      </c>
      <c r="DB196" s="1962" t="s">
        <v>72</v>
      </c>
      <c r="DC196" s="1962" t="s">
        <v>73</v>
      </c>
      <c r="DD196" s="1962">
        <v>1</v>
      </c>
      <c r="DE196" s="1962">
        <v>2</v>
      </c>
      <c r="DF196" s="1962">
        <v>3</v>
      </c>
      <c r="DG196" s="1962">
        <v>4</v>
      </c>
      <c r="DH196" s="1962">
        <v>5</v>
      </c>
      <c r="DI196" s="1962">
        <v>6</v>
      </c>
      <c r="DJ196" s="1962">
        <v>7</v>
      </c>
      <c r="DK196" s="1962">
        <v>8</v>
      </c>
      <c r="DL196" s="1962">
        <v>9</v>
      </c>
      <c r="DM196" s="1962">
        <v>10</v>
      </c>
      <c r="DN196" s="1962">
        <v>11</v>
      </c>
      <c r="DO196" s="1962">
        <v>12</v>
      </c>
      <c r="DP196" s="1962">
        <v>13</v>
      </c>
      <c r="DQ196" s="1962">
        <v>14</v>
      </c>
      <c r="DR196" s="1962">
        <v>15</v>
      </c>
      <c r="DS196" s="1962">
        <v>16</v>
      </c>
      <c r="DT196" s="1962">
        <v>17</v>
      </c>
      <c r="DU196" s="1962">
        <v>18</v>
      </c>
      <c r="DV196" s="1962">
        <v>19</v>
      </c>
      <c r="DW196" s="1962">
        <v>20</v>
      </c>
      <c r="DX196" s="1962">
        <v>21</v>
      </c>
      <c r="DY196" s="1962">
        <v>22</v>
      </c>
      <c r="DZ196" s="1962">
        <v>23</v>
      </c>
      <c r="EA196" s="1962">
        <v>24</v>
      </c>
      <c r="EB196" s="1962">
        <v>25</v>
      </c>
      <c r="EC196" s="1962">
        <v>26</v>
      </c>
      <c r="ED196" s="1962">
        <v>27</v>
      </c>
      <c r="EE196" s="1962">
        <v>28</v>
      </c>
      <c r="EF196" s="1962">
        <v>29</v>
      </c>
      <c r="EG196" s="1962">
        <v>30</v>
      </c>
      <c r="EH196" s="1962">
        <v>31</v>
      </c>
      <c r="EI196" s="2176" t="s">
        <v>74</v>
      </c>
    </row>
    <row r="197" spans="1:139" ht="15">
      <c r="A197" s="1233" t="s">
        <v>75</v>
      </c>
      <c r="B197" s="1280">
        <f t="shared" ref="B197:B208" si="162">+AH197</f>
        <v>0</v>
      </c>
      <c r="C197" s="2326">
        <f t="shared" ref="C197:AG197" si="163">+(C85+C101+C117+C133+C149+C165+C181)</f>
        <v>0</v>
      </c>
      <c r="D197" s="2326">
        <f t="shared" si="163"/>
        <v>0</v>
      </c>
      <c r="E197" s="2326">
        <f t="shared" si="163"/>
        <v>0</v>
      </c>
      <c r="F197" s="2326">
        <f t="shared" si="163"/>
        <v>0</v>
      </c>
      <c r="G197" s="2326">
        <f t="shared" si="163"/>
        <v>0</v>
      </c>
      <c r="H197" s="2326">
        <f t="shared" si="163"/>
        <v>0</v>
      </c>
      <c r="I197" s="2326">
        <f t="shared" si="163"/>
        <v>0</v>
      </c>
      <c r="J197" s="2326">
        <f t="shared" si="163"/>
        <v>0</v>
      </c>
      <c r="K197" s="2326">
        <f t="shared" si="163"/>
        <v>0</v>
      </c>
      <c r="L197" s="2326">
        <f t="shared" si="163"/>
        <v>0</v>
      </c>
      <c r="M197" s="2326">
        <f t="shared" si="163"/>
        <v>0</v>
      </c>
      <c r="N197" s="2326">
        <f t="shared" si="163"/>
        <v>0</v>
      </c>
      <c r="O197" s="2326">
        <f t="shared" si="163"/>
        <v>0</v>
      </c>
      <c r="P197" s="2326">
        <f t="shared" si="163"/>
        <v>0</v>
      </c>
      <c r="Q197" s="2326">
        <f t="shared" si="163"/>
        <v>0</v>
      </c>
      <c r="R197" s="2326">
        <f t="shared" si="163"/>
        <v>0</v>
      </c>
      <c r="S197" s="2326">
        <f t="shared" si="163"/>
        <v>0</v>
      </c>
      <c r="T197" s="2326">
        <f t="shared" si="163"/>
        <v>0</v>
      </c>
      <c r="U197" s="2326">
        <f t="shared" si="163"/>
        <v>0</v>
      </c>
      <c r="V197" s="2326">
        <f t="shared" si="163"/>
        <v>0</v>
      </c>
      <c r="W197" s="2326">
        <f t="shared" si="163"/>
        <v>0</v>
      </c>
      <c r="X197" s="2326">
        <f t="shared" si="163"/>
        <v>0</v>
      </c>
      <c r="Y197" s="2326">
        <f t="shared" si="163"/>
        <v>0</v>
      </c>
      <c r="Z197" s="2326">
        <f t="shared" si="163"/>
        <v>0</v>
      </c>
      <c r="AA197" s="2326">
        <f t="shared" si="163"/>
        <v>0</v>
      </c>
      <c r="AB197" s="2326">
        <f t="shared" si="163"/>
        <v>0</v>
      </c>
      <c r="AC197" s="2326">
        <f t="shared" si="163"/>
        <v>0</v>
      </c>
      <c r="AD197" s="2326">
        <f t="shared" si="163"/>
        <v>0</v>
      </c>
      <c r="AE197" s="2326">
        <f t="shared" si="163"/>
        <v>0</v>
      </c>
      <c r="AF197" s="2326">
        <f t="shared" si="163"/>
        <v>0</v>
      </c>
      <c r="AG197" s="2326">
        <f t="shared" si="163"/>
        <v>0</v>
      </c>
      <c r="AH197" s="2327">
        <f t="shared" ref="AH197:AH208" si="164">SUM(C197:AG197)</f>
        <v>0</v>
      </c>
      <c r="AJ197" s="1746" t="s">
        <v>75</v>
      </c>
      <c r="AK197" s="1749">
        <f t="shared" ref="AK197:AK208" si="165">+BQ197</f>
        <v>0</v>
      </c>
      <c r="AL197" s="2189">
        <f t="shared" ref="AL197:BP197" si="166">+(AL5+AL21+AL37+AL53+AL69+AL85+AL101+AL117+AL133+AL149+AL165+AL181)</f>
        <v>0</v>
      </c>
      <c r="AM197" s="2189">
        <f t="shared" si="166"/>
        <v>0</v>
      </c>
      <c r="AN197" s="2189">
        <f t="shared" si="166"/>
        <v>0</v>
      </c>
      <c r="AO197" s="2189">
        <f t="shared" si="166"/>
        <v>0</v>
      </c>
      <c r="AP197" s="2189">
        <f t="shared" si="166"/>
        <v>0</v>
      </c>
      <c r="AQ197" s="2189">
        <f t="shared" si="166"/>
        <v>0</v>
      </c>
      <c r="AR197" s="2189">
        <f t="shared" si="166"/>
        <v>0</v>
      </c>
      <c r="AS197" s="2189">
        <f t="shared" si="166"/>
        <v>0</v>
      </c>
      <c r="AT197" s="2189">
        <f t="shared" si="166"/>
        <v>0</v>
      </c>
      <c r="AU197" s="2189">
        <f t="shared" si="166"/>
        <v>0</v>
      </c>
      <c r="AV197" s="2189">
        <f t="shared" si="166"/>
        <v>0</v>
      </c>
      <c r="AW197" s="2189">
        <f t="shared" si="166"/>
        <v>0</v>
      </c>
      <c r="AX197" s="2189">
        <f t="shared" si="166"/>
        <v>0</v>
      </c>
      <c r="AY197" s="2189">
        <f t="shared" si="166"/>
        <v>0</v>
      </c>
      <c r="AZ197" s="2189">
        <f t="shared" si="166"/>
        <v>0</v>
      </c>
      <c r="BA197" s="2189">
        <f t="shared" si="166"/>
        <v>0</v>
      </c>
      <c r="BB197" s="2189">
        <f t="shared" si="166"/>
        <v>0</v>
      </c>
      <c r="BC197" s="2189">
        <f t="shared" si="166"/>
        <v>0</v>
      </c>
      <c r="BD197" s="2189">
        <f t="shared" si="166"/>
        <v>0</v>
      </c>
      <c r="BE197" s="2189">
        <f t="shared" si="166"/>
        <v>0</v>
      </c>
      <c r="BF197" s="2189">
        <f t="shared" si="166"/>
        <v>0</v>
      </c>
      <c r="BG197" s="2189">
        <f t="shared" si="166"/>
        <v>0</v>
      </c>
      <c r="BH197" s="2189">
        <f t="shared" si="166"/>
        <v>0</v>
      </c>
      <c r="BI197" s="2189">
        <f t="shared" si="166"/>
        <v>0</v>
      </c>
      <c r="BJ197" s="2189">
        <f t="shared" si="166"/>
        <v>0</v>
      </c>
      <c r="BK197" s="2189">
        <f t="shared" si="166"/>
        <v>0</v>
      </c>
      <c r="BL197" s="2189">
        <f t="shared" si="166"/>
        <v>0</v>
      </c>
      <c r="BM197" s="2189">
        <f t="shared" si="166"/>
        <v>0</v>
      </c>
      <c r="BN197" s="2189">
        <f t="shared" si="166"/>
        <v>0</v>
      </c>
      <c r="BO197" s="2189">
        <f t="shared" si="166"/>
        <v>0</v>
      </c>
      <c r="BP197" s="2189">
        <f t="shared" si="166"/>
        <v>0</v>
      </c>
      <c r="BQ197" s="2188">
        <f t="shared" ref="BQ197:BQ208" si="167">SUM(AL197:BP197)</f>
        <v>0</v>
      </c>
      <c r="BS197" s="1845" t="s">
        <v>75</v>
      </c>
      <c r="BT197" s="1846">
        <f t="shared" ref="BT197:BT208" si="168">+CZ197</f>
        <v>0.93200000000000005</v>
      </c>
      <c r="BU197" s="2181">
        <f>+(BU5+BU21+BU37+BU53+BU69+BU85+BU101+BU117+BU133+BU149+BU165+BU181)</f>
        <v>0</v>
      </c>
      <c r="BV197" s="2181">
        <f t="shared" ref="BV197:CY197" si="169">+(BV5+BV21+BV37+BV53+BV69+BV85+BV101+BV117+BV133+BV149+BV165+BV181)</f>
        <v>0</v>
      </c>
      <c r="BW197" s="2181">
        <f t="shared" si="169"/>
        <v>0</v>
      </c>
      <c r="BX197" s="2181">
        <f t="shared" si="169"/>
        <v>5.7000000000000002E-2</v>
      </c>
      <c r="BY197" s="2181">
        <f t="shared" si="169"/>
        <v>0.03</v>
      </c>
      <c r="BZ197" s="2181">
        <f t="shared" si="169"/>
        <v>8.6999999999999994E-2</v>
      </c>
      <c r="CA197" s="2181">
        <f t="shared" si="169"/>
        <v>4.0000000000000001E-3</v>
      </c>
      <c r="CB197" s="2181">
        <f t="shared" si="169"/>
        <v>0</v>
      </c>
      <c r="CC197" s="2181">
        <f t="shared" si="169"/>
        <v>5.5999999999999994E-2</v>
      </c>
      <c r="CD197" s="2181">
        <f t="shared" si="169"/>
        <v>1.9E-2</v>
      </c>
      <c r="CE197" s="2181">
        <f t="shared" si="169"/>
        <v>8.4999999999999992E-2</v>
      </c>
      <c r="CF197" s="2181">
        <f t="shared" si="169"/>
        <v>0.11600000000000001</v>
      </c>
      <c r="CG197" s="2181">
        <f t="shared" si="169"/>
        <v>0</v>
      </c>
      <c r="CH197" s="2181">
        <f t="shared" si="169"/>
        <v>0</v>
      </c>
      <c r="CI197" s="2181">
        <f t="shared" si="169"/>
        <v>7.1999999999999995E-2</v>
      </c>
      <c r="CJ197" s="2181">
        <f t="shared" si="169"/>
        <v>7.1999999999999995E-2</v>
      </c>
      <c r="CK197" s="2181">
        <f t="shared" si="169"/>
        <v>0.01</v>
      </c>
      <c r="CL197" s="2181">
        <f t="shared" si="169"/>
        <v>0.05</v>
      </c>
      <c r="CM197" s="2181">
        <f t="shared" si="169"/>
        <v>0</v>
      </c>
      <c r="CN197" s="2181">
        <f t="shared" si="169"/>
        <v>0.04</v>
      </c>
      <c r="CO197" s="2181">
        <f t="shared" si="169"/>
        <v>0</v>
      </c>
      <c r="CP197" s="2181">
        <f t="shared" si="169"/>
        <v>0.04</v>
      </c>
      <c r="CQ197" s="2181">
        <f t="shared" si="169"/>
        <v>0.13</v>
      </c>
      <c r="CR197" s="2181">
        <f t="shared" si="169"/>
        <v>0</v>
      </c>
      <c r="CS197" s="2181">
        <f t="shared" si="169"/>
        <v>0</v>
      </c>
      <c r="CT197" s="2181">
        <f t="shared" si="169"/>
        <v>0</v>
      </c>
      <c r="CU197" s="2181">
        <f t="shared" si="169"/>
        <v>5.3999999999999999E-2</v>
      </c>
      <c r="CV197" s="2181">
        <f t="shared" si="169"/>
        <v>0</v>
      </c>
      <c r="CW197" s="2181">
        <f t="shared" si="169"/>
        <v>0</v>
      </c>
      <c r="CX197" s="2181">
        <f t="shared" si="169"/>
        <v>0.01</v>
      </c>
      <c r="CY197" s="2181">
        <f t="shared" si="169"/>
        <v>0</v>
      </c>
      <c r="CZ197" s="2180">
        <f t="shared" ref="CZ197:CZ208" si="170">SUM(BU197:CY197)</f>
        <v>0.93200000000000005</v>
      </c>
      <c r="DB197" s="1962" t="s">
        <v>75</v>
      </c>
      <c r="DC197" s="2175">
        <f t="shared" ref="DC197:DC208" si="171">+EI197</f>
        <v>0</v>
      </c>
      <c r="DD197" s="2172">
        <f t="shared" ref="DD197:EH197" si="172">+(DD5+DD21+DD37+DD53+DD69+DD85+DD101+DD117+DD133+DD149+DD165+DD181)</f>
        <v>0</v>
      </c>
      <c r="DE197" s="2172">
        <f t="shared" si="172"/>
        <v>0</v>
      </c>
      <c r="DF197" s="2172">
        <f t="shared" si="172"/>
        <v>0</v>
      </c>
      <c r="DG197" s="2172">
        <f t="shared" si="172"/>
        <v>0</v>
      </c>
      <c r="DH197" s="2172">
        <f t="shared" si="172"/>
        <v>0</v>
      </c>
      <c r="DI197" s="2172">
        <f t="shared" si="172"/>
        <v>0</v>
      </c>
      <c r="DJ197" s="2172">
        <f t="shared" si="172"/>
        <v>0</v>
      </c>
      <c r="DK197" s="2172">
        <f t="shared" si="172"/>
        <v>0</v>
      </c>
      <c r="DL197" s="2172">
        <f t="shared" si="172"/>
        <v>0</v>
      </c>
      <c r="DM197" s="2172">
        <f t="shared" si="172"/>
        <v>0</v>
      </c>
      <c r="DN197" s="2172">
        <f t="shared" si="172"/>
        <v>0</v>
      </c>
      <c r="DO197" s="2172">
        <f t="shared" si="172"/>
        <v>0</v>
      </c>
      <c r="DP197" s="2172">
        <f t="shared" si="172"/>
        <v>0</v>
      </c>
      <c r="DQ197" s="2172">
        <f t="shared" si="172"/>
        <v>0</v>
      </c>
      <c r="DR197" s="2172">
        <f t="shared" si="172"/>
        <v>0</v>
      </c>
      <c r="DS197" s="2172">
        <f t="shared" si="172"/>
        <v>0</v>
      </c>
      <c r="DT197" s="2172">
        <f t="shared" si="172"/>
        <v>0</v>
      </c>
      <c r="DU197" s="2172">
        <f t="shared" si="172"/>
        <v>0</v>
      </c>
      <c r="DV197" s="2172">
        <f t="shared" si="172"/>
        <v>0</v>
      </c>
      <c r="DW197" s="2172">
        <f t="shared" si="172"/>
        <v>0</v>
      </c>
      <c r="DX197" s="2172">
        <f t="shared" si="172"/>
        <v>0</v>
      </c>
      <c r="DY197" s="2172">
        <f t="shared" si="172"/>
        <v>0</v>
      </c>
      <c r="DZ197" s="2172">
        <f t="shared" si="172"/>
        <v>0</v>
      </c>
      <c r="EA197" s="2172">
        <f t="shared" si="172"/>
        <v>0</v>
      </c>
      <c r="EB197" s="2172">
        <f t="shared" si="172"/>
        <v>0</v>
      </c>
      <c r="EC197" s="2172">
        <f t="shared" si="172"/>
        <v>0</v>
      </c>
      <c r="ED197" s="2172">
        <f t="shared" si="172"/>
        <v>0</v>
      </c>
      <c r="EE197" s="2172">
        <f t="shared" si="172"/>
        <v>0</v>
      </c>
      <c r="EF197" s="2172">
        <f t="shared" si="172"/>
        <v>0</v>
      </c>
      <c r="EG197" s="2172">
        <f t="shared" si="172"/>
        <v>0</v>
      </c>
      <c r="EH197" s="2172">
        <f t="shared" si="172"/>
        <v>0</v>
      </c>
      <c r="EI197" s="2171">
        <f t="shared" ref="EI197:EI208" si="173">SUM(DD197:EH197)</f>
        <v>0</v>
      </c>
    </row>
    <row r="198" spans="1:139" ht="15">
      <c r="A198" s="1233" t="s">
        <v>76</v>
      </c>
      <c r="B198" s="1280">
        <f t="shared" si="162"/>
        <v>47.123999999999995</v>
      </c>
      <c r="C198" s="2326">
        <f t="shared" ref="C198:AG198" si="174">+(C86+C102+C118+C134+C150+C166+C182)</f>
        <v>0</v>
      </c>
      <c r="D198" s="2326">
        <f t="shared" si="174"/>
        <v>0</v>
      </c>
      <c r="E198" s="2326">
        <f t="shared" si="174"/>
        <v>0</v>
      </c>
      <c r="F198" s="2326">
        <f t="shared" si="174"/>
        <v>0</v>
      </c>
      <c r="G198" s="2326">
        <f t="shared" si="174"/>
        <v>1.004</v>
      </c>
      <c r="H198" s="2326">
        <f t="shared" si="174"/>
        <v>5.8050000000000006</v>
      </c>
      <c r="I198" s="2326">
        <f t="shared" si="174"/>
        <v>1.349</v>
      </c>
      <c r="J198" s="2326">
        <f t="shared" si="174"/>
        <v>5.0329999999999995</v>
      </c>
      <c r="K198" s="2326">
        <f t="shared" si="174"/>
        <v>2.754</v>
      </c>
      <c r="L198" s="2326">
        <f t="shared" si="174"/>
        <v>3.1619999999999999</v>
      </c>
      <c r="M198" s="2326">
        <f t="shared" si="174"/>
        <v>2.99</v>
      </c>
      <c r="N198" s="2326">
        <f t="shared" si="174"/>
        <v>0</v>
      </c>
      <c r="O198" s="2326">
        <f t="shared" si="174"/>
        <v>0</v>
      </c>
      <c r="P198" s="2326">
        <f t="shared" si="174"/>
        <v>0</v>
      </c>
      <c r="Q198" s="2326">
        <f t="shared" si="174"/>
        <v>12.814000000000002</v>
      </c>
      <c r="R198" s="2326">
        <f t="shared" si="174"/>
        <v>2.891</v>
      </c>
      <c r="S198" s="2326">
        <f t="shared" si="174"/>
        <v>0</v>
      </c>
      <c r="T198" s="2326">
        <f t="shared" si="174"/>
        <v>5.2260000000000009</v>
      </c>
      <c r="U198" s="2326">
        <f t="shared" si="174"/>
        <v>0</v>
      </c>
      <c r="V198" s="2326">
        <f t="shared" si="174"/>
        <v>1.18</v>
      </c>
      <c r="W198" s="2326">
        <f t="shared" si="174"/>
        <v>0</v>
      </c>
      <c r="X198" s="2326">
        <f t="shared" si="174"/>
        <v>2.9159999999999999</v>
      </c>
      <c r="Y198" s="2326">
        <f t="shared" si="174"/>
        <v>0</v>
      </c>
      <c r="Z198" s="2326">
        <f t="shared" si="174"/>
        <v>0</v>
      </c>
      <c r="AA198" s="2326">
        <f t="shared" si="174"/>
        <v>0</v>
      </c>
      <c r="AB198" s="2326">
        <f t="shared" si="174"/>
        <v>0</v>
      </c>
      <c r="AC198" s="2326">
        <f t="shared" si="174"/>
        <v>0</v>
      </c>
      <c r="AD198" s="2326">
        <f t="shared" si="174"/>
        <v>0</v>
      </c>
      <c r="AE198" s="2326">
        <f t="shared" si="174"/>
        <v>0</v>
      </c>
      <c r="AF198" s="2326">
        <f t="shared" si="174"/>
        <v>0</v>
      </c>
      <c r="AG198" s="2326">
        <f t="shared" si="174"/>
        <v>0</v>
      </c>
      <c r="AH198" s="2327">
        <f t="shared" si="164"/>
        <v>47.123999999999995</v>
      </c>
      <c r="AJ198" s="1746" t="s">
        <v>76</v>
      </c>
      <c r="AK198" s="1749">
        <f t="shared" si="165"/>
        <v>3.3139999999999996</v>
      </c>
      <c r="AL198" s="2189">
        <f t="shared" ref="AL198:BP198" si="175">+(AL6+AL22+AL38+AL54+AL70+AL86+AL102+AL118+AL134+AL150+AL166+AL182)</f>
        <v>0</v>
      </c>
      <c r="AM198" s="2189">
        <f t="shared" si="175"/>
        <v>0</v>
      </c>
      <c r="AN198" s="2189">
        <f t="shared" si="175"/>
        <v>0</v>
      </c>
      <c r="AO198" s="2189">
        <f t="shared" si="175"/>
        <v>0</v>
      </c>
      <c r="AP198" s="2189">
        <f t="shared" si="175"/>
        <v>0</v>
      </c>
      <c r="AQ198" s="2189">
        <f t="shared" si="175"/>
        <v>0</v>
      </c>
      <c r="AR198" s="2189">
        <f t="shared" si="175"/>
        <v>0</v>
      </c>
      <c r="AS198" s="2189">
        <f t="shared" si="175"/>
        <v>0</v>
      </c>
      <c r="AT198" s="2189">
        <f t="shared" si="175"/>
        <v>0</v>
      </c>
      <c r="AU198" s="2189">
        <f t="shared" si="175"/>
        <v>0</v>
      </c>
      <c r="AV198" s="2189">
        <f t="shared" si="175"/>
        <v>0</v>
      </c>
      <c r="AW198" s="2189">
        <f t="shared" si="175"/>
        <v>0</v>
      </c>
      <c r="AX198" s="2189">
        <f t="shared" si="175"/>
        <v>0</v>
      </c>
      <c r="AY198" s="2189">
        <f t="shared" si="175"/>
        <v>0</v>
      </c>
      <c r="AZ198" s="2189">
        <f t="shared" si="175"/>
        <v>2.5939999999999999</v>
      </c>
      <c r="BA198" s="2189">
        <f t="shared" si="175"/>
        <v>0</v>
      </c>
      <c r="BB198" s="2189">
        <f t="shared" si="175"/>
        <v>0</v>
      </c>
      <c r="BC198" s="2189">
        <f t="shared" si="175"/>
        <v>0.40899999999999997</v>
      </c>
      <c r="BD198" s="2189">
        <f t="shared" si="175"/>
        <v>0</v>
      </c>
      <c r="BE198" s="2189">
        <f t="shared" si="175"/>
        <v>0</v>
      </c>
      <c r="BF198" s="2189">
        <f t="shared" si="175"/>
        <v>0</v>
      </c>
      <c r="BG198" s="2189">
        <f t="shared" si="175"/>
        <v>0</v>
      </c>
      <c r="BH198" s="2189">
        <f t="shared" si="175"/>
        <v>0.311</v>
      </c>
      <c r="BI198" s="2189">
        <f t="shared" si="175"/>
        <v>0</v>
      </c>
      <c r="BJ198" s="2189">
        <f t="shared" si="175"/>
        <v>0</v>
      </c>
      <c r="BK198" s="2189">
        <f t="shared" si="175"/>
        <v>0</v>
      </c>
      <c r="BL198" s="2189">
        <f t="shared" si="175"/>
        <v>0</v>
      </c>
      <c r="BM198" s="2189">
        <f t="shared" si="175"/>
        <v>0</v>
      </c>
      <c r="BN198" s="2189">
        <f t="shared" si="175"/>
        <v>0</v>
      </c>
      <c r="BO198" s="2189">
        <f t="shared" si="175"/>
        <v>0</v>
      </c>
      <c r="BP198" s="2189">
        <f t="shared" si="175"/>
        <v>0</v>
      </c>
      <c r="BQ198" s="2188">
        <f t="shared" si="167"/>
        <v>3.3139999999999996</v>
      </c>
      <c r="BS198" s="1845" t="s">
        <v>76</v>
      </c>
      <c r="BT198" s="1846">
        <f t="shared" si="168"/>
        <v>0.11100000000000002</v>
      </c>
      <c r="BU198" s="2181">
        <f t="shared" ref="BU198:CY198" si="176">+(BU6+BU22+BU38+BU54+BU70+BU86+BU102+BU118+BU134+BU150+BU166+BU182)</f>
        <v>0</v>
      </c>
      <c r="BV198" s="2181">
        <f t="shared" si="176"/>
        <v>0.04</v>
      </c>
      <c r="BW198" s="2181">
        <f t="shared" si="176"/>
        <v>0</v>
      </c>
      <c r="BX198" s="2181">
        <f t="shared" si="176"/>
        <v>0</v>
      </c>
      <c r="BY198" s="2181">
        <f t="shared" si="176"/>
        <v>3.0000000000000001E-3</v>
      </c>
      <c r="BZ198" s="2181">
        <f t="shared" si="176"/>
        <v>0</v>
      </c>
      <c r="CA198" s="2181">
        <f t="shared" si="176"/>
        <v>3.3000000000000002E-2</v>
      </c>
      <c r="CB198" s="2181">
        <f t="shared" si="176"/>
        <v>0.01</v>
      </c>
      <c r="CC198" s="2181">
        <f t="shared" si="176"/>
        <v>1.4999999999999999E-2</v>
      </c>
      <c r="CD198" s="2181">
        <f t="shared" si="176"/>
        <v>0</v>
      </c>
      <c r="CE198" s="2181">
        <f t="shared" si="176"/>
        <v>5.0000000000000001E-3</v>
      </c>
      <c r="CF198" s="2181">
        <f t="shared" si="176"/>
        <v>0</v>
      </c>
      <c r="CG198" s="2181">
        <f t="shared" si="176"/>
        <v>0</v>
      </c>
      <c r="CH198" s="2181">
        <f t="shared" si="176"/>
        <v>0</v>
      </c>
      <c r="CI198" s="2181">
        <f t="shared" si="176"/>
        <v>0</v>
      </c>
      <c r="CJ198" s="2181">
        <f t="shared" si="176"/>
        <v>0</v>
      </c>
      <c r="CK198" s="2181">
        <f t="shared" si="176"/>
        <v>0</v>
      </c>
      <c r="CL198" s="2181">
        <f t="shared" si="176"/>
        <v>3.0000000000000001E-3</v>
      </c>
      <c r="CM198" s="2181">
        <f t="shared" si="176"/>
        <v>0</v>
      </c>
      <c r="CN198" s="2181">
        <f t="shared" si="176"/>
        <v>0</v>
      </c>
      <c r="CO198" s="2181">
        <f t="shared" si="176"/>
        <v>2E-3</v>
      </c>
      <c r="CP198" s="2181">
        <f t="shared" si="176"/>
        <v>0</v>
      </c>
      <c r="CQ198" s="2181">
        <f t="shared" si="176"/>
        <v>0</v>
      </c>
      <c r="CR198" s="2181">
        <f t="shared" si="176"/>
        <v>0</v>
      </c>
      <c r="CS198" s="2181">
        <f t="shared" si="176"/>
        <v>0</v>
      </c>
      <c r="CT198" s="2181">
        <f t="shared" si="176"/>
        <v>0</v>
      </c>
      <c r="CU198" s="2181">
        <f t="shared" si="176"/>
        <v>0</v>
      </c>
      <c r="CV198" s="2181">
        <f t="shared" si="176"/>
        <v>0</v>
      </c>
      <c r="CW198" s="2181">
        <f t="shared" si="176"/>
        <v>0</v>
      </c>
      <c r="CX198" s="2181">
        <f t="shared" si="176"/>
        <v>0</v>
      </c>
      <c r="CY198" s="2181">
        <f t="shared" si="176"/>
        <v>0</v>
      </c>
      <c r="CZ198" s="2180">
        <f t="shared" si="170"/>
        <v>0.11100000000000002</v>
      </c>
      <c r="DB198" s="1962" t="s">
        <v>76</v>
      </c>
      <c r="DC198" s="2175">
        <f t="shared" si="171"/>
        <v>0</v>
      </c>
      <c r="DD198" s="2172">
        <f t="shared" ref="DD198:EH198" si="177">+(DD6+DD22+DD38+DD54+DD70+DD86+DD102+DD118+DD134+DD150+DD166+DD182)</f>
        <v>0</v>
      </c>
      <c r="DE198" s="2223">
        <f t="shared" si="177"/>
        <v>0</v>
      </c>
      <c r="DF198" s="2223">
        <f t="shared" si="177"/>
        <v>0</v>
      </c>
      <c r="DG198" s="2223">
        <f t="shared" si="177"/>
        <v>0</v>
      </c>
      <c r="DH198" s="2223">
        <f t="shared" si="177"/>
        <v>0</v>
      </c>
      <c r="DI198" s="2223">
        <f t="shared" si="177"/>
        <v>0</v>
      </c>
      <c r="DJ198" s="2223">
        <f t="shared" si="177"/>
        <v>0</v>
      </c>
      <c r="DK198" s="2223">
        <f t="shared" si="177"/>
        <v>0</v>
      </c>
      <c r="DL198" s="2223">
        <f t="shared" si="177"/>
        <v>0</v>
      </c>
      <c r="DM198" s="2223">
        <f t="shared" si="177"/>
        <v>0</v>
      </c>
      <c r="DN198" s="2223">
        <f t="shared" si="177"/>
        <v>0</v>
      </c>
      <c r="DO198" s="2223">
        <f t="shared" si="177"/>
        <v>0</v>
      </c>
      <c r="DP198" s="2223">
        <f t="shared" si="177"/>
        <v>0</v>
      </c>
      <c r="DQ198" s="2223">
        <f t="shared" si="177"/>
        <v>0</v>
      </c>
      <c r="DR198" s="2223">
        <f t="shared" si="177"/>
        <v>0</v>
      </c>
      <c r="DS198" s="2223">
        <f t="shared" si="177"/>
        <v>0</v>
      </c>
      <c r="DT198" s="2223">
        <f t="shared" si="177"/>
        <v>0</v>
      </c>
      <c r="DU198" s="2223">
        <f t="shared" si="177"/>
        <v>0</v>
      </c>
      <c r="DV198" s="2223">
        <f t="shared" si="177"/>
        <v>0</v>
      </c>
      <c r="DW198" s="2223">
        <f t="shared" si="177"/>
        <v>0</v>
      </c>
      <c r="DX198" s="2223">
        <f t="shared" si="177"/>
        <v>0</v>
      </c>
      <c r="DY198" s="2223">
        <f t="shared" si="177"/>
        <v>0</v>
      </c>
      <c r="DZ198" s="2172">
        <f t="shared" si="177"/>
        <v>0</v>
      </c>
      <c r="EA198" s="2172">
        <f t="shared" si="177"/>
        <v>0</v>
      </c>
      <c r="EB198" s="2172">
        <f t="shared" si="177"/>
        <v>0</v>
      </c>
      <c r="EC198" s="2172">
        <f t="shared" si="177"/>
        <v>0</v>
      </c>
      <c r="ED198" s="2172">
        <f t="shared" si="177"/>
        <v>0</v>
      </c>
      <c r="EE198" s="2172">
        <f t="shared" si="177"/>
        <v>0</v>
      </c>
      <c r="EF198" s="2172">
        <f t="shared" si="177"/>
        <v>0</v>
      </c>
      <c r="EG198" s="2172">
        <f t="shared" si="177"/>
        <v>0</v>
      </c>
      <c r="EH198" s="2172">
        <f t="shared" si="177"/>
        <v>0</v>
      </c>
      <c r="EI198" s="2171">
        <f t="shared" si="173"/>
        <v>0</v>
      </c>
    </row>
    <row r="199" spans="1:139" ht="15.75">
      <c r="A199" s="1233" t="s">
        <v>77</v>
      </c>
      <c r="B199" s="1280">
        <f t="shared" si="162"/>
        <v>59.347000000000001</v>
      </c>
      <c r="C199" s="2326">
        <f t="shared" ref="C199:AG199" si="178">+(C87+C103+C119+C135+C151+C167+C183)</f>
        <v>0</v>
      </c>
      <c r="D199" s="2326">
        <f t="shared" si="178"/>
        <v>0</v>
      </c>
      <c r="E199" s="2326">
        <f t="shared" si="178"/>
        <v>0</v>
      </c>
      <c r="F199" s="2326">
        <f t="shared" si="178"/>
        <v>0</v>
      </c>
      <c r="G199" s="2326">
        <f t="shared" si="178"/>
        <v>1.2989999999999999</v>
      </c>
      <c r="H199" s="2326">
        <f t="shared" si="178"/>
        <v>10.365</v>
      </c>
      <c r="I199" s="2326">
        <f t="shared" si="178"/>
        <v>2.835</v>
      </c>
      <c r="J199" s="2326">
        <f t="shared" si="178"/>
        <v>0</v>
      </c>
      <c r="K199" s="2326">
        <f t="shared" si="178"/>
        <v>5.9609999999999994</v>
      </c>
      <c r="L199" s="2326">
        <f t="shared" si="178"/>
        <v>0</v>
      </c>
      <c r="M199" s="2326">
        <f t="shared" si="178"/>
        <v>5.9029999999999996</v>
      </c>
      <c r="N199" s="2326">
        <f t="shared" si="178"/>
        <v>0</v>
      </c>
      <c r="O199" s="2326">
        <f t="shared" si="178"/>
        <v>5.7710000000000008</v>
      </c>
      <c r="P199" s="2326">
        <f t="shared" si="178"/>
        <v>9.1630000000000003</v>
      </c>
      <c r="Q199" s="2326">
        <f t="shared" si="178"/>
        <v>2.2210000000000001</v>
      </c>
      <c r="R199" s="2326">
        <f t="shared" si="178"/>
        <v>4.8750000000000009</v>
      </c>
      <c r="S199" s="2326">
        <f t="shared" si="178"/>
        <v>0</v>
      </c>
      <c r="T199" s="2326">
        <f t="shared" si="178"/>
        <v>0</v>
      </c>
      <c r="U199" s="2326">
        <f t="shared" si="178"/>
        <v>0</v>
      </c>
      <c r="V199" s="2326">
        <f t="shared" si="178"/>
        <v>2.1360000000000001</v>
      </c>
      <c r="W199" s="2326">
        <f t="shared" si="178"/>
        <v>0.77200000000000002</v>
      </c>
      <c r="X199" s="2326">
        <f t="shared" si="178"/>
        <v>2.1890000000000001</v>
      </c>
      <c r="Y199" s="2326">
        <f t="shared" si="178"/>
        <v>0.23899999999999999</v>
      </c>
      <c r="Z199" s="2326">
        <f t="shared" si="178"/>
        <v>0</v>
      </c>
      <c r="AA199" s="2326">
        <f t="shared" si="178"/>
        <v>0.62</v>
      </c>
      <c r="AB199" s="2326">
        <f t="shared" si="178"/>
        <v>3.9009999999999998</v>
      </c>
      <c r="AC199" s="2326">
        <f t="shared" si="178"/>
        <v>0</v>
      </c>
      <c r="AD199" s="2326">
        <f t="shared" si="178"/>
        <v>1.097</v>
      </c>
      <c r="AE199" s="2326">
        <f t="shared" si="178"/>
        <v>0</v>
      </c>
      <c r="AF199" s="2326">
        <f t="shared" si="178"/>
        <v>0</v>
      </c>
      <c r="AG199" s="2326">
        <f t="shared" si="178"/>
        <v>0</v>
      </c>
      <c r="AH199" s="2327">
        <f t="shared" si="164"/>
        <v>59.347000000000001</v>
      </c>
      <c r="AJ199" s="1746" t="s">
        <v>77</v>
      </c>
      <c r="AK199" s="1749">
        <f t="shared" si="165"/>
        <v>2.669</v>
      </c>
      <c r="AL199" s="2189">
        <f t="shared" ref="AL199:BP199" si="179">+(AL7+AL23+AL39+AL55+AL71+AL87+AL103+AL119+AL135+AL151+AL167+AL183)</f>
        <v>0</v>
      </c>
      <c r="AM199" s="2189">
        <f t="shared" si="179"/>
        <v>0</v>
      </c>
      <c r="AN199" s="2189">
        <f t="shared" si="179"/>
        <v>0</v>
      </c>
      <c r="AO199" s="2189">
        <f t="shared" si="179"/>
        <v>0</v>
      </c>
      <c r="AP199" s="2189">
        <f t="shared" si="179"/>
        <v>0</v>
      </c>
      <c r="AQ199" s="2189">
        <f t="shared" si="179"/>
        <v>0</v>
      </c>
      <c r="AR199" s="2189">
        <f t="shared" si="179"/>
        <v>1.4810000000000001</v>
      </c>
      <c r="AS199" s="2189">
        <f t="shared" si="179"/>
        <v>0</v>
      </c>
      <c r="AT199" s="2189">
        <f t="shared" si="179"/>
        <v>0</v>
      </c>
      <c r="AU199" s="2189">
        <f t="shared" si="179"/>
        <v>0</v>
      </c>
      <c r="AV199" s="2189">
        <f t="shared" si="179"/>
        <v>0</v>
      </c>
      <c r="AW199" s="2189">
        <f t="shared" si="179"/>
        <v>0</v>
      </c>
      <c r="AX199" s="2189">
        <f t="shared" si="179"/>
        <v>0</v>
      </c>
      <c r="AY199" s="2189">
        <f t="shared" si="179"/>
        <v>0</v>
      </c>
      <c r="AZ199" s="2189">
        <f t="shared" si="179"/>
        <v>0</v>
      </c>
      <c r="BA199" s="2189">
        <f t="shared" si="179"/>
        <v>0</v>
      </c>
      <c r="BB199" s="2189">
        <f t="shared" si="179"/>
        <v>0</v>
      </c>
      <c r="BC199" s="2189">
        <f t="shared" si="179"/>
        <v>0</v>
      </c>
      <c r="BD199" s="2189">
        <f t="shared" si="179"/>
        <v>0</v>
      </c>
      <c r="BE199" s="2189">
        <f t="shared" si="179"/>
        <v>0</v>
      </c>
      <c r="BF199" s="2189">
        <f t="shared" si="179"/>
        <v>1.1879999999999999</v>
      </c>
      <c r="BG199" s="2189">
        <f t="shared" si="179"/>
        <v>0</v>
      </c>
      <c r="BH199" s="2189">
        <f t="shared" si="179"/>
        <v>0</v>
      </c>
      <c r="BI199" s="2189">
        <f t="shared" si="179"/>
        <v>0</v>
      </c>
      <c r="BJ199" s="2189">
        <f t="shared" si="179"/>
        <v>0</v>
      </c>
      <c r="BK199" s="2189">
        <f t="shared" si="179"/>
        <v>0</v>
      </c>
      <c r="BL199" s="2189">
        <f t="shared" si="179"/>
        <v>0</v>
      </c>
      <c r="BM199" s="2189">
        <f t="shared" si="179"/>
        <v>0</v>
      </c>
      <c r="BN199" s="2189">
        <f t="shared" si="179"/>
        <v>0</v>
      </c>
      <c r="BO199" s="2189">
        <f t="shared" si="179"/>
        <v>0</v>
      </c>
      <c r="BP199" s="2189">
        <f t="shared" si="179"/>
        <v>0</v>
      </c>
      <c r="BQ199" s="2188">
        <f t="shared" si="167"/>
        <v>2.669</v>
      </c>
      <c r="BS199" s="1845" t="s">
        <v>77</v>
      </c>
      <c r="BT199" s="1846">
        <f t="shared" si="168"/>
        <v>8.6999999999999994E-2</v>
      </c>
      <c r="BU199" s="2181">
        <f t="shared" ref="BU199:CY199" si="180">+(BU7+BU23+BU39+BU55+BU71+BU87+BU103+BU119+BU135+BU151+BU167+BU183)</f>
        <v>0</v>
      </c>
      <c r="BV199" s="2181">
        <f t="shared" si="180"/>
        <v>0</v>
      </c>
      <c r="BW199" s="2181">
        <f t="shared" si="180"/>
        <v>0</v>
      </c>
      <c r="BX199" s="2181">
        <f t="shared" si="180"/>
        <v>0</v>
      </c>
      <c r="BY199" s="2181">
        <f t="shared" si="180"/>
        <v>0</v>
      </c>
      <c r="BZ199" s="2181">
        <f t="shared" si="180"/>
        <v>0</v>
      </c>
      <c r="CA199" s="2181">
        <f t="shared" si="180"/>
        <v>0</v>
      </c>
      <c r="CB199" s="2181">
        <f t="shared" si="180"/>
        <v>0</v>
      </c>
      <c r="CC199" s="2181">
        <f t="shared" si="180"/>
        <v>0</v>
      </c>
      <c r="CD199" s="2181">
        <f t="shared" si="180"/>
        <v>0</v>
      </c>
      <c r="CE199" s="2181">
        <f t="shared" si="180"/>
        <v>0</v>
      </c>
      <c r="CF199" s="2181">
        <f t="shared" si="180"/>
        <v>0</v>
      </c>
      <c r="CG199" s="2181">
        <f t="shared" si="180"/>
        <v>0</v>
      </c>
      <c r="CH199" s="2181">
        <f t="shared" si="180"/>
        <v>0</v>
      </c>
      <c r="CI199" s="2181">
        <f t="shared" si="180"/>
        <v>0</v>
      </c>
      <c r="CJ199" s="2181">
        <f t="shared" si="180"/>
        <v>0.01</v>
      </c>
      <c r="CK199" s="2181">
        <f t="shared" si="180"/>
        <v>0</v>
      </c>
      <c r="CL199" s="2181">
        <f t="shared" si="180"/>
        <v>0</v>
      </c>
      <c r="CM199" s="2181">
        <f t="shared" si="180"/>
        <v>0.02</v>
      </c>
      <c r="CN199" s="2181">
        <f t="shared" si="180"/>
        <v>0</v>
      </c>
      <c r="CO199" s="2181">
        <f t="shared" si="180"/>
        <v>0.02</v>
      </c>
      <c r="CP199" s="2181">
        <f t="shared" si="180"/>
        <v>0</v>
      </c>
      <c r="CQ199" s="2181">
        <f t="shared" si="180"/>
        <v>0</v>
      </c>
      <c r="CR199" s="2181">
        <f t="shared" si="180"/>
        <v>0</v>
      </c>
      <c r="CS199" s="2181">
        <f t="shared" si="180"/>
        <v>0</v>
      </c>
      <c r="CT199" s="2181">
        <f t="shared" si="180"/>
        <v>0</v>
      </c>
      <c r="CU199" s="2181">
        <f t="shared" si="180"/>
        <v>1.7000000000000001E-2</v>
      </c>
      <c r="CV199" s="2181">
        <f t="shared" si="180"/>
        <v>0.01</v>
      </c>
      <c r="CW199" s="2181">
        <f t="shared" si="180"/>
        <v>0.01</v>
      </c>
      <c r="CX199" s="2181">
        <f t="shared" si="180"/>
        <v>0</v>
      </c>
      <c r="CY199" s="2181">
        <f t="shared" si="180"/>
        <v>0</v>
      </c>
      <c r="CZ199" s="2180">
        <f t="shared" si="170"/>
        <v>8.6999999999999994E-2</v>
      </c>
      <c r="DB199" s="1962" t="s">
        <v>77</v>
      </c>
      <c r="DC199" s="2175">
        <f t="shared" si="171"/>
        <v>0</v>
      </c>
      <c r="DD199" s="2208">
        <f t="shared" ref="DD199:EH199" si="181">+(DD7+DD23+DD39+DD55+DD71+DD87+DD103+DD119+DD135+DD151+DD167+DD183)</f>
        <v>0</v>
      </c>
      <c r="DE199" s="2208">
        <f t="shared" si="181"/>
        <v>0</v>
      </c>
      <c r="DF199" s="2221">
        <f t="shared" si="181"/>
        <v>0</v>
      </c>
      <c r="DG199" s="2220">
        <f t="shared" si="181"/>
        <v>0</v>
      </c>
      <c r="DH199" s="2219">
        <f t="shared" si="181"/>
        <v>0</v>
      </c>
      <c r="DI199" s="2209">
        <f t="shared" si="181"/>
        <v>0</v>
      </c>
      <c r="DJ199" s="2209">
        <f t="shared" si="181"/>
        <v>0</v>
      </c>
      <c r="DK199" s="2208">
        <f t="shared" si="181"/>
        <v>0</v>
      </c>
      <c r="DL199" s="2208">
        <f t="shared" si="181"/>
        <v>0</v>
      </c>
      <c r="DM199" s="2208">
        <f t="shared" si="181"/>
        <v>0</v>
      </c>
      <c r="DN199" s="2208">
        <f t="shared" si="181"/>
        <v>0</v>
      </c>
      <c r="DO199" s="2208">
        <f t="shared" si="181"/>
        <v>0</v>
      </c>
      <c r="DP199" s="2208">
        <f t="shared" si="181"/>
        <v>0</v>
      </c>
      <c r="DQ199" s="2209">
        <f t="shared" si="181"/>
        <v>0</v>
      </c>
      <c r="DR199" s="2209">
        <f t="shared" si="181"/>
        <v>0</v>
      </c>
      <c r="DS199" s="2209">
        <f t="shared" si="181"/>
        <v>0</v>
      </c>
      <c r="DT199" s="2209">
        <f t="shared" si="181"/>
        <v>0</v>
      </c>
      <c r="DU199" s="2209">
        <f t="shared" si="181"/>
        <v>0</v>
      </c>
      <c r="DV199" s="2209">
        <f t="shared" si="181"/>
        <v>0</v>
      </c>
      <c r="DW199" s="2209">
        <f t="shared" si="181"/>
        <v>0</v>
      </c>
      <c r="DX199" s="2209">
        <f t="shared" si="181"/>
        <v>0</v>
      </c>
      <c r="DY199" s="2209">
        <f t="shared" si="181"/>
        <v>0</v>
      </c>
      <c r="DZ199" s="2209">
        <f t="shared" si="181"/>
        <v>0</v>
      </c>
      <c r="EA199" s="2209">
        <f t="shared" si="181"/>
        <v>0</v>
      </c>
      <c r="EB199" s="2209">
        <f t="shared" si="181"/>
        <v>0</v>
      </c>
      <c r="EC199" s="2209">
        <f t="shared" si="181"/>
        <v>0</v>
      </c>
      <c r="ED199" s="2209">
        <f t="shared" si="181"/>
        <v>0</v>
      </c>
      <c r="EE199" s="2209">
        <f t="shared" si="181"/>
        <v>0</v>
      </c>
      <c r="EF199" s="2218">
        <f t="shared" si="181"/>
        <v>0</v>
      </c>
      <c r="EG199" s="2208">
        <f t="shared" si="181"/>
        <v>0</v>
      </c>
      <c r="EH199" s="2208">
        <f t="shared" si="181"/>
        <v>0</v>
      </c>
      <c r="EI199" s="2171">
        <f t="shared" si="173"/>
        <v>0</v>
      </c>
    </row>
    <row r="200" spans="1:139" ht="15">
      <c r="A200" s="1233" t="s">
        <v>78</v>
      </c>
      <c r="B200" s="1280">
        <f t="shared" si="162"/>
        <v>19.810999999999996</v>
      </c>
      <c r="C200" s="2326">
        <f t="shared" ref="C200:AG200" si="182">+(C88+C104+C120+C136+C152+C168+C184)</f>
        <v>0.44500000000000001</v>
      </c>
      <c r="D200" s="2326">
        <f t="shared" si="182"/>
        <v>0</v>
      </c>
      <c r="E200" s="2326">
        <f t="shared" si="182"/>
        <v>1.536</v>
      </c>
      <c r="F200" s="2326">
        <f t="shared" si="182"/>
        <v>1.4889999999999999</v>
      </c>
      <c r="G200" s="2326">
        <f t="shared" si="182"/>
        <v>0.745</v>
      </c>
      <c r="H200" s="2326">
        <f t="shared" si="182"/>
        <v>0</v>
      </c>
      <c r="I200" s="2326">
        <f t="shared" si="182"/>
        <v>0</v>
      </c>
      <c r="J200" s="2326">
        <f t="shared" si="182"/>
        <v>7.7929999999999993</v>
      </c>
      <c r="K200" s="2326">
        <f t="shared" si="182"/>
        <v>2.677</v>
      </c>
      <c r="L200" s="2326">
        <f t="shared" si="182"/>
        <v>0</v>
      </c>
      <c r="M200" s="2326">
        <f t="shared" si="182"/>
        <v>0.50600000000000001</v>
      </c>
      <c r="N200" s="2326">
        <f t="shared" si="182"/>
        <v>0.2</v>
      </c>
      <c r="O200" s="2326">
        <f t="shared" si="182"/>
        <v>3.63</v>
      </c>
      <c r="P200" s="2326">
        <f t="shared" si="182"/>
        <v>0</v>
      </c>
      <c r="Q200" s="2326">
        <f t="shared" si="182"/>
        <v>0.79</v>
      </c>
      <c r="R200" s="2326">
        <f t="shared" si="182"/>
        <v>0</v>
      </c>
      <c r="S200" s="2326">
        <f t="shared" si="182"/>
        <v>0</v>
      </c>
      <c r="T200" s="2326">
        <f t="shared" si="182"/>
        <v>0</v>
      </c>
      <c r="U200" s="2326">
        <f t="shared" si="182"/>
        <v>0</v>
      </c>
      <c r="V200" s="2326">
        <f t="shared" si="182"/>
        <v>0</v>
      </c>
      <c r="W200" s="2326">
        <f t="shared" si="182"/>
        <v>0</v>
      </c>
      <c r="X200" s="2326">
        <f t="shared" si="182"/>
        <v>0</v>
      </c>
      <c r="Y200" s="2326">
        <f t="shared" si="182"/>
        <v>0</v>
      </c>
      <c r="Z200" s="2326">
        <f t="shared" si="182"/>
        <v>0</v>
      </c>
      <c r="AA200" s="2326">
        <f t="shared" si="182"/>
        <v>0</v>
      </c>
      <c r="AB200" s="2326">
        <f t="shared" si="182"/>
        <v>0</v>
      </c>
      <c r="AC200" s="2326">
        <f t="shared" si="182"/>
        <v>0</v>
      </c>
      <c r="AD200" s="2326">
        <f t="shared" si="182"/>
        <v>0</v>
      </c>
      <c r="AE200" s="2326">
        <f t="shared" si="182"/>
        <v>0</v>
      </c>
      <c r="AF200" s="2326">
        <f t="shared" si="182"/>
        <v>0</v>
      </c>
      <c r="AG200" s="2326">
        <f t="shared" si="182"/>
        <v>0</v>
      </c>
      <c r="AH200" s="2327">
        <f t="shared" si="164"/>
        <v>19.810999999999996</v>
      </c>
      <c r="AJ200" s="1746" t="s">
        <v>78</v>
      </c>
      <c r="AK200" s="1749">
        <f t="shared" si="165"/>
        <v>0</v>
      </c>
      <c r="AL200" s="2189">
        <f t="shared" ref="AL200:BP200" si="183">+(AL8+AL24+AL40+AL56+AL72+AL88+AL104+AL120+AL136+AL152+AL168+AL184)</f>
        <v>0</v>
      </c>
      <c r="AM200" s="2189">
        <f t="shared" si="183"/>
        <v>0</v>
      </c>
      <c r="AN200" s="2189">
        <f t="shared" si="183"/>
        <v>0</v>
      </c>
      <c r="AO200" s="2189">
        <f t="shared" si="183"/>
        <v>0</v>
      </c>
      <c r="AP200" s="2189">
        <f t="shared" si="183"/>
        <v>0</v>
      </c>
      <c r="AQ200" s="2189">
        <f t="shared" si="183"/>
        <v>0</v>
      </c>
      <c r="AR200" s="2189">
        <f t="shared" si="183"/>
        <v>0</v>
      </c>
      <c r="AS200" s="2189">
        <f t="shared" si="183"/>
        <v>0</v>
      </c>
      <c r="AT200" s="2189">
        <f t="shared" si="183"/>
        <v>0</v>
      </c>
      <c r="AU200" s="2189">
        <f t="shared" si="183"/>
        <v>0</v>
      </c>
      <c r="AV200" s="2189">
        <f t="shared" si="183"/>
        <v>0</v>
      </c>
      <c r="AW200" s="2189">
        <f t="shared" si="183"/>
        <v>0</v>
      </c>
      <c r="AX200" s="2189">
        <f t="shared" si="183"/>
        <v>0</v>
      </c>
      <c r="AY200" s="2189">
        <f t="shared" si="183"/>
        <v>0</v>
      </c>
      <c r="AZ200" s="2189">
        <f t="shared" si="183"/>
        <v>0</v>
      </c>
      <c r="BA200" s="2189">
        <f t="shared" si="183"/>
        <v>0</v>
      </c>
      <c r="BB200" s="2189">
        <f t="shared" si="183"/>
        <v>0</v>
      </c>
      <c r="BC200" s="2189">
        <f t="shared" si="183"/>
        <v>0</v>
      </c>
      <c r="BD200" s="2189">
        <f t="shared" si="183"/>
        <v>0</v>
      </c>
      <c r="BE200" s="2189">
        <f t="shared" si="183"/>
        <v>0</v>
      </c>
      <c r="BF200" s="2189">
        <f t="shared" si="183"/>
        <v>0</v>
      </c>
      <c r="BG200" s="2189">
        <f t="shared" si="183"/>
        <v>0</v>
      </c>
      <c r="BH200" s="2189">
        <f t="shared" si="183"/>
        <v>0</v>
      </c>
      <c r="BI200" s="2189">
        <f t="shared" si="183"/>
        <v>0</v>
      </c>
      <c r="BJ200" s="2189">
        <f t="shared" si="183"/>
        <v>0</v>
      </c>
      <c r="BK200" s="2189">
        <f t="shared" si="183"/>
        <v>0</v>
      </c>
      <c r="BL200" s="2189">
        <f t="shared" si="183"/>
        <v>0</v>
      </c>
      <c r="BM200" s="2189">
        <f t="shared" si="183"/>
        <v>0</v>
      </c>
      <c r="BN200" s="2189">
        <f t="shared" si="183"/>
        <v>0</v>
      </c>
      <c r="BO200" s="2189">
        <f t="shared" si="183"/>
        <v>0</v>
      </c>
      <c r="BP200" s="2189">
        <f t="shared" si="183"/>
        <v>0</v>
      </c>
      <c r="BQ200" s="2188">
        <f t="shared" si="167"/>
        <v>0</v>
      </c>
      <c r="BS200" s="1845" t="s">
        <v>78</v>
      </c>
      <c r="BT200" s="1846">
        <f t="shared" si="168"/>
        <v>0</v>
      </c>
      <c r="BU200" s="2181">
        <f t="shared" ref="BU200:CY200" si="184">+(BU8+BU24+BU40+BU56+BU72+BU88+BU104+BU120+BU136+BU152+BU168+BU184)</f>
        <v>0</v>
      </c>
      <c r="BV200" s="2181">
        <f t="shared" si="184"/>
        <v>0</v>
      </c>
      <c r="BW200" s="2181">
        <f t="shared" si="184"/>
        <v>0</v>
      </c>
      <c r="BX200" s="2181">
        <f t="shared" si="184"/>
        <v>0</v>
      </c>
      <c r="BY200" s="2181">
        <f t="shared" si="184"/>
        <v>0</v>
      </c>
      <c r="BZ200" s="2181">
        <f t="shared" si="184"/>
        <v>0</v>
      </c>
      <c r="CA200" s="2181">
        <f t="shared" si="184"/>
        <v>0</v>
      </c>
      <c r="CB200" s="2181">
        <f t="shared" si="184"/>
        <v>0</v>
      </c>
      <c r="CC200" s="2181">
        <f t="shared" si="184"/>
        <v>0</v>
      </c>
      <c r="CD200" s="2181">
        <f t="shared" si="184"/>
        <v>0</v>
      </c>
      <c r="CE200" s="2181">
        <f t="shared" si="184"/>
        <v>0</v>
      </c>
      <c r="CF200" s="2181">
        <f t="shared" si="184"/>
        <v>0</v>
      </c>
      <c r="CG200" s="2181">
        <f t="shared" si="184"/>
        <v>0</v>
      </c>
      <c r="CH200" s="2181">
        <f t="shared" si="184"/>
        <v>0</v>
      </c>
      <c r="CI200" s="2181">
        <f t="shared" si="184"/>
        <v>0</v>
      </c>
      <c r="CJ200" s="2181">
        <f t="shared" si="184"/>
        <v>0</v>
      </c>
      <c r="CK200" s="2181">
        <f t="shared" si="184"/>
        <v>0</v>
      </c>
      <c r="CL200" s="2181">
        <f t="shared" si="184"/>
        <v>0</v>
      </c>
      <c r="CM200" s="2181">
        <f t="shared" si="184"/>
        <v>0</v>
      </c>
      <c r="CN200" s="2181">
        <f t="shared" si="184"/>
        <v>0</v>
      </c>
      <c r="CO200" s="2181">
        <f t="shared" si="184"/>
        <v>0</v>
      </c>
      <c r="CP200" s="2181">
        <f t="shared" si="184"/>
        <v>0</v>
      </c>
      <c r="CQ200" s="2181">
        <f t="shared" si="184"/>
        <v>0</v>
      </c>
      <c r="CR200" s="2181">
        <f t="shared" si="184"/>
        <v>0</v>
      </c>
      <c r="CS200" s="2181">
        <f t="shared" si="184"/>
        <v>0</v>
      </c>
      <c r="CT200" s="2181">
        <f t="shared" si="184"/>
        <v>0</v>
      </c>
      <c r="CU200" s="2181">
        <f t="shared" si="184"/>
        <v>0</v>
      </c>
      <c r="CV200" s="2181">
        <f t="shared" si="184"/>
        <v>0</v>
      </c>
      <c r="CW200" s="2181">
        <f t="shared" si="184"/>
        <v>0</v>
      </c>
      <c r="CX200" s="2181">
        <f t="shared" si="184"/>
        <v>0</v>
      </c>
      <c r="CY200" s="2181">
        <f t="shared" si="184"/>
        <v>0</v>
      </c>
      <c r="CZ200" s="2180">
        <f t="shared" si="170"/>
        <v>0</v>
      </c>
      <c r="DB200" s="1962" t="s">
        <v>78</v>
      </c>
      <c r="DC200" s="2175">
        <f t="shared" si="171"/>
        <v>0</v>
      </c>
      <c r="DD200" s="2215">
        <f t="shared" ref="DD200:EH200" si="185">+(DD8+DD24+DD40+DD56+DD72+DD88+DD104+DD120+DD136+DD152+DD168+DD184)</f>
        <v>0</v>
      </c>
      <c r="DE200" s="2214">
        <f t="shared" si="185"/>
        <v>0</v>
      </c>
      <c r="DF200" s="2213">
        <f t="shared" si="185"/>
        <v>0</v>
      </c>
      <c r="DG200" s="2212">
        <f t="shared" si="185"/>
        <v>0</v>
      </c>
      <c r="DH200" s="2211">
        <f t="shared" si="185"/>
        <v>0</v>
      </c>
      <c r="DI200" s="2210">
        <f t="shared" si="185"/>
        <v>0</v>
      </c>
      <c r="DJ200" s="2209">
        <f t="shared" si="185"/>
        <v>0</v>
      </c>
      <c r="DK200" s="2209">
        <f t="shared" si="185"/>
        <v>0</v>
      </c>
      <c r="DL200" s="2209">
        <f t="shared" si="185"/>
        <v>0</v>
      </c>
      <c r="DM200" s="2209">
        <f t="shared" si="185"/>
        <v>0</v>
      </c>
      <c r="DN200" s="2208">
        <f t="shared" si="185"/>
        <v>0</v>
      </c>
      <c r="DO200" s="2208">
        <f t="shared" si="185"/>
        <v>0</v>
      </c>
      <c r="DP200" s="2208">
        <f t="shared" si="185"/>
        <v>0</v>
      </c>
      <c r="DQ200" s="2208">
        <f t="shared" si="185"/>
        <v>0</v>
      </c>
      <c r="DR200" s="2209">
        <f t="shared" si="185"/>
        <v>0</v>
      </c>
      <c r="DS200" s="2209">
        <f t="shared" si="185"/>
        <v>0</v>
      </c>
      <c r="DT200" s="2209">
        <f t="shared" si="185"/>
        <v>0</v>
      </c>
      <c r="DU200" s="2209">
        <f t="shared" si="185"/>
        <v>0</v>
      </c>
      <c r="DV200" s="2208">
        <f t="shared" si="185"/>
        <v>0</v>
      </c>
      <c r="DW200" s="2209">
        <f t="shared" si="185"/>
        <v>0</v>
      </c>
      <c r="DX200" s="2209">
        <f t="shared" si="185"/>
        <v>0</v>
      </c>
      <c r="DY200" s="2209">
        <f t="shared" si="185"/>
        <v>0</v>
      </c>
      <c r="DZ200" s="2209">
        <f t="shared" si="185"/>
        <v>0</v>
      </c>
      <c r="EA200" s="2209">
        <f t="shared" si="185"/>
        <v>0</v>
      </c>
      <c r="EB200" s="2209">
        <f t="shared" si="185"/>
        <v>0</v>
      </c>
      <c r="EC200" s="2209">
        <f t="shared" si="185"/>
        <v>0</v>
      </c>
      <c r="ED200" s="2208">
        <f t="shared" si="185"/>
        <v>0</v>
      </c>
      <c r="EE200" s="2209">
        <f t="shared" si="185"/>
        <v>0</v>
      </c>
      <c r="EF200" s="2209">
        <f t="shared" si="185"/>
        <v>0</v>
      </c>
      <c r="EG200" s="2208">
        <f t="shared" si="185"/>
        <v>0</v>
      </c>
      <c r="EH200" s="2208">
        <f t="shared" si="185"/>
        <v>0</v>
      </c>
      <c r="EI200" s="2171">
        <f t="shared" si="173"/>
        <v>0</v>
      </c>
    </row>
    <row r="201" spans="1:139" ht="15">
      <c r="A201" s="1233" t="s">
        <v>79</v>
      </c>
      <c r="B201" s="1280">
        <f t="shared" si="162"/>
        <v>1.5289999999999999</v>
      </c>
      <c r="C201" s="2326">
        <f t="shared" ref="C201:AG201" si="186">+(C89+C105+C121+C137+C153+C169+C185)</f>
        <v>0</v>
      </c>
      <c r="D201" s="2326">
        <f t="shared" si="186"/>
        <v>0</v>
      </c>
      <c r="E201" s="2326">
        <f t="shared" si="186"/>
        <v>0</v>
      </c>
      <c r="F201" s="2326">
        <f t="shared" si="186"/>
        <v>0</v>
      </c>
      <c r="G201" s="2326">
        <f t="shared" si="186"/>
        <v>0</v>
      </c>
      <c r="H201" s="2326">
        <f t="shared" si="186"/>
        <v>0</v>
      </c>
      <c r="I201" s="2326">
        <f t="shared" si="186"/>
        <v>0.49</v>
      </c>
      <c r="J201" s="2326">
        <f t="shared" si="186"/>
        <v>0</v>
      </c>
      <c r="K201" s="2326">
        <f t="shared" si="186"/>
        <v>0</v>
      </c>
      <c r="L201" s="2326">
        <f t="shared" si="186"/>
        <v>0</v>
      </c>
      <c r="M201" s="2326">
        <f t="shared" si="186"/>
        <v>0</v>
      </c>
      <c r="N201" s="2326">
        <f t="shared" si="186"/>
        <v>0</v>
      </c>
      <c r="O201" s="2326">
        <f t="shared" si="186"/>
        <v>0</v>
      </c>
      <c r="P201" s="2326">
        <f t="shared" si="186"/>
        <v>0</v>
      </c>
      <c r="Q201" s="2326">
        <f t="shared" si="186"/>
        <v>0</v>
      </c>
      <c r="R201" s="2326">
        <f t="shared" si="186"/>
        <v>0</v>
      </c>
      <c r="S201" s="2326">
        <f t="shared" si="186"/>
        <v>0</v>
      </c>
      <c r="T201" s="2326">
        <f t="shared" si="186"/>
        <v>0</v>
      </c>
      <c r="U201" s="2326">
        <f t="shared" si="186"/>
        <v>0</v>
      </c>
      <c r="V201" s="2326">
        <f t="shared" si="186"/>
        <v>1.0389999999999999</v>
      </c>
      <c r="W201" s="2326">
        <f t="shared" si="186"/>
        <v>0</v>
      </c>
      <c r="X201" s="2326">
        <f t="shared" si="186"/>
        <v>0</v>
      </c>
      <c r="Y201" s="2326">
        <f t="shared" si="186"/>
        <v>0</v>
      </c>
      <c r="Z201" s="2326">
        <f t="shared" si="186"/>
        <v>0</v>
      </c>
      <c r="AA201" s="2326">
        <f t="shared" si="186"/>
        <v>0</v>
      </c>
      <c r="AB201" s="2326">
        <f t="shared" si="186"/>
        <v>0</v>
      </c>
      <c r="AC201" s="2326">
        <f t="shared" si="186"/>
        <v>0</v>
      </c>
      <c r="AD201" s="2326">
        <f t="shared" si="186"/>
        <v>0</v>
      </c>
      <c r="AE201" s="2326">
        <f t="shared" si="186"/>
        <v>0</v>
      </c>
      <c r="AF201" s="2326">
        <f t="shared" si="186"/>
        <v>0</v>
      </c>
      <c r="AG201" s="2326">
        <f t="shared" si="186"/>
        <v>0</v>
      </c>
      <c r="AH201" s="2327">
        <f t="shared" si="164"/>
        <v>1.5289999999999999</v>
      </c>
      <c r="AJ201" s="1746" t="s">
        <v>79</v>
      </c>
      <c r="AK201" s="1749">
        <f t="shared" si="165"/>
        <v>0</v>
      </c>
      <c r="AL201" s="2189">
        <f t="shared" ref="AL201:BP201" si="187">+(AL9+AL25+AL41+AL57+AL73+AL89+AL105+AL121+AL137+AL153+AL169+AL185)</f>
        <v>0</v>
      </c>
      <c r="AM201" s="2189">
        <f t="shared" si="187"/>
        <v>0</v>
      </c>
      <c r="AN201" s="2189">
        <f t="shared" si="187"/>
        <v>0</v>
      </c>
      <c r="AO201" s="2189">
        <f t="shared" si="187"/>
        <v>0</v>
      </c>
      <c r="AP201" s="2189">
        <f t="shared" si="187"/>
        <v>0</v>
      </c>
      <c r="AQ201" s="2189">
        <f t="shared" si="187"/>
        <v>0</v>
      </c>
      <c r="AR201" s="2189">
        <f t="shared" si="187"/>
        <v>0</v>
      </c>
      <c r="AS201" s="2189">
        <f t="shared" si="187"/>
        <v>0</v>
      </c>
      <c r="AT201" s="2189">
        <f t="shared" si="187"/>
        <v>0</v>
      </c>
      <c r="AU201" s="2189">
        <f t="shared" si="187"/>
        <v>0</v>
      </c>
      <c r="AV201" s="2189">
        <f t="shared" si="187"/>
        <v>0</v>
      </c>
      <c r="AW201" s="2189">
        <f t="shared" si="187"/>
        <v>0</v>
      </c>
      <c r="AX201" s="2189">
        <f t="shared" si="187"/>
        <v>0</v>
      </c>
      <c r="AY201" s="2189">
        <f t="shared" si="187"/>
        <v>0</v>
      </c>
      <c r="AZ201" s="2189">
        <f t="shared" si="187"/>
        <v>0</v>
      </c>
      <c r="BA201" s="2189">
        <f t="shared" si="187"/>
        <v>0</v>
      </c>
      <c r="BB201" s="2189">
        <f t="shared" si="187"/>
        <v>0</v>
      </c>
      <c r="BC201" s="2189">
        <f t="shared" si="187"/>
        <v>0</v>
      </c>
      <c r="BD201" s="2189">
        <f t="shared" si="187"/>
        <v>0</v>
      </c>
      <c r="BE201" s="2189">
        <f t="shared" si="187"/>
        <v>0</v>
      </c>
      <c r="BF201" s="2189">
        <f t="shared" si="187"/>
        <v>0</v>
      </c>
      <c r="BG201" s="2189">
        <f t="shared" si="187"/>
        <v>0</v>
      </c>
      <c r="BH201" s="2189">
        <f t="shared" si="187"/>
        <v>0</v>
      </c>
      <c r="BI201" s="2189">
        <f t="shared" si="187"/>
        <v>0</v>
      </c>
      <c r="BJ201" s="2189">
        <f t="shared" si="187"/>
        <v>0</v>
      </c>
      <c r="BK201" s="2189">
        <f t="shared" si="187"/>
        <v>0</v>
      </c>
      <c r="BL201" s="2189">
        <f t="shared" si="187"/>
        <v>0</v>
      </c>
      <c r="BM201" s="2189">
        <f t="shared" si="187"/>
        <v>0</v>
      </c>
      <c r="BN201" s="2189">
        <f t="shared" si="187"/>
        <v>0</v>
      </c>
      <c r="BO201" s="2189">
        <f t="shared" si="187"/>
        <v>0</v>
      </c>
      <c r="BP201" s="2189">
        <f t="shared" si="187"/>
        <v>0</v>
      </c>
      <c r="BQ201" s="2188">
        <f t="shared" si="167"/>
        <v>0</v>
      </c>
      <c r="BS201" s="1845" t="s">
        <v>79</v>
      </c>
      <c r="BT201" s="1846">
        <f t="shared" si="168"/>
        <v>0.03</v>
      </c>
      <c r="BU201" s="2181">
        <f t="shared" ref="BU201:CY201" si="188">+(BU9+BU25+BU41+BU57+BU73+BU89+BU105+BU121+BU137+BU153+BU169+BU185)</f>
        <v>0.02</v>
      </c>
      <c r="BV201" s="2181">
        <f t="shared" si="188"/>
        <v>0</v>
      </c>
      <c r="BW201" s="2181">
        <f t="shared" si="188"/>
        <v>0</v>
      </c>
      <c r="BX201" s="2181">
        <f t="shared" si="188"/>
        <v>0</v>
      </c>
      <c r="BY201" s="2181">
        <f t="shared" si="188"/>
        <v>0</v>
      </c>
      <c r="BZ201" s="2181">
        <f t="shared" si="188"/>
        <v>0</v>
      </c>
      <c r="CA201" s="2181">
        <f t="shared" si="188"/>
        <v>0</v>
      </c>
      <c r="CB201" s="2181">
        <f t="shared" si="188"/>
        <v>0</v>
      </c>
      <c r="CC201" s="2181">
        <f t="shared" si="188"/>
        <v>0</v>
      </c>
      <c r="CD201" s="2181">
        <f t="shared" si="188"/>
        <v>0</v>
      </c>
      <c r="CE201" s="2181">
        <f t="shared" si="188"/>
        <v>0</v>
      </c>
      <c r="CF201" s="2181">
        <f t="shared" si="188"/>
        <v>0</v>
      </c>
      <c r="CG201" s="2181">
        <f t="shared" si="188"/>
        <v>0</v>
      </c>
      <c r="CH201" s="2181">
        <f t="shared" si="188"/>
        <v>0</v>
      </c>
      <c r="CI201" s="2181">
        <f t="shared" si="188"/>
        <v>0</v>
      </c>
      <c r="CJ201" s="2181">
        <f t="shared" si="188"/>
        <v>0</v>
      </c>
      <c r="CK201" s="2181">
        <f t="shared" si="188"/>
        <v>0</v>
      </c>
      <c r="CL201" s="2181">
        <f t="shared" si="188"/>
        <v>0</v>
      </c>
      <c r="CM201" s="2181">
        <f t="shared" si="188"/>
        <v>0</v>
      </c>
      <c r="CN201" s="2181">
        <f t="shared" si="188"/>
        <v>0.01</v>
      </c>
      <c r="CO201" s="2181">
        <f t="shared" si="188"/>
        <v>0</v>
      </c>
      <c r="CP201" s="2181">
        <f t="shared" si="188"/>
        <v>0</v>
      </c>
      <c r="CQ201" s="2181">
        <f t="shared" si="188"/>
        <v>0</v>
      </c>
      <c r="CR201" s="2181">
        <f t="shared" si="188"/>
        <v>0</v>
      </c>
      <c r="CS201" s="2181">
        <f t="shared" si="188"/>
        <v>0</v>
      </c>
      <c r="CT201" s="2181">
        <f t="shared" si="188"/>
        <v>0</v>
      </c>
      <c r="CU201" s="2181">
        <f t="shared" si="188"/>
        <v>0</v>
      </c>
      <c r="CV201" s="2181">
        <f t="shared" si="188"/>
        <v>0</v>
      </c>
      <c r="CW201" s="2181">
        <f t="shared" si="188"/>
        <v>0</v>
      </c>
      <c r="CX201" s="2181">
        <f t="shared" si="188"/>
        <v>0</v>
      </c>
      <c r="CY201" s="2181">
        <f t="shared" si="188"/>
        <v>0</v>
      </c>
      <c r="CZ201" s="2180">
        <f t="shared" si="170"/>
        <v>0.03</v>
      </c>
      <c r="DB201" s="1962" t="s">
        <v>79</v>
      </c>
      <c r="DC201" s="2175">
        <f t="shared" si="171"/>
        <v>1.77</v>
      </c>
      <c r="DD201" s="2172">
        <f t="shared" ref="DD201:EH201" si="189">+(DD9+DD25+DD41+DD57+DD73+DD89+DD105+DD121+DD137+DD153+DD169+DD185)</f>
        <v>0</v>
      </c>
      <c r="DE201" s="2172">
        <f t="shared" si="189"/>
        <v>0</v>
      </c>
      <c r="DF201" s="2172">
        <f t="shared" si="189"/>
        <v>0</v>
      </c>
      <c r="DG201" s="2172">
        <f t="shared" si="189"/>
        <v>0</v>
      </c>
      <c r="DH201" s="2172">
        <f t="shared" si="189"/>
        <v>0</v>
      </c>
      <c r="DI201" s="2172">
        <f t="shared" si="189"/>
        <v>0</v>
      </c>
      <c r="DJ201" s="2172">
        <f t="shared" si="189"/>
        <v>0</v>
      </c>
      <c r="DK201" s="2172">
        <f t="shared" si="189"/>
        <v>0</v>
      </c>
      <c r="DL201" s="2172">
        <f t="shared" si="189"/>
        <v>1.77</v>
      </c>
      <c r="DM201" s="2172">
        <f t="shared" si="189"/>
        <v>0</v>
      </c>
      <c r="DN201" s="2172">
        <f t="shared" si="189"/>
        <v>0</v>
      </c>
      <c r="DO201" s="2172">
        <f t="shared" si="189"/>
        <v>0</v>
      </c>
      <c r="DP201" s="2172">
        <f t="shared" si="189"/>
        <v>0</v>
      </c>
      <c r="DQ201" s="2172">
        <f t="shared" si="189"/>
        <v>0</v>
      </c>
      <c r="DR201" s="2172">
        <f t="shared" si="189"/>
        <v>0</v>
      </c>
      <c r="DS201" s="2172">
        <f t="shared" si="189"/>
        <v>0</v>
      </c>
      <c r="DT201" s="2172">
        <f t="shared" si="189"/>
        <v>0</v>
      </c>
      <c r="DU201" s="2172">
        <f t="shared" si="189"/>
        <v>0</v>
      </c>
      <c r="DV201" s="2172">
        <f t="shared" si="189"/>
        <v>0</v>
      </c>
      <c r="DW201" s="2172">
        <f t="shared" si="189"/>
        <v>0</v>
      </c>
      <c r="DX201" s="2172">
        <f t="shared" si="189"/>
        <v>0</v>
      </c>
      <c r="DY201" s="2172">
        <f t="shared" si="189"/>
        <v>0</v>
      </c>
      <c r="DZ201" s="2172">
        <f t="shared" si="189"/>
        <v>0</v>
      </c>
      <c r="EA201" s="2172">
        <f t="shared" si="189"/>
        <v>0</v>
      </c>
      <c r="EB201" s="2172">
        <f t="shared" si="189"/>
        <v>0</v>
      </c>
      <c r="EC201" s="2172">
        <f t="shared" si="189"/>
        <v>0</v>
      </c>
      <c r="ED201" s="2172">
        <f t="shared" si="189"/>
        <v>0</v>
      </c>
      <c r="EE201" s="2172">
        <f t="shared" si="189"/>
        <v>0</v>
      </c>
      <c r="EF201" s="2172">
        <f t="shared" si="189"/>
        <v>0</v>
      </c>
      <c r="EG201" s="2172">
        <f t="shared" si="189"/>
        <v>0</v>
      </c>
      <c r="EH201" s="2172">
        <f t="shared" si="189"/>
        <v>0</v>
      </c>
      <c r="EI201" s="2171">
        <f t="shared" si="173"/>
        <v>1.77</v>
      </c>
    </row>
    <row r="202" spans="1:139" ht="15">
      <c r="A202" s="1233" t="s">
        <v>80</v>
      </c>
      <c r="B202" s="1280">
        <f t="shared" si="162"/>
        <v>7.020999999999999</v>
      </c>
      <c r="C202" s="2326">
        <f t="shared" ref="C202:AG202" si="190">+(C90+C106+C122+C138+C154+C170+C186)</f>
        <v>0</v>
      </c>
      <c r="D202" s="2326">
        <f t="shared" si="190"/>
        <v>0</v>
      </c>
      <c r="E202" s="2326">
        <f t="shared" si="190"/>
        <v>0</v>
      </c>
      <c r="F202" s="2326">
        <f t="shared" si="190"/>
        <v>0</v>
      </c>
      <c r="G202" s="2326">
        <f t="shared" si="190"/>
        <v>0</v>
      </c>
      <c r="H202" s="2326">
        <f t="shared" si="190"/>
        <v>0.316</v>
      </c>
      <c r="I202" s="2326">
        <f t="shared" si="190"/>
        <v>7.0000000000000007E-2</v>
      </c>
      <c r="J202" s="2326">
        <f t="shared" si="190"/>
        <v>0.20399999999999999</v>
      </c>
      <c r="K202" s="2326">
        <f t="shared" si="190"/>
        <v>0</v>
      </c>
      <c r="L202" s="2326">
        <f t="shared" si="190"/>
        <v>1.272</v>
      </c>
      <c r="M202" s="2326">
        <f t="shared" si="190"/>
        <v>0</v>
      </c>
      <c r="N202" s="2326">
        <f t="shared" si="190"/>
        <v>0.39600000000000002</v>
      </c>
      <c r="O202" s="2326">
        <f t="shared" si="190"/>
        <v>0.57699999999999996</v>
      </c>
      <c r="P202" s="2326">
        <f t="shared" si="190"/>
        <v>1.383</v>
      </c>
      <c r="Q202" s="2326">
        <f t="shared" si="190"/>
        <v>0</v>
      </c>
      <c r="R202" s="2326">
        <f t="shared" si="190"/>
        <v>0</v>
      </c>
      <c r="S202" s="2326">
        <f t="shared" si="190"/>
        <v>0.50800000000000001</v>
      </c>
      <c r="T202" s="2326">
        <f t="shared" si="190"/>
        <v>0</v>
      </c>
      <c r="U202" s="2326">
        <f t="shared" si="190"/>
        <v>0</v>
      </c>
      <c r="V202" s="2326">
        <f t="shared" si="190"/>
        <v>1.6719999999999999</v>
      </c>
      <c r="W202" s="2326">
        <f t="shared" si="190"/>
        <v>0.217</v>
      </c>
      <c r="X202" s="2326">
        <f t="shared" si="190"/>
        <v>0.40600000000000003</v>
      </c>
      <c r="Y202" s="2326">
        <f t="shared" si="190"/>
        <v>0</v>
      </c>
      <c r="Z202" s="2326">
        <f t="shared" si="190"/>
        <v>0</v>
      </c>
      <c r="AA202" s="2326">
        <f t="shared" si="190"/>
        <v>0</v>
      </c>
      <c r="AB202" s="2326">
        <f t="shared" si="190"/>
        <v>0</v>
      </c>
      <c r="AC202" s="2326">
        <f t="shared" si="190"/>
        <v>0</v>
      </c>
      <c r="AD202" s="2326">
        <f t="shared" si="190"/>
        <v>0</v>
      </c>
      <c r="AE202" s="2326">
        <f t="shared" si="190"/>
        <v>0</v>
      </c>
      <c r="AF202" s="2326">
        <f t="shared" si="190"/>
        <v>0</v>
      </c>
      <c r="AG202" s="2326">
        <f t="shared" si="190"/>
        <v>0</v>
      </c>
      <c r="AH202" s="2327">
        <f t="shared" si="164"/>
        <v>7.020999999999999</v>
      </c>
      <c r="AJ202" s="1746" t="s">
        <v>80</v>
      </c>
      <c r="AK202" s="1749">
        <f t="shared" si="165"/>
        <v>0</v>
      </c>
      <c r="AL202" s="2189">
        <f t="shared" ref="AL202:BP202" si="191">+(AL10+AL26+AL42+AL58+AL74+AL90+AL106+AL122+AL138+AL154+AL170+AL186)</f>
        <v>0</v>
      </c>
      <c r="AM202" s="2189">
        <f t="shared" si="191"/>
        <v>0</v>
      </c>
      <c r="AN202" s="2189">
        <f t="shared" si="191"/>
        <v>0</v>
      </c>
      <c r="AO202" s="2189">
        <f t="shared" si="191"/>
        <v>0</v>
      </c>
      <c r="AP202" s="2189">
        <f t="shared" si="191"/>
        <v>0</v>
      </c>
      <c r="AQ202" s="2189">
        <f t="shared" si="191"/>
        <v>0</v>
      </c>
      <c r="AR202" s="2189">
        <f t="shared" si="191"/>
        <v>0</v>
      </c>
      <c r="AS202" s="2189">
        <f t="shared" si="191"/>
        <v>0</v>
      </c>
      <c r="AT202" s="2189">
        <f t="shared" si="191"/>
        <v>0</v>
      </c>
      <c r="AU202" s="2189">
        <f t="shared" si="191"/>
        <v>0</v>
      </c>
      <c r="AV202" s="2189">
        <f t="shared" si="191"/>
        <v>0</v>
      </c>
      <c r="AW202" s="2189">
        <f t="shared" si="191"/>
        <v>0</v>
      </c>
      <c r="AX202" s="2189">
        <f t="shared" si="191"/>
        <v>0</v>
      </c>
      <c r="AY202" s="2189">
        <f t="shared" si="191"/>
        <v>0</v>
      </c>
      <c r="AZ202" s="2189">
        <f t="shared" si="191"/>
        <v>0</v>
      </c>
      <c r="BA202" s="2189">
        <f t="shared" si="191"/>
        <v>0</v>
      </c>
      <c r="BB202" s="2189">
        <f t="shared" si="191"/>
        <v>0</v>
      </c>
      <c r="BC202" s="2189">
        <f t="shared" si="191"/>
        <v>0</v>
      </c>
      <c r="BD202" s="2189">
        <f t="shared" si="191"/>
        <v>0</v>
      </c>
      <c r="BE202" s="2189">
        <f t="shared" si="191"/>
        <v>0</v>
      </c>
      <c r="BF202" s="2189">
        <f t="shared" si="191"/>
        <v>0</v>
      </c>
      <c r="BG202" s="2189">
        <f t="shared" si="191"/>
        <v>0</v>
      </c>
      <c r="BH202" s="2189">
        <f t="shared" si="191"/>
        <v>0</v>
      </c>
      <c r="BI202" s="2189">
        <f t="shared" si="191"/>
        <v>0</v>
      </c>
      <c r="BJ202" s="2189">
        <f t="shared" si="191"/>
        <v>0</v>
      </c>
      <c r="BK202" s="2189">
        <f t="shared" si="191"/>
        <v>0</v>
      </c>
      <c r="BL202" s="2189">
        <f t="shared" si="191"/>
        <v>0</v>
      </c>
      <c r="BM202" s="2189">
        <f t="shared" si="191"/>
        <v>0</v>
      </c>
      <c r="BN202" s="2189">
        <f t="shared" si="191"/>
        <v>0</v>
      </c>
      <c r="BO202" s="2189">
        <f t="shared" si="191"/>
        <v>0</v>
      </c>
      <c r="BP202" s="2189">
        <f t="shared" si="191"/>
        <v>0</v>
      </c>
      <c r="BQ202" s="2188">
        <f t="shared" si="167"/>
        <v>0</v>
      </c>
      <c r="BS202" s="1845" t="s">
        <v>80</v>
      </c>
      <c r="BT202" s="1846">
        <f t="shared" si="168"/>
        <v>0.87999999999999989</v>
      </c>
      <c r="BU202" s="2181">
        <f t="shared" ref="BU202:CY202" si="192">+(BU10+BU26+BU42+BU58+BU74+BU90+BU106+BU122+BU138+BU154+BU170+BU186)</f>
        <v>0</v>
      </c>
      <c r="BV202" s="2181">
        <f t="shared" si="192"/>
        <v>0</v>
      </c>
      <c r="BW202" s="2181">
        <f t="shared" si="192"/>
        <v>0</v>
      </c>
      <c r="BX202" s="2181">
        <f t="shared" si="192"/>
        <v>0.15</v>
      </c>
      <c r="BY202" s="2181">
        <f t="shared" si="192"/>
        <v>0.08</v>
      </c>
      <c r="BZ202" s="2181">
        <f t="shared" si="192"/>
        <v>0.2</v>
      </c>
      <c r="CA202" s="2181">
        <f t="shared" si="192"/>
        <v>0.15</v>
      </c>
      <c r="CB202" s="2181">
        <f t="shared" si="192"/>
        <v>0.3</v>
      </c>
      <c r="CC202" s="2181">
        <f t="shared" si="192"/>
        <v>0</v>
      </c>
      <c r="CD202" s="2181">
        <f t="shared" si="192"/>
        <v>0</v>
      </c>
      <c r="CE202" s="2181">
        <f t="shared" si="192"/>
        <v>0</v>
      </c>
      <c r="CF202" s="2181">
        <f t="shared" si="192"/>
        <v>0</v>
      </c>
      <c r="CG202" s="2181">
        <f t="shared" si="192"/>
        <v>0</v>
      </c>
      <c r="CH202" s="2181">
        <f t="shared" si="192"/>
        <v>0</v>
      </c>
      <c r="CI202" s="2181">
        <f t="shared" si="192"/>
        <v>0</v>
      </c>
      <c r="CJ202" s="2181">
        <f t="shared" si="192"/>
        <v>0</v>
      </c>
      <c r="CK202" s="2181">
        <f t="shared" si="192"/>
        <v>0</v>
      </c>
      <c r="CL202" s="2181">
        <f t="shared" si="192"/>
        <v>0</v>
      </c>
      <c r="CM202" s="2181">
        <f t="shared" si="192"/>
        <v>0</v>
      </c>
      <c r="CN202" s="2181">
        <f t="shared" si="192"/>
        <v>0</v>
      </c>
      <c r="CO202" s="2181">
        <f t="shared" si="192"/>
        <v>0</v>
      </c>
      <c r="CP202" s="2181">
        <f t="shared" si="192"/>
        <v>0</v>
      </c>
      <c r="CQ202" s="2181">
        <f t="shared" si="192"/>
        <v>0</v>
      </c>
      <c r="CR202" s="2181">
        <f t="shared" si="192"/>
        <v>0</v>
      </c>
      <c r="CS202" s="2181">
        <f t="shared" si="192"/>
        <v>0</v>
      </c>
      <c r="CT202" s="2181">
        <f t="shared" si="192"/>
        <v>0</v>
      </c>
      <c r="CU202" s="2181">
        <f t="shared" si="192"/>
        <v>0</v>
      </c>
      <c r="CV202" s="2181">
        <f t="shared" si="192"/>
        <v>0</v>
      </c>
      <c r="CW202" s="2181">
        <f t="shared" si="192"/>
        <v>0</v>
      </c>
      <c r="CX202" s="2181">
        <f t="shared" si="192"/>
        <v>0</v>
      </c>
      <c r="CY202" s="2181">
        <f t="shared" si="192"/>
        <v>0</v>
      </c>
      <c r="CZ202" s="2180">
        <f t="shared" si="170"/>
        <v>0.87999999999999989</v>
      </c>
      <c r="DB202" s="1962" t="s">
        <v>80</v>
      </c>
      <c r="DC202" s="2175">
        <f t="shared" si="171"/>
        <v>0</v>
      </c>
      <c r="DD202" s="2172">
        <f t="shared" ref="DD202:EH202" si="193">+(DD10+DD26+DD42+DD58+DD74+DD90+DD106+DD122+DD138+DD154+DD170+DD186)</f>
        <v>0</v>
      </c>
      <c r="DE202" s="2172">
        <f t="shared" si="193"/>
        <v>0</v>
      </c>
      <c r="DF202" s="2172">
        <f t="shared" si="193"/>
        <v>0</v>
      </c>
      <c r="DG202" s="2172">
        <f t="shared" si="193"/>
        <v>0</v>
      </c>
      <c r="DH202" s="2172">
        <f t="shared" si="193"/>
        <v>0</v>
      </c>
      <c r="DI202" s="2172">
        <f t="shared" si="193"/>
        <v>0</v>
      </c>
      <c r="DJ202" s="2172">
        <f t="shared" si="193"/>
        <v>0</v>
      </c>
      <c r="DK202" s="2172">
        <f t="shared" si="193"/>
        <v>0</v>
      </c>
      <c r="DL202" s="2172">
        <f t="shared" si="193"/>
        <v>0</v>
      </c>
      <c r="DM202" s="2172">
        <f t="shared" si="193"/>
        <v>0</v>
      </c>
      <c r="DN202" s="2172">
        <f t="shared" si="193"/>
        <v>0</v>
      </c>
      <c r="DO202" s="2172">
        <f t="shared" si="193"/>
        <v>0</v>
      </c>
      <c r="DP202" s="2172">
        <f t="shared" si="193"/>
        <v>0</v>
      </c>
      <c r="DQ202" s="2172">
        <f t="shared" si="193"/>
        <v>0</v>
      </c>
      <c r="DR202" s="2172">
        <f t="shared" si="193"/>
        <v>0</v>
      </c>
      <c r="DS202" s="2172">
        <f t="shared" si="193"/>
        <v>0</v>
      </c>
      <c r="DT202" s="2172">
        <f t="shared" si="193"/>
        <v>0</v>
      </c>
      <c r="DU202" s="2172">
        <f t="shared" si="193"/>
        <v>0</v>
      </c>
      <c r="DV202" s="2172">
        <f t="shared" si="193"/>
        <v>0</v>
      </c>
      <c r="DW202" s="2172">
        <f t="shared" si="193"/>
        <v>0</v>
      </c>
      <c r="DX202" s="2172">
        <f t="shared" si="193"/>
        <v>0</v>
      </c>
      <c r="DY202" s="2172">
        <f t="shared" si="193"/>
        <v>0</v>
      </c>
      <c r="DZ202" s="2172">
        <f t="shared" si="193"/>
        <v>0</v>
      </c>
      <c r="EA202" s="2172">
        <f t="shared" si="193"/>
        <v>0</v>
      </c>
      <c r="EB202" s="2172">
        <f t="shared" si="193"/>
        <v>0</v>
      </c>
      <c r="EC202" s="2172">
        <f t="shared" si="193"/>
        <v>0</v>
      </c>
      <c r="ED202" s="2172">
        <f t="shared" si="193"/>
        <v>0</v>
      </c>
      <c r="EE202" s="2172">
        <f t="shared" si="193"/>
        <v>0</v>
      </c>
      <c r="EF202" s="2172">
        <f t="shared" si="193"/>
        <v>0</v>
      </c>
      <c r="EG202" s="2172">
        <f t="shared" si="193"/>
        <v>0</v>
      </c>
      <c r="EH202" s="2172">
        <f t="shared" si="193"/>
        <v>0</v>
      </c>
      <c r="EI202" s="2171">
        <f t="shared" si="173"/>
        <v>0</v>
      </c>
    </row>
    <row r="203" spans="1:139" ht="15">
      <c r="A203" s="1233" t="s">
        <v>81</v>
      </c>
      <c r="B203" s="1280">
        <f t="shared" si="162"/>
        <v>7.8E-2</v>
      </c>
      <c r="C203" s="2326">
        <f t="shared" ref="C203:AG203" si="194">+(C91+C107+C123+C139+C155+C171+C187)</f>
        <v>0</v>
      </c>
      <c r="D203" s="2326">
        <f t="shared" si="194"/>
        <v>0</v>
      </c>
      <c r="E203" s="2326">
        <f t="shared" si="194"/>
        <v>0</v>
      </c>
      <c r="F203" s="2326">
        <f t="shared" si="194"/>
        <v>0</v>
      </c>
      <c r="G203" s="2326">
        <f t="shared" si="194"/>
        <v>7.8E-2</v>
      </c>
      <c r="H203" s="2326">
        <f t="shared" si="194"/>
        <v>0</v>
      </c>
      <c r="I203" s="2326">
        <f t="shared" si="194"/>
        <v>0</v>
      </c>
      <c r="J203" s="2326">
        <f t="shared" si="194"/>
        <v>0</v>
      </c>
      <c r="K203" s="2326">
        <f t="shared" si="194"/>
        <v>0</v>
      </c>
      <c r="L203" s="2326">
        <f t="shared" si="194"/>
        <v>0</v>
      </c>
      <c r="M203" s="2326">
        <f t="shared" si="194"/>
        <v>0</v>
      </c>
      <c r="N203" s="2326">
        <f t="shared" si="194"/>
        <v>0</v>
      </c>
      <c r="O203" s="2326">
        <f t="shared" si="194"/>
        <v>0</v>
      </c>
      <c r="P203" s="2326">
        <f t="shared" si="194"/>
        <v>0</v>
      </c>
      <c r="Q203" s="2326">
        <f t="shared" si="194"/>
        <v>0</v>
      </c>
      <c r="R203" s="2326">
        <f t="shared" si="194"/>
        <v>0</v>
      </c>
      <c r="S203" s="2326">
        <f t="shared" si="194"/>
        <v>0</v>
      </c>
      <c r="T203" s="2326">
        <f t="shared" si="194"/>
        <v>0</v>
      </c>
      <c r="U203" s="2326">
        <f t="shared" si="194"/>
        <v>0</v>
      </c>
      <c r="V203" s="2326">
        <f t="shared" si="194"/>
        <v>0</v>
      </c>
      <c r="W203" s="2326">
        <f t="shared" si="194"/>
        <v>0</v>
      </c>
      <c r="X203" s="2326">
        <f t="shared" si="194"/>
        <v>0</v>
      </c>
      <c r="Y203" s="2326">
        <f t="shared" si="194"/>
        <v>0</v>
      </c>
      <c r="Z203" s="2326">
        <f t="shared" si="194"/>
        <v>0</v>
      </c>
      <c r="AA203" s="2326">
        <f t="shared" si="194"/>
        <v>0</v>
      </c>
      <c r="AB203" s="2326">
        <f t="shared" si="194"/>
        <v>0</v>
      </c>
      <c r="AC203" s="2326">
        <f t="shared" si="194"/>
        <v>0</v>
      </c>
      <c r="AD203" s="2326">
        <f t="shared" si="194"/>
        <v>0</v>
      </c>
      <c r="AE203" s="2326">
        <f t="shared" si="194"/>
        <v>0</v>
      </c>
      <c r="AF203" s="2326">
        <f t="shared" si="194"/>
        <v>0</v>
      </c>
      <c r="AG203" s="2326">
        <f t="shared" si="194"/>
        <v>0</v>
      </c>
      <c r="AH203" s="2327">
        <f t="shared" si="164"/>
        <v>7.8E-2</v>
      </c>
      <c r="AJ203" s="1746" t="s">
        <v>81</v>
      </c>
      <c r="AK203" s="1749">
        <f t="shared" si="165"/>
        <v>0</v>
      </c>
      <c r="AL203" s="2189">
        <f t="shared" ref="AL203:BP203" si="195">+(AL11+AL27+AL43+AL59+AL75+AL91+AL107+AL123+AL139+AL155+AL171+AL187)</f>
        <v>0</v>
      </c>
      <c r="AM203" s="2189">
        <f t="shared" si="195"/>
        <v>0</v>
      </c>
      <c r="AN203" s="2189">
        <f t="shared" si="195"/>
        <v>0</v>
      </c>
      <c r="AO203" s="2189">
        <f t="shared" si="195"/>
        <v>0</v>
      </c>
      <c r="AP203" s="2189">
        <f t="shared" si="195"/>
        <v>0</v>
      </c>
      <c r="AQ203" s="2189">
        <f t="shared" si="195"/>
        <v>0</v>
      </c>
      <c r="AR203" s="2189">
        <f t="shared" si="195"/>
        <v>0</v>
      </c>
      <c r="AS203" s="2189">
        <f t="shared" si="195"/>
        <v>0</v>
      </c>
      <c r="AT203" s="2189">
        <f t="shared" si="195"/>
        <v>0</v>
      </c>
      <c r="AU203" s="2189">
        <f t="shared" si="195"/>
        <v>0</v>
      </c>
      <c r="AV203" s="2189">
        <f t="shared" si="195"/>
        <v>0</v>
      </c>
      <c r="AW203" s="2189">
        <f t="shared" si="195"/>
        <v>0</v>
      </c>
      <c r="AX203" s="2189">
        <f t="shared" si="195"/>
        <v>0</v>
      </c>
      <c r="AY203" s="2189">
        <f t="shared" si="195"/>
        <v>0</v>
      </c>
      <c r="AZ203" s="2189">
        <f t="shared" si="195"/>
        <v>0</v>
      </c>
      <c r="BA203" s="2189">
        <f t="shared" si="195"/>
        <v>0</v>
      </c>
      <c r="BB203" s="2189">
        <f t="shared" si="195"/>
        <v>0</v>
      </c>
      <c r="BC203" s="2189">
        <f t="shared" si="195"/>
        <v>0</v>
      </c>
      <c r="BD203" s="2189">
        <f t="shared" si="195"/>
        <v>0</v>
      </c>
      <c r="BE203" s="2189">
        <f t="shared" si="195"/>
        <v>0</v>
      </c>
      <c r="BF203" s="2189">
        <f t="shared" si="195"/>
        <v>0</v>
      </c>
      <c r="BG203" s="2189">
        <f t="shared" si="195"/>
        <v>0</v>
      </c>
      <c r="BH203" s="2189">
        <f t="shared" si="195"/>
        <v>0</v>
      </c>
      <c r="BI203" s="2189">
        <f t="shared" si="195"/>
        <v>0</v>
      </c>
      <c r="BJ203" s="2189">
        <f t="shared" si="195"/>
        <v>0</v>
      </c>
      <c r="BK203" s="2189">
        <f t="shared" si="195"/>
        <v>0</v>
      </c>
      <c r="BL203" s="2189">
        <f t="shared" si="195"/>
        <v>0</v>
      </c>
      <c r="BM203" s="2189">
        <f t="shared" si="195"/>
        <v>0</v>
      </c>
      <c r="BN203" s="2189">
        <f t="shared" si="195"/>
        <v>0</v>
      </c>
      <c r="BO203" s="2189">
        <f t="shared" si="195"/>
        <v>0</v>
      </c>
      <c r="BP203" s="2189">
        <f t="shared" si="195"/>
        <v>0</v>
      </c>
      <c r="BQ203" s="2188">
        <f t="shared" si="167"/>
        <v>0</v>
      </c>
      <c r="BS203" s="1845" t="s">
        <v>81</v>
      </c>
      <c r="BT203" s="1846">
        <f t="shared" si="168"/>
        <v>0</v>
      </c>
      <c r="BU203" s="2181">
        <f t="shared" ref="BU203:CY203" si="196">+(BU11+BU27+BU43+BU59+BU75+BU91+BU107+BU123+BU139+BU155+BU171+BU187)</f>
        <v>0</v>
      </c>
      <c r="BV203" s="2181">
        <f t="shared" si="196"/>
        <v>0</v>
      </c>
      <c r="BW203" s="2181">
        <f t="shared" si="196"/>
        <v>0</v>
      </c>
      <c r="BX203" s="2181">
        <f t="shared" si="196"/>
        <v>0</v>
      </c>
      <c r="BY203" s="2181">
        <f t="shared" si="196"/>
        <v>0</v>
      </c>
      <c r="BZ203" s="2181">
        <f t="shared" si="196"/>
        <v>0</v>
      </c>
      <c r="CA203" s="2181">
        <f t="shared" si="196"/>
        <v>0</v>
      </c>
      <c r="CB203" s="2181">
        <f t="shared" si="196"/>
        <v>0</v>
      </c>
      <c r="CC203" s="2181">
        <f t="shared" si="196"/>
        <v>0</v>
      </c>
      <c r="CD203" s="2181">
        <f t="shared" si="196"/>
        <v>0</v>
      </c>
      <c r="CE203" s="2181">
        <f t="shared" si="196"/>
        <v>0</v>
      </c>
      <c r="CF203" s="2181">
        <f t="shared" si="196"/>
        <v>0</v>
      </c>
      <c r="CG203" s="2181">
        <f t="shared" si="196"/>
        <v>0</v>
      </c>
      <c r="CH203" s="2181">
        <f t="shared" si="196"/>
        <v>0</v>
      </c>
      <c r="CI203" s="2181">
        <f t="shared" si="196"/>
        <v>0</v>
      </c>
      <c r="CJ203" s="2181">
        <f t="shared" si="196"/>
        <v>0</v>
      </c>
      <c r="CK203" s="2181">
        <f t="shared" si="196"/>
        <v>0</v>
      </c>
      <c r="CL203" s="2181">
        <f t="shared" si="196"/>
        <v>0</v>
      </c>
      <c r="CM203" s="2181">
        <f t="shared" si="196"/>
        <v>0</v>
      </c>
      <c r="CN203" s="2181">
        <f t="shared" si="196"/>
        <v>0</v>
      </c>
      <c r="CO203" s="2181">
        <f t="shared" si="196"/>
        <v>0</v>
      </c>
      <c r="CP203" s="2181">
        <f t="shared" si="196"/>
        <v>0</v>
      </c>
      <c r="CQ203" s="2181">
        <f t="shared" si="196"/>
        <v>0</v>
      </c>
      <c r="CR203" s="2181">
        <f t="shared" si="196"/>
        <v>0</v>
      </c>
      <c r="CS203" s="2181">
        <f t="shared" si="196"/>
        <v>0</v>
      </c>
      <c r="CT203" s="2181">
        <f t="shared" si="196"/>
        <v>0</v>
      </c>
      <c r="CU203" s="2181">
        <f t="shared" si="196"/>
        <v>0</v>
      </c>
      <c r="CV203" s="2181">
        <f t="shared" si="196"/>
        <v>0</v>
      </c>
      <c r="CW203" s="2181">
        <f t="shared" si="196"/>
        <v>0</v>
      </c>
      <c r="CX203" s="2181">
        <f t="shared" si="196"/>
        <v>0</v>
      </c>
      <c r="CY203" s="2181">
        <f t="shared" si="196"/>
        <v>0</v>
      </c>
      <c r="CZ203" s="2180">
        <f t="shared" si="170"/>
        <v>0</v>
      </c>
      <c r="DB203" s="1962" t="s">
        <v>81</v>
      </c>
      <c r="DC203" s="2175">
        <f t="shared" si="171"/>
        <v>0</v>
      </c>
      <c r="DD203" s="2172">
        <f t="shared" ref="DD203:EH203" si="197">+(DD11+DD27+DD43+DD59+DD75+DD91+DD107+DD123+DD139+DD155+DD171+DD187)</f>
        <v>0</v>
      </c>
      <c r="DE203" s="2172">
        <f t="shared" si="197"/>
        <v>0</v>
      </c>
      <c r="DF203" s="2172">
        <f t="shared" si="197"/>
        <v>0</v>
      </c>
      <c r="DG203" s="2172">
        <f t="shared" si="197"/>
        <v>0</v>
      </c>
      <c r="DH203" s="2172">
        <f t="shared" si="197"/>
        <v>0</v>
      </c>
      <c r="DI203" s="2172">
        <f t="shared" si="197"/>
        <v>0</v>
      </c>
      <c r="DJ203" s="2172">
        <f t="shared" si="197"/>
        <v>0</v>
      </c>
      <c r="DK203" s="2172">
        <f t="shared" si="197"/>
        <v>0</v>
      </c>
      <c r="DL203" s="2172">
        <f t="shared" si="197"/>
        <v>0</v>
      </c>
      <c r="DM203" s="2172">
        <f t="shared" si="197"/>
        <v>0</v>
      </c>
      <c r="DN203" s="2172">
        <f t="shared" si="197"/>
        <v>0</v>
      </c>
      <c r="DO203" s="2172">
        <f t="shared" si="197"/>
        <v>0</v>
      </c>
      <c r="DP203" s="2172">
        <f t="shared" si="197"/>
        <v>0</v>
      </c>
      <c r="DQ203" s="2172">
        <f t="shared" si="197"/>
        <v>0</v>
      </c>
      <c r="DR203" s="2172">
        <f t="shared" si="197"/>
        <v>0</v>
      </c>
      <c r="DS203" s="2172">
        <f t="shared" si="197"/>
        <v>0</v>
      </c>
      <c r="DT203" s="2172">
        <f t="shared" si="197"/>
        <v>0</v>
      </c>
      <c r="DU203" s="2172">
        <f t="shared" si="197"/>
        <v>0</v>
      </c>
      <c r="DV203" s="2172">
        <f t="shared" si="197"/>
        <v>0</v>
      </c>
      <c r="DW203" s="2172">
        <f t="shared" si="197"/>
        <v>0</v>
      </c>
      <c r="DX203" s="2172">
        <f t="shared" si="197"/>
        <v>0</v>
      </c>
      <c r="DY203" s="2172">
        <f t="shared" si="197"/>
        <v>0</v>
      </c>
      <c r="DZ203" s="2172">
        <f t="shared" si="197"/>
        <v>0</v>
      </c>
      <c r="EA203" s="2172">
        <f t="shared" si="197"/>
        <v>0</v>
      </c>
      <c r="EB203" s="2172">
        <f t="shared" si="197"/>
        <v>0</v>
      </c>
      <c r="EC203" s="2172">
        <f t="shared" si="197"/>
        <v>0</v>
      </c>
      <c r="ED203" s="2172">
        <f t="shared" si="197"/>
        <v>0</v>
      </c>
      <c r="EE203" s="2172">
        <f t="shared" si="197"/>
        <v>0</v>
      </c>
      <c r="EF203" s="2172">
        <f t="shared" si="197"/>
        <v>0</v>
      </c>
      <c r="EG203" s="2172">
        <f t="shared" si="197"/>
        <v>0</v>
      </c>
      <c r="EH203" s="2172">
        <f t="shared" si="197"/>
        <v>0</v>
      </c>
      <c r="EI203" s="2171">
        <f t="shared" si="173"/>
        <v>0</v>
      </c>
    </row>
    <row r="204" spans="1:139" ht="15">
      <c r="A204" s="1233" t="s">
        <v>82</v>
      </c>
      <c r="B204" s="1280">
        <f t="shared" si="162"/>
        <v>5.5919999999999996</v>
      </c>
      <c r="C204" s="2326">
        <f t="shared" ref="C204:AG204" si="198">+(C92+C108+C124+C140+C156+C172+C188)</f>
        <v>4.718</v>
      </c>
      <c r="D204" s="2326">
        <f t="shared" si="198"/>
        <v>0</v>
      </c>
      <c r="E204" s="2326">
        <f t="shared" si="198"/>
        <v>0.156</v>
      </c>
      <c r="F204" s="2326">
        <f t="shared" si="198"/>
        <v>0</v>
      </c>
      <c r="G204" s="2326">
        <f t="shared" si="198"/>
        <v>0</v>
      </c>
      <c r="H204" s="2326">
        <f t="shared" si="198"/>
        <v>0</v>
      </c>
      <c r="I204" s="2326">
        <f t="shared" si="198"/>
        <v>0</v>
      </c>
      <c r="J204" s="2326">
        <f t="shared" si="198"/>
        <v>0</v>
      </c>
      <c r="K204" s="2326">
        <f t="shared" si="198"/>
        <v>0</v>
      </c>
      <c r="L204" s="2326">
        <f t="shared" si="198"/>
        <v>0</v>
      </c>
      <c r="M204" s="2326">
        <f t="shared" si="198"/>
        <v>0</v>
      </c>
      <c r="N204" s="2326">
        <f t="shared" si="198"/>
        <v>0</v>
      </c>
      <c r="O204" s="2326">
        <f t="shared" si="198"/>
        <v>0</v>
      </c>
      <c r="P204" s="2326">
        <f t="shared" si="198"/>
        <v>0.48199999999999998</v>
      </c>
      <c r="Q204" s="2326">
        <f t="shared" si="198"/>
        <v>0</v>
      </c>
      <c r="R204" s="2326">
        <f t="shared" si="198"/>
        <v>0</v>
      </c>
      <c r="S204" s="2326">
        <f t="shared" si="198"/>
        <v>0.23599999999999999</v>
      </c>
      <c r="T204" s="2326">
        <f t="shared" si="198"/>
        <v>0</v>
      </c>
      <c r="U204" s="2326">
        <f t="shared" si="198"/>
        <v>0</v>
      </c>
      <c r="V204" s="2326">
        <f t="shared" si="198"/>
        <v>0</v>
      </c>
      <c r="W204" s="2326">
        <f t="shared" si="198"/>
        <v>0</v>
      </c>
      <c r="X204" s="2326">
        <f t="shared" si="198"/>
        <v>0</v>
      </c>
      <c r="Y204" s="2326">
        <f t="shared" si="198"/>
        <v>0</v>
      </c>
      <c r="Z204" s="2326">
        <f t="shared" si="198"/>
        <v>0</v>
      </c>
      <c r="AA204" s="2326">
        <f t="shared" si="198"/>
        <v>0</v>
      </c>
      <c r="AB204" s="2326">
        <f t="shared" si="198"/>
        <v>0</v>
      </c>
      <c r="AC204" s="2326">
        <f t="shared" si="198"/>
        <v>0</v>
      </c>
      <c r="AD204" s="2326">
        <f t="shared" si="198"/>
        <v>0</v>
      </c>
      <c r="AE204" s="2326">
        <f t="shared" si="198"/>
        <v>0</v>
      </c>
      <c r="AF204" s="2326">
        <f t="shared" si="198"/>
        <v>0</v>
      </c>
      <c r="AG204" s="2326">
        <f t="shared" si="198"/>
        <v>0</v>
      </c>
      <c r="AH204" s="2327">
        <f t="shared" si="164"/>
        <v>5.5919999999999996</v>
      </c>
      <c r="AJ204" s="1746" t="s">
        <v>82</v>
      </c>
      <c r="AK204" s="1749">
        <f t="shared" si="165"/>
        <v>0</v>
      </c>
      <c r="AL204" s="2189">
        <f t="shared" ref="AL204:BP204" si="199">+(AL12+AL28+AL44+AL60+AL76+AL92+AL108+AL124+AL140+AL156+AL172+AL188)</f>
        <v>0</v>
      </c>
      <c r="AM204" s="2189">
        <f t="shared" si="199"/>
        <v>0</v>
      </c>
      <c r="AN204" s="2189">
        <f t="shared" si="199"/>
        <v>0</v>
      </c>
      <c r="AO204" s="2189">
        <f t="shared" si="199"/>
        <v>0</v>
      </c>
      <c r="AP204" s="2189">
        <f t="shared" si="199"/>
        <v>0</v>
      </c>
      <c r="AQ204" s="2189">
        <f t="shared" si="199"/>
        <v>0</v>
      </c>
      <c r="AR204" s="2189">
        <f t="shared" si="199"/>
        <v>0</v>
      </c>
      <c r="AS204" s="2189">
        <f t="shared" si="199"/>
        <v>0</v>
      </c>
      <c r="AT204" s="2189">
        <f t="shared" si="199"/>
        <v>0</v>
      </c>
      <c r="AU204" s="2189">
        <f t="shared" si="199"/>
        <v>0</v>
      </c>
      <c r="AV204" s="2189">
        <f t="shared" si="199"/>
        <v>0</v>
      </c>
      <c r="AW204" s="2189">
        <f t="shared" si="199"/>
        <v>0</v>
      </c>
      <c r="AX204" s="2189">
        <f t="shared" si="199"/>
        <v>0</v>
      </c>
      <c r="AY204" s="2189">
        <f t="shared" si="199"/>
        <v>0</v>
      </c>
      <c r="AZ204" s="2189">
        <f t="shared" si="199"/>
        <v>0</v>
      </c>
      <c r="BA204" s="2189">
        <f t="shared" si="199"/>
        <v>0</v>
      </c>
      <c r="BB204" s="2189">
        <f t="shared" si="199"/>
        <v>0</v>
      </c>
      <c r="BC204" s="2189">
        <f t="shared" si="199"/>
        <v>0</v>
      </c>
      <c r="BD204" s="2189">
        <f t="shared" si="199"/>
        <v>0</v>
      </c>
      <c r="BE204" s="2189">
        <f t="shared" si="199"/>
        <v>0</v>
      </c>
      <c r="BF204" s="2189">
        <f t="shared" si="199"/>
        <v>0</v>
      </c>
      <c r="BG204" s="2189">
        <f t="shared" si="199"/>
        <v>0</v>
      </c>
      <c r="BH204" s="2189">
        <f t="shared" si="199"/>
        <v>0</v>
      </c>
      <c r="BI204" s="2189">
        <f t="shared" si="199"/>
        <v>0</v>
      </c>
      <c r="BJ204" s="2189">
        <f t="shared" si="199"/>
        <v>0</v>
      </c>
      <c r="BK204" s="2189">
        <f t="shared" si="199"/>
        <v>0</v>
      </c>
      <c r="BL204" s="2189">
        <f t="shared" si="199"/>
        <v>0</v>
      </c>
      <c r="BM204" s="2189">
        <f t="shared" si="199"/>
        <v>0</v>
      </c>
      <c r="BN204" s="2189">
        <f t="shared" si="199"/>
        <v>0</v>
      </c>
      <c r="BO204" s="2189">
        <f t="shared" si="199"/>
        <v>0</v>
      </c>
      <c r="BP204" s="2189">
        <f t="shared" si="199"/>
        <v>0</v>
      </c>
      <c r="BQ204" s="2188">
        <f t="shared" si="167"/>
        <v>0</v>
      </c>
      <c r="BS204" s="1845" t="s">
        <v>82</v>
      </c>
      <c r="BT204" s="1846">
        <f t="shared" si="168"/>
        <v>2.8000000000000001E-2</v>
      </c>
      <c r="BU204" s="2181">
        <f t="shared" ref="BU204:CY204" si="200">+(BU12+BU28+BU44+BU60+BU76+BU92+BU108+BU124+BU140+BU156+BU172+BU188)</f>
        <v>0</v>
      </c>
      <c r="BV204" s="2181">
        <f t="shared" si="200"/>
        <v>0</v>
      </c>
      <c r="BW204" s="2181">
        <f t="shared" si="200"/>
        <v>0</v>
      </c>
      <c r="BX204" s="2181">
        <f t="shared" si="200"/>
        <v>0</v>
      </c>
      <c r="BY204" s="2181">
        <f t="shared" si="200"/>
        <v>0</v>
      </c>
      <c r="BZ204" s="2181">
        <f t="shared" si="200"/>
        <v>0</v>
      </c>
      <c r="CA204" s="2181">
        <f t="shared" si="200"/>
        <v>0</v>
      </c>
      <c r="CB204" s="2181">
        <f t="shared" si="200"/>
        <v>0</v>
      </c>
      <c r="CC204" s="2181">
        <f t="shared" si="200"/>
        <v>0</v>
      </c>
      <c r="CD204" s="2181">
        <f t="shared" si="200"/>
        <v>0</v>
      </c>
      <c r="CE204" s="2181">
        <f t="shared" si="200"/>
        <v>0</v>
      </c>
      <c r="CF204" s="2181">
        <f t="shared" si="200"/>
        <v>0</v>
      </c>
      <c r="CG204" s="2181">
        <f t="shared" si="200"/>
        <v>0</v>
      </c>
      <c r="CH204" s="2181">
        <f t="shared" si="200"/>
        <v>0</v>
      </c>
      <c r="CI204" s="2181">
        <f t="shared" si="200"/>
        <v>0</v>
      </c>
      <c r="CJ204" s="2181">
        <f t="shared" si="200"/>
        <v>0</v>
      </c>
      <c r="CK204" s="2181">
        <f t="shared" si="200"/>
        <v>0</v>
      </c>
      <c r="CL204" s="2181">
        <f t="shared" si="200"/>
        <v>0</v>
      </c>
      <c r="CM204" s="2181">
        <f t="shared" si="200"/>
        <v>0</v>
      </c>
      <c r="CN204" s="2181">
        <f t="shared" si="200"/>
        <v>0</v>
      </c>
      <c r="CO204" s="2181">
        <f t="shared" si="200"/>
        <v>0</v>
      </c>
      <c r="CP204" s="2181">
        <f t="shared" si="200"/>
        <v>2.8000000000000001E-2</v>
      </c>
      <c r="CQ204" s="2181">
        <f t="shared" si="200"/>
        <v>0</v>
      </c>
      <c r="CR204" s="2181">
        <f t="shared" si="200"/>
        <v>0</v>
      </c>
      <c r="CS204" s="2181">
        <f t="shared" si="200"/>
        <v>0</v>
      </c>
      <c r="CT204" s="2181">
        <f t="shared" si="200"/>
        <v>0</v>
      </c>
      <c r="CU204" s="2181">
        <f t="shared" si="200"/>
        <v>0</v>
      </c>
      <c r="CV204" s="2181">
        <f t="shared" si="200"/>
        <v>0</v>
      </c>
      <c r="CW204" s="2181">
        <f t="shared" si="200"/>
        <v>0</v>
      </c>
      <c r="CX204" s="2181">
        <f t="shared" si="200"/>
        <v>0</v>
      </c>
      <c r="CY204" s="2181">
        <f t="shared" si="200"/>
        <v>0</v>
      </c>
      <c r="CZ204" s="2180">
        <f t="shared" si="170"/>
        <v>2.8000000000000001E-2</v>
      </c>
      <c r="DB204" s="1962" t="s">
        <v>82</v>
      </c>
      <c r="DC204" s="2175">
        <f t="shared" si="171"/>
        <v>0</v>
      </c>
      <c r="DD204" s="2172">
        <f t="shared" ref="DD204:EH204" si="201">+(DD12+DD28+DD44+DD60+DD76+DD92+DD108+DD124+DD140+DD156+DD172+DD188)</f>
        <v>0</v>
      </c>
      <c r="DE204" s="2172">
        <f t="shared" si="201"/>
        <v>0</v>
      </c>
      <c r="DF204" s="2172">
        <f t="shared" si="201"/>
        <v>0</v>
      </c>
      <c r="DG204" s="2172">
        <f t="shared" si="201"/>
        <v>0</v>
      </c>
      <c r="DH204" s="2172">
        <f t="shared" si="201"/>
        <v>0</v>
      </c>
      <c r="DI204" s="2172">
        <f t="shared" si="201"/>
        <v>0</v>
      </c>
      <c r="DJ204" s="2172">
        <f t="shared" si="201"/>
        <v>0</v>
      </c>
      <c r="DK204" s="2172">
        <f t="shared" si="201"/>
        <v>0</v>
      </c>
      <c r="DL204" s="2172">
        <f t="shared" si="201"/>
        <v>0</v>
      </c>
      <c r="DM204" s="2172">
        <f t="shared" si="201"/>
        <v>0</v>
      </c>
      <c r="DN204" s="2172">
        <f t="shared" si="201"/>
        <v>0</v>
      </c>
      <c r="DO204" s="2172">
        <f t="shared" si="201"/>
        <v>0</v>
      </c>
      <c r="DP204" s="2172">
        <f t="shared" si="201"/>
        <v>0</v>
      </c>
      <c r="DQ204" s="2172">
        <f t="shared" si="201"/>
        <v>0</v>
      </c>
      <c r="DR204" s="2172">
        <f t="shared" si="201"/>
        <v>0</v>
      </c>
      <c r="DS204" s="2172">
        <f t="shared" si="201"/>
        <v>0</v>
      </c>
      <c r="DT204" s="2172">
        <f t="shared" si="201"/>
        <v>0</v>
      </c>
      <c r="DU204" s="2172">
        <f t="shared" si="201"/>
        <v>0</v>
      </c>
      <c r="DV204" s="2172">
        <f t="shared" si="201"/>
        <v>0</v>
      </c>
      <c r="DW204" s="2172">
        <f t="shared" si="201"/>
        <v>0</v>
      </c>
      <c r="DX204" s="2172">
        <f t="shared" si="201"/>
        <v>0</v>
      </c>
      <c r="DY204" s="2172">
        <f t="shared" si="201"/>
        <v>0</v>
      </c>
      <c r="DZ204" s="2172">
        <f t="shared" si="201"/>
        <v>0</v>
      </c>
      <c r="EA204" s="2172">
        <f t="shared" si="201"/>
        <v>0</v>
      </c>
      <c r="EB204" s="2172">
        <f t="shared" si="201"/>
        <v>0</v>
      </c>
      <c r="EC204" s="2172">
        <f t="shared" si="201"/>
        <v>0</v>
      </c>
      <c r="ED204" s="2172">
        <f t="shared" si="201"/>
        <v>0</v>
      </c>
      <c r="EE204" s="2172">
        <f t="shared" si="201"/>
        <v>0</v>
      </c>
      <c r="EF204" s="2172">
        <f t="shared" si="201"/>
        <v>0</v>
      </c>
      <c r="EG204" s="2172">
        <f t="shared" si="201"/>
        <v>0</v>
      </c>
      <c r="EH204" s="2172">
        <f t="shared" si="201"/>
        <v>0</v>
      </c>
      <c r="EI204" s="2171">
        <f t="shared" si="173"/>
        <v>0</v>
      </c>
    </row>
    <row r="205" spans="1:139" ht="15">
      <c r="A205" s="1233" t="s">
        <v>83</v>
      </c>
      <c r="B205" s="1280">
        <f t="shared" si="162"/>
        <v>5.2409999999999997</v>
      </c>
      <c r="C205" s="2326">
        <f t="shared" ref="C205:AG205" si="202">+(C93+C109+C125+C141+C157+C173+C189)</f>
        <v>0</v>
      </c>
      <c r="D205" s="2326">
        <f t="shared" si="202"/>
        <v>0</v>
      </c>
      <c r="E205" s="2326">
        <f t="shared" si="202"/>
        <v>1.2839999999999998</v>
      </c>
      <c r="F205" s="2326">
        <f t="shared" si="202"/>
        <v>0.111</v>
      </c>
      <c r="G205" s="2326">
        <f t="shared" si="202"/>
        <v>0</v>
      </c>
      <c r="H205" s="2326">
        <f t="shared" si="202"/>
        <v>0</v>
      </c>
      <c r="I205" s="2326">
        <f t="shared" si="202"/>
        <v>0</v>
      </c>
      <c r="J205" s="2326">
        <f t="shared" si="202"/>
        <v>0</v>
      </c>
      <c r="K205" s="2326">
        <f t="shared" si="202"/>
        <v>0</v>
      </c>
      <c r="L205" s="2326">
        <f t="shared" si="202"/>
        <v>0</v>
      </c>
      <c r="M205" s="2326">
        <f t="shared" si="202"/>
        <v>1.9490000000000001</v>
      </c>
      <c r="N205" s="2326">
        <f t="shared" si="202"/>
        <v>0</v>
      </c>
      <c r="O205" s="2326">
        <f t="shared" si="202"/>
        <v>0</v>
      </c>
      <c r="P205" s="2326">
        <f t="shared" si="202"/>
        <v>1.897</v>
      </c>
      <c r="Q205" s="2326">
        <f t="shared" si="202"/>
        <v>0</v>
      </c>
      <c r="R205" s="2326">
        <f t="shared" si="202"/>
        <v>0</v>
      </c>
      <c r="S205" s="2326">
        <f t="shared" si="202"/>
        <v>0</v>
      </c>
      <c r="T205" s="2326">
        <f t="shared" si="202"/>
        <v>0</v>
      </c>
      <c r="U205" s="2326">
        <f t="shared" si="202"/>
        <v>0</v>
      </c>
      <c r="V205" s="2326">
        <f t="shared" si="202"/>
        <v>0</v>
      </c>
      <c r="W205" s="2326">
        <f t="shared" si="202"/>
        <v>0</v>
      </c>
      <c r="X205" s="2326">
        <f t="shared" si="202"/>
        <v>0</v>
      </c>
      <c r="Y205" s="2326">
        <f t="shared" si="202"/>
        <v>0</v>
      </c>
      <c r="Z205" s="2326">
        <f t="shared" si="202"/>
        <v>0</v>
      </c>
      <c r="AA205" s="2326">
        <f t="shared" si="202"/>
        <v>0</v>
      </c>
      <c r="AB205" s="2326">
        <f t="shared" si="202"/>
        <v>0</v>
      </c>
      <c r="AC205" s="2326">
        <f t="shared" si="202"/>
        <v>0</v>
      </c>
      <c r="AD205" s="2326">
        <f t="shared" si="202"/>
        <v>0</v>
      </c>
      <c r="AE205" s="2326">
        <f t="shared" si="202"/>
        <v>0</v>
      </c>
      <c r="AF205" s="2326">
        <f t="shared" si="202"/>
        <v>0</v>
      </c>
      <c r="AG205" s="2326">
        <f t="shared" si="202"/>
        <v>0</v>
      </c>
      <c r="AH205" s="2327">
        <f t="shared" si="164"/>
        <v>5.2409999999999997</v>
      </c>
      <c r="AJ205" s="1746" t="s">
        <v>83</v>
      </c>
      <c r="AK205" s="1749">
        <f t="shared" si="165"/>
        <v>1.954</v>
      </c>
      <c r="AL205" s="2189">
        <f t="shared" ref="AL205:BP205" si="203">+(AL13+AL29+AL45+AL61+AL77+AL93+AL109+AL125+AL141+AL157+AL173+AL189)</f>
        <v>0</v>
      </c>
      <c r="AM205" s="2189">
        <f t="shared" si="203"/>
        <v>0</v>
      </c>
      <c r="AN205" s="2189">
        <f t="shared" si="203"/>
        <v>0</v>
      </c>
      <c r="AO205" s="2189">
        <f t="shared" si="203"/>
        <v>0</v>
      </c>
      <c r="AP205" s="2189">
        <f t="shared" si="203"/>
        <v>0</v>
      </c>
      <c r="AQ205" s="2189">
        <f t="shared" si="203"/>
        <v>0.47499999999999998</v>
      </c>
      <c r="AR205" s="2189">
        <f t="shared" si="203"/>
        <v>0</v>
      </c>
      <c r="AS205" s="2189">
        <f t="shared" si="203"/>
        <v>0</v>
      </c>
      <c r="AT205" s="2189">
        <f t="shared" si="203"/>
        <v>0</v>
      </c>
      <c r="AU205" s="2189">
        <f t="shared" si="203"/>
        <v>0</v>
      </c>
      <c r="AV205" s="2189">
        <f t="shared" si="203"/>
        <v>0.39</v>
      </c>
      <c r="AW205" s="2189">
        <f t="shared" si="203"/>
        <v>0</v>
      </c>
      <c r="AX205" s="2189">
        <f t="shared" si="203"/>
        <v>0.52</v>
      </c>
      <c r="AY205" s="2189">
        <f t="shared" si="203"/>
        <v>0.56899999999999995</v>
      </c>
      <c r="AZ205" s="2189">
        <f t="shared" si="203"/>
        <v>0</v>
      </c>
      <c r="BA205" s="2189">
        <f t="shared" si="203"/>
        <v>0</v>
      </c>
      <c r="BB205" s="2189">
        <f t="shared" si="203"/>
        <v>0</v>
      </c>
      <c r="BC205" s="2189">
        <f t="shared" si="203"/>
        <v>0</v>
      </c>
      <c r="BD205" s="2189">
        <f t="shared" si="203"/>
        <v>0</v>
      </c>
      <c r="BE205" s="2189">
        <f t="shared" si="203"/>
        <v>0</v>
      </c>
      <c r="BF205" s="2189">
        <f t="shared" si="203"/>
        <v>0</v>
      </c>
      <c r="BG205" s="2189">
        <f t="shared" si="203"/>
        <v>0</v>
      </c>
      <c r="BH205" s="2189">
        <f t="shared" si="203"/>
        <v>0</v>
      </c>
      <c r="BI205" s="2189">
        <f t="shared" si="203"/>
        <v>0</v>
      </c>
      <c r="BJ205" s="2189">
        <f t="shared" si="203"/>
        <v>0</v>
      </c>
      <c r="BK205" s="2189">
        <f t="shared" si="203"/>
        <v>0</v>
      </c>
      <c r="BL205" s="2189">
        <f t="shared" si="203"/>
        <v>0</v>
      </c>
      <c r="BM205" s="2189">
        <f t="shared" si="203"/>
        <v>0</v>
      </c>
      <c r="BN205" s="2189">
        <f t="shared" si="203"/>
        <v>0</v>
      </c>
      <c r="BO205" s="2189">
        <f t="shared" si="203"/>
        <v>0</v>
      </c>
      <c r="BP205" s="2189">
        <f t="shared" si="203"/>
        <v>0</v>
      </c>
      <c r="BQ205" s="2188">
        <f t="shared" si="167"/>
        <v>1.954</v>
      </c>
      <c r="BS205" s="1845" t="s">
        <v>83</v>
      </c>
      <c r="BT205" s="1846">
        <f t="shared" si="168"/>
        <v>1.8000000000000002E-2</v>
      </c>
      <c r="BU205" s="2181">
        <f t="shared" ref="BU205:CY205" si="204">+(BU13+BU29+BU45+BU61+BU77+BU93+BU109+BU125+BU141+BU157+BU173+BU189)</f>
        <v>0</v>
      </c>
      <c r="BV205" s="2181">
        <f t="shared" si="204"/>
        <v>0</v>
      </c>
      <c r="BW205" s="2181">
        <f t="shared" si="204"/>
        <v>0</v>
      </c>
      <c r="BX205" s="2181">
        <f t="shared" si="204"/>
        <v>0</v>
      </c>
      <c r="BY205" s="2181">
        <f t="shared" si="204"/>
        <v>0</v>
      </c>
      <c r="BZ205" s="2181">
        <f t="shared" si="204"/>
        <v>0</v>
      </c>
      <c r="CA205" s="2181">
        <f t="shared" si="204"/>
        <v>0</v>
      </c>
      <c r="CB205" s="2181">
        <f t="shared" si="204"/>
        <v>0</v>
      </c>
      <c r="CC205" s="2181">
        <f t="shared" si="204"/>
        <v>0</v>
      </c>
      <c r="CD205" s="2181">
        <f t="shared" si="204"/>
        <v>0</v>
      </c>
      <c r="CE205" s="2181">
        <f t="shared" si="204"/>
        <v>0</v>
      </c>
      <c r="CF205" s="2181">
        <f t="shared" si="204"/>
        <v>0</v>
      </c>
      <c r="CG205" s="2181">
        <f t="shared" si="204"/>
        <v>0</v>
      </c>
      <c r="CH205" s="2181">
        <f t="shared" si="204"/>
        <v>0</v>
      </c>
      <c r="CI205" s="2181">
        <f t="shared" si="204"/>
        <v>0</v>
      </c>
      <c r="CJ205" s="2181">
        <f t="shared" si="204"/>
        <v>0</v>
      </c>
      <c r="CK205" s="2181">
        <f t="shared" si="204"/>
        <v>0</v>
      </c>
      <c r="CL205" s="2181">
        <f t="shared" si="204"/>
        <v>0</v>
      </c>
      <c r="CM205" s="2181">
        <f t="shared" si="204"/>
        <v>0</v>
      </c>
      <c r="CN205" s="2181">
        <f t="shared" si="204"/>
        <v>0</v>
      </c>
      <c r="CO205" s="2181">
        <f t="shared" si="204"/>
        <v>0</v>
      </c>
      <c r="CP205" s="2181">
        <f t="shared" si="204"/>
        <v>0</v>
      </c>
      <c r="CQ205" s="2181">
        <f t="shared" si="204"/>
        <v>0</v>
      </c>
      <c r="CR205" s="2181">
        <f t="shared" si="204"/>
        <v>0</v>
      </c>
      <c r="CS205" s="2181">
        <f t="shared" si="204"/>
        <v>0</v>
      </c>
      <c r="CT205" s="2181">
        <f t="shared" si="204"/>
        <v>0</v>
      </c>
      <c r="CU205" s="2181">
        <f t="shared" si="204"/>
        <v>8.0000000000000002E-3</v>
      </c>
      <c r="CV205" s="2181">
        <f t="shared" si="204"/>
        <v>0.01</v>
      </c>
      <c r="CW205" s="2181">
        <f t="shared" si="204"/>
        <v>0</v>
      </c>
      <c r="CX205" s="2181">
        <f t="shared" si="204"/>
        <v>0</v>
      </c>
      <c r="CY205" s="2181">
        <f t="shared" si="204"/>
        <v>0</v>
      </c>
      <c r="CZ205" s="2180">
        <f t="shared" si="170"/>
        <v>1.8000000000000002E-2</v>
      </c>
      <c r="DB205" s="1962" t="s">
        <v>83</v>
      </c>
      <c r="DC205" s="2175">
        <f t="shared" si="171"/>
        <v>0</v>
      </c>
      <c r="DD205" s="2172">
        <f t="shared" ref="DD205:EH205" si="205">+(DD13+DD29+DD45+DD61+DD77+DD93+DD109+DD125+DD141+DD157+DD173+DD189)</f>
        <v>0</v>
      </c>
      <c r="DE205" s="2172">
        <f t="shared" si="205"/>
        <v>0</v>
      </c>
      <c r="DF205" s="2172">
        <f t="shared" si="205"/>
        <v>0</v>
      </c>
      <c r="DG205" s="2172">
        <f t="shared" si="205"/>
        <v>0</v>
      </c>
      <c r="DH205" s="2172">
        <f t="shared" si="205"/>
        <v>0</v>
      </c>
      <c r="DI205" s="2172">
        <f t="shared" si="205"/>
        <v>0</v>
      </c>
      <c r="DJ205" s="2172">
        <f t="shared" si="205"/>
        <v>0</v>
      </c>
      <c r="DK205" s="2172">
        <f t="shared" si="205"/>
        <v>0</v>
      </c>
      <c r="DL205" s="2172">
        <f t="shared" si="205"/>
        <v>0</v>
      </c>
      <c r="DM205" s="2172">
        <f t="shared" si="205"/>
        <v>0</v>
      </c>
      <c r="DN205" s="2172">
        <f t="shared" si="205"/>
        <v>0</v>
      </c>
      <c r="DO205" s="2172">
        <f t="shared" si="205"/>
        <v>0</v>
      </c>
      <c r="DP205" s="2172">
        <f t="shared" si="205"/>
        <v>0</v>
      </c>
      <c r="DQ205" s="2172">
        <f t="shared" si="205"/>
        <v>0</v>
      </c>
      <c r="DR205" s="2172">
        <f t="shared" si="205"/>
        <v>0</v>
      </c>
      <c r="DS205" s="2172">
        <f t="shared" si="205"/>
        <v>0</v>
      </c>
      <c r="DT205" s="2172">
        <f t="shared" si="205"/>
        <v>0</v>
      </c>
      <c r="DU205" s="2172">
        <f t="shared" si="205"/>
        <v>0</v>
      </c>
      <c r="DV205" s="2172">
        <f t="shared" si="205"/>
        <v>0</v>
      </c>
      <c r="DW205" s="2172">
        <f t="shared" si="205"/>
        <v>0</v>
      </c>
      <c r="DX205" s="2172">
        <f t="shared" si="205"/>
        <v>0</v>
      </c>
      <c r="DY205" s="2172">
        <f t="shared" si="205"/>
        <v>0</v>
      </c>
      <c r="DZ205" s="2172">
        <f t="shared" si="205"/>
        <v>0</v>
      </c>
      <c r="EA205" s="2172">
        <f t="shared" si="205"/>
        <v>0</v>
      </c>
      <c r="EB205" s="2172">
        <f t="shared" si="205"/>
        <v>0</v>
      </c>
      <c r="EC205" s="2172">
        <f t="shared" si="205"/>
        <v>0</v>
      </c>
      <c r="ED205" s="2172">
        <f t="shared" si="205"/>
        <v>0</v>
      </c>
      <c r="EE205" s="2172">
        <f t="shared" si="205"/>
        <v>0</v>
      </c>
      <c r="EF205" s="2172">
        <f t="shared" si="205"/>
        <v>0</v>
      </c>
      <c r="EG205" s="2172">
        <f t="shared" si="205"/>
        <v>0</v>
      </c>
      <c r="EH205" s="2172">
        <f t="shared" si="205"/>
        <v>0</v>
      </c>
      <c r="EI205" s="2171">
        <f t="shared" si="173"/>
        <v>0</v>
      </c>
    </row>
    <row r="206" spans="1:139" ht="15">
      <c r="A206" s="1233" t="s">
        <v>84</v>
      </c>
      <c r="B206" s="1280">
        <f t="shared" si="162"/>
        <v>3.8</v>
      </c>
      <c r="C206" s="2326">
        <f t="shared" ref="C206:AG206" si="206">+(C94+C110+C126+C142+C158+C174+C190)</f>
        <v>0</v>
      </c>
      <c r="D206" s="2326">
        <f t="shared" si="206"/>
        <v>0</v>
      </c>
      <c r="E206" s="2326">
        <f t="shared" si="206"/>
        <v>0</v>
      </c>
      <c r="F206" s="2326">
        <f t="shared" si="206"/>
        <v>0</v>
      </c>
      <c r="G206" s="2326">
        <f t="shared" si="206"/>
        <v>0</v>
      </c>
      <c r="H206" s="2326">
        <f t="shared" si="206"/>
        <v>0</v>
      </c>
      <c r="I206" s="2326">
        <f t="shared" si="206"/>
        <v>0</v>
      </c>
      <c r="J206" s="2326">
        <f t="shared" si="206"/>
        <v>0</v>
      </c>
      <c r="K206" s="2326">
        <f t="shared" si="206"/>
        <v>0</v>
      </c>
      <c r="L206" s="2326">
        <f t="shared" si="206"/>
        <v>0</v>
      </c>
      <c r="M206" s="2326">
        <f t="shared" si="206"/>
        <v>0</v>
      </c>
      <c r="N206" s="2326">
        <f t="shared" si="206"/>
        <v>0</v>
      </c>
      <c r="O206" s="2326">
        <f t="shared" si="206"/>
        <v>0</v>
      </c>
      <c r="P206" s="2326">
        <f t="shared" si="206"/>
        <v>0</v>
      </c>
      <c r="Q206" s="2326">
        <f t="shared" si="206"/>
        <v>0</v>
      </c>
      <c r="R206" s="2326">
        <f t="shared" si="206"/>
        <v>0</v>
      </c>
      <c r="S206" s="2326">
        <f t="shared" si="206"/>
        <v>0</v>
      </c>
      <c r="T206" s="2326">
        <f t="shared" si="206"/>
        <v>0</v>
      </c>
      <c r="U206" s="2326">
        <f t="shared" si="206"/>
        <v>0</v>
      </c>
      <c r="V206" s="2326">
        <f t="shared" si="206"/>
        <v>0</v>
      </c>
      <c r="W206" s="2326">
        <f t="shared" si="206"/>
        <v>0</v>
      </c>
      <c r="X206" s="2326">
        <f t="shared" si="206"/>
        <v>0</v>
      </c>
      <c r="Y206" s="2326">
        <f t="shared" si="206"/>
        <v>0</v>
      </c>
      <c r="Z206" s="2326">
        <f t="shared" si="206"/>
        <v>0</v>
      </c>
      <c r="AA206" s="2326">
        <f t="shared" si="206"/>
        <v>0</v>
      </c>
      <c r="AB206" s="2326">
        <f t="shared" si="206"/>
        <v>0</v>
      </c>
      <c r="AC206" s="2326">
        <f t="shared" si="206"/>
        <v>0</v>
      </c>
      <c r="AD206" s="2326">
        <f t="shared" si="206"/>
        <v>0</v>
      </c>
      <c r="AE206" s="2326">
        <f t="shared" si="206"/>
        <v>2</v>
      </c>
      <c r="AF206" s="2326">
        <f t="shared" si="206"/>
        <v>1.8</v>
      </c>
      <c r="AG206" s="2326">
        <f t="shared" si="206"/>
        <v>0</v>
      </c>
      <c r="AH206" s="2327">
        <f t="shared" si="164"/>
        <v>3.8</v>
      </c>
      <c r="AJ206" s="1746" t="s">
        <v>84</v>
      </c>
      <c r="AK206" s="1749">
        <f t="shared" si="165"/>
        <v>0.45</v>
      </c>
      <c r="AL206" s="2189">
        <f t="shared" ref="AL206:BP206" si="207">+(AL14+AL30+AL46+AL62+AL78+AL94+AL110+AL126+AL142+AL158+AL174+AL190)</f>
        <v>0</v>
      </c>
      <c r="AM206" s="2189">
        <f t="shared" si="207"/>
        <v>0</v>
      </c>
      <c r="AN206" s="2189">
        <f t="shared" si="207"/>
        <v>0</v>
      </c>
      <c r="AO206" s="2189">
        <f t="shared" si="207"/>
        <v>0</v>
      </c>
      <c r="AP206" s="2189">
        <f t="shared" si="207"/>
        <v>0</v>
      </c>
      <c r="AQ206" s="2189">
        <f t="shared" si="207"/>
        <v>0</v>
      </c>
      <c r="AR206" s="2189">
        <f t="shared" si="207"/>
        <v>0</v>
      </c>
      <c r="AS206" s="2189">
        <f t="shared" si="207"/>
        <v>0</v>
      </c>
      <c r="AT206" s="2189">
        <f t="shared" si="207"/>
        <v>0</v>
      </c>
      <c r="AU206" s="2189">
        <f t="shared" si="207"/>
        <v>0</v>
      </c>
      <c r="AV206" s="2189">
        <f t="shared" si="207"/>
        <v>0</v>
      </c>
      <c r="AW206" s="2189">
        <f t="shared" si="207"/>
        <v>0</v>
      </c>
      <c r="AX206" s="2189">
        <f t="shared" si="207"/>
        <v>0</v>
      </c>
      <c r="AY206" s="2189">
        <f t="shared" si="207"/>
        <v>0</v>
      </c>
      <c r="AZ206" s="2189">
        <f t="shared" si="207"/>
        <v>0</v>
      </c>
      <c r="BA206" s="2189">
        <f t="shared" si="207"/>
        <v>0.45</v>
      </c>
      <c r="BB206" s="2189">
        <f t="shared" si="207"/>
        <v>0</v>
      </c>
      <c r="BC206" s="2189">
        <f t="shared" si="207"/>
        <v>0</v>
      </c>
      <c r="BD206" s="2189">
        <f t="shared" si="207"/>
        <v>0</v>
      </c>
      <c r="BE206" s="2189">
        <f t="shared" si="207"/>
        <v>0</v>
      </c>
      <c r="BF206" s="2189">
        <f t="shared" si="207"/>
        <v>0</v>
      </c>
      <c r="BG206" s="2189">
        <f t="shared" si="207"/>
        <v>0</v>
      </c>
      <c r="BH206" s="2189">
        <f t="shared" si="207"/>
        <v>0</v>
      </c>
      <c r="BI206" s="2189">
        <f t="shared" si="207"/>
        <v>0</v>
      </c>
      <c r="BJ206" s="2189">
        <f t="shared" si="207"/>
        <v>0</v>
      </c>
      <c r="BK206" s="2189">
        <f t="shared" si="207"/>
        <v>0</v>
      </c>
      <c r="BL206" s="2189">
        <f t="shared" si="207"/>
        <v>0</v>
      </c>
      <c r="BM206" s="2189">
        <f t="shared" si="207"/>
        <v>0</v>
      </c>
      <c r="BN206" s="2189">
        <f t="shared" si="207"/>
        <v>0</v>
      </c>
      <c r="BO206" s="2189">
        <f t="shared" si="207"/>
        <v>0</v>
      </c>
      <c r="BP206" s="2189">
        <f t="shared" si="207"/>
        <v>0</v>
      </c>
      <c r="BQ206" s="2188">
        <f t="shared" si="167"/>
        <v>0.45</v>
      </c>
      <c r="BS206" s="1845" t="s">
        <v>84</v>
      </c>
      <c r="BT206" s="1846">
        <f t="shared" si="168"/>
        <v>1.7999999999999999E-2</v>
      </c>
      <c r="BU206" s="2181">
        <f t="shared" ref="BU206:CY206" si="208">+(BU14+BU30+BU46+BU62+BU78+BU94+BU110+BU126+BU142+BU158+BU174+BU190)</f>
        <v>0</v>
      </c>
      <c r="BV206" s="2181">
        <f t="shared" si="208"/>
        <v>0</v>
      </c>
      <c r="BW206" s="2181">
        <f t="shared" si="208"/>
        <v>0</v>
      </c>
      <c r="BX206" s="2181">
        <f t="shared" si="208"/>
        <v>3.0000000000000001E-3</v>
      </c>
      <c r="BY206" s="2181">
        <f t="shared" si="208"/>
        <v>0</v>
      </c>
      <c r="BZ206" s="2181">
        <f t="shared" si="208"/>
        <v>0</v>
      </c>
      <c r="CA206" s="2181">
        <f t="shared" si="208"/>
        <v>0</v>
      </c>
      <c r="CB206" s="2181">
        <f t="shared" si="208"/>
        <v>0</v>
      </c>
      <c r="CC206" s="2181">
        <f t="shared" si="208"/>
        <v>0</v>
      </c>
      <c r="CD206" s="2181">
        <f t="shared" si="208"/>
        <v>0</v>
      </c>
      <c r="CE206" s="2181">
        <f t="shared" si="208"/>
        <v>0</v>
      </c>
      <c r="CF206" s="2181">
        <f t="shared" si="208"/>
        <v>0</v>
      </c>
      <c r="CG206" s="2181">
        <f t="shared" si="208"/>
        <v>0</v>
      </c>
      <c r="CH206" s="2181">
        <f t="shared" si="208"/>
        <v>0</v>
      </c>
      <c r="CI206" s="2181">
        <f t="shared" si="208"/>
        <v>0</v>
      </c>
      <c r="CJ206" s="2181">
        <f t="shared" si="208"/>
        <v>1.4999999999999999E-2</v>
      </c>
      <c r="CK206" s="2181">
        <f t="shared" si="208"/>
        <v>0</v>
      </c>
      <c r="CL206" s="2181">
        <f t="shared" si="208"/>
        <v>0</v>
      </c>
      <c r="CM206" s="2181">
        <f t="shared" si="208"/>
        <v>0</v>
      </c>
      <c r="CN206" s="2181">
        <f t="shared" si="208"/>
        <v>0</v>
      </c>
      <c r="CO206" s="2181">
        <f t="shared" si="208"/>
        <v>0</v>
      </c>
      <c r="CP206" s="2181">
        <f t="shared" si="208"/>
        <v>0</v>
      </c>
      <c r="CQ206" s="2181">
        <f t="shared" si="208"/>
        <v>0</v>
      </c>
      <c r="CR206" s="2181">
        <f t="shared" si="208"/>
        <v>0</v>
      </c>
      <c r="CS206" s="2181">
        <f t="shared" si="208"/>
        <v>0</v>
      </c>
      <c r="CT206" s="2181">
        <f t="shared" si="208"/>
        <v>0</v>
      </c>
      <c r="CU206" s="2181">
        <f t="shared" si="208"/>
        <v>0</v>
      </c>
      <c r="CV206" s="2181">
        <f t="shared" si="208"/>
        <v>0</v>
      </c>
      <c r="CW206" s="2181">
        <f t="shared" si="208"/>
        <v>0</v>
      </c>
      <c r="CX206" s="2181">
        <f t="shared" si="208"/>
        <v>0</v>
      </c>
      <c r="CY206" s="2181">
        <f t="shared" si="208"/>
        <v>0</v>
      </c>
      <c r="CZ206" s="2180">
        <f t="shared" si="170"/>
        <v>1.7999999999999999E-2</v>
      </c>
      <c r="DB206" s="1962" t="s">
        <v>84</v>
      </c>
      <c r="DC206" s="2175">
        <f t="shared" si="171"/>
        <v>0</v>
      </c>
      <c r="DD206" s="2172">
        <f t="shared" ref="DD206:EH206" si="209">+(DD14+DD30+DD46+DD62+DD78+DD94+DD110+DD126+DD142+DD158+DD174+DD190)</f>
        <v>0</v>
      </c>
      <c r="DE206" s="2172">
        <f t="shared" si="209"/>
        <v>0</v>
      </c>
      <c r="DF206" s="2172">
        <f t="shared" si="209"/>
        <v>0</v>
      </c>
      <c r="DG206" s="2172">
        <f t="shared" si="209"/>
        <v>0</v>
      </c>
      <c r="DH206" s="2172">
        <f t="shared" si="209"/>
        <v>0</v>
      </c>
      <c r="DI206" s="2172">
        <f t="shared" si="209"/>
        <v>0</v>
      </c>
      <c r="DJ206" s="2172">
        <f t="shared" si="209"/>
        <v>0</v>
      </c>
      <c r="DK206" s="2172">
        <f t="shared" si="209"/>
        <v>0</v>
      </c>
      <c r="DL206" s="2172">
        <f t="shared" si="209"/>
        <v>0</v>
      </c>
      <c r="DM206" s="2172">
        <f t="shared" si="209"/>
        <v>0</v>
      </c>
      <c r="DN206" s="2172">
        <f t="shared" si="209"/>
        <v>0</v>
      </c>
      <c r="DO206" s="2172">
        <f t="shared" si="209"/>
        <v>0</v>
      </c>
      <c r="DP206" s="2172">
        <f t="shared" si="209"/>
        <v>0</v>
      </c>
      <c r="DQ206" s="2172">
        <f t="shared" si="209"/>
        <v>0</v>
      </c>
      <c r="DR206" s="2172">
        <f t="shared" si="209"/>
        <v>0</v>
      </c>
      <c r="DS206" s="2176">
        <f t="shared" si="209"/>
        <v>0</v>
      </c>
      <c r="DT206" s="2176">
        <f t="shared" si="209"/>
        <v>0</v>
      </c>
      <c r="DU206" s="2176">
        <f t="shared" si="209"/>
        <v>0</v>
      </c>
      <c r="DV206" s="2176">
        <f t="shared" si="209"/>
        <v>0</v>
      </c>
      <c r="DW206" s="2176">
        <f t="shared" si="209"/>
        <v>0</v>
      </c>
      <c r="DX206" s="2176">
        <f t="shared" si="209"/>
        <v>0</v>
      </c>
      <c r="DY206" s="2176">
        <f t="shared" si="209"/>
        <v>0</v>
      </c>
      <c r="DZ206" s="2176">
        <f t="shared" si="209"/>
        <v>0</v>
      </c>
      <c r="EA206" s="2176">
        <f t="shared" si="209"/>
        <v>0</v>
      </c>
      <c r="EB206" s="2176">
        <f t="shared" si="209"/>
        <v>0</v>
      </c>
      <c r="EC206" s="2176">
        <f t="shared" si="209"/>
        <v>0</v>
      </c>
      <c r="ED206" s="2176">
        <f t="shared" si="209"/>
        <v>0</v>
      </c>
      <c r="EE206" s="2176">
        <f t="shared" si="209"/>
        <v>0</v>
      </c>
      <c r="EF206" s="2176">
        <f t="shared" si="209"/>
        <v>0</v>
      </c>
      <c r="EG206" s="2176">
        <f t="shared" si="209"/>
        <v>0</v>
      </c>
      <c r="EH206" s="2176">
        <f t="shared" si="209"/>
        <v>0</v>
      </c>
      <c r="EI206" s="2171">
        <f t="shared" si="173"/>
        <v>0</v>
      </c>
    </row>
    <row r="207" spans="1:139" ht="15">
      <c r="A207" s="1233" t="s">
        <v>85</v>
      </c>
      <c r="B207" s="1280">
        <f t="shared" si="162"/>
        <v>19.692</v>
      </c>
      <c r="C207" s="2326">
        <f t="shared" ref="C207:AG207" si="210">+(C95+C111+C127+C143+C159+C175+C191)</f>
        <v>0</v>
      </c>
      <c r="D207" s="2326">
        <f t="shared" si="210"/>
        <v>0</v>
      </c>
      <c r="E207" s="2326">
        <f t="shared" si="210"/>
        <v>0</v>
      </c>
      <c r="F207" s="2326">
        <f t="shared" si="210"/>
        <v>2.5</v>
      </c>
      <c r="G207" s="2326">
        <f t="shared" si="210"/>
        <v>0</v>
      </c>
      <c r="H207" s="2326">
        <f t="shared" si="210"/>
        <v>2.1</v>
      </c>
      <c r="I207" s="2326">
        <f t="shared" si="210"/>
        <v>0</v>
      </c>
      <c r="J207" s="2326">
        <f t="shared" si="210"/>
        <v>0</v>
      </c>
      <c r="K207" s="2326">
        <f t="shared" si="210"/>
        <v>0</v>
      </c>
      <c r="L207" s="2326">
        <f t="shared" si="210"/>
        <v>0</v>
      </c>
      <c r="M207" s="2326">
        <f t="shared" si="210"/>
        <v>0</v>
      </c>
      <c r="N207" s="2326">
        <f t="shared" si="210"/>
        <v>0</v>
      </c>
      <c r="O207" s="2326">
        <f t="shared" si="210"/>
        <v>0</v>
      </c>
      <c r="P207" s="2326">
        <f t="shared" si="210"/>
        <v>0</v>
      </c>
      <c r="Q207" s="2326">
        <f t="shared" si="210"/>
        <v>0</v>
      </c>
      <c r="R207" s="2326">
        <f t="shared" si="210"/>
        <v>0.56999999999999995</v>
      </c>
      <c r="S207" s="2326">
        <f t="shared" si="210"/>
        <v>0</v>
      </c>
      <c r="T207" s="2326">
        <f t="shared" si="210"/>
        <v>0</v>
      </c>
      <c r="U207" s="2326">
        <f t="shared" si="210"/>
        <v>0</v>
      </c>
      <c r="V207" s="2326">
        <f t="shared" si="210"/>
        <v>0</v>
      </c>
      <c r="W207" s="2326">
        <f t="shared" si="210"/>
        <v>0</v>
      </c>
      <c r="X207" s="2326">
        <f t="shared" si="210"/>
        <v>4.4130000000000003</v>
      </c>
      <c r="Y207" s="2326">
        <f t="shared" si="210"/>
        <v>0</v>
      </c>
      <c r="Z207" s="2326">
        <f t="shared" si="210"/>
        <v>0</v>
      </c>
      <c r="AA207" s="2326">
        <f t="shared" si="210"/>
        <v>0</v>
      </c>
      <c r="AB207" s="2326">
        <f t="shared" si="210"/>
        <v>0</v>
      </c>
      <c r="AC207" s="2326">
        <f t="shared" si="210"/>
        <v>0</v>
      </c>
      <c r="AD207" s="2326">
        <f t="shared" si="210"/>
        <v>3.6269999999999998</v>
      </c>
      <c r="AE207" s="2326">
        <f t="shared" si="210"/>
        <v>5.3330000000000002</v>
      </c>
      <c r="AF207" s="2326">
        <f t="shared" si="210"/>
        <v>1.149</v>
      </c>
      <c r="AG207" s="2326">
        <f t="shared" si="210"/>
        <v>0</v>
      </c>
      <c r="AH207" s="2327">
        <f t="shared" si="164"/>
        <v>19.692</v>
      </c>
      <c r="AJ207" s="1746" t="s">
        <v>85</v>
      </c>
      <c r="AK207" s="1749">
        <f t="shared" si="165"/>
        <v>2.2750000000000004</v>
      </c>
      <c r="AL207" s="2189">
        <f t="shared" ref="AL207:BP207" si="211">+(AL15+AL31+AL47+AL63+AL79+AL95+AL111+AL127+AL143+AL159+AL175+AL191)</f>
        <v>0</v>
      </c>
      <c r="AM207" s="2189">
        <f t="shared" si="211"/>
        <v>0</v>
      </c>
      <c r="AN207" s="2189">
        <f t="shared" si="211"/>
        <v>0</v>
      </c>
      <c r="AO207" s="2189">
        <f t="shared" si="211"/>
        <v>0</v>
      </c>
      <c r="AP207" s="2189">
        <f t="shared" si="211"/>
        <v>0</v>
      </c>
      <c r="AQ207" s="2189">
        <f t="shared" si="211"/>
        <v>0</v>
      </c>
      <c r="AR207" s="2189">
        <f t="shared" si="211"/>
        <v>0</v>
      </c>
      <c r="AS207" s="2189">
        <f t="shared" si="211"/>
        <v>0</v>
      </c>
      <c r="AT207" s="2189">
        <f t="shared" si="211"/>
        <v>0</v>
      </c>
      <c r="AU207" s="2189">
        <f t="shared" si="211"/>
        <v>0</v>
      </c>
      <c r="AV207" s="2189">
        <f t="shared" si="211"/>
        <v>0</v>
      </c>
      <c r="AW207" s="2189">
        <f t="shared" si="211"/>
        <v>0</v>
      </c>
      <c r="AX207" s="2189">
        <f t="shared" si="211"/>
        <v>0</v>
      </c>
      <c r="AY207" s="2189">
        <f t="shared" si="211"/>
        <v>0</v>
      </c>
      <c r="AZ207" s="2189">
        <f t="shared" si="211"/>
        <v>0</v>
      </c>
      <c r="BA207" s="2189">
        <f t="shared" si="211"/>
        <v>0</v>
      </c>
      <c r="BB207" s="2189">
        <f t="shared" si="211"/>
        <v>0</v>
      </c>
      <c r="BC207" s="2189">
        <f t="shared" si="211"/>
        <v>0</v>
      </c>
      <c r="BD207" s="2189">
        <f t="shared" si="211"/>
        <v>0</v>
      </c>
      <c r="BE207" s="2189">
        <f t="shared" si="211"/>
        <v>0</v>
      </c>
      <c r="BF207" s="2189">
        <f t="shared" si="211"/>
        <v>0</v>
      </c>
      <c r="BG207" s="2189">
        <f t="shared" si="211"/>
        <v>0.55200000000000005</v>
      </c>
      <c r="BH207" s="2189">
        <f t="shared" si="211"/>
        <v>0</v>
      </c>
      <c r="BI207" s="2189">
        <f t="shared" si="211"/>
        <v>0</v>
      </c>
      <c r="BJ207" s="2189">
        <f t="shared" si="211"/>
        <v>0</v>
      </c>
      <c r="BK207" s="2189">
        <f t="shared" si="211"/>
        <v>0</v>
      </c>
      <c r="BL207" s="2189">
        <f t="shared" si="211"/>
        <v>0</v>
      </c>
      <c r="BM207" s="2189">
        <f t="shared" si="211"/>
        <v>0</v>
      </c>
      <c r="BN207" s="2189">
        <f t="shared" si="211"/>
        <v>0</v>
      </c>
      <c r="BO207" s="2189">
        <f t="shared" si="211"/>
        <v>1.7230000000000001</v>
      </c>
      <c r="BP207" s="2189">
        <f t="shared" si="211"/>
        <v>0</v>
      </c>
      <c r="BQ207" s="2188">
        <f t="shared" si="167"/>
        <v>2.2750000000000004</v>
      </c>
      <c r="BS207" s="1845" t="s">
        <v>85</v>
      </c>
      <c r="BT207" s="1846">
        <f t="shared" si="168"/>
        <v>1.2530000000000001</v>
      </c>
      <c r="BU207" s="2181">
        <f t="shared" ref="BU207:CY207" si="212">+(BU15+BU31+BU47+BU63+BU79+BU95+BU111+BU127+BU143+BU159+BU175+BU191)</f>
        <v>0</v>
      </c>
      <c r="BV207" s="2181">
        <f t="shared" si="212"/>
        <v>0</v>
      </c>
      <c r="BW207" s="2181">
        <f t="shared" si="212"/>
        <v>0.1</v>
      </c>
      <c r="BX207" s="2181">
        <f t="shared" si="212"/>
        <v>0</v>
      </c>
      <c r="BY207" s="2181">
        <f t="shared" si="212"/>
        <v>0</v>
      </c>
      <c r="BZ207" s="2181">
        <f t="shared" si="212"/>
        <v>0.2</v>
      </c>
      <c r="CA207" s="2181">
        <f t="shared" si="212"/>
        <v>0</v>
      </c>
      <c r="CB207" s="2181">
        <f t="shared" si="212"/>
        <v>0</v>
      </c>
      <c r="CC207" s="2181">
        <f t="shared" si="212"/>
        <v>0.25</v>
      </c>
      <c r="CD207" s="2181">
        <f t="shared" si="212"/>
        <v>0</v>
      </c>
      <c r="CE207" s="2181">
        <f t="shared" si="212"/>
        <v>0</v>
      </c>
      <c r="CF207" s="2181">
        <f t="shared" si="212"/>
        <v>1.4999999999999999E-2</v>
      </c>
      <c r="CG207" s="2181">
        <f t="shared" si="212"/>
        <v>0.03</v>
      </c>
      <c r="CH207" s="2181">
        <f t="shared" si="212"/>
        <v>1.6E-2</v>
      </c>
      <c r="CI207" s="2181">
        <f t="shared" si="212"/>
        <v>0</v>
      </c>
      <c r="CJ207" s="2181">
        <f t="shared" si="212"/>
        <v>8.0000000000000002E-3</v>
      </c>
      <c r="CK207" s="2181">
        <f t="shared" si="212"/>
        <v>0</v>
      </c>
      <c r="CL207" s="2181">
        <f t="shared" si="212"/>
        <v>0</v>
      </c>
      <c r="CM207" s="2181">
        <f t="shared" si="212"/>
        <v>0</v>
      </c>
      <c r="CN207" s="2181">
        <f t="shared" si="212"/>
        <v>3.2000000000000001E-2</v>
      </c>
      <c r="CO207" s="2181">
        <f t="shared" si="212"/>
        <v>0.3</v>
      </c>
      <c r="CP207" s="2181">
        <f t="shared" si="212"/>
        <v>0</v>
      </c>
      <c r="CQ207" s="2181">
        <f t="shared" si="212"/>
        <v>0.3</v>
      </c>
      <c r="CR207" s="2181">
        <f t="shared" si="212"/>
        <v>0</v>
      </c>
      <c r="CS207" s="2181">
        <f t="shared" si="212"/>
        <v>0</v>
      </c>
      <c r="CT207" s="2181">
        <f t="shared" si="212"/>
        <v>0</v>
      </c>
      <c r="CU207" s="2181">
        <f t="shared" si="212"/>
        <v>0</v>
      </c>
      <c r="CV207" s="2181">
        <f t="shared" si="212"/>
        <v>0</v>
      </c>
      <c r="CW207" s="2181">
        <f t="shared" si="212"/>
        <v>2E-3</v>
      </c>
      <c r="CX207" s="2181">
        <f t="shared" si="212"/>
        <v>0</v>
      </c>
      <c r="CY207" s="2181">
        <f t="shared" si="212"/>
        <v>0</v>
      </c>
      <c r="CZ207" s="2180">
        <f t="shared" si="170"/>
        <v>1.2530000000000001</v>
      </c>
      <c r="DB207" s="1962" t="s">
        <v>85</v>
      </c>
      <c r="DC207" s="2175">
        <f t="shared" si="171"/>
        <v>0</v>
      </c>
      <c r="DD207" s="2172">
        <f t="shared" ref="DD207:EH207" si="213">+(DD15+DD31+DD47+DD63+DD79+DD95+DD111+DD127+DD143+DD159+DD175+DD191)</f>
        <v>0</v>
      </c>
      <c r="DE207" s="2176">
        <f t="shared" si="213"/>
        <v>0</v>
      </c>
      <c r="DF207" s="2176">
        <f t="shared" si="213"/>
        <v>0</v>
      </c>
      <c r="DG207" s="2176">
        <f t="shared" si="213"/>
        <v>0</v>
      </c>
      <c r="DH207" s="2176">
        <f t="shared" si="213"/>
        <v>0</v>
      </c>
      <c r="DI207" s="2176">
        <f t="shared" si="213"/>
        <v>0</v>
      </c>
      <c r="DJ207" s="2176">
        <f t="shared" si="213"/>
        <v>0</v>
      </c>
      <c r="DK207" s="2176">
        <f t="shared" si="213"/>
        <v>0</v>
      </c>
      <c r="DL207" s="2176">
        <f t="shared" si="213"/>
        <v>0</v>
      </c>
      <c r="DM207" s="2176">
        <f t="shared" si="213"/>
        <v>0</v>
      </c>
      <c r="DN207" s="2176">
        <f t="shared" si="213"/>
        <v>0</v>
      </c>
      <c r="DO207" s="2176">
        <f t="shared" si="213"/>
        <v>0</v>
      </c>
      <c r="DP207" s="2176">
        <f t="shared" si="213"/>
        <v>0</v>
      </c>
      <c r="DQ207" s="2176">
        <f t="shared" si="213"/>
        <v>0</v>
      </c>
      <c r="DR207" s="2176">
        <f t="shared" si="213"/>
        <v>0</v>
      </c>
      <c r="DS207" s="2206">
        <f t="shared" si="213"/>
        <v>0</v>
      </c>
      <c r="DT207" s="2206">
        <f t="shared" si="213"/>
        <v>0</v>
      </c>
      <c r="DU207" s="2206">
        <f t="shared" si="213"/>
        <v>0</v>
      </c>
      <c r="DV207" s="2206">
        <f t="shared" si="213"/>
        <v>0</v>
      </c>
      <c r="DW207" s="2206">
        <f t="shared" si="213"/>
        <v>0</v>
      </c>
      <c r="DX207" s="2206">
        <f t="shared" si="213"/>
        <v>0</v>
      </c>
      <c r="DY207" s="2206">
        <f t="shared" si="213"/>
        <v>0</v>
      </c>
      <c r="DZ207" s="2206">
        <f t="shared" si="213"/>
        <v>0</v>
      </c>
      <c r="EA207" s="2206">
        <f t="shared" si="213"/>
        <v>0</v>
      </c>
      <c r="EB207" s="2206">
        <f t="shared" si="213"/>
        <v>0</v>
      </c>
      <c r="EC207" s="2206">
        <f t="shared" si="213"/>
        <v>0</v>
      </c>
      <c r="ED207" s="2206">
        <f t="shared" si="213"/>
        <v>0</v>
      </c>
      <c r="EE207" s="2206">
        <f t="shared" si="213"/>
        <v>0</v>
      </c>
      <c r="EF207" s="2206">
        <f t="shared" si="213"/>
        <v>0</v>
      </c>
      <c r="EG207" s="2206">
        <f t="shared" si="213"/>
        <v>0</v>
      </c>
      <c r="EH207" s="2172">
        <f t="shared" si="213"/>
        <v>0</v>
      </c>
      <c r="EI207" s="2171">
        <f t="shared" si="173"/>
        <v>0</v>
      </c>
    </row>
    <row r="208" spans="1:139" ht="15">
      <c r="A208" s="1233" t="s">
        <v>86</v>
      </c>
      <c r="B208" s="1280">
        <f t="shared" si="162"/>
        <v>14.201000000000002</v>
      </c>
      <c r="C208" s="2326">
        <f t="shared" ref="C208:AG208" si="214">+(C96+C112+C128+C144+C160+C176+C192)</f>
        <v>0</v>
      </c>
      <c r="D208" s="2326">
        <f t="shared" si="214"/>
        <v>0</v>
      </c>
      <c r="E208" s="2326">
        <f t="shared" si="214"/>
        <v>3.867</v>
      </c>
      <c r="F208" s="2326">
        <f t="shared" si="214"/>
        <v>2.673</v>
      </c>
      <c r="G208" s="2326">
        <f t="shared" si="214"/>
        <v>6.6590000000000007</v>
      </c>
      <c r="H208" s="2326">
        <f t="shared" si="214"/>
        <v>0.76900000000000002</v>
      </c>
      <c r="I208" s="2326">
        <f t="shared" si="214"/>
        <v>0</v>
      </c>
      <c r="J208" s="2326">
        <f t="shared" si="214"/>
        <v>0</v>
      </c>
      <c r="K208" s="2326">
        <f t="shared" si="214"/>
        <v>0</v>
      </c>
      <c r="L208" s="2326">
        <f t="shared" si="214"/>
        <v>0</v>
      </c>
      <c r="M208" s="2326">
        <f t="shared" si="214"/>
        <v>8.2000000000000003E-2</v>
      </c>
      <c r="N208" s="2326">
        <f t="shared" si="214"/>
        <v>0</v>
      </c>
      <c r="O208" s="2326">
        <f t="shared" si="214"/>
        <v>0</v>
      </c>
      <c r="P208" s="2326">
        <f t="shared" si="214"/>
        <v>0</v>
      </c>
      <c r="Q208" s="2326">
        <f t="shared" si="214"/>
        <v>0</v>
      </c>
      <c r="R208" s="2326">
        <f t="shared" si="214"/>
        <v>0</v>
      </c>
      <c r="S208" s="2326">
        <f t="shared" si="214"/>
        <v>0</v>
      </c>
      <c r="T208" s="2326">
        <f t="shared" si="214"/>
        <v>0</v>
      </c>
      <c r="U208" s="2326">
        <f t="shared" si="214"/>
        <v>0</v>
      </c>
      <c r="V208" s="2326">
        <f t="shared" si="214"/>
        <v>0</v>
      </c>
      <c r="W208" s="2326">
        <f t="shared" si="214"/>
        <v>0</v>
      </c>
      <c r="X208" s="2326">
        <f t="shared" si="214"/>
        <v>0</v>
      </c>
      <c r="Y208" s="2326">
        <f t="shared" si="214"/>
        <v>0</v>
      </c>
      <c r="Z208" s="2326">
        <f t="shared" si="214"/>
        <v>0</v>
      </c>
      <c r="AA208" s="2326">
        <f t="shared" si="214"/>
        <v>0</v>
      </c>
      <c r="AB208" s="2326">
        <f t="shared" si="214"/>
        <v>0</v>
      </c>
      <c r="AC208" s="2326">
        <f t="shared" si="214"/>
        <v>0.151</v>
      </c>
      <c r="AD208" s="2326">
        <f t="shared" si="214"/>
        <v>0</v>
      </c>
      <c r="AE208" s="2326">
        <f t="shared" si="214"/>
        <v>0</v>
      </c>
      <c r="AF208" s="2326">
        <f t="shared" si="214"/>
        <v>0</v>
      </c>
      <c r="AG208" s="2326">
        <f t="shared" si="214"/>
        <v>0</v>
      </c>
      <c r="AH208" s="2327">
        <f t="shared" si="164"/>
        <v>14.201000000000002</v>
      </c>
      <c r="AJ208" s="1746" t="s">
        <v>86</v>
      </c>
      <c r="AK208" s="1749">
        <f t="shared" si="165"/>
        <v>15.594000000000001</v>
      </c>
      <c r="AL208" s="2189">
        <f t="shared" ref="AL208:BP208" si="215">+(AL16+AL32+AL48+AL64+AL80+AL96+AL112+AL128+AL144+AL160+AL176+AL192)</f>
        <v>0</v>
      </c>
      <c r="AM208" s="2189">
        <f t="shared" si="215"/>
        <v>0</v>
      </c>
      <c r="AN208" s="2189">
        <f t="shared" si="215"/>
        <v>5.601</v>
      </c>
      <c r="AO208" s="2189">
        <f t="shared" si="215"/>
        <v>0.247</v>
      </c>
      <c r="AP208" s="2189">
        <f t="shared" si="215"/>
        <v>7.9640000000000004</v>
      </c>
      <c r="AQ208" s="2189">
        <f t="shared" si="215"/>
        <v>0.38400000000000001</v>
      </c>
      <c r="AR208" s="2189">
        <f t="shared" si="215"/>
        <v>0</v>
      </c>
      <c r="AS208" s="2189">
        <f t="shared" si="215"/>
        <v>0</v>
      </c>
      <c r="AT208" s="2189">
        <f t="shared" si="215"/>
        <v>1.3979999999999999</v>
      </c>
      <c r="AU208" s="2189">
        <f t="shared" si="215"/>
        <v>0</v>
      </c>
      <c r="AV208" s="2189">
        <f t="shared" si="215"/>
        <v>0</v>
      </c>
      <c r="AW208" s="2189">
        <f t="shared" si="215"/>
        <v>0</v>
      </c>
      <c r="AX208" s="2189">
        <f t="shared" si="215"/>
        <v>0</v>
      </c>
      <c r="AY208" s="2189">
        <f t="shared" si="215"/>
        <v>0</v>
      </c>
      <c r="AZ208" s="2189">
        <f t="shared" si="215"/>
        <v>0</v>
      </c>
      <c r="BA208" s="2189">
        <f t="shared" si="215"/>
        <v>0</v>
      </c>
      <c r="BB208" s="2189">
        <f t="shared" si="215"/>
        <v>0</v>
      </c>
      <c r="BC208" s="2189">
        <f t="shared" si="215"/>
        <v>0</v>
      </c>
      <c r="BD208" s="2189">
        <f t="shared" si="215"/>
        <v>0</v>
      </c>
      <c r="BE208" s="2189">
        <f t="shared" si="215"/>
        <v>0</v>
      </c>
      <c r="BF208" s="2189">
        <f t="shared" si="215"/>
        <v>0</v>
      </c>
      <c r="BG208" s="2189">
        <f t="shared" si="215"/>
        <v>0</v>
      </c>
      <c r="BH208" s="2189">
        <f t="shared" si="215"/>
        <v>0</v>
      </c>
      <c r="BI208" s="2189">
        <f t="shared" si="215"/>
        <v>0</v>
      </c>
      <c r="BJ208" s="2189">
        <f t="shared" si="215"/>
        <v>0</v>
      </c>
      <c r="BK208" s="2189">
        <f t="shared" si="215"/>
        <v>0</v>
      </c>
      <c r="BL208" s="2189">
        <f t="shared" si="215"/>
        <v>0</v>
      </c>
      <c r="BM208" s="2189">
        <f t="shared" si="215"/>
        <v>0</v>
      </c>
      <c r="BN208" s="2189">
        <f t="shared" si="215"/>
        <v>0</v>
      </c>
      <c r="BO208" s="2189">
        <f t="shared" si="215"/>
        <v>0</v>
      </c>
      <c r="BP208" s="2189">
        <f t="shared" si="215"/>
        <v>0</v>
      </c>
      <c r="BQ208" s="2188">
        <f t="shared" si="167"/>
        <v>15.594000000000001</v>
      </c>
      <c r="BS208" s="1845" t="s">
        <v>86</v>
      </c>
      <c r="BT208" s="1846">
        <f t="shared" si="168"/>
        <v>0.625</v>
      </c>
      <c r="BU208" s="2181">
        <f t="shared" ref="BU208:CY208" si="216">+(BU16+BU32+BU48+BU64+BU80+BU96+BU112+BU128+BU144+BU160+BU176+BU192)</f>
        <v>0</v>
      </c>
      <c r="BV208" s="2181">
        <f t="shared" si="216"/>
        <v>0</v>
      </c>
      <c r="BW208" s="2181">
        <f t="shared" si="216"/>
        <v>0</v>
      </c>
      <c r="BX208" s="2181">
        <f t="shared" si="216"/>
        <v>0</v>
      </c>
      <c r="BY208" s="2181">
        <f t="shared" si="216"/>
        <v>0</v>
      </c>
      <c r="BZ208" s="2181">
        <f t="shared" si="216"/>
        <v>0.02</v>
      </c>
      <c r="CA208" s="2181">
        <f t="shared" si="216"/>
        <v>0.02</v>
      </c>
      <c r="CB208" s="2181">
        <f t="shared" si="216"/>
        <v>0</v>
      </c>
      <c r="CC208" s="2181">
        <f t="shared" si="216"/>
        <v>0</v>
      </c>
      <c r="CD208" s="2181">
        <f t="shared" si="216"/>
        <v>0.03</v>
      </c>
      <c r="CE208" s="2181">
        <f t="shared" si="216"/>
        <v>0</v>
      </c>
      <c r="CF208" s="2181">
        <f t="shared" si="216"/>
        <v>1.4999999999999999E-2</v>
      </c>
      <c r="CG208" s="2181">
        <f t="shared" si="216"/>
        <v>0</v>
      </c>
      <c r="CH208" s="2181">
        <f t="shared" si="216"/>
        <v>0</v>
      </c>
      <c r="CI208" s="2181">
        <f t="shared" si="216"/>
        <v>0</v>
      </c>
      <c r="CJ208" s="2181">
        <f t="shared" si="216"/>
        <v>0</v>
      </c>
      <c r="CK208" s="2181">
        <f t="shared" si="216"/>
        <v>0</v>
      </c>
      <c r="CL208" s="2181">
        <f t="shared" si="216"/>
        <v>0</v>
      </c>
      <c r="CM208" s="2181">
        <f t="shared" si="216"/>
        <v>0.02</v>
      </c>
      <c r="CN208" s="2181">
        <f t="shared" si="216"/>
        <v>0</v>
      </c>
      <c r="CO208" s="2181">
        <f t="shared" si="216"/>
        <v>0</v>
      </c>
      <c r="CP208" s="2181">
        <f t="shared" si="216"/>
        <v>0.2</v>
      </c>
      <c r="CQ208" s="2181">
        <f t="shared" si="216"/>
        <v>0</v>
      </c>
      <c r="CR208" s="2181">
        <f t="shared" si="216"/>
        <v>0</v>
      </c>
      <c r="CS208" s="2181">
        <f t="shared" si="216"/>
        <v>0</v>
      </c>
      <c r="CT208" s="2181">
        <f t="shared" si="216"/>
        <v>0</v>
      </c>
      <c r="CU208" s="2181">
        <f t="shared" si="216"/>
        <v>0</v>
      </c>
      <c r="CV208" s="2181">
        <f t="shared" si="216"/>
        <v>0.3</v>
      </c>
      <c r="CW208" s="2181">
        <f t="shared" si="216"/>
        <v>0</v>
      </c>
      <c r="CX208" s="2181">
        <f t="shared" si="216"/>
        <v>0</v>
      </c>
      <c r="CY208" s="2181">
        <f t="shared" si="216"/>
        <v>0.02</v>
      </c>
      <c r="CZ208" s="2180">
        <f t="shared" si="170"/>
        <v>0.625</v>
      </c>
      <c r="DB208" s="1962" t="s">
        <v>86</v>
      </c>
      <c r="DC208" s="2175">
        <f t="shared" si="171"/>
        <v>0</v>
      </c>
      <c r="DD208" s="2172">
        <f t="shared" ref="DD208:EH208" si="217">+(DD16+DD32+DD48+DD64+DD80+DD96+DD112+DD128+DD144+DD160+DD176+DD192)</f>
        <v>0</v>
      </c>
      <c r="DE208" s="2206">
        <f t="shared" si="217"/>
        <v>0</v>
      </c>
      <c r="DF208" s="2206">
        <f t="shared" si="217"/>
        <v>0</v>
      </c>
      <c r="DG208" s="2206">
        <f t="shared" si="217"/>
        <v>0</v>
      </c>
      <c r="DH208" s="2172">
        <f t="shared" si="217"/>
        <v>0</v>
      </c>
      <c r="DI208" s="2172">
        <f t="shared" si="217"/>
        <v>0</v>
      </c>
      <c r="DJ208" s="2172">
        <f t="shared" si="217"/>
        <v>0</v>
      </c>
      <c r="DK208" s="2172">
        <f t="shared" si="217"/>
        <v>0</v>
      </c>
      <c r="DL208" s="2172">
        <f t="shared" si="217"/>
        <v>0</v>
      </c>
      <c r="DM208" s="2172">
        <f t="shared" si="217"/>
        <v>0</v>
      </c>
      <c r="DN208" s="2172">
        <f t="shared" si="217"/>
        <v>0</v>
      </c>
      <c r="DO208" s="2172">
        <f t="shared" si="217"/>
        <v>0</v>
      </c>
      <c r="DP208" s="2172">
        <f t="shared" si="217"/>
        <v>0</v>
      </c>
      <c r="DQ208" s="2172">
        <f t="shared" si="217"/>
        <v>0</v>
      </c>
      <c r="DR208" s="2172">
        <f t="shared" si="217"/>
        <v>0</v>
      </c>
      <c r="DS208" s="2172">
        <f t="shared" si="217"/>
        <v>0</v>
      </c>
      <c r="DT208" s="2172">
        <f t="shared" si="217"/>
        <v>0</v>
      </c>
      <c r="DU208" s="2172">
        <f t="shared" si="217"/>
        <v>0</v>
      </c>
      <c r="DV208" s="2172">
        <f t="shared" si="217"/>
        <v>0</v>
      </c>
      <c r="DW208" s="2172">
        <f t="shared" si="217"/>
        <v>0</v>
      </c>
      <c r="DX208" s="2172">
        <f t="shared" si="217"/>
        <v>0</v>
      </c>
      <c r="DY208" s="2172">
        <f t="shared" si="217"/>
        <v>0</v>
      </c>
      <c r="DZ208" s="2172">
        <f t="shared" si="217"/>
        <v>0</v>
      </c>
      <c r="EA208" s="2172">
        <f t="shared" si="217"/>
        <v>0</v>
      </c>
      <c r="EB208" s="2172">
        <f t="shared" si="217"/>
        <v>0</v>
      </c>
      <c r="EC208" s="2172">
        <f t="shared" si="217"/>
        <v>0</v>
      </c>
      <c r="ED208" s="2172">
        <f t="shared" si="217"/>
        <v>0</v>
      </c>
      <c r="EE208" s="2172">
        <f t="shared" si="217"/>
        <v>0</v>
      </c>
      <c r="EF208" s="2172">
        <f t="shared" si="217"/>
        <v>0</v>
      </c>
      <c r="EG208" s="2172">
        <f t="shared" si="217"/>
        <v>0</v>
      </c>
      <c r="EH208" s="2172">
        <f t="shared" si="217"/>
        <v>0</v>
      </c>
      <c r="EI208" s="2171">
        <f t="shared" si="173"/>
        <v>0</v>
      </c>
    </row>
    <row r="209" spans="1:139" ht="15">
      <c r="A209" s="2341" t="s">
        <v>74</v>
      </c>
      <c r="B209" s="2342">
        <f t="shared" ref="B209:AH209" si="218">SUM(B197:B208)</f>
        <v>183.43600000000001</v>
      </c>
      <c r="C209" s="2326">
        <f t="shared" si="218"/>
        <v>5.1630000000000003</v>
      </c>
      <c r="D209" s="2326">
        <f t="shared" si="218"/>
        <v>0</v>
      </c>
      <c r="E209" s="2326">
        <f t="shared" si="218"/>
        <v>6.843</v>
      </c>
      <c r="F209" s="2326">
        <f t="shared" si="218"/>
        <v>6.7729999999999997</v>
      </c>
      <c r="G209" s="2326">
        <f t="shared" si="218"/>
        <v>9.7850000000000001</v>
      </c>
      <c r="H209" s="2326">
        <f t="shared" si="218"/>
        <v>19.355</v>
      </c>
      <c r="I209" s="2326">
        <f t="shared" si="218"/>
        <v>4.7440000000000007</v>
      </c>
      <c r="J209" s="2326">
        <f t="shared" si="218"/>
        <v>13.03</v>
      </c>
      <c r="K209" s="2326">
        <f t="shared" si="218"/>
        <v>11.391999999999999</v>
      </c>
      <c r="L209" s="2326">
        <f t="shared" si="218"/>
        <v>4.4340000000000002</v>
      </c>
      <c r="M209" s="2326">
        <f t="shared" si="218"/>
        <v>11.430000000000001</v>
      </c>
      <c r="N209" s="2326">
        <f t="shared" si="218"/>
        <v>0.59600000000000009</v>
      </c>
      <c r="O209" s="2326">
        <f t="shared" si="218"/>
        <v>9.9779999999999998</v>
      </c>
      <c r="P209" s="2326">
        <f t="shared" si="218"/>
        <v>12.924999999999999</v>
      </c>
      <c r="Q209" s="2326">
        <f t="shared" si="218"/>
        <v>15.825000000000003</v>
      </c>
      <c r="R209" s="2326">
        <f t="shared" si="218"/>
        <v>8.3360000000000003</v>
      </c>
      <c r="S209" s="2326">
        <f t="shared" si="218"/>
        <v>0.74399999999999999</v>
      </c>
      <c r="T209" s="2326">
        <f t="shared" si="218"/>
        <v>5.2260000000000009</v>
      </c>
      <c r="U209" s="2326">
        <f t="shared" si="218"/>
        <v>0</v>
      </c>
      <c r="V209" s="2326">
        <f t="shared" si="218"/>
        <v>6.0269999999999992</v>
      </c>
      <c r="W209" s="2326">
        <f t="shared" si="218"/>
        <v>0.98899999999999999</v>
      </c>
      <c r="X209" s="2326">
        <f t="shared" si="218"/>
        <v>9.9239999999999995</v>
      </c>
      <c r="Y209" s="2326">
        <f t="shared" si="218"/>
        <v>0.23899999999999999</v>
      </c>
      <c r="Z209" s="2326">
        <f t="shared" si="218"/>
        <v>0</v>
      </c>
      <c r="AA209" s="2326">
        <f t="shared" si="218"/>
        <v>0.62</v>
      </c>
      <c r="AB209" s="2326">
        <f t="shared" si="218"/>
        <v>3.9009999999999998</v>
      </c>
      <c r="AC209" s="2326">
        <f t="shared" si="218"/>
        <v>0.151</v>
      </c>
      <c r="AD209" s="2326">
        <f t="shared" si="218"/>
        <v>4.7240000000000002</v>
      </c>
      <c r="AE209" s="2326">
        <f t="shared" si="218"/>
        <v>7.3330000000000002</v>
      </c>
      <c r="AF209" s="2326">
        <f t="shared" si="218"/>
        <v>2.9489999999999998</v>
      </c>
      <c r="AG209" s="2326">
        <f t="shared" si="218"/>
        <v>0</v>
      </c>
      <c r="AH209" s="2327">
        <f t="shared" si="218"/>
        <v>183.43600000000001</v>
      </c>
      <c r="AJ209" s="2191" t="s">
        <v>74</v>
      </c>
      <c r="AK209" s="2190">
        <f t="shared" ref="AK209:BQ209" si="219">SUM(AK197:AK208)</f>
        <v>26.256</v>
      </c>
      <c r="AL209" s="2189">
        <f t="shared" si="219"/>
        <v>0</v>
      </c>
      <c r="AM209" s="2189">
        <f t="shared" si="219"/>
        <v>0</v>
      </c>
      <c r="AN209" s="2189">
        <f t="shared" si="219"/>
        <v>5.601</v>
      </c>
      <c r="AO209" s="2189">
        <f t="shared" si="219"/>
        <v>0.247</v>
      </c>
      <c r="AP209" s="2189">
        <f t="shared" si="219"/>
        <v>7.9640000000000004</v>
      </c>
      <c r="AQ209" s="2189">
        <f t="shared" si="219"/>
        <v>0.85899999999999999</v>
      </c>
      <c r="AR209" s="2189">
        <f t="shared" si="219"/>
        <v>1.4810000000000001</v>
      </c>
      <c r="AS209" s="2189">
        <f t="shared" si="219"/>
        <v>0</v>
      </c>
      <c r="AT209" s="2189">
        <f t="shared" si="219"/>
        <v>1.3979999999999999</v>
      </c>
      <c r="AU209" s="2189">
        <f t="shared" si="219"/>
        <v>0</v>
      </c>
      <c r="AV209" s="2189">
        <f t="shared" si="219"/>
        <v>0.39</v>
      </c>
      <c r="AW209" s="2189">
        <f t="shared" si="219"/>
        <v>0</v>
      </c>
      <c r="AX209" s="2189">
        <f t="shared" si="219"/>
        <v>0.52</v>
      </c>
      <c r="AY209" s="2189">
        <f t="shared" si="219"/>
        <v>0.56899999999999995</v>
      </c>
      <c r="AZ209" s="2189">
        <f t="shared" si="219"/>
        <v>2.5939999999999999</v>
      </c>
      <c r="BA209" s="2189">
        <f t="shared" si="219"/>
        <v>0.45</v>
      </c>
      <c r="BB209" s="2189">
        <f t="shared" si="219"/>
        <v>0</v>
      </c>
      <c r="BC209" s="2189">
        <f t="shared" si="219"/>
        <v>0.40899999999999997</v>
      </c>
      <c r="BD209" s="2189">
        <f t="shared" si="219"/>
        <v>0</v>
      </c>
      <c r="BE209" s="2189">
        <f t="shared" si="219"/>
        <v>0</v>
      </c>
      <c r="BF209" s="2189">
        <f t="shared" si="219"/>
        <v>1.1879999999999999</v>
      </c>
      <c r="BG209" s="2189">
        <f t="shared" si="219"/>
        <v>0.55200000000000005</v>
      </c>
      <c r="BH209" s="2189">
        <f t="shared" si="219"/>
        <v>0.311</v>
      </c>
      <c r="BI209" s="2189">
        <f t="shared" si="219"/>
        <v>0</v>
      </c>
      <c r="BJ209" s="2189">
        <f t="shared" si="219"/>
        <v>0</v>
      </c>
      <c r="BK209" s="2189">
        <f t="shared" si="219"/>
        <v>0</v>
      </c>
      <c r="BL209" s="2189">
        <f t="shared" si="219"/>
        <v>0</v>
      </c>
      <c r="BM209" s="2189">
        <f t="shared" si="219"/>
        <v>0</v>
      </c>
      <c r="BN209" s="2189">
        <f t="shared" si="219"/>
        <v>0</v>
      </c>
      <c r="BO209" s="2189">
        <f t="shared" si="219"/>
        <v>1.7230000000000001</v>
      </c>
      <c r="BP209" s="2189">
        <f t="shared" si="219"/>
        <v>0</v>
      </c>
      <c r="BQ209" s="2188">
        <f t="shared" si="219"/>
        <v>26.256</v>
      </c>
      <c r="BS209" s="2183" t="s">
        <v>74</v>
      </c>
      <c r="BT209" s="2182">
        <f>SUM(BT197:BT208)</f>
        <v>3.9819999999999998</v>
      </c>
      <c r="BU209" s="2180">
        <f t="shared" ref="BU209:CY209" si="220">+(BU17+BU33+BU49+BU65+BU81+BU97+BU113+BU129+BU145+BU161+BU177+BU193)</f>
        <v>0.02</v>
      </c>
      <c r="BV209" s="2180">
        <f t="shared" si="220"/>
        <v>0.04</v>
      </c>
      <c r="BW209" s="2180">
        <f t="shared" si="220"/>
        <v>0.1</v>
      </c>
      <c r="BX209" s="2180">
        <f t="shared" si="220"/>
        <v>0.21</v>
      </c>
      <c r="BY209" s="2180">
        <f t="shared" si="220"/>
        <v>0.113</v>
      </c>
      <c r="BZ209" s="2180">
        <f t="shared" si="220"/>
        <v>0.50700000000000001</v>
      </c>
      <c r="CA209" s="2180">
        <f t="shared" si="220"/>
        <v>0.20699999999999999</v>
      </c>
      <c r="CB209" s="2180">
        <f t="shared" si="220"/>
        <v>0.31</v>
      </c>
      <c r="CC209" s="2180">
        <f t="shared" si="220"/>
        <v>0.32100000000000001</v>
      </c>
      <c r="CD209" s="2180">
        <f t="shared" si="220"/>
        <v>4.9000000000000002E-2</v>
      </c>
      <c r="CE209" s="2180">
        <f t="shared" si="220"/>
        <v>0.09</v>
      </c>
      <c r="CF209" s="2180">
        <f t="shared" si="220"/>
        <v>0.14600000000000002</v>
      </c>
      <c r="CG209" s="2180">
        <f t="shared" si="220"/>
        <v>0.03</v>
      </c>
      <c r="CH209" s="2180">
        <f t="shared" si="220"/>
        <v>1.6E-2</v>
      </c>
      <c r="CI209" s="2180">
        <f t="shared" si="220"/>
        <v>7.1999999999999995E-2</v>
      </c>
      <c r="CJ209" s="2180">
        <f t="shared" si="220"/>
        <v>0.10499999999999998</v>
      </c>
      <c r="CK209" s="2180">
        <f t="shared" si="220"/>
        <v>0.01</v>
      </c>
      <c r="CL209" s="2180">
        <f t="shared" si="220"/>
        <v>5.3000000000000005E-2</v>
      </c>
      <c r="CM209" s="2180">
        <f t="shared" si="220"/>
        <v>0.04</v>
      </c>
      <c r="CN209" s="2180">
        <f t="shared" si="220"/>
        <v>8.2000000000000003E-2</v>
      </c>
      <c r="CO209" s="2180">
        <f t="shared" si="220"/>
        <v>0.32200000000000001</v>
      </c>
      <c r="CP209" s="2180">
        <f t="shared" si="220"/>
        <v>0.26800000000000002</v>
      </c>
      <c r="CQ209" s="2180">
        <f t="shared" si="220"/>
        <v>0.43</v>
      </c>
      <c r="CR209" s="2180">
        <f t="shared" si="220"/>
        <v>0</v>
      </c>
      <c r="CS209" s="2180">
        <f t="shared" si="220"/>
        <v>0</v>
      </c>
      <c r="CT209" s="2180">
        <f t="shared" si="220"/>
        <v>0</v>
      </c>
      <c r="CU209" s="2180">
        <f t="shared" si="220"/>
        <v>7.9000000000000015E-2</v>
      </c>
      <c r="CV209" s="2180">
        <f t="shared" si="220"/>
        <v>0.32</v>
      </c>
      <c r="CW209" s="2180">
        <f t="shared" si="220"/>
        <v>1.2E-2</v>
      </c>
      <c r="CX209" s="2180">
        <f t="shared" si="220"/>
        <v>0.01</v>
      </c>
      <c r="CY209" s="2180">
        <f t="shared" si="220"/>
        <v>0.02</v>
      </c>
      <c r="CZ209" s="2180">
        <f>SUM(CZ197:CZ208)</f>
        <v>3.9819999999999998</v>
      </c>
      <c r="DB209" s="2174" t="s">
        <v>74</v>
      </c>
      <c r="DC209" s="2173">
        <f>SUM(DC197:DC208)</f>
        <v>1.77</v>
      </c>
      <c r="DD209" s="2171">
        <f t="shared" ref="DD209:EH209" si="221">+(DD17+DD33+DD49+DD65+DD81+DD97+DD113+DD129+DD145+DD161+DD177+DD193)</f>
        <v>0</v>
      </c>
      <c r="DE209" s="2171">
        <f t="shared" si="221"/>
        <v>0</v>
      </c>
      <c r="DF209" s="2171">
        <f t="shared" si="221"/>
        <v>0</v>
      </c>
      <c r="DG209" s="2171">
        <f t="shared" si="221"/>
        <v>0</v>
      </c>
      <c r="DH209" s="2171">
        <f t="shared" si="221"/>
        <v>0</v>
      </c>
      <c r="DI209" s="2171">
        <f t="shared" si="221"/>
        <v>0</v>
      </c>
      <c r="DJ209" s="2171">
        <f t="shared" si="221"/>
        <v>0</v>
      </c>
      <c r="DK209" s="2171">
        <f t="shared" si="221"/>
        <v>0</v>
      </c>
      <c r="DL209" s="2171">
        <f t="shared" si="221"/>
        <v>1.77</v>
      </c>
      <c r="DM209" s="2171">
        <f t="shared" si="221"/>
        <v>0</v>
      </c>
      <c r="DN209" s="2171">
        <f t="shared" si="221"/>
        <v>0</v>
      </c>
      <c r="DO209" s="2171">
        <f t="shared" si="221"/>
        <v>0</v>
      </c>
      <c r="DP209" s="2171">
        <f t="shared" si="221"/>
        <v>0</v>
      </c>
      <c r="DQ209" s="2171">
        <f t="shared" si="221"/>
        <v>0</v>
      </c>
      <c r="DR209" s="2171">
        <f t="shared" si="221"/>
        <v>0</v>
      </c>
      <c r="DS209" s="2171">
        <f t="shared" si="221"/>
        <v>0</v>
      </c>
      <c r="DT209" s="2171">
        <f t="shared" si="221"/>
        <v>0</v>
      </c>
      <c r="DU209" s="2171">
        <f t="shared" si="221"/>
        <v>0</v>
      </c>
      <c r="DV209" s="2171">
        <f t="shared" si="221"/>
        <v>0</v>
      </c>
      <c r="DW209" s="2171">
        <f t="shared" si="221"/>
        <v>0</v>
      </c>
      <c r="DX209" s="2171">
        <f t="shared" si="221"/>
        <v>0</v>
      </c>
      <c r="DY209" s="2171">
        <f t="shared" si="221"/>
        <v>0</v>
      </c>
      <c r="DZ209" s="2171">
        <f t="shared" si="221"/>
        <v>0</v>
      </c>
      <c r="EA209" s="2171">
        <f t="shared" si="221"/>
        <v>0</v>
      </c>
      <c r="EB209" s="2171">
        <f t="shared" si="221"/>
        <v>0</v>
      </c>
      <c r="EC209" s="2171">
        <f t="shared" si="221"/>
        <v>0</v>
      </c>
      <c r="ED209" s="2171">
        <f t="shared" si="221"/>
        <v>0</v>
      </c>
      <c r="EE209" s="2171">
        <f t="shared" si="221"/>
        <v>0</v>
      </c>
      <c r="EF209" s="2171">
        <f t="shared" si="221"/>
        <v>0</v>
      </c>
      <c r="EG209" s="2171">
        <f t="shared" si="221"/>
        <v>0</v>
      </c>
      <c r="EH209" s="2171">
        <f t="shared" si="221"/>
        <v>0</v>
      </c>
      <c r="EI209" s="2171">
        <f>SUM(EI197:EI208)</f>
        <v>1.77</v>
      </c>
    </row>
    <row r="211" spans="1:139" ht="15">
      <c r="AJ211" s="3585" t="s">
        <v>629</v>
      </c>
      <c r="AK211" s="3586"/>
      <c r="AL211" s="3587"/>
      <c r="AM211" s="2193"/>
      <c r="AN211" s="2193"/>
      <c r="AO211" s="2193"/>
      <c r="AP211" s="2193"/>
      <c r="AQ211" s="2193"/>
      <c r="AR211" s="2193"/>
      <c r="AS211" s="2193"/>
      <c r="AT211" s="2193"/>
      <c r="AU211" s="2193"/>
      <c r="AV211" s="2194"/>
      <c r="AW211" s="2193"/>
      <c r="AX211" s="2193"/>
      <c r="AY211" s="2193"/>
      <c r="AZ211" s="2193"/>
      <c r="BA211" s="2193"/>
      <c r="BB211" s="2193"/>
      <c r="BC211" s="2193"/>
      <c r="BD211" s="2193"/>
      <c r="BE211" s="2193"/>
      <c r="BF211" s="2193"/>
      <c r="BG211" s="2193"/>
      <c r="BH211" s="2193"/>
      <c r="BI211" s="2193"/>
      <c r="BJ211" s="2193"/>
      <c r="BK211" s="2193"/>
      <c r="BL211" s="2193"/>
      <c r="BM211" s="2193"/>
      <c r="BN211" s="2193"/>
      <c r="BO211" s="2193"/>
      <c r="BP211" s="2193"/>
      <c r="BQ211" s="2193"/>
      <c r="DB211" s="3775" t="s">
        <v>629</v>
      </c>
      <c r="DC211" s="3776"/>
      <c r="DD211" s="3777"/>
      <c r="DE211" s="2177"/>
      <c r="DF211" s="2177"/>
      <c r="DG211" s="2177"/>
      <c r="DH211" s="2177"/>
      <c r="DI211" s="2177"/>
      <c r="DJ211" s="2177"/>
      <c r="DK211" s="2177"/>
      <c r="DL211" s="2177"/>
      <c r="DM211" s="2177"/>
      <c r="DN211" s="2178"/>
      <c r="DO211" s="2177"/>
      <c r="DP211" s="2177"/>
      <c r="DQ211" s="2177"/>
      <c r="DR211" s="2177"/>
      <c r="DS211" s="2177"/>
      <c r="DT211" s="2177"/>
      <c r="DU211" s="2177"/>
      <c r="DV211" s="2177"/>
      <c r="DW211" s="2177"/>
      <c r="DX211" s="2177"/>
      <c r="DY211" s="2177"/>
      <c r="DZ211" s="2177"/>
      <c r="EA211" s="2177"/>
      <c r="EB211" s="2177"/>
      <c r="EC211" s="2177"/>
      <c r="ED211" s="2177"/>
      <c r="EE211" s="2177"/>
      <c r="EF211" s="2177"/>
      <c r="EG211" s="2177"/>
      <c r="EH211" s="2177"/>
      <c r="EI211" s="2177"/>
    </row>
    <row r="212" spans="1:139" ht="15">
      <c r="AJ212" s="1746" t="s">
        <v>72</v>
      </c>
      <c r="AK212" s="1746" t="s">
        <v>73</v>
      </c>
      <c r="AL212" s="1746">
        <v>1</v>
      </c>
      <c r="AM212" s="1746">
        <v>2</v>
      </c>
      <c r="AN212" s="1746">
        <v>3</v>
      </c>
      <c r="AO212" s="1746">
        <v>4</v>
      </c>
      <c r="AP212" s="1746">
        <v>5</v>
      </c>
      <c r="AQ212" s="1746">
        <v>6</v>
      </c>
      <c r="AR212" s="1746">
        <v>7</v>
      </c>
      <c r="AS212" s="1746">
        <v>8</v>
      </c>
      <c r="AT212" s="1746">
        <v>9</v>
      </c>
      <c r="AU212" s="1746">
        <v>10</v>
      </c>
      <c r="AV212" s="1746">
        <v>11</v>
      </c>
      <c r="AW212" s="1746">
        <v>12</v>
      </c>
      <c r="AX212" s="1746">
        <v>13</v>
      </c>
      <c r="AY212" s="1746">
        <v>14</v>
      </c>
      <c r="AZ212" s="1746">
        <v>15</v>
      </c>
      <c r="BA212" s="1746">
        <v>16</v>
      </c>
      <c r="BB212" s="1746">
        <v>17</v>
      </c>
      <c r="BC212" s="1746">
        <v>18</v>
      </c>
      <c r="BD212" s="1746">
        <v>19</v>
      </c>
      <c r="BE212" s="1746">
        <v>20</v>
      </c>
      <c r="BF212" s="1746">
        <v>21</v>
      </c>
      <c r="BG212" s="1746">
        <v>22</v>
      </c>
      <c r="BH212" s="1746">
        <v>23</v>
      </c>
      <c r="BI212" s="1746">
        <v>24</v>
      </c>
      <c r="BJ212" s="1746">
        <v>25</v>
      </c>
      <c r="BK212" s="1746">
        <v>26</v>
      </c>
      <c r="BL212" s="1746">
        <v>27</v>
      </c>
      <c r="BM212" s="1746">
        <v>28</v>
      </c>
      <c r="BN212" s="1746">
        <v>29</v>
      </c>
      <c r="BO212" s="1746">
        <v>30</v>
      </c>
      <c r="BP212" s="1746">
        <v>31</v>
      </c>
      <c r="BQ212" s="2192" t="s">
        <v>74</v>
      </c>
      <c r="DB212" s="1962" t="s">
        <v>72</v>
      </c>
      <c r="DC212" s="1962" t="s">
        <v>73</v>
      </c>
      <c r="DD212" s="1962">
        <v>1</v>
      </c>
      <c r="DE212" s="1962">
        <v>2</v>
      </c>
      <c r="DF212" s="1962">
        <v>3</v>
      </c>
      <c r="DG212" s="1962">
        <v>4</v>
      </c>
      <c r="DH212" s="1962">
        <v>5</v>
      </c>
      <c r="DI212" s="1962">
        <v>6</v>
      </c>
      <c r="DJ212" s="1962">
        <v>7</v>
      </c>
      <c r="DK212" s="1962">
        <v>8</v>
      </c>
      <c r="DL212" s="1962">
        <v>9</v>
      </c>
      <c r="DM212" s="1962">
        <v>10</v>
      </c>
      <c r="DN212" s="1962">
        <v>11</v>
      </c>
      <c r="DO212" s="1962">
        <v>12</v>
      </c>
      <c r="DP212" s="1962">
        <v>13</v>
      </c>
      <c r="DQ212" s="1962">
        <v>14</v>
      </c>
      <c r="DR212" s="1962">
        <v>15</v>
      </c>
      <c r="DS212" s="1962">
        <v>16</v>
      </c>
      <c r="DT212" s="1962">
        <v>17</v>
      </c>
      <c r="DU212" s="1962">
        <v>18</v>
      </c>
      <c r="DV212" s="1962">
        <v>19</v>
      </c>
      <c r="DW212" s="1962">
        <v>20</v>
      </c>
      <c r="DX212" s="1962">
        <v>21</v>
      </c>
      <c r="DY212" s="1962">
        <v>22</v>
      </c>
      <c r="DZ212" s="1962">
        <v>23</v>
      </c>
      <c r="EA212" s="1962">
        <v>24</v>
      </c>
      <c r="EB212" s="1962">
        <v>25</v>
      </c>
      <c r="EC212" s="1962">
        <v>26</v>
      </c>
      <c r="ED212" s="1962">
        <v>27</v>
      </c>
      <c r="EE212" s="1962">
        <v>28</v>
      </c>
      <c r="EF212" s="1962">
        <v>29</v>
      </c>
      <c r="EG212" s="1962">
        <v>30</v>
      </c>
      <c r="EH212" s="1962">
        <v>31</v>
      </c>
      <c r="EI212" s="2176" t="s">
        <v>74</v>
      </c>
    </row>
    <row r="213" spans="1:139" ht="15">
      <c r="AJ213" s="1746" t="s">
        <v>75</v>
      </c>
      <c r="AK213" s="1749">
        <f t="shared" ref="AK213:AK224" si="222">+BQ213</f>
        <v>0</v>
      </c>
      <c r="AL213" s="2189">
        <f t="shared" ref="AL213:BP213" si="223">+(AL5+AL21+AL37)</f>
        <v>0</v>
      </c>
      <c r="AM213" s="2189">
        <f t="shared" si="223"/>
        <v>0</v>
      </c>
      <c r="AN213" s="2189">
        <f t="shared" si="223"/>
        <v>0</v>
      </c>
      <c r="AO213" s="2189">
        <f t="shared" si="223"/>
        <v>0</v>
      </c>
      <c r="AP213" s="2189">
        <f t="shared" si="223"/>
        <v>0</v>
      </c>
      <c r="AQ213" s="2189">
        <f t="shared" si="223"/>
        <v>0</v>
      </c>
      <c r="AR213" s="2189">
        <f t="shared" si="223"/>
        <v>0</v>
      </c>
      <c r="AS213" s="2189">
        <f t="shared" si="223"/>
        <v>0</v>
      </c>
      <c r="AT213" s="2189">
        <f t="shared" si="223"/>
        <v>0</v>
      </c>
      <c r="AU213" s="2189">
        <f t="shared" si="223"/>
        <v>0</v>
      </c>
      <c r="AV213" s="2189">
        <f t="shared" si="223"/>
        <v>0</v>
      </c>
      <c r="AW213" s="2189">
        <f t="shared" si="223"/>
        <v>0</v>
      </c>
      <c r="AX213" s="2189">
        <f t="shared" si="223"/>
        <v>0</v>
      </c>
      <c r="AY213" s="2189">
        <f t="shared" si="223"/>
        <v>0</v>
      </c>
      <c r="AZ213" s="2189">
        <f t="shared" si="223"/>
        <v>0</v>
      </c>
      <c r="BA213" s="2189">
        <f t="shared" si="223"/>
        <v>0</v>
      </c>
      <c r="BB213" s="2189">
        <f t="shared" si="223"/>
        <v>0</v>
      </c>
      <c r="BC213" s="2189">
        <f t="shared" si="223"/>
        <v>0</v>
      </c>
      <c r="BD213" s="2189">
        <f t="shared" si="223"/>
        <v>0</v>
      </c>
      <c r="BE213" s="2189">
        <f t="shared" si="223"/>
        <v>0</v>
      </c>
      <c r="BF213" s="2189">
        <f t="shared" si="223"/>
        <v>0</v>
      </c>
      <c r="BG213" s="2189">
        <f t="shared" si="223"/>
        <v>0</v>
      </c>
      <c r="BH213" s="2189">
        <f t="shared" si="223"/>
        <v>0</v>
      </c>
      <c r="BI213" s="2189">
        <f t="shared" si="223"/>
        <v>0</v>
      </c>
      <c r="BJ213" s="2189">
        <f t="shared" si="223"/>
        <v>0</v>
      </c>
      <c r="BK213" s="2189">
        <f t="shared" si="223"/>
        <v>0</v>
      </c>
      <c r="BL213" s="2189">
        <f t="shared" si="223"/>
        <v>0</v>
      </c>
      <c r="BM213" s="2189">
        <f t="shared" si="223"/>
        <v>0</v>
      </c>
      <c r="BN213" s="2189">
        <f t="shared" si="223"/>
        <v>0</v>
      </c>
      <c r="BO213" s="2189">
        <f t="shared" si="223"/>
        <v>0</v>
      </c>
      <c r="BP213" s="2189">
        <f t="shared" si="223"/>
        <v>0</v>
      </c>
      <c r="BQ213" s="2188">
        <f t="shared" ref="BQ213:BQ224" si="224">SUM(AL213:BP213)</f>
        <v>0</v>
      </c>
      <c r="DB213" s="1962" t="s">
        <v>75</v>
      </c>
      <c r="DC213" s="2175">
        <f t="shared" ref="DC213:DC224" si="225">+EI213</f>
        <v>0</v>
      </c>
      <c r="DD213" s="2172">
        <f t="shared" ref="DD213:EH213" si="226">+(DD5+DD21+DD37)</f>
        <v>0</v>
      </c>
      <c r="DE213" s="2172">
        <f t="shared" si="226"/>
        <v>0</v>
      </c>
      <c r="DF213" s="2172">
        <f t="shared" si="226"/>
        <v>0</v>
      </c>
      <c r="DG213" s="2172">
        <f t="shared" si="226"/>
        <v>0</v>
      </c>
      <c r="DH213" s="2172">
        <f t="shared" si="226"/>
        <v>0</v>
      </c>
      <c r="DI213" s="2172">
        <f t="shared" si="226"/>
        <v>0</v>
      </c>
      <c r="DJ213" s="2172">
        <f t="shared" si="226"/>
        <v>0</v>
      </c>
      <c r="DK213" s="2172">
        <f t="shared" si="226"/>
        <v>0</v>
      </c>
      <c r="DL213" s="2172">
        <f t="shared" si="226"/>
        <v>0</v>
      </c>
      <c r="DM213" s="2172">
        <f t="shared" si="226"/>
        <v>0</v>
      </c>
      <c r="DN213" s="2172">
        <f t="shared" si="226"/>
        <v>0</v>
      </c>
      <c r="DO213" s="2172">
        <f t="shared" si="226"/>
        <v>0</v>
      </c>
      <c r="DP213" s="2172">
        <f t="shared" si="226"/>
        <v>0</v>
      </c>
      <c r="DQ213" s="2172">
        <f t="shared" si="226"/>
        <v>0</v>
      </c>
      <c r="DR213" s="2172">
        <f t="shared" si="226"/>
        <v>0</v>
      </c>
      <c r="DS213" s="2172">
        <f t="shared" si="226"/>
        <v>0</v>
      </c>
      <c r="DT213" s="2172">
        <f t="shared" si="226"/>
        <v>0</v>
      </c>
      <c r="DU213" s="2172">
        <f t="shared" si="226"/>
        <v>0</v>
      </c>
      <c r="DV213" s="2172">
        <f t="shared" si="226"/>
        <v>0</v>
      </c>
      <c r="DW213" s="2172">
        <f t="shared" si="226"/>
        <v>0</v>
      </c>
      <c r="DX213" s="2172">
        <f t="shared" si="226"/>
        <v>0</v>
      </c>
      <c r="DY213" s="2172">
        <f t="shared" si="226"/>
        <v>0</v>
      </c>
      <c r="DZ213" s="2172">
        <f t="shared" si="226"/>
        <v>0</v>
      </c>
      <c r="EA213" s="2172">
        <f t="shared" si="226"/>
        <v>0</v>
      </c>
      <c r="EB213" s="2172">
        <f t="shared" si="226"/>
        <v>0</v>
      </c>
      <c r="EC213" s="2172">
        <f t="shared" si="226"/>
        <v>0</v>
      </c>
      <c r="ED213" s="2172">
        <f t="shared" si="226"/>
        <v>0</v>
      </c>
      <c r="EE213" s="2172">
        <f t="shared" si="226"/>
        <v>0</v>
      </c>
      <c r="EF213" s="2172">
        <f t="shared" si="226"/>
        <v>0</v>
      </c>
      <c r="EG213" s="2172">
        <f t="shared" si="226"/>
        <v>0</v>
      </c>
      <c r="EH213" s="2172">
        <f t="shared" si="226"/>
        <v>0</v>
      </c>
      <c r="EI213" s="2171">
        <f t="shared" ref="EI213:EI224" si="227">SUM(DD213:EH213)</f>
        <v>0</v>
      </c>
    </row>
    <row r="214" spans="1:139" ht="15">
      <c r="AJ214" s="1746" t="s">
        <v>76</v>
      </c>
      <c r="AK214" s="1749">
        <f t="shared" si="222"/>
        <v>0</v>
      </c>
      <c r="AL214" s="2189">
        <f t="shared" ref="AL214:BP214" si="228">+(AL6+AL22+AL38)</f>
        <v>0</v>
      </c>
      <c r="AM214" s="2189">
        <f t="shared" si="228"/>
        <v>0</v>
      </c>
      <c r="AN214" s="2189">
        <f t="shared" si="228"/>
        <v>0</v>
      </c>
      <c r="AO214" s="2189">
        <f t="shared" si="228"/>
        <v>0</v>
      </c>
      <c r="AP214" s="2189">
        <f t="shared" si="228"/>
        <v>0</v>
      </c>
      <c r="AQ214" s="2189">
        <f t="shared" si="228"/>
        <v>0</v>
      </c>
      <c r="AR214" s="2189">
        <f t="shared" si="228"/>
        <v>0</v>
      </c>
      <c r="AS214" s="2189">
        <f t="shared" si="228"/>
        <v>0</v>
      </c>
      <c r="AT214" s="2189">
        <f t="shared" si="228"/>
        <v>0</v>
      </c>
      <c r="AU214" s="2189">
        <f t="shared" si="228"/>
        <v>0</v>
      </c>
      <c r="AV214" s="2189">
        <f t="shared" si="228"/>
        <v>0</v>
      </c>
      <c r="AW214" s="2189">
        <f t="shared" si="228"/>
        <v>0</v>
      </c>
      <c r="AX214" s="2189">
        <f t="shared" si="228"/>
        <v>0</v>
      </c>
      <c r="AY214" s="2189">
        <f t="shared" si="228"/>
        <v>0</v>
      </c>
      <c r="AZ214" s="2189">
        <f t="shared" si="228"/>
        <v>0</v>
      </c>
      <c r="BA214" s="2189">
        <f t="shared" si="228"/>
        <v>0</v>
      </c>
      <c r="BB214" s="2189">
        <f t="shared" si="228"/>
        <v>0</v>
      </c>
      <c r="BC214" s="2189">
        <f t="shared" si="228"/>
        <v>0</v>
      </c>
      <c r="BD214" s="2189">
        <f t="shared" si="228"/>
        <v>0</v>
      </c>
      <c r="BE214" s="2189">
        <f t="shared" si="228"/>
        <v>0</v>
      </c>
      <c r="BF214" s="2189">
        <f t="shared" si="228"/>
        <v>0</v>
      </c>
      <c r="BG214" s="2189">
        <f t="shared" si="228"/>
        <v>0</v>
      </c>
      <c r="BH214" s="2189">
        <f t="shared" si="228"/>
        <v>0</v>
      </c>
      <c r="BI214" s="2189">
        <f t="shared" si="228"/>
        <v>0</v>
      </c>
      <c r="BJ214" s="2189">
        <f t="shared" si="228"/>
        <v>0</v>
      </c>
      <c r="BK214" s="2189">
        <f t="shared" si="228"/>
        <v>0</v>
      </c>
      <c r="BL214" s="2189">
        <f t="shared" si="228"/>
        <v>0</v>
      </c>
      <c r="BM214" s="2189">
        <f t="shared" si="228"/>
        <v>0</v>
      </c>
      <c r="BN214" s="2189">
        <f t="shared" si="228"/>
        <v>0</v>
      </c>
      <c r="BO214" s="2189">
        <f t="shared" si="228"/>
        <v>0</v>
      </c>
      <c r="BP214" s="2189">
        <f t="shared" si="228"/>
        <v>0</v>
      </c>
      <c r="BQ214" s="2188">
        <f t="shared" si="224"/>
        <v>0</v>
      </c>
      <c r="DB214" s="1962" t="s">
        <v>76</v>
      </c>
      <c r="DC214" s="2175">
        <f t="shared" si="225"/>
        <v>0</v>
      </c>
      <c r="DD214" s="2172">
        <f t="shared" ref="DD214:EH214" si="229">+(DD6+DD22+DD38)</f>
        <v>0</v>
      </c>
      <c r="DE214" s="2172">
        <f t="shared" si="229"/>
        <v>0</v>
      </c>
      <c r="DF214" s="2172">
        <f t="shared" si="229"/>
        <v>0</v>
      </c>
      <c r="DG214" s="2172">
        <f t="shared" si="229"/>
        <v>0</v>
      </c>
      <c r="DH214" s="2172">
        <f t="shared" si="229"/>
        <v>0</v>
      </c>
      <c r="DI214" s="2172">
        <f t="shared" si="229"/>
        <v>0</v>
      </c>
      <c r="DJ214" s="2172">
        <f t="shared" si="229"/>
        <v>0</v>
      </c>
      <c r="DK214" s="2172">
        <f t="shared" si="229"/>
        <v>0</v>
      </c>
      <c r="DL214" s="2172">
        <f t="shared" si="229"/>
        <v>0</v>
      </c>
      <c r="DM214" s="2172">
        <f t="shared" si="229"/>
        <v>0</v>
      </c>
      <c r="DN214" s="2172">
        <f t="shared" si="229"/>
        <v>0</v>
      </c>
      <c r="DO214" s="2172">
        <f t="shared" si="229"/>
        <v>0</v>
      </c>
      <c r="DP214" s="2172">
        <f t="shared" si="229"/>
        <v>0</v>
      </c>
      <c r="DQ214" s="2172">
        <f t="shared" si="229"/>
        <v>0</v>
      </c>
      <c r="DR214" s="2172">
        <f t="shared" si="229"/>
        <v>0</v>
      </c>
      <c r="DS214" s="2172">
        <f t="shared" si="229"/>
        <v>0</v>
      </c>
      <c r="DT214" s="2172">
        <f t="shared" si="229"/>
        <v>0</v>
      </c>
      <c r="DU214" s="2172">
        <f t="shared" si="229"/>
        <v>0</v>
      </c>
      <c r="DV214" s="2172">
        <f t="shared" si="229"/>
        <v>0</v>
      </c>
      <c r="DW214" s="2172">
        <f t="shared" si="229"/>
        <v>0</v>
      </c>
      <c r="DX214" s="2172">
        <f t="shared" si="229"/>
        <v>0</v>
      </c>
      <c r="DY214" s="2172">
        <f t="shared" si="229"/>
        <v>0</v>
      </c>
      <c r="DZ214" s="2172">
        <f t="shared" si="229"/>
        <v>0</v>
      </c>
      <c r="EA214" s="2172">
        <f t="shared" si="229"/>
        <v>0</v>
      </c>
      <c r="EB214" s="2172">
        <f t="shared" si="229"/>
        <v>0</v>
      </c>
      <c r="EC214" s="2172">
        <f t="shared" si="229"/>
        <v>0</v>
      </c>
      <c r="ED214" s="2172">
        <f t="shared" si="229"/>
        <v>0</v>
      </c>
      <c r="EE214" s="2172">
        <f t="shared" si="229"/>
        <v>0</v>
      </c>
      <c r="EF214" s="2172">
        <f t="shared" si="229"/>
        <v>0</v>
      </c>
      <c r="EG214" s="2172">
        <f t="shared" si="229"/>
        <v>0</v>
      </c>
      <c r="EH214" s="2172">
        <f t="shared" si="229"/>
        <v>0</v>
      </c>
      <c r="EI214" s="2171">
        <f t="shared" si="227"/>
        <v>0</v>
      </c>
    </row>
    <row r="215" spans="1:139" ht="15">
      <c r="AJ215" s="1746" t="s">
        <v>77</v>
      </c>
      <c r="AK215" s="1749">
        <f t="shared" si="222"/>
        <v>0</v>
      </c>
      <c r="AL215" s="2189">
        <f t="shared" ref="AL215:BP215" si="230">+(AL7+AL23+AL39)</f>
        <v>0</v>
      </c>
      <c r="AM215" s="2189">
        <f t="shared" si="230"/>
        <v>0</v>
      </c>
      <c r="AN215" s="2189">
        <f t="shared" si="230"/>
        <v>0</v>
      </c>
      <c r="AO215" s="2189">
        <f t="shared" si="230"/>
        <v>0</v>
      </c>
      <c r="AP215" s="2189">
        <f t="shared" si="230"/>
        <v>0</v>
      </c>
      <c r="AQ215" s="2189">
        <f t="shared" si="230"/>
        <v>0</v>
      </c>
      <c r="AR215" s="2189">
        <f t="shared" si="230"/>
        <v>0</v>
      </c>
      <c r="AS215" s="2189">
        <f t="shared" si="230"/>
        <v>0</v>
      </c>
      <c r="AT215" s="2189">
        <f t="shared" si="230"/>
        <v>0</v>
      </c>
      <c r="AU215" s="2189">
        <f t="shared" si="230"/>
        <v>0</v>
      </c>
      <c r="AV215" s="2189">
        <f t="shared" si="230"/>
        <v>0</v>
      </c>
      <c r="AW215" s="2189">
        <f t="shared" si="230"/>
        <v>0</v>
      </c>
      <c r="AX215" s="2189">
        <f t="shared" si="230"/>
        <v>0</v>
      </c>
      <c r="AY215" s="2189">
        <f t="shared" si="230"/>
        <v>0</v>
      </c>
      <c r="AZ215" s="2189">
        <f t="shared" si="230"/>
        <v>0</v>
      </c>
      <c r="BA215" s="2189">
        <f t="shared" si="230"/>
        <v>0</v>
      </c>
      <c r="BB215" s="2189">
        <f t="shared" si="230"/>
        <v>0</v>
      </c>
      <c r="BC215" s="2189">
        <f t="shared" si="230"/>
        <v>0</v>
      </c>
      <c r="BD215" s="2189">
        <f t="shared" si="230"/>
        <v>0</v>
      </c>
      <c r="BE215" s="2189">
        <f t="shared" si="230"/>
        <v>0</v>
      </c>
      <c r="BF215" s="2189">
        <f t="shared" si="230"/>
        <v>0</v>
      </c>
      <c r="BG215" s="2189">
        <f t="shared" si="230"/>
        <v>0</v>
      </c>
      <c r="BH215" s="2189">
        <f t="shared" si="230"/>
        <v>0</v>
      </c>
      <c r="BI215" s="2189">
        <f t="shared" si="230"/>
        <v>0</v>
      </c>
      <c r="BJ215" s="2189">
        <f t="shared" si="230"/>
        <v>0</v>
      </c>
      <c r="BK215" s="2189">
        <f t="shared" si="230"/>
        <v>0</v>
      </c>
      <c r="BL215" s="2189">
        <f t="shared" si="230"/>
        <v>0</v>
      </c>
      <c r="BM215" s="2189">
        <f t="shared" si="230"/>
        <v>0</v>
      </c>
      <c r="BN215" s="2189">
        <f t="shared" si="230"/>
        <v>0</v>
      </c>
      <c r="BO215" s="2189">
        <f t="shared" si="230"/>
        <v>0</v>
      </c>
      <c r="BP215" s="2189">
        <f t="shared" si="230"/>
        <v>0</v>
      </c>
      <c r="BQ215" s="2188">
        <f t="shared" si="224"/>
        <v>0</v>
      </c>
      <c r="DB215" s="1962" t="s">
        <v>77</v>
      </c>
      <c r="DC215" s="2175">
        <f t="shared" si="225"/>
        <v>0</v>
      </c>
      <c r="DD215" s="2172">
        <f t="shared" ref="DD215:EH215" si="231">+(DD7+DD23+DD39)</f>
        <v>0</v>
      </c>
      <c r="DE215" s="2172">
        <f t="shared" si="231"/>
        <v>0</v>
      </c>
      <c r="DF215" s="2172">
        <f t="shared" si="231"/>
        <v>0</v>
      </c>
      <c r="DG215" s="2172">
        <f t="shared" si="231"/>
        <v>0</v>
      </c>
      <c r="DH215" s="2172">
        <f t="shared" si="231"/>
        <v>0</v>
      </c>
      <c r="DI215" s="2172">
        <f t="shared" si="231"/>
        <v>0</v>
      </c>
      <c r="DJ215" s="2172">
        <f t="shared" si="231"/>
        <v>0</v>
      </c>
      <c r="DK215" s="2172">
        <f t="shared" si="231"/>
        <v>0</v>
      </c>
      <c r="DL215" s="2172">
        <f t="shared" si="231"/>
        <v>0</v>
      </c>
      <c r="DM215" s="2172">
        <f t="shared" si="231"/>
        <v>0</v>
      </c>
      <c r="DN215" s="2172">
        <f t="shared" si="231"/>
        <v>0</v>
      </c>
      <c r="DO215" s="2172">
        <f t="shared" si="231"/>
        <v>0</v>
      </c>
      <c r="DP215" s="2172">
        <f t="shared" si="231"/>
        <v>0</v>
      </c>
      <c r="DQ215" s="2172">
        <f t="shared" si="231"/>
        <v>0</v>
      </c>
      <c r="DR215" s="2172">
        <f t="shared" si="231"/>
        <v>0</v>
      </c>
      <c r="DS215" s="2172">
        <f t="shared" si="231"/>
        <v>0</v>
      </c>
      <c r="DT215" s="2172">
        <f t="shared" si="231"/>
        <v>0</v>
      </c>
      <c r="DU215" s="2172">
        <f t="shared" si="231"/>
        <v>0</v>
      </c>
      <c r="DV215" s="2172">
        <f t="shared" si="231"/>
        <v>0</v>
      </c>
      <c r="DW215" s="2172">
        <f t="shared" si="231"/>
        <v>0</v>
      </c>
      <c r="DX215" s="2172">
        <f t="shared" si="231"/>
        <v>0</v>
      </c>
      <c r="DY215" s="2172">
        <f t="shared" si="231"/>
        <v>0</v>
      </c>
      <c r="DZ215" s="2172">
        <f t="shared" si="231"/>
        <v>0</v>
      </c>
      <c r="EA215" s="2172">
        <f t="shared" si="231"/>
        <v>0</v>
      </c>
      <c r="EB215" s="2172">
        <f t="shared" si="231"/>
        <v>0</v>
      </c>
      <c r="EC215" s="2172">
        <f t="shared" si="231"/>
        <v>0</v>
      </c>
      <c r="ED215" s="2172">
        <f t="shared" si="231"/>
        <v>0</v>
      </c>
      <c r="EE215" s="2172">
        <f t="shared" si="231"/>
        <v>0</v>
      </c>
      <c r="EF215" s="2172">
        <f t="shared" si="231"/>
        <v>0</v>
      </c>
      <c r="EG215" s="2172">
        <f t="shared" si="231"/>
        <v>0</v>
      </c>
      <c r="EH215" s="2172">
        <f t="shared" si="231"/>
        <v>0</v>
      </c>
      <c r="EI215" s="2171">
        <f t="shared" si="227"/>
        <v>0</v>
      </c>
    </row>
    <row r="216" spans="1:139" ht="15">
      <c r="AJ216" s="1746" t="s">
        <v>78</v>
      </c>
      <c r="AK216" s="1749">
        <f t="shared" si="222"/>
        <v>0</v>
      </c>
      <c r="AL216" s="2189">
        <f t="shared" ref="AL216:BP216" si="232">+(AL8+AL24+AL40)</f>
        <v>0</v>
      </c>
      <c r="AM216" s="2189">
        <f t="shared" si="232"/>
        <v>0</v>
      </c>
      <c r="AN216" s="2189">
        <f t="shared" si="232"/>
        <v>0</v>
      </c>
      <c r="AO216" s="2189">
        <f t="shared" si="232"/>
        <v>0</v>
      </c>
      <c r="AP216" s="2189">
        <f t="shared" si="232"/>
        <v>0</v>
      </c>
      <c r="AQ216" s="2189">
        <f t="shared" si="232"/>
        <v>0</v>
      </c>
      <c r="AR216" s="2189">
        <f t="shared" si="232"/>
        <v>0</v>
      </c>
      <c r="AS216" s="2189">
        <f t="shared" si="232"/>
        <v>0</v>
      </c>
      <c r="AT216" s="2189">
        <f t="shared" si="232"/>
        <v>0</v>
      </c>
      <c r="AU216" s="2189">
        <f t="shared" si="232"/>
        <v>0</v>
      </c>
      <c r="AV216" s="2189">
        <f t="shared" si="232"/>
        <v>0</v>
      </c>
      <c r="AW216" s="2189">
        <f t="shared" si="232"/>
        <v>0</v>
      </c>
      <c r="AX216" s="2189">
        <f t="shared" si="232"/>
        <v>0</v>
      </c>
      <c r="AY216" s="2189">
        <f t="shared" si="232"/>
        <v>0</v>
      </c>
      <c r="AZ216" s="2189">
        <f t="shared" si="232"/>
        <v>0</v>
      </c>
      <c r="BA216" s="2189">
        <f t="shared" si="232"/>
        <v>0</v>
      </c>
      <c r="BB216" s="2189">
        <f t="shared" si="232"/>
        <v>0</v>
      </c>
      <c r="BC216" s="2189">
        <f t="shared" si="232"/>
        <v>0</v>
      </c>
      <c r="BD216" s="2189">
        <f t="shared" si="232"/>
        <v>0</v>
      </c>
      <c r="BE216" s="2189">
        <f t="shared" si="232"/>
        <v>0</v>
      </c>
      <c r="BF216" s="2189">
        <f t="shared" si="232"/>
        <v>0</v>
      </c>
      <c r="BG216" s="2189">
        <f t="shared" si="232"/>
        <v>0</v>
      </c>
      <c r="BH216" s="2189">
        <f t="shared" si="232"/>
        <v>0</v>
      </c>
      <c r="BI216" s="2189">
        <f t="shared" si="232"/>
        <v>0</v>
      </c>
      <c r="BJ216" s="2189">
        <f t="shared" si="232"/>
        <v>0</v>
      </c>
      <c r="BK216" s="2189">
        <f t="shared" si="232"/>
        <v>0</v>
      </c>
      <c r="BL216" s="2189">
        <f t="shared" si="232"/>
        <v>0</v>
      </c>
      <c r="BM216" s="2189">
        <f t="shared" si="232"/>
        <v>0</v>
      </c>
      <c r="BN216" s="2189">
        <f t="shared" si="232"/>
        <v>0</v>
      </c>
      <c r="BO216" s="2189">
        <f t="shared" si="232"/>
        <v>0</v>
      </c>
      <c r="BP216" s="2189">
        <f t="shared" si="232"/>
        <v>0</v>
      </c>
      <c r="BQ216" s="2188">
        <f t="shared" si="224"/>
        <v>0</v>
      </c>
      <c r="DB216" s="1962" t="s">
        <v>78</v>
      </c>
      <c r="DC216" s="2175">
        <f t="shared" si="225"/>
        <v>0</v>
      </c>
      <c r="DD216" s="2172">
        <f t="shared" ref="DD216:EH216" si="233">+(DD8+DD24+DD40)</f>
        <v>0</v>
      </c>
      <c r="DE216" s="2172">
        <f t="shared" si="233"/>
        <v>0</v>
      </c>
      <c r="DF216" s="2172">
        <f t="shared" si="233"/>
        <v>0</v>
      </c>
      <c r="DG216" s="2172">
        <f t="shared" si="233"/>
        <v>0</v>
      </c>
      <c r="DH216" s="2172">
        <f t="shared" si="233"/>
        <v>0</v>
      </c>
      <c r="DI216" s="2172">
        <f t="shared" si="233"/>
        <v>0</v>
      </c>
      <c r="DJ216" s="2172">
        <f t="shared" si="233"/>
        <v>0</v>
      </c>
      <c r="DK216" s="2172">
        <f t="shared" si="233"/>
        <v>0</v>
      </c>
      <c r="DL216" s="2172">
        <f t="shared" si="233"/>
        <v>0</v>
      </c>
      <c r="DM216" s="2172">
        <f t="shared" si="233"/>
        <v>0</v>
      </c>
      <c r="DN216" s="2172">
        <f t="shared" si="233"/>
        <v>0</v>
      </c>
      <c r="DO216" s="2172">
        <f t="shared" si="233"/>
        <v>0</v>
      </c>
      <c r="DP216" s="2172">
        <f t="shared" si="233"/>
        <v>0</v>
      </c>
      <c r="DQ216" s="2172">
        <f t="shared" si="233"/>
        <v>0</v>
      </c>
      <c r="DR216" s="2172">
        <f t="shared" si="233"/>
        <v>0</v>
      </c>
      <c r="DS216" s="2172">
        <f t="shared" si="233"/>
        <v>0</v>
      </c>
      <c r="DT216" s="2172">
        <f t="shared" si="233"/>
        <v>0</v>
      </c>
      <c r="DU216" s="2172">
        <f t="shared" si="233"/>
        <v>0</v>
      </c>
      <c r="DV216" s="2172">
        <f t="shared" si="233"/>
        <v>0</v>
      </c>
      <c r="DW216" s="2172">
        <f t="shared" si="233"/>
        <v>0</v>
      </c>
      <c r="DX216" s="2172">
        <f t="shared" si="233"/>
        <v>0</v>
      </c>
      <c r="DY216" s="2172">
        <f t="shared" si="233"/>
        <v>0</v>
      </c>
      <c r="DZ216" s="2172">
        <f t="shared" si="233"/>
        <v>0</v>
      </c>
      <c r="EA216" s="2172">
        <f t="shared" si="233"/>
        <v>0</v>
      </c>
      <c r="EB216" s="2172">
        <f t="shared" si="233"/>
        <v>0</v>
      </c>
      <c r="EC216" s="2172">
        <f t="shared" si="233"/>
        <v>0</v>
      </c>
      <c r="ED216" s="2172">
        <f t="shared" si="233"/>
        <v>0</v>
      </c>
      <c r="EE216" s="2172">
        <f t="shared" si="233"/>
        <v>0</v>
      </c>
      <c r="EF216" s="2172">
        <f t="shared" si="233"/>
        <v>0</v>
      </c>
      <c r="EG216" s="2172">
        <f t="shared" si="233"/>
        <v>0</v>
      </c>
      <c r="EH216" s="2172">
        <f t="shared" si="233"/>
        <v>0</v>
      </c>
      <c r="EI216" s="2171">
        <f t="shared" si="227"/>
        <v>0</v>
      </c>
    </row>
    <row r="217" spans="1:139" ht="15">
      <c r="AJ217" s="1746" t="s">
        <v>79</v>
      </c>
      <c r="AK217" s="1749">
        <f t="shared" si="222"/>
        <v>0</v>
      </c>
      <c r="AL217" s="2189">
        <f t="shared" ref="AL217:BP217" si="234">+(AL9+AL25+AL41)</f>
        <v>0</v>
      </c>
      <c r="AM217" s="2189">
        <f t="shared" si="234"/>
        <v>0</v>
      </c>
      <c r="AN217" s="2189">
        <f t="shared" si="234"/>
        <v>0</v>
      </c>
      <c r="AO217" s="2189">
        <f t="shared" si="234"/>
        <v>0</v>
      </c>
      <c r="AP217" s="2189">
        <f t="shared" si="234"/>
        <v>0</v>
      </c>
      <c r="AQ217" s="2189">
        <f t="shared" si="234"/>
        <v>0</v>
      </c>
      <c r="AR217" s="2189">
        <f t="shared" si="234"/>
        <v>0</v>
      </c>
      <c r="AS217" s="2189">
        <f t="shared" si="234"/>
        <v>0</v>
      </c>
      <c r="AT217" s="2189">
        <f t="shared" si="234"/>
        <v>0</v>
      </c>
      <c r="AU217" s="2189">
        <f t="shared" si="234"/>
        <v>0</v>
      </c>
      <c r="AV217" s="2189">
        <f t="shared" si="234"/>
        <v>0</v>
      </c>
      <c r="AW217" s="2189">
        <f t="shared" si="234"/>
        <v>0</v>
      </c>
      <c r="AX217" s="2189">
        <f t="shared" si="234"/>
        <v>0</v>
      </c>
      <c r="AY217" s="2189">
        <f t="shared" si="234"/>
        <v>0</v>
      </c>
      <c r="AZ217" s="2189">
        <f t="shared" si="234"/>
        <v>0</v>
      </c>
      <c r="BA217" s="2189">
        <f t="shared" si="234"/>
        <v>0</v>
      </c>
      <c r="BB217" s="2189">
        <f t="shared" si="234"/>
        <v>0</v>
      </c>
      <c r="BC217" s="2189">
        <f t="shared" si="234"/>
        <v>0</v>
      </c>
      <c r="BD217" s="2189">
        <f t="shared" si="234"/>
        <v>0</v>
      </c>
      <c r="BE217" s="2189">
        <f t="shared" si="234"/>
        <v>0</v>
      </c>
      <c r="BF217" s="2189">
        <f t="shared" si="234"/>
        <v>0</v>
      </c>
      <c r="BG217" s="2189">
        <f t="shared" si="234"/>
        <v>0</v>
      </c>
      <c r="BH217" s="2189">
        <f t="shared" si="234"/>
        <v>0</v>
      </c>
      <c r="BI217" s="2189">
        <f t="shared" si="234"/>
        <v>0</v>
      </c>
      <c r="BJ217" s="2189">
        <f t="shared" si="234"/>
        <v>0</v>
      </c>
      <c r="BK217" s="2189">
        <f t="shared" si="234"/>
        <v>0</v>
      </c>
      <c r="BL217" s="2189">
        <f t="shared" si="234"/>
        <v>0</v>
      </c>
      <c r="BM217" s="2189">
        <f t="shared" si="234"/>
        <v>0</v>
      </c>
      <c r="BN217" s="2189">
        <f t="shared" si="234"/>
        <v>0</v>
      </c>
      <c r="BO217" s="2189">
        <f t="shared" si="234"/>
        <v>0</v>
      </c>
      <c r="BP217" s="2189">
        <f t="shared" si="234"/>
        <v>0</v>
      </c>
      <c r="BQ217" s="2188">
        <f t="shared" si="224"/>
        <v>0</v>
      </c>
      <c r="DB217" s="1962" t="s">
        <v>79</v>
      </c>
      <c r="DC217" s="2175">
        <f t="shared" si="225"/>
        <v>0</v>
      </c>
      <c r="DD217" s="2172">
        <f t="shared" ref="DD217:EH217" si="235">+(DD9+DD25+DD41)</f>
        <v>0</v>
      </c>
      <c r="DE217" s="2172">
        <f t="shared" si="235"/>
        <v>0</v>
      </c>
      <c r="DF217" s="2172">
        <f t="shared" si="235"/>
        <v>0</v>
      </c>
      <c r="DG217" s="2172">
        <f t="shared" si="235"/>
        <v>0</v>
      </c>
      <c r="DH217" s="2172">
        <f t="shared" si="235"/>
        <v>0</v>
      </c>
      <c r="DI217" s="2172">
        <f t="shared" si="235"/>
        <v>0</v>
      </c>
      <c r="DJ217" s="2172">
        <f t="shared" si="235"/>
        <v>0</v>
      </c>
      <c r="DK217" s="2172">
        <f t="shared" si="235"/>
        <v>0</v>
      </c>
      <c r="DL217" s="2172">
        <f t="shared" si="235"/>
        <v>0</v>
      </c>
      <c r="DM217" s="2172">
        <f t="shared" si="235"/>
        <v>0</v>
      </c>
      <c r="DN217" s="2172">
        <f t="shared" si="235"/>
        <v>0</v>
      </c>
      <c r="DO217" s="2172">
        <f t="shared" si="235"/>
        <v>0</v>
      </c>
      <c r="DP217" s="2172">
        <f t="shared" si="235"/>
        <v>0</v>
      </c>
      <c r="DQ217" s="2172">
        <f t="shared" si="235"/>
        <v>0</v>
      </c>
      <c r="DR217" s="2172">
        <f t="shared" si="235"/>
        <v>0</v>
      </c>
      <c r="DS217" s="2172">
        <f t="shared" si="235"/>
        <v>0</v>
      </c>
      <c r="DT217" s="2172">
        <f t="shared" si="235"/>
        <v>0</v>
      </c>
      <c r="DU217" s="2172">
        <f t="shared" si="235"/>
        <v>0</v>
      </c>
      <c r="DV217" s="2172">
        <f t="shared" si="235"/>
        <v>0</v>
      </c>
      <c r="DW217" s="2172">
        <f t="shared" si="235"/>
        <v>0</v>
      </c>
      <c r="DX217" s="2172">
        <f t="shared" si="235"/>
        <v>0</v>
      </c>
      <c r="DY217" s="2172">
        <f t="shared" si="235"/>
        <v>0</v>
      </c>
      <c r="DZ217" s="2172">
        <f t="shared" si="235"/>
        <v>0</v>
      </c>
      <c r="EA217" s="2172">
        <f t="shared" si="235"/>
        <v>0</v>
      </c>
      <c r="EB217" s="2172">
        <f t="shared" si="235"/>
        <v>0</v>
      </c>
      <c r="EC217" s="2172">
        <f t="shared" si="235"/>
        <v>0</v>
      </c>
      <c r="ED217" s="2172">
        <f t="shared" si="235"/>
        <v>0</v>
      </c>
      <c r="EE217" s="2172">
        <f t="shared" si="235"/>
        <v>0</v>
      </c>
      <c r="EF217" s="2172">
        <f t="shared" si="235"/>
        <v>0</v>
      </c>
      <c r="EG217" s="2172">
        <f t="shared" si="235"/>
        <v>0</v>
      </c>
      <c r="EH217" s="2172">
        <f t="shared" si="235"/>
        <v>0</v>
      </c>
      <c r="EI217" s="2171">
        <f t="shared" si="227"/>
        <v>0</v>
      </c>
    </row>
    <row r="218" spans="1:139" ht="15">
      <c r="AJ218" s="1746" t="s">
        <v>80</v>
      </c>
      <c r="AK218" s="1749">
        <f t="shared" si="222"/>
        <v>0</v>
      </c>
      <c r="AL218" s="2189">
        <f t="shared" ref="AL218:BP218" si="236">+(AL10+AL26+AL42)</f>
        <v>0</v>
      </c>
      <c r="AM218" s="2189">
        <f t="shared" si="236"/>
        <v>0</v>
      </c>
      <c r="AN218" s="2189">
        <f t="shared" si="236"/>
        <v>0</v>
      </c>
      <c r="AO218" s="2189">
        <f t="shared" si="236"/>
        <v>0</v>
      </c>
      <c r="AP218" s="2189">
        <f t="shared" si="236"/>
        <v>0</v>
      </c>
      <c r="AQ218" s="2189">
        <f t="shared" si="236"/>
        <v>0</v>
      </c>
      <c r="AR218" s="2189">
        <f t="shared" si="236"/>
        <v>0</v>
      </c>
      <c r="AS218" s="2189">
        <f t="shared" si="236"/>
        <v>0</v>
      </c>
      <c r="AT218" s="2189">
        <f t="shared" si="236"/>
        <v>0</v>
      </c>
      <c r="AU218" s="2189">
        <f t="shared" si="236"/>
        <v>0</v>
      </c>
      <c r="AV218" s="2189">
        <f t="shared" si="236"/>
        <v>0</v>
      </c>
      <c r="AW218" s="2189">
        <f t="shared" si="236"/>
        <v>0</v>
      </c>
      <c r="AX218" s="2189">
        <f t="shared" si="236"/>
        <v>0</v>
      </c>
      <c r="AY218" s="2189">
        <f t="shared" si="236"/>
        <v>0</v>
      </c>
      <c r="AZ218" s="2189">
        <f t="shared" si="236"/>
        <v>0</v>
      </c>
      <c r="BA218" s="2189">
        <f t="shared" si="236"/>
        <v>0</v>
      </c>
      <c r="BB218" s="2189">
        <f t="shared" si="236"/>
        <v>0</v>
      </c>
      <c r="BC218" s="2189">
        <f t="shared" si="236"/>
        <v>0</v>
      </c>
      <c r="BD218" s="2189">
        <f t="shared" si="236"/>
        <v>0</v>
      </c>
      <c r="BE218" s="2189">
        <f t="shared" si="236"/>
        <v>0</v>
      </c>
      <c r="BF218" s="2189">
        <f t="shared" si="236"/>
        <v>0</v>
      </c>
      <c r="BG218" s="2189">
        <f t="shared" si="236"/>
        <v>0</v>
      </c>
      <c r="BH218" s="2189">
        <f t="shared" si="236"/>
        <v>0</v>
      </c>
      <c r="BI218" s="2189">
        <f t="shared" si="236"/>
        <v>0</v>
      </c>
      <c r="BJ218" s="2189">
        <f t="shared" si="236"/>
        <v>0</v>
      </c>
      <c r="BK218" s="2189">
        <f t="shared" si="236"/>
        <v>0</v>
      </c>
      <c r="BL218" s="2189">
        <f t="shared" si="236"/>
        <v>0</v>
      </c>
      <c r="BM218" s="2189">
        <f t="shared" si="236"/>
        <v>0</v>
      </c>
      <c r="BN218" s="2189">
        <f t="shared" si="236"/>
        <v>0</v>
      </c>
      <c r="BO218" s="2189">
        <f t="shared" si="236"/>
        <v>0</v>
      </c>
      <c r="BP218" s="2189">
        <f t="shared" si="236"/>
        <v>0</v>
      </c>
      <c r="BQ218" s="2188">
        <f t="shared" si="224"/>
        <v>0</v>
      </c>
      <c r="DB218" s="1962" t="s">
        <v>80</v>
      </c>
      <c r="DC218" s="2175">
        <f t="shared" si="225"/>
        <v>0</v>
      </c>
      <c r="DD218" s="2172">
        <f t="shared" ref="DD218:EH218" si="237">+(DD10+DD26+DD42)</f>
        <v>0</v>
      </c>
      <c r="DE218" s="2172">
        <f t="shared" si="237"/>
        <v>0</v>
      </c>
      <c r="DF218" s="2172">
        <f t="shared" si="237"/>
        <v>0</v>
      </c>
      <c r="DG218" s="2172">
        <f t="shared" si="237"/>
        <v>0</v>
      </c>
      <c r="DH218" s="2172">
        <f t="shared" si="237"/>
        <v>0</v>
      </c>
      <c r="DI218" s="2172">
        <f t="shared" si="237"/>
        <v>0</v>
      </c>
      <c r="DJ218" s="2172">
        <f t="shared" si="237"/>
        <v>0</v>
      </c>
      <c r="DK218" s="2172">
        <f t="shared" si="237"/>
        <v>0</v>
      </c>
      <c r="DL218" s="2172">
        <f t="shared" si="237"/>
        <v>0</v>
      </c>
      <c r="DM218" s="2172">
        <f t="shared" si="237"/>
        <v>0</v>
      </c>
      <c r="DN218" s="2172">
        <f t="shared" si="237"/>
        <v>0</v>
      </c>
      <c r="DO218" s="2172">
        <f t="shared" si="237"/>
        <v>0</v>
      </c>
      <c r="DP218" s="2172">
        <f t="shared" si="237"/>
        <v>0</v>
      </c>
      <c r="DQ218" s="2172">
        <f t="shared" si="237"/>
        <v>0</v>
      </c>
      <c r="DR218" s="2172">
        <f t="shared" si="237"/>
        <v>0</v>
      </c>
      <c r="DS218" s="2172">
        <f t="shared" si="237"/>
        <v>0</v>
      </c>
      <c r="DT218" s="2172">
        <f t="shared" si="237"/>
        <v>0</v>
      </c>
      <c r="DU218" s="2172">
        <f t="shared" si="237"/>
        <v>0</v>
      </c>
      <c r="DV218" s="2172">
        <f t="shared" si="237"/>
        <v>0</v>
      </c>
      <c r="DW218" s="2172">
        <f t="shared" si="237"/>
        <v>0</v>
      </c>
      <c r="DX218" s="2172">
        <f t="shared" si="237"/>
        <v>0</v>
      </c>
      <c r="DY218" s="2172">
        <f t="shared" si="237"/>
        <v>0</v>
      </c>
      <c r="DZ218" s="2172">
        <f t="shared" si="237"/>
        <v>0</v>
      </c>
      <c r="EA218" s="2172">
        <f t="shared" si="237"/>
        <v>0</v>
      </c>
      <c r="EB218" s="2172">
        <f t="shared" si="237"/>
        <v>0</v>
      </c>
      <c r="EC218" s="2172">
        <f t="shared" si="237"/>
        <v>0</v>
      </c>
      <c r="ED218" s="2172">
        <f t="shared" si="237"/>
        <v>0</v>
      </c>
      <c r="EE218" s="2172">
        <f t="shared" si="237"/>
        <v>0</v>
      </c>
      <c r="EF218" s="2172">
        <f t="shared" si="237"/>
        <v>0</v>
      </c>
      <c r="EG218" s="2172">
        <f t="shared" si="237"/>
        <v>0</v>
      </c>
      <c r="EH218" s="2172">
        <f t="shared" si="237"/>
        <v>0</v>
      </c>
      <c r="EI218" s="2171">
        <f t="shared" si="227"/>
        <v>0</v>
      </c>
    </row>
    <row r="219" spans="1:139" ht="15">
      <c r="AJ219" s="1746" t="s">
        <v>81</v>
      </c>
      <c r="AK219" s="1749">
        <f t="shared" si="222"/>
        <v>0</v>
      </c>
      <c r="AL219" s="2189">
        <f t="shared" ref="AL219:BP219" si="238">+(AL11+AL27+AL43)</f>
        <v>0</v>
      </c>
      <c r="AM219" s="2189">
        <f t="shared" si="238"/>
        <v>0</v>
      </c>
      <c r="AN219" s="2189">
        <f t="shared" si="238"/>
        <v>0</v>
      </c>
      <c r="AO219" s="2189">
        <f t="shared" si="238"/>
        <v>0</v>
      </c>
      <c r="AP219" s="2189">
        <f t="shared" si="238"/>
        <v>0</v>
      </c>
      <c r="AQ219" s="2189">
        <f t="shared" si="238"/>
        <v>0</v>
      </c>
      <c r="AR219" s="2189">
        <f t="shared" si="238"/>
        <v>0</v>
      </c>
      <c r="AS219" s="2189">
        <f t="shared" si="238"/>
        <v>0</v>
      </c>
      <c r="AT219" s="2189">
        <f t="shared" si="238"/>
        <v>0</v>
      </c>
      <c r="AU219" s="2189">
        <f t="shared" si="238"/>
        <v>0</v>
      </c>
      <c r="AV219" s="2189">
        <f t="shared" si="238"/>
        <v>0</v>
      </c>
      <c r="AW219" s="2189">
        <f t="shared" si="238"/>
        <v>0</v>
      </c>
      <c r="AX219" s="2189">
        <f t="shared" si="238"/>
        <v>0</v>
      </c>
      <c r="AY219" s="2189">
        <f t="shared" si="238"/>
        <v>0</v>
      </c>
      <c r="AZ219" s="2189">
        <f t="shared" si="238"/>
        <v>0</v>
      </c>
      <c r="BA219" s="2189">
        <f t="shared" si="238"/>
        <v>0</v>
      </c>
      <c r="BB219" s="2189">
        <f t="shared" si="238"/>
        <v>0</v>
      </c>
      <c r="BC219" s="2189">
        <f t="shared" si="238"/>
        <v>0</v>
      </c>
      <c r="BD219" s="2189">
        <f t="shared" si="238"/>
        <v>0</v>
      </c>
      <c r="BE219" s="2189">
        <f t="shared" si="238"/>
        <v>0</v>
      </c>
      <c r="BF219" s="2189">
        <f t="shared" si="238"/>
        <v>0</v>
      </c>
      <c r="BG219" s="2189">
        <f t="shared" si="238"/>
        <v>0</v>
      </c>
      <c r="BH219" s="2189">
        <f t="shared" si="238"/>
        <v>0</v>
      </c>
      <c r="BI219" s="2189">
        <f t="shared" si="238"/>
        <v>0</v>
      </c>
      <c r="BJ219" s="2189">
        <f t="shared" si="238"/>
        <v>0</v>
      </c>
      <c r="BK219" s="2189">
        <f t="shared" si="238"/>
        <v>0</v>
      </c>
      <c r="BL219" s="2189">
        <f t="shared" si="238"/>
        <v>0</v>
      </c>
      <c r="BM219" s="2189">
        <f t="shared" si="238"/>
        <v>0</v>
      </c>
      <c r="BN219" s="2189">
        <f t="shared" si="238"/>
        <v>0</v>
      </c>
      <c r="BO219" s="2189">
        <f t="shared" si="238"/>
        <v>0</v>
      </c>
      <c r="BP219" s="2189">
        <f t="shared" si="238"/>
        <v>0</v>
      </c>
      <c r="BQ219" s="2188">
        <f t="shared" si="224"/>
        <v>0</v>
      </c>
      <c r="DB219" s="1962" t="s">
        <v>81</v>
      </c>
      <c r="DC219" s="2175">
        <f t="shared" si="225"/>
        <v>0</v>
      </c>
      <c r="DD219" s="2172">
        <f t="shared" ref="DD219:EH219" si="239">+(DD11+DD27+DD43)</f>
        <v>0</v>
      </c>
      <c r="DE219" s="2172">
        <f t="shared" si="239"/>
        <v>0</v>
      </c>
      <c r="DF219" s="2172">
        <f t="shared" si="239"/>
        <v>0</v>
      </c>
      <c r="DG219" s="2172">
        <f t="shared" si="239"/>
        <v>0</v>
      </c>
      <c r="DH219" s="2172">
        <f t="shared" si="239"/>
        <v>0</v>
      </c>
      <c r="DI219" s="2172">
        <f t="shared" si="239"/>
        <v>0</v>
      </c>
      <c r="DJ219" s="2172">
        <f t="shared" si="239"/>
        <v>0</v>
      </c>
      <c r="DK219" s="2172">
        <f t="shared" si="239"/>
        <v>0</v>
      </c>
      <c r="DL219" s="2172">
        <f t="shared" si="239"/>
        <v>0</v>
      </c>
      <c r="DM219" s="2172">
        <f t="shared" si="239"/>
        <v>0</v>
      </c>
      <c r="DN219" s="2172">
        <f t="shared" si="239"/>
        <v>0</v>
      </c>
      <c r="DO219" s="2172">
        <f t="shared" si="239"/>
        <v>0</v>
      </c>
      <c r="DP219" s="2172">
        <f t="shared" si="239"/>
        <v>0</v>
      </c>
      <c r="DQ219" s="2172">
        <f t="shared" si="239"/>
        <v>0</v>
      </c>
      <c r="DR219" s="2172">
        <f t="shared" si="239"/>
        <v>0</v>
      </c>
      <c r="DS219" s="2172">
        <f t="shared" si="239"/>
        <v>0</v>
      </c>
      <c r="DT219" s="2172">
        <f t="shared" si="239"/>
        <v>0</v>
      </c>
      <c r="DU219" s="2172">
        <f t="shared" si="239"/>
        <v>0</v>
      </c>
      <c r="DV219" s="2172">
        <f t="shared" si="239"/>
        <v>0</v>
      </c>
      <c r="DW219" s="2172">
        <f t="shared" si="239"/>
        <v>0</v>
      </c>
      <c r="DX219" s="2172">
        <f t="shared" si="239"/>
        <v>0</v>
      </c>
      <c r="DY219" s="2172">
        <f t="shared" si="239"/>
        <v>0</v>
      </c>
      <c r="DZ219" s="2172">
        <f t="shared" si="239"/>
        <v>0</v>
      </c>
      <c r="EA219" s="2172">
        <f t="shared" si="239"/>
        <v>0</v>
      </c>
      <c r="EB219" s="2172">
        <f t="shared" si="239"/>
        <v>0</v>
      </c>
      <c r="EC219" s="2172">
        <f t="shared" si="239"/>
        <v>0</v>
      </c>
      <c r="ED219" s="2172">
        <f t="shared" si="239"/>
        <v>0</v>
      </c>
      <c r="EE219" s="2172">
        <f t="shared" si="239"/>
        <v>0</v>
      </c>
      <c r="EF219" s="2172">
        <f t="shared" si="239"/>
        <v>0</v>
      </c>
      <c r="EG219" s="2172">
        <f t="shared" si="239"/>
        <v>0</v>
      </c>
      <c r="EH219" s="2172">
        <f t="shared" si="239"/>
        <v>0</v>
      </c>
      <c r="EI219" s="2171">
        <f t="shared" si="227"/>
        <v>0</v>
      </c>
    </row>
    <row r="220" spans="1:139" ht="15">
      <c r="AJ220" s="1746" t="s">
        <v>82</v>
      </c>
      <c r="AK220" s="1749">
        <f t="shared" si="222"/>
        <v>0</v>
      </c>
      <c r="AL220" s="2189">
        <f t="shared" ref="AL220:BP220" si="240">+(AL12+AL28+AL44)</f>
        <v>0</v>
      </c>
      <c r="AM220" s="2189">
        <f t="shared" si="240"/>
        <v>0</v>
      </c>
      <c r="AN220" s="2189">
        <f t="shared" si="240"/>
        <v>0</v>
      </c>
      <c r="AO220" s="2189">
        <f t="shared" si="240"/>
        <v>0</v>
      </c>
      <c r="AP220" s="2189">
        <f t="shared" si="240"/>
        <v>0</v>
      </c>
      <c r="AQ220" s="2189">
        <f t="shared" si="240"/>
        <v>0</v>
      </c>
      <c r="AR220" s="2189">
        <f t="shared" si="240"/>
        <v>0</v>
      </c>
      <c r="AS220" s="2189">
        <f t="shared" si="240"/>
        <v>0</v>
      </c>
      <c r="AT220" s="2189">
        <f t="shared" si="240"/>
        <v>0</v>
      </c>
      <c r="AU220" s="2189">
        <f t="shared" si="240"/>
        <v>0</v>
      </c>
      <c r="AV220" s="2189">
        <f t="shared" si="240"/>
        <v>0</v>
      </c>
      <c r="AW220" s="2189">
        <f t="shared" si="240"/>
        <v>0</v>
      </c>
      <c r="AX220" s="2189">
        <f t="shared" si="240"/>
        <v>0</v>
      </c>
      <c r="AY220" s="2189">
        <f t="shared" si="240"/>
        <v>0</v>
      </c>
      <c r="AZ220" s="2189">
        <f t="shared" si="240"/>
        <v>0</v>
      </c>
      <c r="BA220" s="2189">
        <f t="shared" si="240"/>
        <v>0</v>
      </c>
      <c r="BB220" s="2189">
        <f t="shared" si="240"/>
        <v>0</v>
      </c>
      <c r="BC220" s="2189">
        <f t="shared" si="240"/>
        <v>0</v>
      </c>
      <c r="BD220" s="2189">
        <f t="shared" si="240"/>
        <v>0</v>
      </c>
      <c r="BE220" s="2189">
        <f t="shared" si="240"/>
        <v>0</v>
      </c>
      <c r="BF220" s="2189">
        <f t="shared" si="240"/>
        <v>0</v>
      </c>
      <c r="BG220" s="2189">
        <f t="shared" si="240"/>
        <v>0</v>
      </c>
      <c r="BH220" s="2189">
        <f t="shared" si="240"/>
        <v>0</v>
      </c>
      <c r="BI220" s="2189">
        <f t="shared" si="240"/>
        <v>0</v>
      </c>
      <c r="BJ220" s="2189">
        <f t="shared" si="240"/>
        <v>0</v>
      </c>
      <c r="BK220" s="2189">
        <f t="shared" si="240"/>
        <v>0</v>
      </c>
      <c r="BL220" s="2189">
        <f t="shared" si="240"/>
        <v>0</v>
      </c>
      <c r="BM220" s="2189">
        <f t="shared" si="240"/>
        <v>0</v>
      </c>
      <c r="BN220" s="2189">
        <f t="shared" si="240"/>
        <v>0</v>
      </c>
      <c r="BO220" s="2189">
        <f t="shared" si="240"/>
        <v>0</v>
      </c>
      <c r="BP220" s="2189">
        <f t="shared" si="240"/>
        <v>0</v>
      </c>
      <c r="BQ220" s="2188">
        <f t="shared" si="224"/>
        <v>0</v>
      </c>
      <c r="DB220" s="1962" t="s">
        <v>82</v>
      </c>
      <c r="DC220" s="2175">
        <f t="shared" si="225"/>
        <v>0</v>
      </c>
      <c r="DD220" s="2172">
        <f t="shared" ref="DD220:EH220" si="241">+(DD12+DD28+DD44)</f>
        <v>0</v>
      </c>
      <c r="DE220" s="2172">
        <f t="shared" si="241"/>
        <v>0</v>
      </c>
      <c r="DF220" s="2172">
        <f t="shared" si="241"/>
        <v>0</v>
      </c>
      <c r="DG220" s="2172">
        <f t="shared" si="241"/>
        <v>0</v>
      </c>
      <c r="DH220" s="2172">
        <f t="shared" si="241"/>
        <v>0</v>
      </c>
      <c r="DI220" s="2172">
        <f t="shared" si="241"/>
        <v>0</v>
      </c>
      <c r="DJ220" s="2172">
        <f t="shared" si="241"/>
        <v>0</v>
      </c>
      <c r="DK220" s="2172">
        <f t="shared" si="241"/>
        <v>0</v>
      </c>
      <c r="DL220" s="2172">
        <f t="shared" si="241"/>
        <v>0</v>
      </c>
      <c r="DM220" s="2172">
        <f t="shared" si="241"/>
        <v>0</v>
      </c>
      <c r="DN220" s="2172">
        <f t="shared" si="241"/>
        <v>0</v>
      </c>
      <c r="DO220" s="2172">
        <f t="shared" si="241"/>
        <v>0</v>
      </c>
      <c r="DP220" s="2172">
        <f t="shared" si="241"/>
        <v>0</v>
      </c>
      <c r="DQ220" s="2172">
        <f t="shared" si="241"/>
        <v>0</v>
      </c>
      <c r="DR220" s="2172">
        <f t="shared" si="241"/>
        <v>0</v>
      </c>
      <c r="DS220" s="2172">
        <f t="shared" si="241"/>
        <v>0</v>
      </c>
      <c r="DT220" s="2172">
        <f t="shared" si="241"/>
        <v>0</v>
      </c>
      <c r="DU220" s="2172">
        <f t="shared" si="241"/>
        <v>0</v>
      </c>
      <c r="DV220" s="2172">
        <f t="shared" si="241"/>
        <v>0</v>
      </c>
      <c r="DW220" s="2172">
        <f t="shared" si="241"/>
        <v>0</v>
      </c>
      <c r="DX220" s="2172">
        <f t="shared" si="241"/>
        <v>0</v>
      </c>
      <c r="DY220" s="2172">
        <f t="shared" si="241"/>
        <v>0</v>
      </c>
      <c r="DZ220" s="2172">
        <f t="shared" si="241"/>
        <v>0</v>
      </c>
      <c r="EA220" s="2172">
        <f t="shared" si="241"/>
        <v>0</v>
      </c>
      <c r="EB220" s="2172">
        <f t="shared" si="241"/>
        <v>0</v>
      </c>
      <c r="EC220" s="2172">
        <f t="shared" si="241"/>
        <v>0</v>
      </c>
      <c r="ED220" s="2172">
        <f t="shared" si="241"/>
        <v>0</v>
      </c>
      <c r="EE220" s="2172">
        <f t="shared" si="241"/>
        <v>0</v>
      </c>
      <c r="EF220" s="2172">
        <f t="shared" si="241"/>
        <v>0</v>
      </c>
      <c r="EG220" s="2172">
        <f t="shared" si="241"/>
        <v>0</v>
      </c>
      <c r="EH220" s="2172">
        <f t="shared" si="241"/>
        <v>0</v>
      </c>
      <c r="EI220" s="2171">
        <f t="shared" si="227"/>
        <v>0</v>
      </c>
    </row>
    <row r="221" spans="1:139" ht="15">
      <c r="AJ221" s="1746" t="s">
        <v>83</v>
      </c>
      <c r="AK221" s="1749">
        <f t="shared" si="222"/>
        <v>0</v>
      </c>
      <c r="AL221" s="2189">
        <f t="shared" ref="AL221:BP221" si="242">+(AL13+AL29+AL45)</f>
        <v>0</v>
      </c>
      <c r="AM221" s="2189">
        <f t="shared" si="242"/>
        <v>0</v>
      </c>
      <c r="AN221" s="2189">
        <f t="shared" si="242"/>
        <v>0</v>
      </c>
      <c r="AO221" s="2189">
        <f t="shared" si="242"/>
        <v>0</v>
      </c>
      <c r="AP221" s="2189">
        <f t="shared" si="242"/>
        <v>0</v>
      </c>
      <c r="AQ221" s="2189">
        <f t="shared" si="242"/>
        <v>0</v>
      </c>
      <c r="AR221" s="2189">
        <f t="shared" si="242"/>
        <v>0</v>
      </c>
      <c r="AS221" s="2189">
        <f t="shared" si="242"/>
        <v>0</v>
      </c>
      <c r="AT221" s="2189">
        <f t="shared" si="242"/>
        <v>0</v>
      </c>
      <c r="AU221" s="2189">
        <f t="shared" si="242"/>
        <v>0</v>
      </c>
      <c r="AV221" s="2189">
        <f t="shared" si="242"/>
        <v>0</v>
      </c>
      <c r="AW221" s="2189">
        <f t="shared" si="242"/>
        <v>0</v>
      </c>
      <c r="AX221" s="2189">
        <f t="shared" si="242"/>
        <v>0</v>
      </c>
      <c r="AY221" s="2189">
        <f t="shared" si="242"/>
        <v>0</v>
      </c>
      <c r="AZ221" s="2189">
        <f t="shared" si="242"/>
        <v>0</v>
      </c>
      <c r="BA221" s="2189">
        <f t="shared" si="242"/>
        <v>0</v>
      </c>
      <c r="BB221" s="2189">
        <f t="shared" si="242"/>
        <v>0</v>
      </c>
      <c r="BC221" s="2189">
        <f t="shared" si="242"/>
        <v>0</v>
      </c>
      <c r="BD221" s="2189">
        <f t="shared" si="242"/>
        <v>0</v>
      </c>
      <c r="BE221" s="2189">
        <f t="shared" si="242"/>
        <v>0</v>
      </c>
      <c r="BF221" s="2189">
        <f t="shared" si="242"/>
        <v>0</v>
      </c>
      <c r="BG221" s="2189">
        <f t="shared" si="242"/>
        <v>0</v>
      </c>
      <c r="BH221" s="2189">
        <f t="shared" si="242"/>
        <v>0</v>
      </c>
      <c r="BI221" s="2189">
        <f t="shared" si="242"/>
        <v>0</v>
      </c>
      <c r="BJ221" s="2189">
        <f t="shared" si="242"/>
        <v>0</v>
      </c>
      <c r="BK221" s="2189">
        <f t="shared" si="242"/>
        <v>0</v>
      </c>
      <c r="BL221" s="2189">
        <f t="shared" si="242"/>
        <v>0</v>
      </c>
      <c r="BM221" s="2189">
        <f t="shared" si="242"/>
        <v>0</v>
      </c>
      <c r="BN221" s="2189">
        <f t="shared" si="242"/>
        <v>0</v>
      </c>
      <c r="BO221" s="2189">
        <f t="shared" si="242"/>
        <v>0</v>
      </c>
      <c r="BP221" s="2189">
        <f t="shared" si="242"/>
        <v>0</v>
      </c>
      <c r="BQ221" s="2188">
        <f t="shared" si="224"/>
        <v>0</v>
      </c>
      <c r="DB221" s="1962" t="s">
        <v>83</v>
      </c>
      <c r="DC221" s="2175">
        <f t="shared" si="225"/>
        <v>0</v>
      </c>
      <c r="DD221" s="2172">
        <f t="shared" ref="DD221:EH221" si="243">+(DD13+DD29+DD45)</f>
        <v>0</v>
      </c>
      <c r="DE221" s="2172">
        <f t="shared" si="243"/>
        <v>0</v>
      </c>
      <c r="DF221" s="2172">
        <f t="shared" si="243"/>
        <v>0</v>
      </c>
      <c r="DG221" s="2172">
        <f t="shared" si="243"/>
        <v>0</v>
      </c>
      <c r="DH221" s="2172">
        <f t="shared" si="243"/>
        <v>0</v>
      </c>
      <c r="DI221" s="2172">
        <f t="shared" si="243"/>
        <v>0</v>
      </c>
      <c r="DJ221" s="2172">
        <f t="shared" si="243"/>
        <v>0</v>
      </c>
      <c r="DK221" s="2172">
        <f t="shared" si="243"/>
        <v>0</v>
      </c>
      <c r="DL221" s="2172">
        <f t="shared" si="243"/>
        <v>0</v>
      </c>
      <c r="DM221" s="2172">
        <f t="shared" si="243"/>
        <v>0</v>
      </c>
      <c r="DN221" s="2172">
        <f t="shared" si="243"/>
        <v>0</v>
      </c>
      <c r="DO221" s="2172">
        <f t="shared" si="243"/>
        <v>0</v>
      </c>
      <c r="DP221" s="2172">
        <f t="shared" si="243"/>
        <v>0</v>
      </c>
      <c r="DQ221" s="2172">
        <f t="shared" si="243"/>
        <v>0</v>
      </c>
      <c r="DR221" s="2172">
        <f t="shared" si="243"/>
        <v>0</v>
      </c>
      <c r="DS221" s="2172">
        <f t="shared" si="243"/>
        <v>0</v>
      </c>
      <c r="DT221" s="2172">
        <f t="shared" si="243"/>
        <v>0</v>
      </c>
      <c r="DU221" s="2172">
        <f t="shared" si="243"/>
        <v>0</v>
      </c>
      <c r="DV221" s="2172">
        <f t="shared" si="243"/>
        <v>0</v>
      </c>
      <c r="DW221" s="2172">
        <f t="shared" si="243"/>
        <v>0</v>
      </c>
      <c r="DX221" s="2172">
        <f t="shared" si="243"/>
        <v>0</v>
      </c>
      <c r="DY221" s="2172">
        <f t="shared" si="243"/>
        <v>0</v>
      </c>
      <c r="DZ221" s="2172">
        <f t="shared" si="243"/>
        <v>0</v>
      </c>
      <c r="EA221" s="2172">
        <f t="shared" si="243"/>
        <v>0</v>
      </c>
      <c r="EB221" s="2172">
        <f t="shared" si="243"/>
        <v>0</v>
      </c>
      <c r="EC221" s="2172">
        <f t="shared" si="243"/>
        <v>0</v>
      </c>
      <c r="ED221" s="2172">
        <f t="shared" si="243"/>
        <v>0</v>
      </c>
      <c r="EE221" s="2172">
        <f t="shared" si="243"/>
        <v>0</v>
      </c>
      <c r="EF221" s="2172">
        <f t="shared" si="243"/>
        <v>0</v>
      </c>
      <c r="EG221" s="2172">
        <f t="shared" si="243"/>
        <v>0</v>
      </c>
      <c r="EH221" s="2172">
        <f t="shared" si="243"/>
        <v>0</v>
      </c>
      <c r="EI221" s="2171">
        <f t="shared" si="227"/>
        <v>0</v>
      </c>
    </row>
    <row r="222" spans="1:139" ht="15">
      <c r="AJ222" s="1746" t="s">
        <v>84</v>
      </c>
      <c r="AK222" s="1749">
        <f t="shared" si="222"/>
        <v>0</v>
      </c>
      <c r="AL222" s="2189">
        <f t="shared" ref="AL222:BP222" si="244">+(AL14+AL30+AL46)</f>
        <v>0</v>
      </c>
      <c r="AM222" s="2189">
        <f t="shared" si="244"/>
        <v>0</v>
      </c>
      <c r="AN222" s="2189">
        <f t="shared" si="244"/>
        <v>0</v>
      </c>
      <c r="AO222" s="2189">
        <f t="shared" si="244"/>
        <v>0</v>
      </c>
      <c r="AP222" s="2189">
        <f t="shared" si="244"/>
        <v>0</v>
      </c>
      <c r="AQ222" s="2189">
        <f t="shared" si="244"/>
        <v>0</v>
      </c>
      <c r="AR222" s="2189">
        <f t="shared" si="244"/>
        <v>0</v>
      </c>
      <c r="AS222" s="2189">
        <f t="shared" si="244"/>
        <v>0</v>
      </c>
      <c r="AT222" s="2189">
        <f t="shared" si="244"/>
        <v>0</v>
      </c>
      <c r="AU222" s="2189">
        <f t="shared" si="244"/>
        <v>0</v>
      </c>
      <c r="AV222" s="2189">
        <f t="shared" si="244"/>
        <v>0</v>
      </c>
      <c r="AW222" s="2189">
        <f t="shared" si="244"/>
        <v>0</v>
      </c>
      <c r="AX222" s="2189">
        <f t="shared" si="244"/>
        <v>0</v>
      </c>
      <c r="AY222" s="2189">
        <f t="shared" si="244"/>
        <v>0</v>
      </c>
      <c r="AZ222" s="2189">
        <f t="shared" si="244"/>
        <v>0</v>
      </c>
      <c r="BA222" s="2189">
        <f t="shared" si="244"/>
        <v>0</v>
      </c>
      <c r="BB222" s="2189">
        <f t="shared" si="244"/>
        <v>0</v>
      </c>
      <c r="BC222" s="2189">
        <f t="shared" si="244"/>
        <v>0</v>
      </c>
      <c r="BD222" s="2189">
        <f t="shared" si="244"/>
        <v>0</v>
      </c>
      <c r="BE222" s="2189">
        <f t="shared" si="244"/>
        <v>0</v>
      </c>
      <c r="BF222" s="2189">
        <f t="shared" si="244"/>
        <v>0</v>
      </c>
      <c r="BG222" s="2189">
        <f t="shared" si="244"/>
        <v>0</v>
      </c>
      <c r="BH222" s="2189">
        <f t="shared" si="244"/>
        <v>0</v>
      </c>
      <c r="BI222" s="2189">
        <f t="shared" si="244"/>
        <v>0</v>
      </c>
      <c r="BJ222" s="2189">
        <f t="shared" si="244"/>
        <v>0</v>
      </c>
      <c r="BK222" s="2189">
        <f t="shared" si="244"/>
        <v>0</v>
      </c>
      <c r="BL222" s="2189">
        <f t="shared" si="244"/>
        <v>0</v>
      </c>
      <c r="BM222" s="2189">
        <f t="shared" si="244"/>
        <v>0</v>
      </c>
      <c r="BN222" s="2189">
        <f t="shared" si="244"/>
        <v>0</v>
      </c>
      <c r="BO222" s="2189">
        <f t="shared" si="244"/>
        <v>0</v>
      </c>
      <c r="BP222" s="2189">
        <f t="shared" si="244"/>
        <v>0</v>
      </c>
      <c r="BQ222" s="2188">
        <f t="shared" si="224"/>
        <v>0</v>
      </c>
      <c r="DB222" s="1962" t="s">
        <v>84</v>
      </c>
      <c r="DC222" s="2175">
        <f t="shared" si="225"/>
        <v>0</v>
      </c>
      <c r="DD222" s="2172">
        <f t="shared" ref="DD222:EH222" si="245">+(DD14+DD30+DD46)</f>
        <v>0</v>
      </c>
      <c r="DE222" s="2172">
        <f t="shared" si="245"/>
        <v>0</v>
      </c>
      <c r="DF222" s="2172">
        <f t="shared" si="245"/>
        <v>0</v>
      </c>
      <c r="DG222" s="2172">
        <f t="shared" si="245"/>
        <v>0</v>
      </c>
      <c r="DH222" s="2172">
        <f t="shared" si="245"/>
        <v>0</v>
      </c>
      <c r="DI222" s="2172">
        <f t="shared" si="245"/>
        <v>0</v>
      </c>
      <c r="DJ222" s="2172">
        <f t="shared" si="245"/>
        <v>0</v>
      </c>
      <c r="DK222" s="2172">
        <f t="shared" si="245"/>
        <v>0</v>
      </c>
      <c r="DL222" s="2172">
        <f t="shared" si="245"/>
        <v>0</v>
      </c>
      <c r="DM222" s="2172">
        <f t="shared" si="245"/>
        <v>0</v>
      </c>
      <c r="DN222" s="2172">
        <f t="shared" si="245"/>
        <v>0</v>
      </c>
      <c r="DO222" s="2172">
        <f t="shared" si="245"/>
        <v>0</v>
      </c>
      <c r="DP222" s="2172">
        <f t="shared" si="245"/>
        <v>0</v>
      </c>
      <c r="DQ222" s="2172">
        <f t="shared" si="245"/>
        <v>0</v>
      </c>
      <c r="DR222" s="2172">
        <f t="shared" si="245"/>
        <v>0</v>
      </c>
      <c r="DS222" s="2172">
        <f t="shared" si="245"/>
        <v>0</v>
      </c>
      <c r="DT222" s="2172">
        <f t="shared" si="245"/>
        <v>0</v>
      </c>
      <c r="DU222" s="2172">
        <f t="shared" si="245"/>
        <v>0</v>
      </c>
      <c r="DV222" s="2172">
        <f t="shared" si="245"/>
        <v>0</v>
      </c>
      <c r="DW222" s="2172">
        <f t="shared" si="245"/>
        <v>0</v>
      </c>
      <c r="DX222" s="2172">
        <f t="shared" si="245"/>
        <v>0</v>
      </c>
      <c r="DY222" s="2172">
        <f t="shared" si="245"/>
        <v>0</v>
      </c>
      <c r="DZ222" s="2172">
        <f t="shared" si="245"/>
        <v>0</v>
      </c>
      <c r="EA222" s="2172">
        <f t="shared" si="245"/>
        <v>0</v>
      </c>
      <c r="EB222" s="2172">
        <f t="shared" si="245"/>
        <v>0</v>
      </c>
      <c r="EC222" s="2172">
        <f t="shared" si="245"/>
        <v>0</v>
      </c>
      <c r="ED222" s="2172">
        <f t="shared" si="245"/>
        <v>0</v>
      </c>
      <c r="EE222" s="2172">
        <f t="shared" si="245"/>
        <v>0</v>
      </c>
      <c r="EF222" s="2172">
        <f t="shared" si="245"/>
        <v>0</v>
      </c>
      <c r="EG222" s="2172">
        <f t="shared" si="245"/>
        <v>0</v>
      </c>
      <c r="EH222" s="2172">
        <f t="shared" si="245"/>
        <v>0</v>
      </c>
      <c r="EI222" s="2171">
        <f t="shared" si="227"/>
        <v>0</v>
      </c>
    </row>
    <row r="223" spans="1:139" ht="15">
      <c r="AJ223" s="1746" t="s">
        <v>85</v>
      </c>
      <c r="AK223" s="1749">
        <f t="shared" si="222"/>
        <v>0</v>
      </c>
      <c r="AL223" s="2189">
        <f t="shared" ref="AL223:BP223" si="246">+(AL15+AL31+AL47)</f>
        <v>0</v>
      </c>
      <c r="AM223" s="2189">
        <f t="shared" si="246"/>
        <v>0</v>
      </c>
      <c r="AN223" s="2189">
        <f t="shared" si="246"/>
        <v>0</v>
      </c>
      <c r="AO223" s="2189">
        <f t="shared" si="246"/>
        <v>0</v>
      </c>
      <c r="AP223" s="2189">
        <f t="shared" si="246"/>
        <v>0</v>
      </c>
      <c r="AQ223" s="2189">
        <f t="shared" si="246"/>
        <v>0</v>
      </c>
      <c r="AR223" s="2189">
        <f t="shared" si="246"/>
        <v>0</v>
      </c>
      <c r="AS223" s="2189">
        <f t="shared" si="246"/>
        <v>0</v>
      </c>
      <c r="AT223" s="2189">
        <f t="shared" si="246"/>
        <v>0</v>
      </c>
      <c r="AU223" s="2189">
        <f t="shared" si="246"/>
        <v>0</v>
      </c>
      <c r="AV223" s="2189">
        <f t="shared" si="246"/>
        <v>0</v>
      </c>
      <c r="AW223" s="2189">
        <f t="shared" si="246"/>
        <v>0</v>
      </c>
      <c r="AX223" s="2189">
        <f t="shared" si="246"/>
        <v>0</v>
      </c>
      <c r="AY223" s="2189">
        <f t="shared" si="246"/>
        <v>0</v>
      </c>
      <c r="AZ223" s="2189">
        <f t="shared" si="246"/>
        <v>0</v>
      </c>
      <c r="BA223" s="2189">
        <f t="shared" si="246"/>
        <v>0</v>
      </c>
      <c r="BB223" s="2189">
        <f t="shared" si="246"/>
        <v>0</v>
      </c>
      <c r="BC223" s="2189">
        <f t="shared" si="246"/>
        <v>0</v>
      </c>
      <c r="BD223" s="2189">
        <f t="shared" si="246"/>
        <v>0</v>
      </c>
      <c r="BE223" s="2189">
        <f t="shared" si="246"/>
        <v>0</v>
      </c>
      <c r="BF223" s="2189">
        <f t="shared" si="246"/>
        <v>0</v>
      </c>
      <c r="BG223" s="2189">
        <f t="shared" si="246"/>
        <v>0</v>
      </c>
      <c r="BH223" s="2189">
        <f t="shared" si="246"/>
        <v>0</v>
      </c>
      <c r="BI223" s="2189">
        <f t="shared" si="246"/>
        <v>0</v>
      </c>
      <c r="BJ223" s="2189">
        <f t="shared" si="246"/>
        <v>0</v>
      </c>
      <c r="BK223" s="2189">
        <f t="shared" si="246"/>
        <v>0</v>
      </c>
      <c r="BL223" s="2189">
        <f t="shared" si="246"/>
        <v>0</v>
      </c>
      <c r="BM223" s="2189">
        <f t="shared" si="246"/>
        <v>0</v>
      </c>
      <c r="BN223" s="2189">
        <f t="shared" si="246"/>
        <v>0</v>
      </c>
      <c r="BO223" s="2189">
        <f t="shared" si="246"/>
        <v>0</v>
      </c>
      <c r="BP223" s="2189">
        <f t="shared" si="246"/>
        <v>0</v>
      </c>
      <c r="BQ223" s="2188">
        <f t="shared" si="224"/>
        <v>0</v>
      </c>
      <c r="DB223" s="1962" t="s">
        <v>85</v>
      </c>
      <c r="DC223" s="2175">
        <f t="shared" si="225"/>
        <v>0</v>
      </c>
      <c r="DD223" s="2172">
        <f t="shared" ref="DD223:EH223" si="247">+(DD15+DD31+DD47)</f>
        <v>0</v>
      </c>
      <c r="DE223" s="2172">
        <f t="shared" si="247"/>
        <v>0</v>
      </c>
      <c r="DF223" s="2172">
        <f t="shared" si="247"/>
        <v>0</v>
      </c>
      <c r="DG223" s="2172">
        <f t="shared" si="247"/>
        <v>0</v>
      </c>
      <c r="DH223" s="2172">
        <f t="shared" si="247"/>
        <v>0</v>
      </c>
      <c r="DI223" s="2172">
        <f t="shared" si="247"/>
        <v>0</v>
      </c>
      <c r="DJ223" s="2172">
        <f t="shared" si="247"/>
        <v>0</v>
      </c>
      <c r="DK223" s="2172">
        <f t="shared" si="247"/>
        <v>0</v>
      </c>
      <c r="DL223" s="2172">
        <f t="shared" si="247"/>
        <v>0</v>
      </c>
      <c r="DM223" s="2172">
        <f t="shared" si="247"/>
        <v>0</v>
      </c>
      <c r="DN223" s="2172">
        <f t="shared" si="247"/>
        <v>0</v>
      </c>
      <c r="DO223" s="2172">
        <f t="shared" si="247"/>
        <v>0</v>
      </c>
      <c r="DP223" s="2172">
        <f t="shared" si="247"/>
        <v>0</v>
      </c>
      <c r="DQ223" s="2172">
        <f t="shared" si="247"/>
        <v>0</v>
      </c>
      <c r="DR223" s="2172">
        <f t="shared" si="247"/>
        <v>0</v>
      </c>
      <c r="DS223" s="2172">
        <f t="shared" si="247"/>
        <v>0</v>
      </c>
      <c r="DT223" s="2172">
        <f t="shared" si="247"/>
        <v>0</v>
      </c>
      <c r="DU223" s="2172">
        <f t="shared" si="247"/>
        <v>0</v>
      </c>
      <c r="DV223" s="2172">
        <f t="shared" si="247"/>
        <v>0</v>
      </c>
      <c r="DW223" s="2172">
        <f t="shared" si="247"/>
        <v>0</v>
      </c>
      <c r="DX223" s="2172">
        <f t="shared" si="247"/>
        <v>0</v>
      </c>
      <c r="DY223" s="2172">
        <f t="shared" si="247"/>
        <v>0</v>
      </c>
      <c r="DZ223" s="2172">
        <f t="shared" si="247"/>
        <v>0</v>
      </c>
      <c r="EA223" s="2172">
        <f t="shared" si="247"/>
        <v>0</v>
      </c>
      <c r="EB223" s="2172">
        <f t="shared" si="247"/>
        <v>0</v>
      </c>
      <c r="EC223" s="2172">
        <f t="shared" si="247"/>
        <v>0</v>
      </c>
      <c r="ED223" s="2172">
        <f t="shared" si="247"/>
        <v>0</v>
      </c>
      <c r="EE223" s="2172">
        <f t="shared" si="247"/>
        <v>0</v>
      </c>
      <c r="EF223" s="2172">
        <f t="shared" si="247"/>
        <v>0</v>
      </c>
      <c r="EG223" s="2172">
        <f t="shared" si="247"/>
        <v>0</v>
      </c>
      <c r="EH223" s="2172">
        <f t="shared" si="247"/>
        <v>0</v>
      </c>
      <c r="EI223" s="2171">
        <f t="shared" si="227"/>
        <v>0</v>
      </c>
    </row>
    <row r="224" spans="1:139" ht="15">
      <c r="AJ224" s="1746" t="s">
        <v>86</v>
      </c>
      <c r="AK224" s="1749">
        <f t="shared" si="222"/>
        <v>0</v>
      </c>
      <c r="AL224" s="2189">
        <f t="shared" ref="AL224:BP224" si="248">+(AL16+AL32+AL48)</f>
        <v>0</v>
      </c>
      <c r="AM224" s="2189">
        <f t="shared" si="248"/>
        <v>0</v>
      </c>
      <c r="AN224" s="2189">
        <f t="shared" si="248"/>
        <v>0</v>
      </c>
      <c r="AO224" s="2189">
        <f t="shared" si="248"/>
        <v>0</v>
      </c>
      <c r="AP224" s="2189">
        <f t="shared" si="248"/>
        <v>0</v>
      </c>
      <c r="AQ224" s="2189">
        <f t="shared" si="248"/>
        <v>0</v>
      </c>
      <c r="AR224" s="2189">
        <f t="shared" si="248"/>
        <v>0</v>
      </c>
      <c r="AS224" s="2189">
        <f t="shared" si="248"/>
        <v>0</v>
      </c>
      <c r="AT224" s="2189">
        <f t="shared" si="248"/>
        <v>0</v>
      </c>
      <c r="AU224" s="2189">
        <f t="shared" si="248"/>
        <v>0</v>
      </c>
      <c r="AV224" s="2189">
        <f t="shared" si="248"/>
        <v>0</v>
      </c>
      <c r="AW224" s="2189">
        <f t="shared" si="248"/>
        <v>0</v>
      </c>
      <c r="AX224" s="2189">
        <f t="shared" si="248"/>
        <v>0</v>
      </c>
      <c r="AY224" s="2189">
        <f t="shared" si="248"/>
        <v>0</v>
      </c>
      <c r="AZ224" s="2189">
        <f t="shared" si="248"/>
        <v>0</v>
      </c>
      <c r="BA224" s="2189">
        <f t="shared" si="248"/>
        <v>0</v>
      </c>
      <c r="BB224" s="2189">
        <f t="shared" si="248"/>
        <v>0</v>
      </c>
      <c r="BC224" s="2189">
        <f t="shared" si="248"/>
        <v>0</v>
      </c>
      <c r="BD224" s="2189">
        <f t="shared" si="248"/>
        <v>0</v>
      </c>
      <c r="BE224" s="2189">
        <f t="shared" si="248"/>
        <v>0</v>
      </c>
      <c r="BF224" s="2189">
        <f t="shared" si="248"/>
        <v>0</v>
      </c>
      <c r="BG224" s="2189">
        <f t="shared" si="248"/>
        <v>0</v>
      </c>
      <c r="BH224" s="2189">
        <f t="shared" si="248"/>
        <v>0</v>
      </c>
      <c r="BI224" s="2189">
        <f t="shared" si="248"/>
        <v>0</v>
      </c>
      <c r="BJ224" s="2189">
        <f t="shared" si="248"/>
        <v>0</v>
      </c>
      <c r="BK224" s="2189">
        <f t="shared" si="248"/>
        <v>0</v>
      </c>
      <c r="BL224" s="2189">
        <f t="shared" si="248"/>
        <v>0</v>
      </c>
      <c r="BM224" s="2189">
        <f t="shared" si="248"/>
        <v>0</v>
      </c>
      <c r="BN224" s="2189">
        <f t="shared" si="248"/>
        <v>0</v>
      </c>
      <c r="BO224" s="2189">
        <f t="shared" si="248"/>
        <v>0</v>
      </c>
      <c r="BP224" s="2189">
        <f t="shared" si="248"/>
        <v>0</v>
      </c>
      <c r="BQ224" s="2188">
        <f t="shared" si="224"/>
        <v>0</v>
      </c>
      <c r="DB224" s="1962" t="s">
        <v>86</v>
      </c>
      <c r="DC224" s="2175">
        <f t="shared" si="225"/>
        <v>0</v>
      </c>
      <c r="DD224" s="2172">
        <f t="shared" ref="DD224:EH224" si="249">+(DD16+DD32+DD48)</f>
        <v>0</v>
      </c>
      <c r="DE224" s="2172">
        <f t="shared" si="249"/>
        <v>0</v>
      </c>
      <c r="DF224" s="2172">
        <f t="shared" si="249"/>
        <v>0</v>
      </c>
      <c r="DG224" s="2172">
        <f t="shared" si="249"/>
        <v>0</v>
      </c>
      <c r="DH224" s="2172">
        <f t="shared" si="249"/>
        <v>0</v>
      </c>
      <c r="DI224" s="2172">
        <f t="shared" si="249"/>
        <v>0</v>
      </c>
      <c r="DJ224" s="2172">
        <f t="shared" si="249"/>
        <v>0</v>
      </c>
      <c r="DK224" s="2172">
        <f t="shared" si="249"/>
        <v>0</v>
      </c>
      <c r="DL224" s="2172">
        <f t="shared" si="249"/>
        <v>0</v>
      </c>
      <c r="DM224" s="2172">
        <f t="shared" si="249"/>
        <v>0</v>
      </c>
      <c r="DN224" s="2172">
        <f t="shared" si="249"/>
        <v>0</v>
      </c>
      <c r="DO224" s="2172">
        <f t="shared" si="249"/>
        <v>0</v>
      </c>
      <c r="DP224" s="2172">
        <f t="shared" si="249"/>
        <v>0</v>
      </c>
      <c r="DQ224" s="2172">
        <f t="shared" si="249"/>
        <v>0</v>
      </c>
      <c r="DR224" s="2172">
        <f t="shared" si="249"/>
        <v>0</v>
      </c>
      <c r="DS224" s="2172">
        <f t="shared" si="249"/>
        <v>0</v>
      </c>
      <c r="DT224" s="2172">
        <f t="shared" si="249"/>
        <v>0</v>
      </c>
      <c r="DU224" s="2172">
        <f t="shared" si="249"/>
        <v>0</v>
      </c>
      <c r="DV224" s="2172">
        <f t="shared" si="249"/>
        <v>0</v>
      </c>
      <c r="DW224" s="2172">
        <f t="shared" si="249"/>
        <v>0</v>
      </c>
      <c r="DX224" s="2172">
        <f t="shared" si="249"/>
        <v>0</v>
      </c>
      <c r="DY224" s="2172">
        <f t="shared" si="249"/>
        <v>0</v>
      </c>
      <c r="DZ224" s="2172">
        <f t="shared" si="249"/>
        <v>0</v>
      </c>
      <c r="EA224" s="2172">
        <f t="shared" si="249"/>
        <v>0</v>
      </c>
      <c r="EB224" s="2172">
        <f t="shared" si="249"/>
        <v>0</v>
      </c>
      <c r="EC224" s="2172">
        <f t="shared" si="249"/>
        <v>0</v>
      </c>
      <c r="ED224" s="2172">
        <f t="shared" si="249"/>
        <v>0</v>
      </c>
      <c r="EE224" s="2172">
        <f t="shared" si="249"/>
        <v>0</v>
      </c>
      <c r="EF224" s="2172">
        <f t="shared" si="249"/>
        <v>0</v>
      </c>
      <c r="EG224" s="2172">
        <f t="shared" si="249"/>
        <v>0</v>
      </c>
      <c r="EH224" s="2172">
        <f t="shared" si="249"/>
        <v>0</v>
      </c>
      <c r="EI224" s="2171">
        <f t="shared" si="227"/>
        <v>0</v>
      </c>
    </row>
    <row r="225" spans="36:139" ht="15">
      <c r="AJ225" s="2191" t="s">
        <v>74</v>
      </c>
      <c r="AK225" s="2190">
        <f t="shared" ref="AK225:BQ225" si="250">SUM(AK213:AK224)</f>
        <v>0</v>
      </c>
      <c r="AL225" s="2189">
        <f t="shared" si="250"/>
        <v>0</v>
      </c>
      <c r="AM225" s="2189">
        <f t="shared" si="250"/>
        <v>0</v>
      </c>
      <c r="AN225" s="2189">
        <f t="shared" si="250"/>
        <v>0</v>
      </c>
      <c r="AO225" s="2189">
        <f t="shared" si="250"/>
        <v>0</v>
      </c>
      <c r="AP225" s="2189">
        <f t="shared" si="250"/>
        <v>0</v>
      </c>
      <c r="AQ225" s="2189">
        <f t="shared" si="250"/>
        <v>0</v>
      </c>
      <c r="AR225" s="2189">
        <f t="shared" si="250"/>
        <v>0</v>
      </c>
      <c r="AS225" s="2189">
        <f t="shared" si="250"/>
        <v>0</v>
      </c>
      <c r="AT225" s="2189">
        <f t="shared" si="250"/>
        <v>0</v>
      </c>
      <c r="AU225" s="2189">
        <f t="shared" si="250"/>
        <v>0</v>
      </c>
      <c r="AV225" s="2189">
        <f t="shared" si="250"/>
        <v>0</v>
      </c>
      <c r="AW225" s="2189">
        <f t="shared" si="250"/>
        <v>0</v>
      </c>
      <c r="AX225" s="2189">
        <f t="shared" si="250"/>
        <v>0</v>
      </c>
      <c r="AY225" s="2189">
        <f t="shared" si="250"/>
        <v>0</v>
      </c>
      <c r="AZ225" s="2189">
        <f t="shared" si="250"/>
        <v>0</v>
      </c>
      <c r="BA225" s="2189">
        <f t="shared" si="250"/>
        <v>0</v>
      </c>
      <c r="BB225" s="2189">
        <f t="shared" si="250"/>
        <v>0</v>
      </c>
      <c r="BC225" s="2189">
        <f t="shared" si="250"/>
        <v>0</v>
      </c>
      <c r="BD225" s="2189">
        <f t="shared" si="250"/>
        <v>0</v>
      </c>
      <c r="BE225" s="2189">
        <f t="shared" si="250"/>
        <v>0</v>
      </c>
      <c r="BF225" s="2189">
        <f t="shared" si="250"/>
        <v>0</v>
      </c>
      <c r="BG225" s="2189">
        <f t="shared" si="250"/>
        <v>0</v>
      </c>
      <c r="BH225" s="2189">
        <f t="shared" si="250"/>
        <v>0</v>
      </c>
      <c r="BI225" s="2189">
        <f t="shared" si="250"/>
        <v>0</v>
      </c>
      <c r="BJ225" s="2189">
        <f t="shared" si="250"/>
        <v>0</v>
      </c>
      <c r="BK225" s="2189">
        <f t="shared" si="250"/>
        <v>0</v>
      </c>
      <c r="BL225" s="2189">
        <f t="shared" si="250"/>
        <v>0</v>
      </c>
      <c r="BM225" s="2189">
        <f t="shared" si="250"/>
        <v>0</v>
      </c>
      <c r="BN225" s="2189">
        <f t="shared" si="250"/>
        <v>0</v>
      </c>
      <c r="BO225" s="2189">
        <f t="shared" si="250"/>
        <v>0</v>
      </c>
      <c r="BP225" s="2189">
        <f t="shared" si="250"/>
        <v>0</v>
      </c>
      <c r="BQ225" s="2188">
        <f t="shared" si="250"/>
        <v>0</v>
      </c>
      <c r="DB225" s="2174" t="s">
        <v>74</v>
      </c>
      <c r="DC225" s="2173">
        <f>SUM(DC213:DC224)</f>
        <v>0</v>
      </c>
      <c r="DD225" s="2171">
        <f t="shared" ref="DD225:EH225" si="251">+(DD33+DD49+DD65+DD81+DD97+DD113+DD129+DD145+DD161+DD177+DD193+DD209)</f>
        <v>0</v>
      </c>
      <c r="DE225" s="2171">
        <f t="shared" si="251"/>
        <v>0</v>
      </c>
      <c r="DF225" s="2171">
        <f t="shared" si="251"/>
        <v>0</v>
      </c>
      <c r="DG225" s="2171">
        <f t="shared" si="251"/>
        <v>0</v>
      </c>
      <c r="DH225" s="2171">
        <f t="shared" si="251"/>
        <v>0</v>
      </c>
      <c r="DI225" s="2171">
        <f t="shared" si="251"/>
        <v>0</v>
      </c>
      <c r="DJ225" s="2171">
        <f t="shared" si="251"/>
        <v>0</v>
      </c>
      <c r="DK225" s="2171">
        <f t="shared" si="251"/>
        <v>0</v>
      </c>
      <c r="DL225" s="2171">
        <f t="shared" si="251"/>
        <v>3.54</v>
      </c>
      <c r="DM225" s="2171">
        <f t="shared" si="251"/>
        <v>0</v>
      </c>
      <c r="DN225" s="2171">
        <f t="shared" si="251"/>
        <v>0</v>
      </c>
      <c r="DO225" s="2171">
        <f t="shared" si="251"/>
        <v>0</v>
      </c>
      <c r="DP225" s="2171">
        <f t="shared" si="251"/>
        <v>0</v>
      </c>
      <c r="DQ225" s="2171">
        <f t="shared" si="251"/>
        <v>0</v>
      </c>
      <c r="DR225" s="2171">
        <f t="shared" si="251"/>
        <v>0</v>
      </c>
      <c r="DS225" s="2171">
        <f t="shared" si="251"/>
        <v>0</v>
      </c>
      <c r="DT225" s="2171">
        <f t="shared" si="251"/>
        <v>0</v>
      </c>
      <c r="DU225" s="2171">
        <f t="shared" si="251"/>
        <v>0</v>
      </c>
      <c r="DV225" s="2171">
        <f t="shared" si="251"/>
        <v>0</v>
      </c>
      <c r="DW225" s="2171">
        <f t="shared" si="251"/>
        <v>0</v>
      </c>
      <c r="DX225" s="2171">
        <f t="shared" si="251"/>
        <v>0</v>
      </c>
      <c r="DY225" s="2171">
        <f t="shared" si="251"/>
        <v>0</v>
      </c>
      <c r="DZ225" s="2171">
        <f t="shared" si="251"/>
        <v>0</v>
      </c>
      <c r="EA225" s="2171">
        <f t="shared" si="251"/>
        <v>0</v>
      </c>
      <c r="EB225" s="2171">
        <f t="shared" si="251"/>
        <v>0</v>
      </c>
      <c r="EC225" s="2171">
        <f t="shared" si="251"/>
        <v>0</v>
      </c>
      <c r="ED225" s="2171">
        <f t="shared" si="251"/>
        <v>0</v>
      </c>
      <c r="EE225" s="2171">
        <f t="shared" si="251"/>
        <v>0</v>
      </c>
      <c r="EF225" s="2171">
        <f t="shared" si="251"/>
        <v>0</v>
      </c>
      <c r="EG225" s="2171">
        <f t="shared" si="251"/>
        <v>0</v>
      </c>
      <c r="EH225" s="2171">
        <f t="shared" si="251"/>
        <v>0</v>
      </c>
      <c r="EI225" s="2171">
        <f>SUM(EI213:EI224)</f>
        <v>0</v>
      </c>
    </row>
    <row r="227" spans="36:139" ht="15">
      <c r="AJ227" s="3585" t="s">
        <v>627</v>
      </c>
      <c r="AK227" s="3586"/>
      <c r="AL227" s="3587"/>
      <c r="AM227" s="2193"/>
      <c r="AN227" s="2193"/>
      <c r="AO227" s="2193"/>
      <c r="AP227" s="2193"/>
      <c r="AQ227" s="2193"/>
      <c r="AR227" s="2193"/>
      <c r="AS227" s="2193"/>
      <c r="AT227" s="2193"/>
      <c r="AU227" s="2193"/>
      <c r="AV227" s="2194"/>
      <c r="AW227" s="2193"/>
      <c r="AX227" s="2193"/>
      <c r="AY227" s="2193"/>
      <c r="AZ227" s="2193"/>
      <c r="BA227" s="2193"/>
      <c r="BB227" s="2193"/>
      <c r="BC227" s="2193"/>
      <c r="BD227" s="2193"/>
      <c r="BE227" s="2193"/>
      <c r="BF227" s="2193"/>
      <c r="BG227" s="2193"/>
      <c r="BH227" s="2193"/>
      <c r="BI227" s="2193"/>
      <c r="BJ227" s="2193"/>
      <c r="BK227" s="2193"/>
      <c r="BL227" s="2193"/>
      <c r="BM227" s="2193"/>
      <c r="BN227" s="2193"/>
      <c r="BO227" s="2193"/>
      <c r="BP227" s="2193"/>
      <c r="BQ227" s="2193"/>
      <c r="DB227" s="3775" t="s">
        <v>627</v>
      </c>
      <c r="DC227" s="3776"/>
      <c r="DD227" s="3777"/>
      <c r="DE227" s="2177"/>
      <c r="DF227" s="2177"/>
      <c r="DG227" s="2177"/>
      <c r="DH227" s="2177"/>
      <c r="DI227" s="2177"/>
      <c r="DJ227" s="2177"/>
      <c r="DK227" s="2177"/>
      <c r="DL227" s="2177"/>
      <c r="DM227" s="2177"/>
      <c r="DN227" s="2178"/>
      <c r="DO227" s="2177"/>
      <c r="DP227" s="2177"/>
      <c r="DQ227" s="2177"/>
      <c r="DR227" s="2177"/>
      <c r="DS227" s="2177"/>
      <c r="DT227" s="2177"/>
      <c r="DU227" s="2177"/>
      <c r="DV227" s="2177"/>
      <c r="DW227" s="2177"/>
      <c r="DX227" s="2177"/>
      <c r="DY227" s="2177"/>
      <c r="DZ227" s="2177"/>
      <c r="EA227" s="2177"/>
      <c r="EB227" s="2177"/>
      <c r="EC227" s="2177"/>
      <c r="ED227" s="2177"/>
      <c r="EE227" s="2177"/>
      <c r="EF227" s="2177"/>
      <c r="EG227" s="2177"/>
      <c r="EH227" s="2177"/>
      <c r="EI227" s="2177"/>
    </row>
    <row r="228" spans="36:139" ht="15">
      <c r="AJ228" s="1746" t="s">
        <v>72</v>
      </c>
      <c r="AK228" s="1746" t="s">
        <v>73</v>
      </c>
      <c r="AL228" s="1746">
        <v>1</v>
      </c>
      <c r="AM228" s="1746">
        <v>2</v>
      </c>
      <c r="AN228" s="1746">
        <v>3</v>
      </c>
      <c r="AO228" s="1746">
        <v>4</v>
      </c>
      <c r="AP228" s="1746">
        <v>5</v>
      </c>
      <c r="AQ228" s="1746">
        <v>6</v>
      </c>
      <c r="AR228" s="1746">
        <v>7</v>
      </c>
      <c r="AS228" s="1746">
        <v>8</v>
      </c>
      <c r="AT228" s="1746">
        <v>9</v>
      </c>
      <c r="AU228" s="1746">
        <v>10</v>
      </c>
      <c r="AV228" s="1746">
        <v>11</v>
      </c>
      <c r="AW228" s="1746">
        <v>12</v>
      </c>
      <c r="AX228" s="1746">
        <v>13</v>
      </c>
      <c r="AY228" s="1746">
        <v>14</v>
      </c>
      <c r="AZ228" s="1746">
        <v>15</v>
      </c>
      <c r="BA228" s="1746">
        <v>16</v>
      </c>
      <c r="BB228" s="1746">
        <v>17</v>
      </c>
      <c r="BC228" s="1746">
        <v>18</v>
      </c>
      <c r="BD228" s="1746">
        <v>19</v>
      </c>
      <c r="BE228" s="1746">
        <v>20</v>
      </c>
      <c r="BF228" s="1746">
        <v>21</v>
      </c>
      <c r="BG228" s="1746">
        <v>22</v>
      </c>
      <c r="BH228" s="1746">
        <v>23</v>
      </c>
      <c r="BI228" s="1746">
        <v>24</v>
      </c>
      <c r="BJ228" s="1746">
        <v>25</v>
      </c>
      <c r="BK228" s="1746">
        <v>26</v>
      </c>
      <c r="BL228" s="1746">
        <v>27</v>
      </c>
      <c r="BM228" s="1746">
        <v>28</v>
      </c>
      <c r="BN228" s="1746">
        <v>29</v>
      </c>
      <c r="BO228" s="1746">
        <v>30</v>
      </c>
      <c r="BP228" s="1746">
        <v>31</v>
      </c>
      <c r="BQ228" s="2192" t="s">
        <v>74</v>
      </c>
      <c r="DB228" s="1962" t="s">
        <v>72</v>
      </c>
      <c r="DC228" s="1962" t="s">
        <v>73</v>
      </c>
      <c r="DD228" s="1962">
        <v>1</v>
      </c>
      <c r="DE228" s="1962">
        <v>2</v>
      </c>
      <c r="DF228" s="1962">
        <v>3</v>
      </c>
      <c r="DG228" s="1962">
        <v>4</v>
      </c>
      <c r="DH228" s="1962">
        <v>5</v>
      </c>
      <c r="DI228" s="1962">
        <v>6</v>
      </c>
      <c r="DJ228" s="1962">
        <v>7</v>
      </c>
      <c r="DK228" s="1962">
        <v>8</v>
      </c>
      <c r="DL228" s="1962">
        <v>9</v>
      </c>
      <c r="DM228" s="1962">
        <v>10</v>
      </c>
      <c r="DN228" s="1962">
        <v>11</v>
      </c>
      <c r="DO228" s="1962">
        <v>12</v>
      </c>
      <c r="DP228" s="1962">
        <v>13</v>
      </c>
      <c r="DQ228" s="1962">
        <v>14</v>
      </c>
      <c r="DR228" s="1962">
        <v>15</v>
      </c>
      <c r="DS228" s="1962">
        <v>16</v>
      </c>
      <c r="DT228" s="1962">
        <v>17</v>
      </c>
      <c r="DU228" s="1962">
        <v>18</v>
      </c>
      <c r="DV228" s="1962">
        <v>19</v>
      </c>
      <c r="DW228" s="1962">
        <v>20</v>
      </c>
      <c r="DX228" s="1962">
        <v>21</v>
      </c>
      <c r="DY228" s="1962">
        <v>22</v>
      </c>
      <c r="DZ228" s="1962">
        <v>23</v>
      </c>
      <c r="EA228" s="1962">
        <v>24</v>
      </c>
      <c r="EB228" s="1962">
        <v>25</v>
      </c>
      <c r="EC228" s="1962">
        <v>26</v>
      </c>
      <c r="ED228" s="1962">
        <v>27</v>
      </c>
      <c r="EE228" s="1962">
        <v>28</v>
      </c>
      <c r="EF228" s="1962">
        <v>29</v>
      </c>
      <c r="EG228" s="1962">
        <v>30</v>
      </c>
      <c r="EH228" s="1962">
        <v>31</v>
      </c>
      <c r="EI228" s="2176" t="s">
        <v>74</v>
      </c>
    </row>
    <row r="229" spans="36:139" ht="15">
      <c r="AJ229" s="1746" t="s">
        <v>75</v>
      </c>
      <c r="AK229" s="1749">
        <f t="shared" ref="AK229:AK240" si="252">+BQ229</f>
        <v>0</v>
      </c>
      <c r="AL229" s="2189">
        <f t="shared" ref="AL229:BP229" si="253">+(AL53+AL69)</f>
        <v>0</v>
      </c>
      <c r="AM229" s="2189">
        <f t="shared" si="253"/>
        <v>0</v>
      </c>
      <c r="AN229" s="2189">
        <f t="shared" si="253"/>
        <v>0</v>
      </c>
      <c r="AO229" s="2189">
        <f t="shared" si="253"/>
        <v>0</v>
      </c>
      <c r="AP229" s="2189">
        <f t="shared" si="253"/>
        <v>0</v>
      </c>
      <c r="AQ229" s="2189">
        <f t="shared" si="253"/>
        <v>0</v>
      </c>
      <c r="AR229" s="2189">
        <f t="shared" si="253"/>
        <v>0</v>
      </c>
      <c r="AS229" s="2189">
        <f t="shared" si="253"/>
        <v>0</v>
      </c>
      <c r="AT229" s="2189">
        <f t="shared" si="253"/>
        <v>0</v>
      </c>
      <c r="AU229" s="2189">
        <f t="shared" si="253"/>
        <v>0</v>
      </c>
      <c r="AV229" s="2189">
        <f t="shared" si="253"/>
        <v>0</v>
      </c>
      <c r="AW229" s="2189">
        <f t="shared" si="253"/>
        <v>0</v>
      </c>
      <c r="AX229" s="2189">
        <f t="shared" si="253"/>
        <v>0</v>
      </c>
      <c r="AY229" s="2189">
        <f t="shared" si="253"/>
        <v>0</v>
      </c>
      <c r="AZ229" s="2189">
        <f t="shared" si="253"/>
        <v>0</v>
      </c>
      <c r="BA229" s="2189">
        <f t="shared" si="253"/>
        <v>0</v>
      </c>
      <c r="BB229" s="2189">
        <f t="shared" si="253"/>
        <v>0</v>
      </c>
      <c r="BC229" s="2189">
        <f t="shared" si="253"/>
        <v>0</v>
      </c>
      <c r="BD229" s="2189">
        <f t="shared" si="253"/>
        <v>0</v>
      </c>
      <c r="BE229" s="2189">
        <f t="shared" si="253"/>
        <v>0</v>
      </c>
      <c r="BF229" s="2189">
        <f t="shared" si="253"/>
        <v>0</v>
      </c>
      <c r="BG229" s="2189">
        <f t="shared" si="253"/>
        <v>0</v>
      </c>
      <c r="BH229" s="2189">
        <f t="shared" si="253"/>
        <v>0</v>
      </c>
      <c r="BI229" s="2189">
        <f t="shared" si="253"/>
        <v>0</v>
      </c>
      <c r="BJ229" s="2189">
        <f t="shared" si="253"/>
        <v>0</v>
      </c>
      <c r="BK229" s="2189">
        <f t="shared" si="253"/>
        <v>0</v>
      </c>
      <c r="BL229" s="2189">
        <f t="shared" si="253"/>
        <v>0</v>
      </c>
      <c r="BM229" s="2189">
        <f t="shared" si="253"/>
        <v>0</v>
      </c>
      <c r="BN229" s="2189">
        <f t="shared" si="253"/>
        <v>0</v>
      </c>
      <c r="BO229" s="2189">
        <f t="shared" si="253"/>
        <v>0</v>
      </c>
      <c r="BP229" s="2189">
        <f t="shared" si="253"/>
        <v>0</v>
      </c>
      <c r="BQ229" s="2188">
        <f t="shared" ref="BQ229:BQ240" si="254">SUM(AL229:BP229)</f>
        <v>0</v>
      </c>
      <c r="DB229" s="1962" t="s">
        <v>75</v>
      </c>
      <c r="DC229" s="2175">
        <f t="shared" ref="DC229:DC240" si="255">+EI229</f>
        <v>0</v>
      </c>
      <c r="DD229" s="2172">
        <f t="shared" ref="DD229:EH229" si="256">+(DD53+DD69)</f>
        <v>0</v>
      </c>
      <c r="DE229" s="2172">
        <f t="shared" si="256"/>
        <v>0</v>
      </c>
      <c r="DF229" s="2172">
        <f t="shared" si="256"/>
        <v>0</v>
      </c>
      <c r="DG229" s="2172">
        <f t="shared" si="256"/>
        <v>0</v>
      </c>
      <c r="DH229" s="2172">
        <f t="shared" si="256"/>
        <v>0</v>
      </c>
      <c r="DI229" s="2172">
        <f t="shared" si="256"/>
        <v>0</v>
      </c>
      <c r="DJ229" s="2172">
        <f t="shared" si="256"/>
        <v>0</v>
      </c>
      <c r="DK229" s="2172">
        <f t="shared" si="256"/>
        <v>0</v>
      </c>
      <c r="DL229" s="2172">
        <f t="shared" si="256"/>
        <v>0</v>
      </c>
      <c r="DM229" s="2172">
        <f t="shared" si="256"/>
        <v>0</v>
      </c>
      <c r="DN229" s="2172">
        <f t="shared" si="256"/>
        <v>0</v>
      </c>
      <c r="DO229" s="2172">
        <f t="shared" si="256"/>
        <v>0</v>
      </c>
      <c r="DP229" s="2172">
        <f t="shared" si="256"/>
        <v>0</v>
      </c>
      <c r="DQ229" s="2172">
        <f t="shared" si="256"/>
        <v>0</v>
      </c>
      <c r="DR229" s="2172">
        <f t="shared" si="256"/>
        <v>0</v>
      </c>
      <c r="DS229" s="2172">
        <f t="shared" si="256"/>
        <v>0</v>
      </c>
      <c r="DT229" s="2172">
        <f t="shared" si="256"/>
        <v>0</v>
      </c>
      <c r="DU229" s="2172">
        <f t="shared" si="256"/>
        <v>0</v>
      </c>
      <c r="DV229" s="2172">
        <f t="shared" si="256"/>
        <v>0</v>
      </c>
      <c r="DW229" s="2172">
        <f t="shared" si="256"/>
        <v>0</v>
      </c>
      <c r="DX229" s="2172">
        <f t="shared" si="256"/>
        <v>0</v>
      </c>
      <c r="DY229" s="2172">
        <f t="shared" si="256"/>
        <v>0</v>
      </c>
      <c r="DZ229" s="2172">
        <f t="shared" si="256"/>
        <v>0</v>
      </c>
      <c r="EA229" s="2172">
        <f t="shared" si="256"/>
        <v>0</v>
      </c>
      <c r="EB229" s="2172">
        <f t="shared" si="256"/>
        <v>0</v>
      </c>
      <c r="EC229" s="2172">
        <f t="shared" si="256"/>
        <v>0</v>
      </c>
      <c r="ED229" s="2172">
        <f t="shared" si="256"/>
        <v>0</v>
      </c>
      <c r="EE229" s="2172">
        <f t="shared" si="256"/>
        <v>0</v>
      </c>
      <c r="EF229" s="2172">
        <f t="shared" si="256"/>
        <v>0</v>
      </c>
      <c r="EG229" s="2172">
        <f t="shared" si="256"/>
        <v>0</v>
      </c>
      <c r="EH229" s="2172">
        <f t="shared" si="256"/>
        <v>0</v>
      </c>
      <c r="EI229" s="2171">
        <f t="shared" ref="EI229:EI240" si="257">SUM(DD229:EH229)</f>
        <v>0</v>
      </c>
    </row>
    <row r="230" spans="36:139" ht="15">
      <c r="AJ230" s="1746" t="s">
        <v>76</v>
      </c>
      <c r="AK230" s="1749">
        <f t="shared" si="252"/>
        <v>0</v>
      </c>
      <c r="AL230" s="2189">
        <f t="shared" ref="AL230:BP230" si="258">+(AL54+AL70)</f>
        <v>0</v>
      </c>
      <c r="AM230" s="2189">
        <f t="shared" si="258"/>
        <v>0</v>
      </c>
      <c r="AN230" s="2189">
        <f t="shared" si="258"/>
        <v>0</v>
      </c>
      <c r="AO230" s="2189">
        <f t="shared" si="258"/>
        <v>0</v>
      </c>
      <c r="AP230" s="2189">
        <f t="shared" si="258"/>
        <v>0</v>
      </c>
      <c r="AQ230" s="2189">
        <f t="shared" si="258"/>
        <v>0</v>
      </c>
      <c r="AR230" s="2189">
        <f t="shared" si="258"/>
        <v>0</v>
      </c>
      <c r="AS230" s="2189">
        <f t="shared" si="258"/>
        <v>0</v>
      </c>
      <c r="AT230" s="2189">
        <f t="shared" si="258"/>
        <v>0</v>
      </c>
      <c r="AU230" s="2189">
        <f t="shared" si="258"/>
        <v>0</v>
      </c>
      <c r="AV230" s="2189">
        <f t="shared" si="258"/>
        <v>0</v>
      </c>
      <c r="AW230" s="2189">
        <f t="shared" si="258"/>
        <v>0</v>
      </c>
      <c r="AX230" s="2189">
        <f t="shared" si="258"/>
        <v>0</v>
      </c>
      <c r="AY230" s="2189">
        <f t="shared" si="258"/>
        <v>0</v>
      </c>
      <c r="AZ230" s="2189">
        <f t="shared" si="258"/>
        <v>0</v>
      </c>
      <c r="BA230" s="2189">
        <f t="shared" si="258"/>
        <v>0</v>
      </c>
      <c r="BB230" s="2189">
        <f t="shared" si="258"/>
        <v>0</v>
      </c>
      <c r="BC230" s="2189">
        <f t="shared" si="258"/>
        <v>0</v>
      </c>
      <c r="BD230" s="2189">
        <f t="shared" si="258"/>
        <v>0</v>
      </c>
      <c r="BE230" s="2189">
        <f t="shared" si="258"/>
        <v>0</v>
      </c>
      <c r="BF230" s="2189">
        <f t="shared" si="258"/>
        <v>0</v>
      </c>
      <c r="BG230" s="2189">
        <f t="shared" si="258"/>
        <v>0</v>
      </c>
      <c r="BH230" s="2189">
        <f t="shared" si="258"/>
        <v>0</v>
      </c>
      <c r="BI230" s="2189">
        <f t="shared" si="258"/>
        <v>0</v>
      </c>
      <c r="BJ230" s="2189">
        <f t="shared" si="258"/>
        <v>0</v>
      </c>
      <c r="BK230" s="2189">
        <f t="shared" si="258"/>
        <v>0</v>
      </c>
      <c r="BL230" s="2189">
        <f t="shared" si="258"/>
        <v>0</v>
      </c>
      <c r="BM230" s="2189">
        <f t="shared" si="258"/>
        <v>0</v>
      </c>
      <c r="BN230" s="2189">
        <f t="shared" si="258"/>
        <v>0</v>
      </c>
      <c r="BO230" s="2189">
        <f t="shared" si="258"/>
        <v>0</v>
      </c>
      <c r="BP230" s="2189">
        <f t="shared" si="258"/>
        <v>0</v>
      </c>
      <c r="BQ230" s="2188">
        <f t="shared" si="254"/>
        <v>0</v>
      </c>
      <c r="DB230" s="1962" t="s">
        <v>76</v>
      </c>
      <c r="DC230" s="2175">
        <f t="shared" si="255"/>
        <v>0</v>
      </c>
      <c r="DD230" s="2172">
        <f t="shared" ref="DD230:EH230" si="259">+(DD54+DD70)</f>
        <v>0</v>
      </c>
      <c r="DE230" s="2172">
        <f t="shared" si="259"/>
        <v>0</v>
      </c>
      <c r="DF230" s="2172">
        <f t="shared" si="259"/>
        <v>0</v>
      </c>
      <c r="DG230" s="2172">
        <f t="shared" si="259"/>
        <v>0</v>
      </c>
      <c r="DH230" s="2172">
        <f t="shared" si="259"/>
        <v>0</v>
      </c>
      <c r="DI230" s="2172">
        <f t="shared" si="259"/>
        <v>0</v>
      </c>
      <c r="DJ230" s="2172">
        <f t="shared" si="259"/>
        <v>0</v>
      </c>
      <c r="DK230" s="2172">
        <f t="shared" si="259"/>
        <v>0</v>
      </c>
      <c r="DL230" s="2172">
        <f t="shared" si="259"/>
        <v>0</v>
      </c>
      <c r="DM230" s="2172">
        <f t="shared" si="259"/>
        <v>0</v>
      </c>
      <c r="DN230" s="2172">
        <f t="shared" si="259"/>
        <v>0</v>
      </c>
      <c r="DO230" s="2172">
        <f t="shared" si="259"/>
        <v>0</v>
      </c>
      <c r="DP230" s="2172">
        <f t="shared" si="259"/>
        <v>0</v>
      </c>
      <c r="DQ230" s="2172">
        <f t="shared" si="259"/>
        <v>0</v>
      </c>
      <c r="DR230" s="2172">
        <f t="shared" si="259"/>
        <v>0</v>
      </c>
      <c r="DS230" s="2172">
        <f t="shared" si="259"/>
        <v>0</v>
      </c>
      <c r="DT230" s="2172">
        <f t="shared" si="259"/>
        <v>0</v>
      </c>
      <c r="DU230" s="2172">
        <f t="shared" si="259"/>
        <v>0</v>
      </c>
      <c r="DV230" s="2172">
        <f t="shared" si="259"/>
        <v>0</v>
      </c>
      <c r="DW230" s="2172">
        <f t="shared" si="259"/>
        <v>0</v>
      </c>
      <c r="DX230" s="2172">
        <f t="shared" si="259"/>
        <v>0</v>
      </c>
      <c r="DY230" s="2172">
        <f t="shared" si="259"/>
        <v>0</v>
      </c>
      <c r="DZ230" s="2172">
        <f t="shared" si="259"/>
        <v>0</v>
      </c>
      <c r="EA230" s="2172">
        <f t="shared" si="259"/>
        <v>0</v>
      </c>
      <c r="EB230" s="2172">
        <f t="shared" si="259"/>
        <v>0</v>
      </c>
      <c r="EC230" s="2172">
        <f t="shared" si="259"/>
        <v>0</v>
      </c>
      <c r="ED230" s="2172">
        <f t="shared" si="259"/>
        <v>0</v>
      </c>
      <c r="EE230" s="2172">
        <f t="shared" si="259"/>
        <v>0</v>
      </c>
      <c r="EF230" s="2172">
        <f t="shared" si="259"/>
        <v>0</v>
      </c>
      <c r="EG230" s="2172">
        <f t="shared" si="259"/>
        <v>0</v>
      </c>
      <c r="EH230" s="2172">
        <f t="shared" si="259"/>
        <v>0</v>
      </c>
      <c r="EI230" s="2171">
        <f t="shared" si="257"/>
        <v>0</v>
      </c>
    </row>
    <row r="231" spans="36:139" ht="15">
      <c r="AJ231" s="1746" t="s">
        <v>77</v>
      </c>
      <c r="AK231" s="1749">
        <f t="shared" si="252"/>
        <v>0</v>
      </c>
      <c r="AL231" s="2189">
        <f t="shared" ref="AL231:BP231" si="260">+(AL55+AL71)</f>
        <v>0</v>
      </c>
      <c r="AM231" s="2189">
        <f t="shared" si="260"/>
        <v>0</v>
      </c>
      <c r="AN231" s="2189">
        <f t="shared" si="260"/>
        <v>0</v>
      </c>
      <c r="AO231" s="2189">
        <f t="shared" si="260"/>
        <v>0</v>
      </c>
      <c r="AP231" s="2189">
        <f t="shared" si="260"/>
        <v>0</v>
      </c>
      <c r="AQ231" s="2189">
        <f t="shared" si="260"/>
        <v>0</v>
      </c>
      <c r="AR231" s="2189">
        <f t="shared" si="260"/>
        <v>0</v>
      </c>
      <c r="AS231" s="2189">
        <f t="shared" si="260"/>
        <v>0</v>
      </c>
      <c r="AT231" s="2189">
        <f t="shared" si="260"/>
        <v>0</v>
      </c>
      <c r="AU231" s="2189">
        <f t="shared" si="260"/>
        <v>0</v>
      </c>
      <c r="AV231" s="2189">
        <f t="shared" si="260"/>
        <v>0</v>
      </c>
      <c r="AW231" s="2189">
        <f t="shared" si="260"/>
        <v>0</v>
      </c>
      <c r="AX231" s="2189">
        <f t="shared" si="260"/>
        <v>0</v>
      </c>
      <c r="AY231" s="2189">
        <f t="shared" si="260"/>
        <v>0</v>
      </c>
      <c r="AZ231" s="2189">
        <f t="shared" si="260"/>
        <v>0</v>
      </c>
      <c r="BA231" s="2189">
        <f t="shared" si="260"/>
        <v>0</v>
      </c>
      <c r="BB231" s="2189">
        <f t="shared" si="260"/>
        <v>0</v>
      </c>
      <c r="BC231" s="2189">
        <f t="shared" si="260"/>
        <v>0</v>
      </c>
      <c r="BD231" s="2189">
        <f t="shared" si="260"/>
        <v>0</v>
      </c>
      <c r="BE231" s="2189">
        <f t="shared" si="260"/>
        <v>0</v>
      </c>
      <c r="BF231" s="2189">
        <f t="shared" si="260"/>
        <v>0</v>
      </c>
      <c r="BG231" s="2189">
        <f t="shared" si="260"/>
        <v>0</v>
      </c>
      <c r="BH231" s="2189">
        <f t="shared" si="260"/>
        <v>0</v>
      </c>
      <c r="BI231" s="2189">
        <f t="shared" si="260"/>
        <v>0</v>
      </c>
      <c r="BJ231" s="2189">
        <f t="shared" si="260"/>
        <v>0</v>
      </c>
      <c r="BK231" s="2189">
        <f t="shared" si="260"/>
        <v>0</v>
      </c>
      <c r="BL231" s="2189">
        <f t="shared" si="260"/>
        <v>0</v>
      </c>
      <c r="BM231" s="2189">
        <f t="shared" si="260"/>
        <v>0</v>
      </c>
      <c r="BN231" s="2189">
        <f t="shared" si="260"/>
        <v>0</v>
      </c>
      <c r="BO231" s="2189">
        <f t="shared" si="260"/>
        <v>0</v>
      </c>
      <c r="BP231" s="2189">
        <f t="shared" si="260"/>
        <v>0</v>
      </c>
      <c r="BQ231" s="2188">
        <f t="shared" si="254"/>
        <v>0</v>
      </c>
      <c r="DB231" s="1962" t="s">
        <v>77</v>
      </c>
      <c r="DC231" s="2175">
        <f t="shared" si="255"/>
        <v>0</v>
      </c>
      <c r="DD231" s="2172">
        <f t="shared" ref="DD231:EH231" si="261">+(DD55+DD71)</f>
        <v>0</v>
      </c>
      <c r="DE231" s="2172">
        <f t="shared" si="261"/>
        <v>0</v>
      </c>
      <c r="DF231" s="2172">
        <f t="shared" si="261"/>
        <v>0</v>
      </c>
      <c r="DG231" s="2172">
        <f t="shared" si="261"/>
        <v>0</v>
      </c>
      <c r="DH231" s="2172">
        <f t="shared" si="261"/>
        <v>0</v>
      </c>
      <c r="DI231" s="2172">
        <f t="shared" si="261"/>
        <v>0</v>
      </c>
      <c r="DJ231" s="2172">
        <f t="shared" si="261"/>
        <v>0</v>
      </c>
      <c r="DK231" s="2172">
        <f t="shared" si="261"/>
        <v>0</v>
      </c>
      <c r="DL231" s="2172">
        <f t="shared" si="261"/>
        <v>0</v>
      </c>
      <c r="DM231" s="2172">
        <f t="shared" si="261"/>
        <v>0</v>
      </c>
      <c r="DN231" s="2172">
        <f t="shared" si="261"/>
        <v>0</v>
      </c>
      <c r="DO231" s="2172">
        <f t="shared" si="261"/>
        <v>0</v>
      </c>
      <c r="DP231" s="2172">
        <f t="shared" si="261"/>
        <v>0</v>
      </c>
      <c r="DQ231" s="2172">
        <f t="shared" si="261"/>
        <v>0</v>
      </c>
      <c r="DR231" s="2172">
        <f t="shared" si="261"/>
        <v>0</v>
      </c>
      <c r="DS231" s="2172">
        <f t="shared" si="261"/>
        <v>0</v>
      </c>
      <c r="DT231" s="2172">
        <f t="shared" si="261"/>
        <v>0</v>
      </c>
      <c r="DU231" s="2172">
        <f t="shared" si="261"/>
        <v>0</v>
      </c>
      <c r="DV231" s="2172">
        <f t="shared" si="261"/>
        <v>0</v>
      </c>
      <c r="DW231" s="2172">
        <f t="shared" si="261"/>
        <v>0</v>
      </c>
      <c r="DX231" s="2172">
        <f t="shared" si="261"/>
        <v>0</v>
      </c>
      <c r="DY231" s="2172">
        <f t="shared" si="261"/>
        <v>0</v>
      </c>
      <c r="DZ231" s="2172">
        <f t="shared" si="261"/>
        <v>0</v>
      </c>
      <c r="EA231" s="2172">
        <f t="shared" si="261"/>
        <v>0</v>
      </c>
      <c r="EB231" s="2172">
        <f t="shared" si="261"/>
        <v>0</v>
      </c>
      <c r="EC231" s="2172">
        <f t="shared" si="261"/>
        <v>0</v>
      </c>
      <c r="ED231" s="2172">
        <f t="shared" si="261"/>
        <v>0</v>
      </c>
      <c r="EE231" s="2172">
        <f t="shared" si="261"/>
        <v>0</v>
      </c>
      <c r="EF231" s="2172">
        <f t="shared" si="261"/>
        <v>0</v>
      </c>
      <c r="EG231" s="2172">
        <f t="shared" si="261"/>
        <v>0</v>
      </c>
      <c r="EH231" s="2172">
        <f t="shared" si="261"/>
        <v>0</v>
      </c>
      <c r="EI231" s="2171">
        <f t="shared" si="257"/>
        <v>0</v>
      </c>
    </row>
    <row r="232" spans="36:139" ht="15">
      <c r="AJ232" s="1746" t="s">
        <v>78</v>
      </c>
      <c r="AK232" s="1749">
        <f t="shared" si="252"/>
        <v>0</v>
      </c>
      <c r="AL232" s="2189">
        <f t="shared" ref="AL232:BP232" si="262">+(AL56+AL72)</f>
        <v>0</v>
      </c>
      <c r="AM232" s="2189">
        <f t="shared" si="262"/>
        <v>0</v>
      </c>
      <c r="AN232" s="2189">
        <f t="shared" si="262"/>
        <v>0</v>
      </c>
      <c r="AO232" s="2189">
        <f t="shared" si="262"/>
        <v>0</v>
      </c>
      <c r="AP232" s="2189">
        <f t="shared" si="262"/>
        <v>0</v>
      </c>
      <c r="AQ232" s="2189">
        <f t="shared" si="262"/>
        <v>0</v>
      </c>
      <c r="AR232" s="2189">
        <f t="shared" si="262"/>
        <v>0</v>
      </c>
      <c r="AS232" s="2189">
        <f t="shared" si="262"/>
        <v>0</v>
      </c>
      <c r="AT232" s="2189">
        <f t="shared" si="262"/>
        <v>0</v>
      </c>
      <c r="AU232" s="2189">
        <f t="shared" si="262"/>
        <v>0</v>
      </c>
      <c r="AV232" s="2189">
        <f t="shared" si="262"/>
        <v>0</v>
      </c>
      <c r="AW232" s="2189">
        <f t="shared" si="262"/>
        <v>0</v>
      </c>
      <c r="AX232" s="2189">
        <f t="shared" si="262"/>
        <v>0</v>
      </c>
      <c r="AY232" s="2189">
        <f t="shared" si="262"/>
        <v>0</v>
      </c>
      <c r="AZ232" s="2189">
        <f t="shared" si="262"/>
        <v>0</v>
      </c>
      <c r="BA232" s="2189">
        <f t="shared" si="262"/>
        <v>0</v>
      </c>
      <c r="BB232" s="2189">
        <f t="shared" si="262"/>
        <v>0</v>
      </c>
      <c r="BC232" s="2189">
        <f t="shared" si="262"/>
        <v>0</v>
      </c>
      <c r="BD232" s="2189">
        <f t="shared" si="262"/>
        <v>0</v>
      </c>
      <c r="BE232" s="2189">
        <f t="shared" si="262"/>
        <v>0</v>
      </c>
      <c r="BF232" s="2189">
        <f t="shared" si="262"/>
        <v>0</v>
      </c>
      <c r="BG232" s="2189">
        <f t="shared" si="262"/>
        <v>0</v>
      </c>
      <c r="BH232" s="2189">
        <f t="shared" si="262"/>
        <v>0</v>
      </c>
      <c r="BI232" s="2189">
        <f t="shared" si="262"/>
        <v>0</v>
      </c>
      <c r="BJ232" s="2189">
        <f t="shared" si="262"/>
        <v>0</v>
      </c>
      <c r="BK232" s="2189">
        <f t="shared" si="262"/>
        <v>0</v>
      </c>
      <c r="BL232" s="2189">
        <f t="shared" si="262"/>
        <v>0</v>
      </c>
      <c r="BM232" s="2189">
        <f t="shared" si="262"/>
        <v>0</v>
      </c>
      <c r="BN232" s="2189">
        <f t="shared" si="262"/>
        <v>0</v>
      </c>
      <c r="BO232" s="2189">
        <f t="shared" si="262"/>
        <v>0</v>
      </c>
      <c r="BP232" s="2189">
        <f t="shared" si="262"/>
        <v>0</v>
      </c>
      <c r="BQ232" s="2188">
        <f t="shared" si="254"/>
        <v>0</v>
      </c>
      <c r="DB232" s="1962" t="s">
        <v>78</v>
      </c>
      <c r="DC232" s="2175">
        <f t="shared" si="255"/>
        <v>0</v>
      </c>
      <c r="DD232" s="2172">
        <f t="shared" ref="DD232:EH232" si="263">+(DD56+DD72)</f>
        <v>0</v>
      </c>
      <c r="DE232" s="2172">
        <f t="shared" si="263"/>
        <v>0</v>
      </c>
      <c r="DF232" s="2172">
        <f t="shared" si="263"/>
        <v>0</v>
      </c>
      <c r="DG232" s="2172">
        <f t="shared" si="263"/>
        <v>0</v>
      </c>
      <c r="DH232" s="2172">
        <f t="shared" si="263"/>
        <v>0</v>
      </c>
      <c r="DI232" s="2172">
        <f t="shared" si="263"/>
        <v>0</v>
      </c>
      <c r="DJ232" s="2172">
        <f t="shared" si="263"/>
        <v>0</v>
      </c>
      <c r="DK232" s="2172">
        <f t="shared" si="263"/>
        <v>0</v>
      </c>
      <c r="DL232" s="2172">
        <f t="shared" si="263"/>
        <v>0</v>
      </c>
      <c r="DM232" s="2172">
        <f t="shared" si="263"/>
        <v>0</v>
      </c>
      <c r="DN232" s="2172">
        <f t="shared" si="263"/>
        <v>0</v>
      </c>
      <c r="DO232" s="2172">
        <f t="shared" si="263"/>
        <v>0</v>
      </c>
      <c r="DP232" s="2172">
        <f t="shared" si="263"/>
        <v>0</v>
      </c>
      <c r="DQ232" s="2172">
        <f t="shared" si="263"/>
        <v>0</v>
      </c>
      <c r="DR232" s="2172">
        <f t="shared" si="263"/>
        <v>0</v>
      </c>
      <c r="DS232" s="2172">
        <f t="shared" si="263"/>
        <v>0</v>
      </c>
      <c r="DT232" s="2172">
        <f t="shared" si="263"/>
        <v>0</v>
      </c>
      <c r="DU232" s="2172">
        <f t="shared" si="263"/>
        <v>0</v>
      </c>
      <c r="DV232" s="2172">
        <f t="shared" si="263"/>
        <v>0</v>
      </c>
      <c r="DW232" s="2172">
        <f t="shared" si="263"/>
        <v>0</v>
      </c>
      <c r="DX232" s="2172">
        <f t="shared" si="263"/>
        <v>0</v>
      </c>
      <c r="DY232" s="2172">
        <f t="shared" si="263"/>
        <v>0</v>
      </c>
      <c r="DZ232" s="2172">
        <f t="shared" si="263"/>
        <v>0</v>
      </c>
      <c r="EA232" s="2172">
        <f t="shared" si="263"/>
        <v>0</v>
      </c>
      <c r="EB232" s="2172">
        <f t="shared" si="263"/>
        <v>0</v>
      </c>
      <c r="EC232" s="2172">
        <f t="shared" si="263"/>
        <v>0</v>
      </c>
      <c r="ED232" s="2172">
        <f t="shared" si="263"/>
        <v>0</v>
      </c>
      <c r="EE232" s="2172">
        <f t="shared" si="263"/>
        <v>0</v>
      </c>
      <c r="EF232" s="2172">
        <f t="shared" si="263"/>
        <v>0</v>
      </c>
      <c r="EG232" s="2172">
        <f t="shared" si="263"/>
        <v>0</v>
      </c>
      <c r="EH232" s="2172">
        <f t="shared" si="263"/>
        <v>0</v>
      </c>
      <c r="EI232" s="2171">
        <f t="shared" si="257"/>
        <v>0</v>
      </c>
    </row>
    <row r="233" spans="36:139" ht="15">
      <c r="AJ233" s="1746" t="s">
        <v>79</v>
      </c>
      <c r="AK233" s="1749">
        <f t="shared" si="252"/>
        <v>0</v>
      </c>
      <c r="AL233" s="2189">
        <f t="shared" ref="AL233:BP233" si="264">+(AL57+AL73)</f>
        <v>0</v>
      </c>
      <c r="AM233" s="2189">
        <f t="shared" si="264"/>
        <v>0</v>
      </c>
      <c r="AN233" s="2189">
        <f t="shared" si="264"/>
        <v>0</v>
      </c>
      <c r="AO233" s="2189">
        <f t="shared" si="264"/>
        <v>0</v>
      </c>
      <c r="AP233" s="2189">
        <f t="shared" si="264"/>
        <v>0</v>
      </c>
      <c r="AQ233" s="2189">
        <f t="shared" si="264"/>
        <v>0</v>
      </c>
      <c r="AR233" s="2189">
        <f t="shared" si="264"/>
        <v>0</v>
      </c>
      <c r="AS233" s="2189">
        <f t="shared" si="264"/>
        <v>0</v>
      </c>
      <c r="AT233" s="2189">
        <f t="shared" si="264"/>
        <v>0</v>
      </c>
      <c r="AU233" s="2189">
        <f t="shared" si="264"/>
        <v>0</v>
      </c>
      <c r="AV233" s="2189">
        <f t="shared" si="264"/>
        <v>0</v>
      </c>
      <c r="AW233" s="2189">
        <f t="shared" si="264"/>
        <v>0</v>
      </c>
      <c r="AX233" s="2189">
        <f t="shared" si="264"/>
        <v>0</v>
      </c>
      <c r="AY233" s="2189">
        <f t="shared" si="264"/>
        <v>0</v>
      </c>
      <c r="AZ233" s="2189">
        <f t="shared" si="264"/>
        <v>0</v>
      </c>
      <c r="BA233" s="2189">
        <f t="shared" si="264"/>
        <v>0</v>
      </c>
      <c r="BB233" s="2189">
        <f t="shared" si="264"/>
        <v>0</v>
      </c>
      <c r="BC233" s="2189">
        <f t="shared" si="264"/>
        <v>0</v>
      </c>
      <c r="BD233" s="2189">
        <f t="shared" si="264"/>
        <v>0</v>
      </c>
      <c r="BE233" s="2189">
        <f t="shared" si="264"/>
        <v>0</v>
      </c>
      <c r="BF233" s="2189">
        <f t="shared" si="264"/>
        <v>0</v>
      </c>
      <c r="BG233" s="2189">
        <f t="shared" si="264"/>
        <v>0</v>
      </c>
      <c r="BH233" s="2189">
        <f t="shared" si="264"/>
        <v>0</v>
      </c>
      <c r="BI233" s="2189">
        <f t="shared" si="264"/>
        <v>0</v>
      </c>
      <c r="BJ233" s="2189">
        <f t="shared" si="264"/>
        <v>0</v>
      </c>
      <c r="BK233" s="2189">
        <f t="shared" si="264"/>
        <v>0</v>
      </c>
      <c r="BL233" s="2189">
        <f t="shared" si="264"/>
        <v>0</v>
      </c>
      <c r="BM233" s="2189">
        <f t="shared" si="264"/>
        <v>0</v>
      </c>
      <c r="BN233" s="2189">
        <f t="shared" si="264"/>
        <v>0</v>
      </c>
      <c r="BO233" s="2189">
        <f t="shared" si="264"/>
        <v>0</v>
      </c>
      <c r="BP233" s="2189">
        <f t="shared" si="264"/>
        <v>0</v>
      </c>
      <c r="BQ233" s="2188">
        <f t="shared" si="254"/>
        <v>0</v>
      </c>
      <c r="DB233" s="1962" t="s">
        <v>79</v>
      </c>
      <c r="DC233" s="2175">
        <f t="shared" si="255"/>
        <v>1.77</v>
      </c>
      <c r="DD233" s="2172">
        <f t="shared" ref="DD233:EH233" si="265">+(DD57+DD73)</f>
        <v>0</v>
      </c>
      <c r="DE233" s="2172">
        <f t="shared" si="265"/>
        <v>0</v>
      </c>
      <c r="DF233" s="2172">
        <f t="shared" si="265"/>
        <v>0</v>
      </c>
      <c r="DG233" s="2172">
        <f t="shared" si="265"/>
        <v>0</v>
      </c>
      <c r="DH233" s="2172">
        <f t="shared" si="265"/>
        <v>0</v>
      </c>
      <c r="DI233" s="2172">
        <f t="shared" si="265"/>
        <v>0</v>
      </c>
      <c r="DJ233" s="2172">
        <f t="shared" si="265"/>
        <v>0</v>
      </c>
      <c r="DK233" s="2172">
        <f t="shared" si="265"/>
        <v>0</v>
      </c>
      <c r="DL233" s="2172">
        <f t="shared" si="265"/>
        <v>1.77</v>
      </c>
      <c r="DM233" s="2172">
        <f t="shared" si="265"/>
        <v>0</v>
      </c>
      <c r="DN233" s="2172">
        <f t="shared" si="265"/>
        <v>0</v>
      </c>
      <c r="DO233" s="2172">
        <f t="shared" si="265"/>
        <v>0</v>
      </c>
      <c r="DP233" s="2172">
        <f t="shared" si="265"/>
        <v>0</v>
      </c>
      <c r="DQ233" s="2172">
        <f t="shared" si="265"/>
        <v>0</v>
      </c>
      <c r="DR233" s="2172">
        <f t="shared" si="265"/>
        <v>0</v>
      </c>
      <c r="DS233" s="2172">
        <f t="shared" si="265"/>
        <v>0</v>
      </c>
      <c r="DT233" s="2172">
        <f t="shared" si="265"/>
        <v>0</v>
      </c>
      <c r="DU233" s="2172">
        <f t="shared" si="265"/>
        <v>0</v>
      </c>
      <c r="DV233" s="2172">
        <f t="shared" si="265"/>
        <v>0</v>
      </c>
      <c r="DW233" s="2172">
        <f t="shared" si="265"/>
        <v>0</v>
      </c>
      <c r="DX233" s="2172">
        <f t="shared" si="265"/>
        <v>0</v>
      </c>
      <c r="DY233" s="2172">
        <f t="shared" si="265"/>
        <v>0</v>
      </c>
      <c r="DZ233" s="2172">
        <f t="shared" si="265"/>
        <v>0</v>
      </c>
      <c r="EA233" s="2172">
        <f t="shared" si="265"/>
        <v>0</v>
      </c>
      <c r="EB233" s="2172">
        <f t="shared" si="265"/>
        <v>0</v>
      </c>
      <c r="EC233" s="2172">
        <f t="shared" si="265"/>
        <v>0</v>
      </c>
      <c r="ED233" s="2172">
        <f t="shared" si="265"/>
        <v>0</v>
      </c>
      <c r="EE233" s="2172">
        <f t="shared" si="265"/>
        <v>0</v>
      </c>
      <c r="EF233" s="2172">
        <f t="shared" si="265"/>
        <v>0</v>
      </c>
      <c r="EG233" s="2172">
        <f t="shared" si="265"/>
        <v>0</v>
      </c>
      <c r="EH233" s="2172">
        <f t="shared" si="265"/>
        <v>0</v>
      </c>
      <c r="EI233" s="2171">
        <f t="shared" si="257"/>
        <v>1.77</v>
      </c>
    </row>
    <row r="234" spans="36:139" ht="15">
      <c r="AJ234" s="1746" t="s">
        <v>80</v>
      </c>
      <c r="AK234" s="1749">
        <f t="shared" si="252"/>
        <v>0</v>
      </c>
      <c r="AL234" s="2189">
        <f t="shared" ref="AL234:BP234" si="266">+(AL58+AL74)</f>
        <v>0</v>
      </c>
      <c r="AM234" s="2189">
        <f t="shared" si="266"/>
        <v>0</v>
      </c>
      <c r="AN234" s="2189">
        <f t="shared" si="266"/>
        <v>0</v>
      </c>
      <c r="AO234" s="2189">
        <f t="shared" si="266"/>
        <v>0</v>
      </c>
      <c r="AP234" s="2189">
        <f t="shared" si="266"/>
        <v>0</v>
      </c>
      <c r="AQ234" s="2189">
        <f t="shared" si="266"/>
        <v>0</v>
      </c>
      <c r="AR234" s="2189">
        <f t="shared" si="266"/>
        <v>0</v>
      </c>
      <c r="AS234" s="2189">
        <f t="shared" si="266"/>
        <v>0</v>
      </c>
      <c r="AT234" s="2189">
        <f t="shared" si="266"/>
        <v>0</v>
      </c>
      <c r="AU234" s="2189">
        <f t="shared" si="266"/>
        <v>0</v>
      </c>
      <c r="AV234" s="2189">
        <f t="shared" si="266"/>
        <v>0</v>
      </c>
      <c r="AW234" s="2189">
        <f t="shared" si="266"/>
        <v>0</v>
      </c>
      <c r="AX234" s="2189">
        <f t="shared" si="266"/>
        <v>0</v>
      </c>
      <c r="AY234" s="2189">
        <f t="shared" si="266"/>
        <v>0</v>
      </c>
      <c r="AZ234" s="2189">
        <f t="shared" si="266"/>
        <v>0</v>
      </c>
      <c r="BA234" s="2189">
        <f t="shared" si="266"/>
        <v>0</v>
      </c>
      <c r="BB234" s="2189">
        <f t="shared" si="266"/>
        <v>0</v>
      </c>
      <c r="BC234" s="2189">
        <f t="shared" si="266"/>
        <v>0</v>
      </c>
      <c r="BD234" s="2189">
        <f t="shared" si="266"/>
        <v>0</v>
      </c>
      <c r="BE234" s="2189">
        <f t="shared" si="266"/>
        <v>0</v>
      </c>
      <c r="BF234" s="2189">
        <f t="shared" si="266"/>
        <v>0</v>
      </c>
      <c r="BG234" s="2189">
        <f t="shared" si="266"/>
        <v>0</v>
      </c>
      <c r="BH234" s="2189">
        <f t="shared" si="266"/>
        <v>0</v>
      </c>
      <c r="BI234" s="2189">
        <f t="shared" si="266"/>
        <v>0</v>
      </c>
      <c r="BJ234" s="2189">
        <f t="shared" si="266"/>
        <v>0</v>
      </c>
      <c r="BK234" s="2189">
        <f t="shared" si="266"/>
        <v>0</v>
      </c>
      <c r="BL234" s="2189">
        <f t="shared" si="266"/>
        <v>0</v>
      </c>
      <c r="BM234" s="2189">
        <f t="shared" si="266"/>
        <v>0</v>
      </c>
      <c r="BN234" s="2189">
        <f t="shared" si="266"/>
        <v>0</v>
      </c>
      <c r="BO234" s="2189">
        <f t="shared" si="266"/>
        <v>0</v>
      </c>
      <c r="BP234" s="2189">
        <f t="shared" si="266"/>
        <v>0</v>
      </c>
      <c r="BQ234" s="2188">
        <f t="shared" si="254"/>
        <v>0</v>
      </c>
      <c r="DB234" s="1962" t="s">
        <v>80</v>
      </c>
      <c r="DC234" s="2175">
        <f t="shared" si="255"/>
        <v>0</v>
      </c>
      <c r="DD234" s="2172">
        <f t="shared" ref="DD234:EH234" si="267">+(DD58+DD74)</f>
        <v>0</v>
      </c>
      <c r="DE234" s="2172">
        <f t="shared" si="267"/>
        <v>0</v>
      </c>
      <c r="DF234" s="2172">
        <f t="shared" si="267"/>
        <v>0</v>
      </c>
      <c r="DG234" s="2172">
        <f t="shared" si="267"/>
        <v>0</v>
      </c>
      <c r="DH234" s="2172">
        <f t="shared" si="267"/>
        <v>0</v>
      </c>
      <c r="DI234" s="2172">
        <f t="shared" si="267"/>
        <v>0</v>
      </c>
      <c r="DJ234" s="2172">
        <f t="shared" si="267"/>
        <v>0</v>
      </c>
      <c r="DK234" s="2172">
        <f t="shared" si="267"/>
        <v>0</v>
      </c>
      <c r="DL234" s="2172">
        <f t="shared" si="267"/>
        <v>0</v>
      </c>
      <c r="DM234" s="2172">
        <f t="shared" si="267"/>
        <v>0</v>
      </c>
      <c r="DN234" s="2172">
        <f t="shared" si="267"/>
        <v>0</v>
      </c>
      <c r="DO234" s="2172">
        <f t="shared" si="267"/>
        <v>0</v>
      </c>
      <c r="DP234" s="2172">
        <f t="shared" si="267"/>
        <v>0</v>
      </c>
      <c r="DQ234" s="2172">
        <f t="shared" si="267"/>
        <v>0</v>
      </c>
      <c r="DR234" s="2172">
        <f t="shared" si="267"/>
        <v>0</v>
      </c>
      <c r="DS234" s="2172">
        <f t="shared" si="267"/>
        <v>0</v>
      </c>
      <c r="DT234" s="2172">
        <f t="shared" si="267"/>
        <v>0</v>
      </c>
      <c r="DU234" s="2172">
        <f t="shared" si="267"/>
        <v>0</v>
      </c>
      <c r="DV234" s="2172">
        <f t="shared" si="267"/>
        <v>0</v>
      </c>
      <c r="DW234" s="2172">
        <f t="shared" si="267"/>
        <v>0</v>
      </c>
      <c r="DX234" s="2172">
        <f t="shared" si="267"/>
        <v>0</v>
      </c>
      <c r="DY234" s="2172">
        <f t="shared" si="267"/>
        <v>0</v>
      </c>
      <c r="DZ234" s="2172">
        <f t="shared" si="267"/>
        <v>0</v>
      </c>
      <c r="EA234" s="2172">
        <f t="shared" si="267"/>
        <v>0</v>
      </c>
      <c r="EB234" s="2172">
        <f t="shared" si="267"/>
        <v>0</v>
      </c>
      <c r="EC234" s="2172">
        <f t="shared" si="267"/>
        <v>0</v>
      </c>
      <c r="ED234" s="2172">
        <f t="shared" si="267"/>
        <v>0</v>
      </c>
      <c r="EE234" s="2172">
        <f t="shared" si="267"/>
        <v>0</v>
      </c>
      <c r="EF234" s="2172">
        <f t="shared" si="267"/>
        <v>0</v>
      </c>
      <c r="EG234" s="2172">
        <f t="shared" si="267"/>
        <v>0</v>
      </c>
      <c r="EH234" s="2172">
        <f t="shared" si="267"/>
        <v>0</v>
      </c>
      <c r="EI234" s="2171">
        <f t="shared" si="257"/>
        <v>0</v>
      </c>
    </row>
    <row r="235" spans="36:139" ht="15">
      <c r="AJ235" s="1746" t="s">
        <v>81</v>
      </c>
      <c r="AK235" s="1749">
        <f t="shared" si="252"/>
        <v>0</v>
      </c>
      <c r="AL235" s="2189">
        <f t="shared" ref="AL235:BP235" si="268">+(AL59+AL75)</f>
        <v>0</v>
      </c>
      <c r="AM235" s="2189">
        <f t="shared" si="268"/>
        <v>0</v>
      </c>
      <c r="AN235" s="2189">
        <f t="shared" si="268"/>
        <v>0</v>
      </c>
      <c r="AO235" s="2189">
        <f t="shared" si="268"/>
        <v>0</v>
      </c>
      <c r="AP235" s="2189">
        <f t="shared" si="268"/>
        <v>0</v>
      </c>
      <c r="AQ235" s="2189">
        <f t="shared" si="268"/>
        <v>0</v>
      </c>
      <c r="AR235" s="2189">
        <f t="shared" si="268"/>
        <v>0</v>
      </c>
      <c r="AS235" s="2189">
        <f t="shared" si="268"/>
        <v>0</v>
      </c>
      <c r="AT235" s="2189">
        <f t="shared" si="268"/>
        <v>0</v>
      </c>
      <c r="AU235" s="2189">
        <f t="shared" si="268"/>
        <v>0</v>
      </c>
      <c r="AV235" s="2189">
        <f t="shared" si="268"/>
        <v>0</v>
      </c>
      <c r="AW235" s="2189">
        <f t="shared" si="268"/>
        <v>0</v>
      </c>
      <c r="AX235" s="2189">
        <f t="shared" si="268"/>
        <v>0</v>
      </c>
      <c r="AY235" s="2189">
        <f t="shared" si="268"/>
        <v>0</v>
      </c>
      <c r="AZ235" s="2189">
        <f t="shared" si="268"/>
        <v>0</v>
      </c>
      <c r="BA235" s="2189">
        <f t="shared" si="268"/>
        <v>0</v>
      </c>
      <c r="BB235" s="2189">
        <f t="shared" si="268"/>
        <v>0</v>
      </c>
      <c r="BC235" s="2189">
        <f t="shared" si="268"/>
        <v>0</v>
      </c>
      <c r="BD235" s="2189">
        <f t="shared" si="268"/>
        <v>0</v>
      </c>
      <c r="BE235" s="2189">
        <f t="shared" si="268"/>
        <v>0</v>
      </c>
      <c r="BF235" s="2189">
        <f t="shared" si="268"/>
        <v>0</v>
      </c>
      <c r="BG235" s="2189">
        <f t="shared" si="268"/>
        <v>0</v>
      </c>
      <c r="BH235" s="2189">
        <f t="shared" si="268"/>
        <v>0</v>
      </c>
      <c r="BI235" s="2189">
        <f t="shared" si="268"/>
        <v>0</v>
      </c>
      <c r="BJ235" s="2189">
        <f t="shared" si="268"/>
        <v>0</v>
      </c>
      <c r="BK235" s="2189">
        <f t="shared" si="268"/>
        <v>0</v>
      </c>
      <c r="BL235" s="2189">
        <f t="shared" si="268"/>
        <v>0</v>
      </c>
      <c r="BM235" s="2189">
        <f t="shared" si="268"/>
        <v>0</v>
      </c>
      <c r="BN235" s="2189">
        <f t="shared" si="268"/>
        <v>0</v>
      </c>
      <c r="BO235" s="2189">
        <f t="shared" si="268"/>
        <v>0</v>
      </c>
      <c r="BP235" s="2189">
        <f t="shared" si="268"/>
        <v>0</v>
      </c>
      <c r="BQ235" s="2188">
        <f t="shared" si="254"/>
        <v>0</v>
      </c>
      <c r="DB235" s="1962" t="s">
        <v>81</v>
      </c>
      <c r="DC235" s="2175">
        <f t="shared" si="255"/>
        <v>0</v>
      </c>
      <c r="DD235" s="2172">
        <f t="shared" ref="DD235:EH235" si="269">+(DD59+DD75)</f>
        <v>0</v>
      </c>
      <c r="DE235" s="2172">
        <f t="shared" si="269"/>
        <v>0</v>
      </c>
      <c r="DF235" s="2172">
        <f t="shared" si="269"/>
        <v>0</v>
      </c>
      <c r="DG235" s="2172">
        <f t="shared" si="269"/>
        <v>0</v>
      </c>
      <c r="DH235" s="2172">
        <f t="shared" si="269"/>
        <v>0</v>
      </c>
      <c r="DI235" s="2172">
        <f t="shared" si="269"/>
        <v>0</v>
      </c>
      <c r="DJ235" s="2172">
        <f t="shared" si="269"/>
        <v>0</v>
      </c>
      <c r="DK235" s="2172">
        <f t="shared" si="269"/>
        <v>0</v>
      </c>
      <c r="DL235" s="2172">
        <f t="shared" si="269"/>
        <v>0</v>
      </c>
      <c r="DM235" s="2172">
        <f t="shared" si="269"/>
        <v>0</v>
      </c>
      <c r="DN235" s="2172">
        <f t="shared" si="269"/>
        <v>0</v>
      </c>
      <c r="DO235" s="2172">
        <f t="shared" si="269"/>
        <v>0</v>
      </c>
      <c r="DP235" s="2172">
        <f t="shared" si="269"/>
        <v>0</v>
      </c>
      <c r="DQ235" s="2172">
        <f t="shared" si="269"/>
        <v>0</v>
      </c>
      <c r="DR235" s="2172">
        <f t="shared" si="269"/>
        <v>0</v>
      </c>
      <c r="DS235" s="2172">
        <f t="shared" si="269"/>
        <v>0</v>
      </c>
      <c r="DT235" s="2172">
        <f t="shared" si="269"/>
        <v>0</v>
      </c>
      <c r="DU235" s="2172">
        <f t="shared" si="269"/>
        <v>0</v>
      </c>
      <c r="DV235" s="2172">
        <f t="shared" si="269"/>
        <v>0</v>
      </c>
      <c r="DW235" s="2172">
        <f t="shared" si="269"/>
        <v>0</v>
      </c>
      <c r="DX235" s="2172">
        <f t="shared" si="269"/>
        <v>0</v>
      </c>
      <c r="DY235" s="2172">
        <f t="shared" si="269"/>
        <v>0</v>
      </c>
      <c r="DZ235" s="2172">
        <f t="shared" si="269"/>
        <v>0</v>
      </c>
      <c r="EA235" s="2172">
        <f t="shared" si="269"/>
        <v>0</v>
      </c>
      <c r="EB235" s="2172">
        <f t="shared" si="269"/>
        <v>0</v>
      </c>
      <c r="EC235" s="2172">
        <f t="shared" si="269"/>
        <v>0</v>
      </c>
      <c r="ED235" s="2172">
        <f t="shared" si="269"/>
        <v>0</v>
      </c>
      <c r="EE235" s="2172">
        <f t="shared" si="269"/>
        <v>0</v>
      </c>
      <c r="EF235" s="2172">
        <f t="shared" si="269"/>
        <v>0</v>
      </c>
      <c r="EG235" s="2172">
        <f t="shared" si="269"/>
        <v>0</v>
      </c>
      <c r="EH235" s="2172">
        <f t="shared" si="269"/>
        <v>0</v>
      </c>
      <c r="EI235" s="2171">
        <f t="shared" si="257"/>
        <v>0</v>
      </c>
    </row>
    <row r="236" spans="36:139" ht="15">
      <c r="AJ236" s="1746" t="s">
        <v>82</v>
      </c>
      <c r="AK236" s="1749">
        <f t="shared" si="252"/>
        <v>0</v>
      </c>
      <c r="AL236" s="2189">
        <f t="shared" ref="AL236:BP236" si="270">+(AL60+AL76)</f>
        <v>0</v>
      </c>
      <c r="AM236" s="2189">
        <f t="shared" si="270"/>
        <v>0</v>
      </c>
      <c r="AN236" s="2189">
        <f t="shared" si="270"/>
        <v>0</v>
      </c>
      <c r="AO236" s="2189">
        <f t="shared" si="270"/>
        <v>0</v>
      </c>
      <c r="AP236" s="2189">
        <f t="shared" si="270"/>
        <v>0</v>
      </c>
      <c r="AQ236" s="2189">
        <f t="shared" si="270"/>
        <v>0</v>
      </c>
      <c r="AR236" s="2189">
        <f t="shared" si="270"/>
        <v>0</v>
      </c>
      <c r="AS236" s="2189">
        <f t="shared" si="270"/>
        <v>0</v>
      </c>
      <c r="AT236" s="2189">
        <f t="shared" si="270"/>
        <v>0</v>
      </c>
      <c r="AU236" s="2189">
        <f t="shared" si="270"/>
        <v>0</v>
      </c>
      <c r="AV236" s="2189">
        <f t="shared" si="270"/>
        <v>0</v>
      </c>
      <c r="AW236" s="2189">
        <f t="shared" si="270"/>
        <v>0</v>
      </c>
      <c r="AX236" s="2189">
        <f t="shared" si="270"/>
        <v>0</v>
      </c>
      <c r="AY236" s="2189">
        <f t="shared" si="270"/>
        <v>0</v>
      </c>
      <c r="AZ236" s="2189">
        <f t="shared" si="270"/>
        <v>0</v>
      </c>
      <c r="BA236" s="2189">
        <f t="shared" si="270"/>
        <v>0</v>
      </c>
      <c r="BB236" s="2189">
        <f t="shared" si="270"/>
        <v>0</v>
      </c>
      <c r="BC236" s="2189">
        <f t="shared" si="270"/>
        <v>0</v>
      </c>
      <c r="BD236" s="2189">
        <f t="shared" si="270"/>
        <v>0</v>
      </c>
      <c r="BE236" s="2189">
        <f t="shared" si="270"/>
        <v>0</v>
      </c>
      <c r="BF236" s="2189">
        <f t="shared" si="270"/>
        <v>0</v>
      </c>
      <c r="BG236" s="2189">
        <f t="shared" si="270"/>
        <v>0</v>
      </c>
      <c r="BH236" s="2189">
        <f t="shared" si="270"/>
        <v>0</v>
      </c>
      <c r="BI236" s="2189">
        <f t="shared" si="270"/>
        <v>0</v>
      </c>
      <c r="BJ236" s="2189">
        <f t="shared" si="270"/>
        <v>0</v>
      </c>
      <c r="BK236" s="2189">
        <f t="shared" si="270"/>
        <v>0</v>
      </c>
      <c r="BL236" s="2189">
        <f t="shared" si="270"/>
        <v>0</v>
      </c>
      <c r="BM236" s="2189">
        <f t="shared" si="270"/>
        <v>0</v>
      </c>
      <c r="BN236" s="2189">
        <f t="shared" si="270"/>
        <v>0</v>
      </c>
      <c r="BO236" s="2189">
        <f t="shared" si="270"/>
        <v>0</v>
      </c>
      <c r="BP236" s="2189">
        <f t="shared" si="270"/>
        <v>0</v>
      </c>
      <c r="BQ236" s="2188">
        <f t="shared" si="254"/>
        <v>0</v>
      </c>
      <c r="DB236" s="1962" t="s">
        <v>82</v>
      </c>
      <c r="DC236" s="2175">
        <f t="shared" si="255"/>
        <v>0</v>
      </c>
      <c r="DD236" s="2172">
        <f t="shared" ref="DD236:EH236" si="271">+(DD60+DD76)</f>
        <v>0</v>
      </c>
      <c r="DE236" s="2172">
        <f t="shared" si="271"/>
        <v>0</v>
      </c>
      <c r="DF236" s="2172">
        <f t="shared" si="271"/>
        <v>0</v>
      </c>
      <c r="DG236" s="2172">
        <f t="shared" si="271"/>
        <v>0</v>
      </c>
      <c r="DH236" s="2172">
        <f t="shared" si="271"/>
        <v>0</v>
      </c>
      <c r="DI236" s="2172">
        <f t="shared" si="271"/>
        <v>0</v>
      </c>
      <c r="DJ236" s="2172">
        <f t="shared" si="271"/>
        <v>0</v>
      </c>
      <c r="DK236" s="2172">
        <f t="shared" si="271"/>
        <v>0</v>
      </c>
      <c r="DL236" s="2172">
        <f t="shared" si="271"/>
        <v>0</v>
      </c>
      <c r="DM236" s="2172">
        <f t="shared" si="271"/>
        <v>0</v>
      </c>
      <c r="DN236" s="2172">
        <f t="shared" si="271"/>
        <v>0</v>
      </c>
      <c r="DO236" s="2172">
        <f t="shared" si="271"/>
        <v>0</v>
      </c>
      <c r="DP236" s="2172">
        <f t="shared" si="271"/>
        <v>0</v>
      </c>
      <c r="DQ236" s="2172">
        <f t="shared" si="271"/>
        <v>0</v>
      </c>
      <c r="DR236" s="2172">
        <f t="shared" si="271"/>
        <v>0</v>
      </c>
      <c r="DS236" s="2172">
        <f t="shared" si="271"/>
        <v>0</v>
      </c>
      <c r="DT236" s="2172">
        <f t="shared" si="271"/>
        <v>0</v>
      </c>
      <c r="DU236" s="2172">
        <f t="shared" si="271"/>
        <v>0</v>
      </c>
      <c r="DV236" s="2172">
        <f t="shared" si="271"/>
        <v>0</v>
      </c>
      <c r="DW236" s="2172">
        <f t="shared" si="271"/>
        <v>0</v>
      </c>
      <c r="DX236" s="2172">
        <f t="shared" si="271"/>
        <v>0</v>
      </c>
      <c r="DY236" s="2172">
        <f t="shared" si="271"/>
        <v>0</v>
      </c>
      <c r="DZ236" s="2172">
        <f t="shared" si="271"/>
        <v>0</v>
      </c>
      <c r="EA236" s="2172">
        <f t="shared" si="271"/>
        <v>0</v>
      </c>
      <c r="EB236" s="2172">
        <f t="shared" si="271"/>
        <v>0</v>
      </c>
      <c r="EC236" s="2172">
        <f t="shared" si="271"/>
        <v>0</v>
      </c>
      <c r="ED236" s="2172">
        <f t="shared" si="271"/>
        <v>0</v>
      </c>
      <c r="EE236" s="2172">
        <f t="shared" si="271"/>
        <v>0</v>
      </c>
      <c r="EF236" s="2172">
        <f t="shared" si="271"/>
        <v>0</v>
      </c>
      <c r="EG236" s="2172">
        <f t="shared" si="271"/>
        <v>0</v>
      </c>
      <c r="EH236" s="2172">
        <f t="shared" si="271"/>
        <v>0</v>
      </c>
      <c r="EI236" s="2171">
        <f t="shared" si="257"/>
        <v>0</v>
      </c>
    </row>
    <row r="237" spans="36:139" ht="15">
      <c r="AJ237" s="1746" t="s">
        <v>83</v>
      </c>
      <c r="AK237" s="1749">
        <f t="shared" si="252"/>
        <v>0</v>
      </c>
      <c r="AL237" s="2189">
        <f t="shared" ref="AL237:BP237" si="272">+(AL61+AL77)</f>
        <v>0</v>
      </c>
      <c r="AM237" s="2189">
        <f t="shared" si="272"/>
        <v>0</v>
      </c>
      <c r="AN237" s="2189">
        <f t="shared" si="272"/>
        <v>0</v>
      </c>
      <c r="AO237" s="2189">
        <f t="shared" si="272"/>
        <v>0</v>
      </c>
      <c r="AP237" s="2189">
        <f t="shared" si="272"/>
        <v>0</v>
      </c>
      <c r="AQ237" s="2189">
        <f t="shared" si="272"/>
        <v>0</v>
      </c>
      <c r="AR237" s="2189">
        <f t="shared" si="272"/>
        <v>0</v>
      </c>
      <c r="AS237" s="2189">
        <f t="shared" si="272"/>
        <v>0</v>
      </c>
      <c r="AT237" s="2189">
        <f t="shared" si="272"/>
        <v>0</v>
      </c>
      <c r="AU237" s="2189">
        <f t="shared" si="272"/>
        <v>0</v>
      </c>
      <c r="AV237" s="2189">
        <f t="shared" si="272"/>
        <v>0</v>
      </c>
      <c r="AW237" s="2189">
        <f t="shared" si="272"/>
        <v>0</v>
      </c>
      <c r="AX237" s="2189">
        <f t="shared" si="272"/>
        <v>0</v>
      </c>
      <c r="AY237" s="2189">
        <f t="shared" si="272"/>
        <v>0</v>
      </c>
      <c r="AZ237" s="2189">
        <f t="shared" si="272"/>
        <v>0</v>
      </c>
      <c r="BA237" s="2189">
        <f t="shared" si="272"/>
        <v>0</v>
      </c>
      <c r="BB237" s="2189">
        <f t="shared" si="272"/>
        <v>0</v>
      </c>
      <c r="BC237" s="2189">
        <f t="shared" si="272"/>
        <v>0</v>
      </c>
      <c r="BD237" s="2189">
        <f t="shared" si="272"/>
        <v>0</v>
      </c>
      <c r="BE237" s="2189">
        <f t="shared" si="272"/>
        <v>0</v>
      </c>
      <c r="BF237" s="2189">
        <f t="shared" si="272"/>
        <v>0</v>
      </c>
      <c r="BG237" s="2189">
        <f t="shared" si="272"/>
        <v>0</v>
      </c>
      <c r="BH237" s="2189">
        <f t="shared" si="272"/>
        <v>0</v>
      </c>
      <c r="BI237" s="2189">
        <f t="shared" si="272"/>
        <v>0</v>
      </c>
      <c r="BJ237" s="2189">
        <f t="shared" si="272"/>
        <v>0</v>
      </c>
      <c r="BK237" s="2189">
        <f t="shared" si="272"/>
        <v>0</v>
      </c>
      <c r="BL237" s="2189">
        <f t="shared" si="272"/>
        <v>0</v>
      </c>
      <c r="BM237" s="2189">
        <f t="shared" si="272"/>
        <v>0</v>
      </c>
      <c r="BN237" s="2189">
        <f t="shared" si="272"/>
        <v>0</v>
      </c>
      <c r="BO237" s="2189">
        <f t="shared" si="272"/>
        <v>0</v>
      </c>
      <c r="BP237" s="2189">
        <f t="shared" si="272"/>
        <v>0</v>
      </c>
      <c r="BQ237" s="2188">
        <f t="shared" si="254"/>
        <v>0</v>
      </c>
      <c r="DB237" s="1962" t="s">
        <v>83</v>
      </c>
      <c r="DC237" s="2175">
        <f t="shared" si="255"/>
        <v>0</v>
      </c>
      <c r="DD237" s="2172">
        <f t="shared" ref="DD237:EH237" si="273">+(DD61+DD77)</f>
        <v>0</v>
      </c>
      <c r="DE237" s="2172">
        <f t="shared" si="273"/>
        <v>0</v>
      </c>
      <c r="DF237" s="2172">
        <f t="shared" si="273"/>
        <v>0</v>
      </c>
      <c r="DG237" s="2172">
        <f t="shared" si="273"/>
        <v>0</v>
      </c>
      <c r="DH237" s="2172">
        <f t="shared" si="273"/>
        <v>0</v>
      </c>
      <c r="DI237" s="2172">
        <f t="shared" si="273"/>
        <v>0</v>
      </c>
      <c r="DJ237" s="2172">
        <f t="shared" si="273"/>
        <v>0</v>
      </c>
      <c r="DK237" s="2172">
        <f t="shared" si="273"/>
        <v>0</v>
      </c>
      <c r="DL237" s="2172">
        <f t="shared" si="273"/>
        <v>0</v>
      </c>
      <c r="DM237" s="2172">
        <f t="shared" si="273"/>
        <v>0</v>
      </c>
      <c r="DN237" s="2172">
        <f t="shared" si="273"/>
        <v>0</v>
      </c>
      <c r="DO237" s="2172">
        <f t="shared" si="273"/>
        <v>0</v>
      </c>
      <c r="DP237" s="2172">
        <f t="shared" si="273"/>
        <v>0</v>
      </c>
      <c r="DQ237" s="2172">
        <f t="shared" si="273"/>
        <v>0</v>
      </c>
      <c r="DR237" s="2172">
        <f t="shared" si="273"/>
        <v>0</v>
      </c>
      <c r="DS237" s="2172">
        <f t="shared" si="273"/>
        <v>0</v>
      </c>
      <c r="DT237" s="2172">
        <f t="shared" si="273"/>
        <v>0</v>
      </c>
      <c r="DU237" s="2172">
        <f t="shared" si="273"/>
        <v>0</v>
      </c>
      <c r="DV237" s="2172">
        <f t="shared" si="273"/>
        <v>0</v>
      </c>
      <c r="DW237" s="2172">
        <f t="shared" si="273"/>
        <v>0</v>
      </c>
      <c r="DX237" s="2172">
        <f t="shared" si="273"/>
        <v>0</v>
      </c>
      <c r="DY237" s="2172">
        <f t="shared" si="273"/>
        <v>0</v>
      </c>
      <c r="DZ237" s="2172">
        <f t="shared" si="273"/>
        <v>0</v>
      </c>
      <c r="EA237" s="2172">
        <f t="shared" si="273"/>
        <v>0</v>
      </c>
      <c r="EB237" s="2172">
        <f t="shared" si="273"/>
        <v>0</v>
      </c>
      <c r="EC237" s="2172">
        <f t="shared" si="273"/>
        <v>0</v>
      </c>
      <c r="ED237" s="2172">
        <f t="shared" si="273"/>
        <v>0</v>
      </c>
      <c r="EE237" s="2172">
        <f t="shared" si="273"/>
        <v>0</v>
      </c>
      <c r="EF237" s="2172">
        <f t="shared" si="273"/>
        <v>0</v>
      </c>
      <c r="EG237" s="2172">
        <f t="shared" si="273"/>
        <v>0</v>
      </c>
      <c r="EH237" s="2172">
        <f t="shared" si="273"/>
        <v>0</v>
      </c>
      <c r="EI237" s="2171">
        <f t="shared" si="257"/>
        <v>0</v>
      </c>
    </row>
    <row r="238" spans="36:139" ht="15">
      <c r="AJ238" s="1746" t="s">
        <v>84</v>
      </c>
      <c r="AK238" s="1749">
        <f t="shared" si="252"/>
        <v>0</v>
      </c>
      <c r="AL238" s="2189">
        <f t="shared" ref="AL238:BP238" si="274">+(AL62+AL78)</f>
        <v>0</v>
      </c>
      <c r="AM238" s="2189">
        <f t="shared" si="274"/>
        <v>0</v>
      </c>
      <c r="AN238" s="2189">
        <f t="shared" si="274"/>
        <v>0</v>
      </c>
      <c r="AO238" s="2189">
        <f t="shared" si="274"/>
        <v>0</v>
      </c>
      <c r="AP238" s="2189">
        <f t="shared" si="274"/>
        <v>0</v>
      </c>
      <c r="AQ238" s="2189">
        <f t="shared" si="274"/>
        <v>0</v>
      </c>
      <c r="AR238" s="2189">
        <f t="shared" si="274"/>
        <v>0</v>
      </c>
      <c r="AS238" s="2189">
        <f t="shared" si="274"/>
        <v>0</v>
      </c>
      <c r="AT238" s="2189">
        <f t="shared" si="274"/>
        <v>0</v>
      </c>
      <c r="AU238" s="2189">
        <f t="shared" si="274"/>
        <v>0</v>
      </c>
      <c r="AV238" s="2189">
        <f t="shared" si="274"/>
        <v>0</v>
      </c>
      <c r="AW238" s="2189">
        <f t="shared" si="274"/>
        <v>0</v>
      </c>
      <c r="AX238" s="2189">
        <f t="shared" si="274"/>
        <v>0</v>
      </c>
      <c r="AY238" s="2189">
        <f t="shared" si="274"/>
        <v>0</v>
      </c>
      <c r="AZ238" s="2189">
        <f t="shared" si="274"/>
        <v>0</v>
      </c>
      <c r="BA238" s="2189">
        <f t="shared" si="274"/>
        <v>0</v>
      </c>
      <c r="BB238" s="2189">
        <f t="shared" si="274"/>
        <v>0</v>
      </c>
      <c r="BC238" s="2189">
        <f t="shared" si="274"/>
        <v>0</v>
      </c>
      <c r="BD238" s="2189">
        <f t="shared" si="274"/>
        <v>0</v>
      </c>
      <c r="BE238" s="2189">
        <f t="shared" si="274"/>
        <v>0</v>
      </c>
      <c r="BF238" s="2189">
        <f t="shared" si="274"/>
        <v>0</v>
      </c>
      <c r="BG238" s="2189">
        <f t="shared" si="274"/>
        <v>0</v>
      </c>
      <c r="BH238" s="2189">
        <f t="shared" si="274"/>
        <v>0</v>
      </c>
      <c r="BI238" s="2189">
        <f t="shared" si="274"/>
        <v>0</v>
      </c>
      <c r="BJ238" s="2189">
        <f t="shared" si="274"/>
        <v>0</v>
      </c>
      <c r="BK238" s="2189">
        <f t="shared" si="274"/>
        <v>0</v>
      </c>
      <c r="BL238" s="2189">
        <f t="shared" si="274"/>
        <v>0</v>
      </c>
      <c r="BM238" s="2189">
        <f t="shared" si="274"/>
        <v>0</v>
      </c>
      <c r="BN238" s="2189">
        <f t="shared" si="274"/>
        <v>0</v>
      </c>
      <c r="BO238" s="2189">
        <f t="shared" si="274"/>
        <v>0</v>
      </c>
      <c r="BP238" s="2189">
        <f t="shared" si="274"/>
        <v>0</v>
      </c>
      <c r="BQ238" s="2188">
        <f t="shared" si="254"/>
        <v>0</v>
      </c>
      <c r="DB238" s="1962" t="s">
        <v>84</v>
      </c>
      <c r="DC238" s="2175">
        <f t="shared" si="255"/>
        <v>0</v>
      </c>
      <c r="DD238" s="2172">
        <f t="shared" ref="DD238:EH238" si="275">+(DD62+DD78)</f>
        <v>0</v>
      </c>
      <c r="DE238" s="2172">
        <f t="shared" si="275"/>
        <v>0</v>
      </c>
      <c r="DF238" s="2172">
        <f t="shared" si="275"/>
        <v>0</v>
      </c>
      <c r="DG238" s="2172">
        <f t="shared" si="275"/>
        <v>0</v>
      </c>
      <c r="DH238" s="2172">
        <f t="shared" si="275"/>
        <v>0</v>
      </c>
      <c r="DI238" s="2172">
        <f t="shared" si="275"/>
        <v>0</v>
      </c>
      <c r="DJ238" s="2172">
        <f t="shared" si="275"/>
        <v>0</v>
      </c>
      <c r="DK238" s="2172">
        <f t="shared" si="275"/>
        <v>0</v>
      </c>
      <c r="DL238" s="2172">
        <f t="shared" si="275"/>
        <v>0</v>
      </c>
      <c r="DM238" s="2172">
        <f t="shared" si="275"/>
        <v>0</v>
      </c>
      <c r="DN238" s="2172">
        <f t="shared" si="275"/>
        <v>0</v>
      </c>
      <c r="DO238" s="2172">
        <f t="shared" si="275"/>
        <v>0</v>
      </c>
      <c r="DP238" s="2172">
        <f t="shared" si="275"/>
        <v>0</v>
      </c>
      <c r="DQ238" s="2172">
        <f t="shared" si="275"/>
        <v>0</v>
      </c>
      <c r="DR238" s="2172">
        <f t="shared" si="275"/>
        <v>0</v>
      </c>
      <c r="DS238" s="2172">
        <f t="shared" si="275"/>
        <v>0</v>
      </c>
      <c r="DT238" s="2172">
        <f t="shared" si="275"/>
        <v>0</v>
      </c>
      <c r="DU238" s="2172">
        <f t="shared" si="275"/>
        <v>0</v>
      </c>
      <c r="DV238" s="2172">
        <f t="shared" si="275"/>
        <v>0</v>
      </c>
      <c r="DW238" s="2172">
        <f t="shared" si="275"/>
        <v>0</v>
      </c>
      <c r="DX238" s="2172">
        <f t="shared" si="275"/>
        <v>0</v>
      </c>
      <c r="DY238" s="2172">
        <f t="shared" si="275"/>
        <v>0</v>
      </c>
      <c r="DZ238" s="2172">
        <f t="shared" si="275"/>
        <v>0</v>
      </c>
      <c r="EA238" s="2172">
        <f t="shared" si="275"/>
        <v>0</v>
      </c>
      <c r="EB238" s="2172">
        <f t="shared" si="275"/>
        <v>0</v>
      </c>
      <c r="EC238" s="2172">
        <f t="shared" si="275"/>
        <v>0</v>
      </c>
      <c r="ED238" s="2172">
        <f t="shared" si="275"/>
        <v>0</v>
      </c>
      <c r="EE238" s="2172">
        <f t="shared" si="275"/>
        <v>0</v>
      </c>
      <c r="EF238" s="2172">
        <f t="shared" si="275"/>
        <v>0</v>
      </c>
      <c r="EG238" s="2172">
        <f t="shared" si="275"/>
        <v>0</v>
      </c>
      <c r="EH238" s="2172">
        <f t="shared" si="275"/>
        <v>0</v>
      </c>
      <c r="EI238" s="2171">
        <f t="shared" si="257"/>
        <v>0</v>
      </c>
    </row>
    <row r="239" spans="36:139" ht="15">
      <c r="AJ239" s="1746" t="s">
        <v>85</v>
      </c>
      <c r="AK239" s="1749">
        <f t="shared" si="252"/>
        <v>0</v>
      </c>
      <c r="AL239" s="2189">
        <f t="shared" ref="AL239:BP239" si="276">+(AL63+AL79)</f>
        <v>0</v>
      </c>
      <c r="AM239" s="2189">
        <f t="shared" si="276"/>
        <v>0</v>
      </c>
      <c r="AN239" s="2189">
        <f t="shared" si="276"/>
        <v>0</v>
      </c>
      <c r="AO239" s="2189">
        <f t="shared" si="276"/>
        <v>0</v>
      </c>
      <c r="AP239" s="2189">
        <f t="shared" si="276"/>
        <v>0</v>
      </c>
      <c r="AQ239" s="2189">
        <f t="shared" si="276"/>
        <v>0</v>
      </c>
      <c r="AR239" s="2189">
        <f t="shared" si="276"/>
        <v>0</v>
      </c>
      <c r="AS239" s="2189">
        <f t="shared" si="276"/>
        <v>0</v>
      </c>
      <c r="AT239" s="2189">
        <f t="shared" si="276"/>
        <v>0</v>
      </c>
      <c r="AU239" s="2189">
        <f t="shared" si="276"/>
        <v>0</v>
      </c>
      <c r="AV239" s="2189">
        <f t="shared" si="276"/>
        <v>0</v>
      </c>
      <c r="AW239" s="2189">
        <f t="shared" si="276"/>
        <v>0</v>
      </c>
      <c r="AX239" s="2189">
        <f t="shared" si="276"/>
        <v>0</v>
      </c>
      <c r="AY239" s="2189">
        <f t="shared" si="276"/>
        <v>0</v>
      </c>
      <c r="AZ239" s="2189">
        <f t="shared" si="276"/>
        <v>0</v>
      </c>
      <c r="BA239" s="2189">
        <f t="shared" si="276"/>
        <v>0</v>
      </c>
      <c r="BB239" s="2189">
        <f t="shared" si="276"/>
        <v>0</v>
      </c>
      <c r="BC239" s="2189">
        <f t="shared" si="276"/>
        <v>0</v>
      </c>
      <c r="BD239" s="2189">
        <f t="shared" si="276"/>
        <v>0</v>
      </c>
      <c r="BE239" s="2189">
        <f t="shared" si="276"/>
        <v>0</v>
      </c>
      <c r="BF239" s="2189">
        <f t="shared" si="276"/>
        <v>0</v>
      </c>
      <c r="BG239" s="2189">
        <f t="shared" si="276"/>
        <v>0</v>
      </c>
      <c r="BH239" s="2189">
        <f t="shared" si="276"/>
        <v>0</v>
      </c>
      <c r="BI239" s="2189">
        <f t="shared" si="276"/>
        <v>0</v>
      </c>
      <c r="BJ239" s="2189">
        <f t="shared" si="276"/>
        <v>0</v>
      </c>
      <c r="BK239" s="2189">
        <f t="shared" si="276"/>
        <v>0</v>
      </c>
      <c r="BL239" s="2189">
        <f t="shared" si="276"/>
        <v>0</v>
      </c>
      <c r="BM239" s="2189">
        <f t="shared" si="276"/>
        <v>0</v>
      </c>
      <c r="BN239" s="2189">
        <f t="shared" si="276"/>
        <v>0</v>
      </c>
      <c r="BO239" s="2189">
        <f t="shared" si="276"/>
        <v>0</v>
      </c>
      <c r="BP239" s="2189">
        <f t="shared" si="276"/>
        <v>0</v>
      </c>
      <c r="BQ239" s="2188">
        <f t="shared" si="254"/>
        <v>0</v>
      </c>
      <c r="DB239" s="1962" t="s">
        <v>85</v>
      </c>
      <c r="DC239" s="2175">
        <f t="shared" si="255"/>
        <v>0</v>
      </c>
      <c r="DD239" s="2172">
        <f t="shared" ref="DD239:EH239" si="277">+(DD63+DD79)</f>
        <v>0</v>
      </c>
      <c r="DE239" s="2172">
        <f t="shared" si="277"/>
        <v>0</v>
      </c>
      <c r="DF239" s="2172">
        <f t="shared" si="277"/>
        <v>0</v>
      </c>
      <c r="DG239" s="2172">
        <f t="shared" si="277"/>
        <v>0</v>
      </c>
      <c r="DH239" s="2172">
        <f t="shared" si="277"/>
        <v>0</v>
      </c>
      <c r="DI239" s="2172">
        <f t="shared" si="277"/>
        <v>0</v>
      </c>
      <c r="DJ239" s="2172">
        <f t="shared" si="277"/>
        <v>0</v>
      </c>
      <c r="DK239" s="2172">
        <f t="shared" si="277"/>
        <v>0</v>
      </c>
      <c r="DL239" s="2172">
        <f t="shared" si="277"/>
        <v>0</v>
      </c>
      <c r="DM239" s="2172">
        <f t="shared" si="277"/>
        <v>0</v>
      </c>
      <c r="DN239" s="2172">
        <f t="shared" si="277"/>
        <v>0</v>
      </c>
      <c r="DO239" s="2172">
        <f t="shared" si="277"/>
        <v>0</v>
      </c>
      <c r="DP239" s="2172">
        <f t="shared" si="277"/>
        <v>0</v>
      </c>
      <c r="DQ239" s="2172">
        <f t="shared" si="277"/>
        <v>0</v>
      </c>
      <c r="DR239" s="2172">
        <f t="shared" si="277"/>
        <v>0</v>
      </c>
      <c r="DS239" s="2172">
        <f t="shared" si="277"/>
        <v>0</v>
      </c>
      <c r="DT239" s="2172">
        <f t="shared" si="277"/>
        <v>0</v>
      </c>
      <c r="DU239" s="2172">
        <f t="shared" si="277"/>
        <v>0</v>
      </c>
      <c r="DV239" s="2172">
        <f t="shared" si="277"/>
        <v>0</v>
      </c>
      <c r="DW239" s="2172">
        <f t="shared" si="277"/>
        <v>0</v>
      </c>
      <c r="DX239" s="2172">
        <f t="shared" si="277"/>
        <v>0</v>
      </c>
      <c r="DY239" s="2172">
        <f t="shared" si="277"/>
        <v>0</v>
      </c>
      <c r="DZ239" s="2172">
        <f t="shared" si="277"/>
        <v>0</v>
      </c>
      <c r="EA239" s="2172">
        <f t="shared" si="277"/>
        <v>0</v>
      </c>
      <c r="EB239" s="2172">
        <f t="shared" si="277"/>
        <v>0</v>
      </c>
      <c r="EC239" s="2172">
        <f t="shared" si="277"/>
        <v>0</v>
      </c>
      <c r="ED239" s="2172">
        <f t="shared" si="277"/>
        <v>0</v>
      </c>
      <c r="EE239" s="2172">
        <f t="shared" si="277"/>
        <v>0</v>
      </c>
      <c r="EF239" s="2172">
        <f t="shared" si="277"/>
        <v>0</v>
      </c>
      <c r="EG239" s="2172">
        <f t="shared" si="277"/>
        <v>0</v>
      </c>
      <c r="EH239" s="2172">
        <f t="shared" si="277"/>
        <v>0</v>
      </c>
      <c r="EI239" s="2171">
        <f t="shared" si="257"/>
        <v>0</v>
      </c>
    </row>
    <row r="240" spans="36:139" ht="15">
      <c r="AJ240" s="1746" t="s">
        <v>86</v>
      </c>
      <c r="AK240" s="1749">
        <f t="shared" si="252"/>
        <v>0</v>
      </c>
      <c r="AL240" s="2189">
        <f t="shared" ref="AL240:BP240" si="278">+(AL64+AL80)</f>
        <v>0</v>
      </c>
      <c r="AM240" s="2189">
        <f t="shared" si="278"/>
        <v>0</v>
      </c>
      <c r="AN240" s="2189">
        <f t="shared" si="278"/>
        <v>0</v>
      </c>
      <c r="AO240" s="2189">
        <f t="shared" si="278"/>
        <v>0</v>
      </c>
      <c r="AP240" s="2189">
        <f t="shared" si="278"/>
        <v>0</v>
      </c>
      <c r="AQ240" s="2189">
        <f t="shared" si="278"/>
        <v>0</v>
      </c>
      <c r="AR240" s="2189">
        <f t="shared" si="278"/>
        <v>0</v>
      </c>
      <c r="AS240" s="2189">
        <f t="shared" si="278"/>
        <v>0</v>
      </c>
      <c r="AT240" s="2189">
        <f t="shared" si="278"/>
        <v>0</v>
      </c>
      <c r="AU240" s="2189">
        <f t="shared" si="278"/>
        <v>0</v>
      </c>
      <c r="AV240" s="2189">
        <f t="shared" si="278"/>
        <v>0</v>
      </c>
      <c r="AW240" s="2189">
        <f t="shared" si="278"/>
        <v>0</v>
      </c>
      <c r="AX240" s="2189">
        <f t="shared" si="278"/>
        <v>0</v>
      </c>
      <c r="AY240" s="2189">
        <f t="shared" si="278"/>
        <v>0</v>
      </c>
      <c r="AZ240" s="2189">
        <f t="shared" si="278"/>
        <v>0</v>
      </c>
      <c r="BA240" s="2189">
        <f t="shared" si="278"/>
        <v>0</v>
      </c>
      <c r="BB240" s="2189">
        <f t="shared" si="278"/>
        <v>0</v>
      </c>
      <c r="BC240" s="2189">
        <f t="shared" si="278"/>
        <v>0</v>
      </c>
      <c r="BD240" s="2189">
        <f t="shared" si="278"/>
        <v>0</v>
      </c>
      <c r="BE240" s="2189">
        <f t="shared" si="278"/>
        <v>0</v>
      </c>
      <c r="BF240" s="2189">
        <f t="shared" si="278"/>
        <v>0</v>
      </c>
      <c r="BG240" s="2189">
        <f t="shared" si="278"/>
        <v>0</v>
      </c>
      <c r="BH240" s="2189">
        <f t="shared" si="278"/>
        <v>0</v>
      </c>
      <c r="BI240" s="2189">
        <f t="shared" si="278"/>
        <v>0</v>
      </c>
      <c r="BJ240" s="2189">
        <f t="shared" si="278"/>
        <v>0</v>
      </c>
      <c r="BK240" s="2189">
        <f t="shared" si="278"/>
        <v>0</v>
      </c>
      <c r="BL240" s="2189">
        <f t="shared" si="278"/>
        <v>0</v>
      </c>
      <c r="BM240" s="2189">
        <f t="shared" si="278"/>
        <v>0</v>
      </c>
      <c r="BN240" s="2189">
        <f t="shared" si="278"/>
        <v>0</v>
      </c>
      <c r="BO240" s="2189">
        <f t="shared" si="278"/>
        <v>0</v>
      </c>
      <c r="BP240" s="2189">
        <f t="shared" si="278"/>
        <v>0</v>
      </c>
      <c r="BQ240" s="2188">
        <f t="shared" si="254"/>
        <v>0</v>
      </c>
      <c r="DB240" s="1962" t="s">
        <v>86</v>
      </c>
      <c r="DC240" s="2175">
        <f t="shared" si="255"/>
        <v>0</v>
      </c>
      <c r="DD240" s="2172">
        <f t="shared" ref="DD240:EH240" si="279">+(DD64+DD80)</f>
        <v>0</v>
      </c>
      <c r="DE240" s="2172">
        <f t="shared" si="279"/>
        <v>0</v>
      </c>
      <c r="DF240" s="2172">
        <f t="shared" si="279"/>
        <v>0</v>
      </c>
      <c r="DG240" s="2172">
        <f t="shared" si="279"/>
        <v>0</v>
      </c>
      <c r="DH240" s="2172">
        <f t="shared" si="279"/>
        <v>0</v>
      </c>
      <c r="DI240" s="2172">
        <f t="shared" si="279"/>
        <v>0</v>
      </c>
      <c r="DJ240" s="2172">
        <f t="shared" si="279"/>
        <v>0</v>
      </c>
      <c r="DK240" s="2172">
        <f t="shared" si="279"/>
        <v>0</v>
      </c>
      <c r="DL240" s="2172">
        <f t="shared" si="279"/>
        <v>0</v>
      </c>
      <c r="DM240" s="2172">
        <f t="shared" si="279"/>
        <v>0</v>
      </c>
      <c r="DN240" s="2172">
        <f t="shared" si="279"/>
        <v>0</v>
      </c>
      <c r="DO240" s="2172">
        <f t="shared" si="279"/>
        <v>0</v>
      </c>
      <c r="DP240" s="2172">
        <f t="shared" si="279"/>
        <v>0</v>
      </c>
      <c r="DQ240" s="2172">
        <f t="shared" si="279"/>
        <v>0</v>
      </c>
      <c r="DR240" s="2172">
        <f t="shared" si="279"/>
        <v>0</v>
      </c>
      <c r="DS240" s="2172">
        <f t="shared" si="279"/>
        <v>0</v>
      </c>
      <c r="DT240" s="2172">
        <f t="shared" si="279"/>
        <v>0</v>
      </c>
      <c r="DU240" s="2172">
        <f t="shared" si="279"/>
        <v>0</v>
      </c>
      <c r="DV240" s="2172">
        <f t="shared" si="279"/>
        <v>0</v>
      </c>
      <c r="DW240" s="2172">
        <f t="shared" si="279"/>
        <v>0</v>
      </c>
      <c r="DX240" s="2172">
        <f t="shared" si="279"/>
        <v>0</v>
      </c>
      <c r="DY240" s="2172">
        <f t="shared" si="279"/>
        <v>0</v>
      </c>
      <c r="DZ240" s="2172">
        <f t="shared" si="279"/>
        <v>0</v>
      </c>
      <c r="EA240" s="2172">
        <f t="shared" si="279"/>
        <v>0</v>
      </c>
      <c r="EB240" s="2172">
        <f t="shared" si="279"/>
        <v>0</v>
      </c>
      <c r="EC240" s="2172">
        <f t="shared" si="279"/>
        <v>0</v>
      </c>
      <c r="ED240" s="2172">
        <f t="shared" si="279"/>
        <v>0</v>
      </c>
      <c r="EE240" s="2172">
        <f t="shared" si="279"/>
        <v>0</v>
      </c>
      <c r="EF240" s="2172">
        <f t="shared" si="279"/>
        <v>0</v>
      </c>
      <c r="EG240" s="2172">
        <f t="shared" si="279"/>
        <v>0</v>
      </c>
      <c r="EH240" s="2172">
        <f t="shared" si="279"/>
        <v>0</v>
      </c>
      <c r="EI240" s="2171">
        <f t="shared" si="257"/>
        <v>0</v>
      </c>
    </row>
    <row r="241" spans="36:139" ht="15">
      <c r="AJ241" s="2191" t="s">
        <v>74</v>
      </c>
      <c r="AK241" s="2190">
        <f t="shared" ref="AK241:BQ241" si="280">SUM(AK229:AK240)</f>
        <v>0</v>
      </c>
      <c r="AL241" s="2189">
        <f t="shared" si="280"/>
        <v>0</v>
      </c>
      <c r="AM241" s="2189">
        <f t="shared" si="280"/>
        <v>0</v>
      </c>
      <c r="AN241" s="2189">
        <f t="shared" si="280"/>
        <v>0</v>
      </c>
      <c r="AO241" s="2189">
        <f t="shared" si="280"/>
        <v>0</v>
      </c>
      <c r="AP241" s="2189">
        <f t="shared" si="280"/>
        <v>0</v>
      </c>
      <c r="AQ241" s="2189">
        <f t="shared" si="280"/>
        <v>0</v>
      </c>
      <c r="AR241" s="2189">
        <f t="shared" si="280"/>
        <v>0</v>
      </c>
      <c r="AS241" s="2189">
        <f t="shared" si="280"/>
        <v>0</v>
      </c>
      <c r="AT241" s="2189">
        <f t="shared" si="280"/>
        <v>0</v>
      </c>
      <c r="AU241" s="2189">
        <f t="shared" si="280"/>
        <v>0</v>
      </c>
      <c r="AV241" s="2189">
        <f t="shared" si="280"/>
        <v>0</v>
      </c>
      <c r="AW241" s="2189">
        <f t="shared" si="280"/>
        <v>0</v>
      </c>
      <c r="AX241" s="2189">
        <f t="shared" si="280"/>
        <v>0</v>
      </c>
      <c r="AY241" s="2189">
        <f t="shared" si="280"/>
        <v>0</v>
      </c>
      <c r="AZ241" s="2189">
        <f t="shared" si="280"/>
        <v>0</v>
      </c>
      <c r="BA241" s="2189">
        <f t="shared" si="280"/>
        <v>0</v>
      </c>
      <c r="BB241" s="2189">
        <f t="shared" si="280"/>
        <v>0</v>
      </c>
      <c r="BC241" s="2189">
        <f t="shared" si="280"/>
        <v>0</v>
      </c>
      <c r="BD241" s="2189">
        <f t="shared" si="280"/>
        <v>0</v>
      </c>
      <c r="BE241" s="2189">
        <f t="shared" si="280"/>
        <v>0</v>
      </c>
      <c r="BF241" s="2189">
        <f t="shared" si="280"/>
        <v>0</v>
      </c>
      <c r="BG241" s="2189">
        <f t="shared" si="280"/>
        <v>0</v>
      </c>
      <c r="BH241" s="2189">
        <f t="shared" si="280"/>
        <v>0</v>
      </c>
      <c r="BI241" s="2189">
        <f t="shared" si="280"/>
        <v>0</v>
      </c>
      <c r="BJ241" s="2189">
        <f t="shared" si="280"/>
        <v>0</v>
      </c>
      <c r="BK241" s="2189">
        <f t="shared" si="280"/>
        <v>0</v>
      </c>
      <c r="BL241" s="2189">
        <f t="shared" si="280"/>
        <v>0</v>
      </c>
      <c r="BM241" s="2189">
        <f t="shared" si="280"/>
        <v>0</v>
      </c>
      <c r="BN241" s="2189">
        <f t="shared" si="280"/>
        <v>0</v>
      </c>
      <c r="BO241" s="2189">
        <f t="shared" si="280"/>
        <v>0</v>
      </c>
      <c r="BP241" s="2189">
        <f t="shared" si="280"/>
        <v>0</v>
      </c>
      <c r="BQ241" s="2188">
        <f t="shared" si="280"/>
        <v>0</v>
      </c>
      <c r="DB241" s="2174" t="s">
        <v>74</v>
      </c>
      <c r="DC241" s="2173">
        <f>SUM(DC229:DC240)</f>
        <v>1.77</v>
      </c>
      <c r="DD241" s="2171">
        <f t="shared" ref="DD241:EH241" si="281">+(DD49+DD65+DD81+DD97+DD113+DD129+DD145+DD161+DD177+DD193+DD209+DD225)</f>
        <v>0</v>
      </c>
      <c r="DE241" s="2171">
        <f t="shared" si="281"/>
        <v>0</v>
      </c>
      <c r="DF241" s="2171">
        <f t="shared" si="281"/>
        <v>0</v>
      </c>
      <c r="DG241" s="2171">
        <f t="shared" si="281"/>
        <v>0</v>
      </c>
      <c r="DH241" s="2171">
        <f t="shared" si="281"/>
        <v>0</v>
      </c>
      <c r="DI241" s="2171">
        <f t="shared" si="281"/>
        <v>0</v>
      </c>
      <c r="DJ241" s="2171">
        <f t="shared" si="281"/>
        <v>0</v>
      </c>
      <c r="DK241" s="2171">
        <f t="shared" si="281"/>
        <v>0</v>
      </c>
      <c r="DL241" s="2171">
        <f t="shared" si="281"/>
        <v>7.08</v>
      </c>
      <c r="DM241" s="2171">
        <f t="shared" si="281"/>
        <v>0</v>
      </c>
      <c r="DN241" s="2171">
        <f t="shared" si="281"/>
        <v>0</v>
      </c>
      <c r="DO241" s="2171">
        <f t="shared" si="281"/>
        <v>0</v>
      </c>
      <c r="DP241" s="2171">
        <f t="shared" si="281"/>
        <v>0</v>
      </c>
      <c r="DQ241" s="2171">
        <f t="shared" si="281"/>
        <v>0</v>
      </c>
      <c r="DR241" s="2171">
        <f t="shared" si="281"/>
        <v>0</v>
      </c>
      <c r="DS241" s="2171">
        <f t="shared" si="281"/>
        <v>0</v>
      </c>
      <c r="DT241" s="2171">
        <f t="shared" si="281"/>
        <v>0</v>
      </c>
      <c r="DU241" s="2171">
        <f t="shared" si="281"/>
        <v>0</v>
      </c>
      <c r="DV241" s="2171">
        <f t="shared" si="281"/>
        <v>0</v>
      </c>
      <c r="DW241" s="2171">
        <f t="shared" si="281"/>
        <v>0</v>
      </c>
      <c r="DX241" s="2171">
        <f t="shared" si="281"/>
        <v>0</v>
      </c>
      <c r="DY241" s="2171">
        <f t="shared" si="281"/>
        <v>0</v>
      </c>
      <c r="DZ241" s="2171">
        <f t="shared" si="281"/>
        <v>0</v>
      </c>
      <c r="EA241" s="2171">
        <f t="shared" si="281"/>
        <v>0</v>
      </c>
      <c r="EB241" s="2171">
        <f t="shared" si="281"/>
        <v>0</v>
      </c>
      <c r="EC241" s="2171">
        <f t="shared" si="281"/>
        <v>0</v>
      </c>
      <c r="ED241" s="2171">
        <f t="shared" si="281"/>
        <v>0</v>
      </c>
      <c r="EE241" s="2171">
        <f t="shared" si="281"/>
        <v>0</v>
      </c>
      <c r="EF241" s="2171">
        <f t="shared" si="281"/>
        <v>0</v>
      </c>
      <c r="EG241" s="2171">
        <f t="shared" si="281"/>
        <v>0</v>
      </c>
      <c r="EH241" s="2171">
        <f t="shared" si="281"/>
        <v>0</v>
      </c>
      <c r="EI241" s="2171">
        <f>SUM(EI229:EI240)</f>
        <v>1.77</v>
      </c>
    </row>
    <row r="243" spans="36:139" ht="15">
      <c r="AJ243" s="3585" t="s">
        <v>631</v>
      </c>
      <c r="AK243" s="3586"/>
      <c r="AL243" s="3587"/>
      <c r="AM243" s="2193"/>
      <c r="AN243" s="2193"/>
      <c r="AO243" s="2193"/>
      <c r="AP243" s="2193"/>
      <c r="AQ243" s="2193"/>
      <c r="AR243" s="2193"/>
      <c r="AS243" s="2193"/>
      <c r="AT243" s="2193"/>
      <c r="AU243" s="2193"/>
      <c r="AV243" s="2194"/>
      <c r="AW243" s="2193"/>
      <c r="AX243" s="2193"/>
      <c r="AY243" s="2193"/>
      <c r="AZ243" s="2193"/>
      <c r="BA243" s="2193"/>
      <c r="BB243" s="2193"/>
      <c r="BC243" s="2193"/>
      <c r="BD243" s="2193"/>
      <c r="BE243" s="2193"/>
      <c r="BF243" s="2193"/>
      <c r="BG243" s="2193"/>
      <c r="BH243" s="2193"/>
      <c r="BI243" s="2193"/>
      <c r="BJ243" s="2193"/>
      <c r="BK243" s="2193"/>
      <c r="BL243" s="2193"/>
      <c r="BM243" s="2193"/>
      <c r="BN243" s="2193"/>
      <c r="BO243" s="2193"/>
      <c r="BP243" s="2193"/>
      <c r="BQ243" s="2193"/>
    </row>
    <row r="244" spans="36:139" ht="15">
      <c r="AJ244" s="1746" t="s">
        <v>72</v>
      </c>
      <c r="AK244" s="1746" t="s">
        <v>73</v>
      </c>
      <c r="AL244" s="1746">
        <v>1</v>
      </c>
      <c r="AM244" s="1746">
        <v>2</v>
      </c>
      <c r="AN244" s="1746">
        <v>3</v>
      </c>
      <c r="AO244" s="1746">
        <v>4</v>
      </c>
      <c r="AP244" s="1746">
        <v>5</v>
      </c>
      <c r="AQ244" s="1746">
        <v>6</v>
      </c>
      <c r="AR244" s="1746">
        <v>7</v>
      </c>
      <c r="AS244" s="1746">
        <v>8</v>
      </c>
      <c r="AT244" s="1746">
        <v>9</v>
      </c>
      <c r="AU244" s="1746">
        <v>10</v>
      </c>
      <c r="AV244" s="1746">
        <v>11</v>
      </c>
      <c r="AW244" s="1746">
        <v>12</v>
      </c>
      <c r="AX244" s="1746">
        <v>13</v>
      </c>
      <c r="AY244" s="1746">
        <v>14</v>
      </c>
      <c r="AZ244" s="1746">
        <v>15</v>
      </c>
      <c r="BA244" s="1746">
        <v>16</v>
      </c>
      <c r="BB244" s="1746">
        <v>17</v>
      </c>
      <c r="BC244" s="1746">
        <v>18</v>
      </c>
      <c r="BD244" s="1746">
        <v>19</v>
      </c>
      <c r="BE244" s="1746">
        <v>20</v>
      </c>
      <c r="BF244" s="1746">
        <v>21</v>
      </c>
      <c r="BG244" s="1746">
        <v>22</v>
      </c>
      <c r="BH244" s="1746">
        <v>23</v>
      </c>
      <c r="BI244" s="1746">
        <v>24</v>
      </c>
      <c r="BJ244" s="1746">
        <v>25</v>
      </c>
      <c r="BK244" s="1746">
        <v>26</v>
      </c>
      <c r="BL244" s="1746">
        <v>27</v>
      </c>
      <c r="BM244" s="1746">
        <v>28</v>
      </c>
      <c r="BN244" s="1746">
        <v>29</v>
      </c>
      <c r="BO244" s="1746">
        <v>30</v>
      </c>
      <c r="BP244" s="1746">
        <v>31</v>
      </c>
      <c r="BQ244" s="2192" t="s">
        <v>74</v>
      </c>
    </row>
    <row r="245" spans="36:139" ht="15">
      <c r="AJ245" s="1746" t="s">
        <v>75</v>
      </c>
      <c r="AK245" s="1749">
        <f t="shared" ref="AK245:AK256" si="282">+BQ245</f>
        <v>0</v>
      </c>
      <c r="AL245" s="2189">
        <f t="shared" ref="AL245:BP245" si="283">+(AL85+AL101+AL117+AL133+AL149+AL165+AL181)</f>
        <v>0</v>
      </c>
      <c r="AM245" s="2189">
        <f t="shared" si="283"/>
        <v>0</v>
      </c>
      <c r="AN245" s="2189">
        <f t="shared" si="283"/>
        <v>0</v>
      </c>
      <c r="AO245" s="2189">
        <f t="shared" si="283"/>
        <v>0</v>
      </c>
      <c r="AP245" s="2189">
        <f t="shared" si="283"/>
        <v>0</v>
      </c>
      <c r="AQ245" s="2189">
        <f t="shared" si="283"/>
        <v>0</v>
      </c>
      <c r="AR245" s="2189">
        <f t="shared" si="283"/>
        <v>0</v>
      </c>
      <c r="AS245" s="2189">
        <f t="shared" si="283"/>
        <v>0</v>
      </c>
      <c r="AT245" s="2189">
        <f t="shared" si="283"/>
        <v>0</v>
      </c>
      <c r="AU245" s="2189">
        <f t="shared" si="283"/>
        <v>0</v>
      </c>
      <c r="AV245" s="2189">
        <f t="shared" si="283"/>
        <v>0</v>
      </c>
      <c r="AW245" s="2189">
        <f t="shared" si="283"/>
        <v>0</v>
      </c>
      <c r="AX245" s="2189">
        <f t="shared" si="283"/>
        <v>0</v>
      </c>
      <c r="AY245" s="2189">
        <f t="shared" si="283"/>
        <v>0</v>
      </c>
      <c r="AZ245" s="2189">
        <f t="shared" si="283"/>
        <v>0</v>
      </c>
      <c r="BA245" s="2189">
        <f t="shared" si="283"/>
        <v>0</v>
      </c>
      <c r="BB245" s="2189">
        <f t="shared" si="283"/>
        <v>0</v>
      </c>
      <c r="BC245" s="2189">
        <f t="shared" si="283"/>
        <v>0</v>
      </c>
      <c r="BD245" s="2189">
        <f t="shared" si="283"/>
        <v>0</v>
      </c>
      <c r="BE245" s="2189">
        <f t="shared" si="283"/>
        <v>0</v>
      </c>
      <c r="BF245" s="2189">
        <f t="shared" si="283"/>
        <v>0</v>
      </c>
      <c r="BG245" s="2189">
        <f t="shared" si="283"/>
        <v>0</v>
      </c>
      <c r="BH245" s="2189">
        <f t="shared" si="283"/>
        <v>0</v>
      </c>
      <c r="BI245" s="2189">
        <f t="shared" si="283"/>
        <v>0</v>
      </c>
      <c r="BJ245" s="2189">
        <f t="shared" si="283"/>
        <v>0</v>
      </c>
      <c r="BK245" s="2189">
        <f t="shared" si="283"/>
        <v>0</v>
      </c>
      <c r="BL245" s="2189">
        <f t="shared" si="283"/>
        <v>0</v>
      </c>
      <c r="BM245" s="2189">
        <f t="shared" si="283"/>
        <v>0</v>
      </c>
      <c r="BN245" s="2189">
        <f t="shared" si="283"/>
        <v>0</v>
      </c>
      <c r="BO245" s="2189">
        <f t="shared" si="283"/>
        <v>0</v>
      </c>
      <c r="BP245" s="2189">
        <f t="shared" si="283"/>
        <v>0</v>
      </c>
      <c r="BQ245" s="2188">
        <f t="shared" ref="BQ245:BQ256" si="284">SUM(AL245:BP245)</f>
        <v>0</v>
      </c>
    </row>
    <row r="246" spans="36:139" ht="15">
      <c r="AJ246" s="1746" t="s">
        <v>76</v>
      </c>
      <c r="AK246" s="1749">
        <f t="shared" si="282"/>
        <v>3.3139999999999996</v>
      </c>
      <c r="AL246" s="2189">
        <f t="shared" ref="AL246:BP246" si="285">+(AL86+AL102+AL118+AL134+AL150+AL166+AL182)</f>
        <v>0</v>
      </c>
      <c r="AM246" s="2189">
        <f t="shared" si="285"/>
        <v>0</v>
      </c>
      <c r="AN246" s="2189">
        <f t="shared" si="285"/>
        <v>0</v>
      </c>
      <c r="AO246" s="2189">
        <f t="shared" si="285"/>
        <v>0</v>
      </c>
      <c r="AP246" s="2189">
        <f t="shared" si="285"/>
        <v>0</v>
      </c>
      <c r="AQ246" s="2189">
        <f t="shared" si="285"/>
        <v>0</v>
      </c>
      <c r="AR246" s="2189">
        <f t="shared" si="285"/>
        <v>0</v>
      </c>
      <c r="AS246" s="2189">
        <f t="shared" si="285"/>
        <v>0</v>
      </c>
      <c r="AT246" s="2189">
        <f t="shared" si="285"/>
        <v>0</v>
      </c>
      <c r="AU246" s="2189">
        <f t="shared" si="285"/>
        <v>0</v>
      </c>
      <c r="AV246" s="2189">
        <f t="shared" si="285"/>
        <v>0</v>
      </c>
      <c r="AW246" s="2189">
        <f t="shared" si="285"/>
        <v>0</v>
      </c>
      <c r="AX246" s="2189">
        <f t="shared" si="285"/>
        <v>0</v>
      </c>
      <c r="AY246" s="2189">
        <f t="shared" si="285"/>
        <v>0</v>
      </c>
      <c r="AZ246" s="2189">
        <f t="shared" si="285"/>
        <v>2.5939999999999999</v>
      </c>
      <c r="BA246" s="2189">
        <f t="shared" si="285"/>
        <v>0</v>
      </c>
      <c r="BB246" s="2189">
        <f t="shared" si="285"/>
        <v>0</v>
      </c>
      <c r="BC246" s="2189">
        <f t="shared" si="285"/>
        <v>0.40899999999999997</v>
      </c>
      <c r="BD246" s="2189">
        <f t="shared" si="285"/>
        <v>0</v>
      </c>
      <c r="BE246" s="2189">
        <f t="shared" si="285"/>
        <v>0</v>
      </c>
      <c r="BF246" s="2189">
        <f t="shared" si="285"/>
        <v>0</v>
      </c>
      <c r="BG246" s="2189">
        <f t="shared" si="285"/>
        <v>0</v>
      </c>
      <c r="BH246" s="2189">
        <f t="shared" si="285"/>
        <v>0.311</v>
      </c>
      <c r="BI246" s="2189">
        <f t="shared" si="285"/>
        <v>0</v>
      </c>
      <c r="BJ246" s="2189">
        <f t="shared" si="285"/>
        <v>0</v>
      </c>
      <c r="BK246" s="2189">
        <f t="shared" si="285"/>
        <v>0</v>
      </c>
      <c r="BL246" s="2189">
        <f t="shared" si="285"/>
        <v>0</v>
      </c>
      <c r="BM246" s="2189">
        <f t="shared" si="285"/>
        <v>0</v>
      </c>
      <c r="BN246" s="2189">
        <f t="shared" si="285"/>
        <v>0</v>
      </c>
      <c r="BO246" s="2189">
        <f t="shared" si="285"/>
        <v>0</v>
      </c>
      <c r="BP246" s="2189">
        <f t="shared" si="285"/>
        <v>0</v>
      </c>
      <c r="BQ246" s="2188">
        <f t="shared" si="284"/>
        <v>3.3139999999999996</v>
      </c>
    </row>
    <row r="247" spans="36:139" ht="15">
      <c r="AJ247" s="1746" t="s">
        <v>77</v>
      </c>
      <c r="AK247" s="1749">
        <f t="shared" si="282"/>
        <v>2.669</v>
      </c>
      <c r="AL247" s="2189">
        <f t="shared" ref="AL247:BP247" si="286">+(AL87+AL103+AL119+AL135+AL151+AL167+AL183)</f>
        <v>0</v>
      </c>
      <c r="AM247" s="2189">
        <f t="shared" si="286"/>
        <v>0</v>
      </c>
      <c r="AN247" s="2189">
        <f t="shared" si="286"/>
        <v>0</v>
      </c>
      <c r="AO247" s="2189">
        <f t="shared" si="286"/>
        <v>0</v>
      </c>
      <c r="AP247" s="2189">
        <f t="shared" si="286"/>
        <v>0</v>
      </c>
      <c r="AQ247" s="2189">
        <f t="shared" si="286"/>
        <v>0</v>
      </c>
      <c r="AR247" s="2189">
        <f t="shared" si="286"/>
        <v>1.4810000000000001</v>
      </c>
      <c r="AS247" s="2189">
        <f t="shared" si="286"/>
        <v>0</v>
      </c>
      <c r="AT247" s="2189">
        <f t="shared" si="286"/>
        <v>0</v>
      </c>
      <c r="AU247" s="2189">
        <f t="shared" si="286"/>
        <v>0</v>
      </c>
      <c r="AV247" s="2189">
        <f t="shared" si="286"/>
        <v>0</v>
      </c>
      <c r="AW247" s="2189">
        <f t="shared" si="286"/>
        <v>0</v>
      </c>
      <c r="AX247" s="2189">
        <f t="shared" si="286"/>
        <v>0</v>
      </c>
      <c r="AY247" s="2189">
        <f t="shared" si="286"/>
        <v>0</v>
      </c>
      <c r="AZ247" s="2189">
        <f t="shared" si="286"/>
        <v>0</v>
      </c>
      <c r="BA247" s="2189">
        <f t="shared" si="286"/>
        <v>0</v>
      </c>
      <c r="BB247" s="2189">
        <f t="shared" si="286"/>
        <v>0</v>
      </c>
      <c r="BC247" s="2189">
        <f t="shared" si="286"/>
        <v>0</v>
      </c>
      <c r="BD247" s="2189">
        <f t="shared" si="286"/>
        <v>0</v>
      </c>
      <c r="BE247" s="2189">
        <f t="shared" si="286"/>
        <v>0</v>
      </c>
      <c r="BF247" s="2189">
        <f t="shared" si="286"/>
        <v>1.1879999999999999</v>
      </c>
      <c r="BG247" s="2189">
        <f t="shared" si="286"/>
        <v>0</v>
      </c>
      <c r="BH247" s="2189">
        <f t="shared" si="286"/>
        <v>0</v>
      </c>
      <c r="BI247" s="2189">
        <f t="shared" si="286"/>
        <v>0</v>
      </c>
      <c r="BJ247" s="2189">
        <f t="shared" si="286"/>
        <v>0</v>
      </c>
      <c r="BK247" s="2189">
        <f t="shared" si="286"/>
        <v>0</v>
      </c>
      <c r="BL247" s="2189">
        <f t="shared" si="286"/>
        <v>0</v>
      </c>
      <c r="BM247" s="2189">
        <f t="shared" si="286"/>
        <v>0</v>
      </c>
      <c r="BN247" s="2189">
        <f t="shared" si="286"/>
        <v>0</v>
      </c>
      <c r="BO247" s="2189">
        <f t="shared" si="286"/>
        <v>0</v>
      </c>
      <c r="BP247" s="2189">
        <f t="shared" si="286"/>
        <v>0</v>
      </c>
      <c r="BQ247" s="2188">
        <f t="shared" si="284"/>
        <v>2.669</v>
      </c>
    </row>
    <row r="248" spans="36:139" ht="15">
      <c r="AJ248" s="1746" t="s">
        <v>78</v>
      </c>
      <c r="AK248" s="1749">
        <f t="shared" si="282"/>
        <v>0</v>
      </c>
      <c r="AL248" s="2189">
        <f t="shared" ref="AL248:BP248" si="287">+(AL88+AL104+AL120+AL136+AL152+AL168+AL184)</f>
        <v>0</v>
      </c>
      <c r="AM248" s="2189">
        <f t="shared" si="287"/>
        <v>0</v>
      </c>
      <c r="AN248" s="2189">
        <f t="shared" si="287"/>
        <v>0</v>
      </c>
      <c r="AO248" s="2189">
        <f t="shared" si="287"/>
        <v>0</v>
      </c>
      <c r="AP248" s="2189">
        <f t="shared" si="287"/>
        <v>0</v>
      </c>
      <c r="AQ248" s="2189">
        <f t="shared" si="287"/>
        <v>0</v>
      </c>
      <c r="AR248" s="2189">
        <f t="shared" si="287"/>
        <v>0</v>
      </c>
      <c r="AS248" s="2189">
        <f t="shared" si="287"/>
        <v>0</v>
      </c>
      <c r="AT248" s="2189">
        <f t="shared" si="287"/>
        <v>0</v>
      </c>
      <c r="AU248" s="2189">
        <f t="shared" si="287"/>
        <v>0</v>
      </c>
      <c r="AV248" s="2189">
        <f t="shared" si="287"/>
        <v>0</v>
      </c>
      <c r="AW248" s="2189">
        <f t="shared" si="287"/>
        <v>0</v>
      </c>
      <c r="AX248" s="2189">
        <f t="shared" si="287"/>
        <v>0</v>
      </c>
      <c r="AY248" s="2189">
        <f t="shared" si="287"/>
        <v>0</v>
      </c>
      <c r="AZ248" s="2189">
        <f t="shared" si="287"/>
        <v>0</v>
      </c>
      <c r="BA248" s="2189">
        <f t="shared" si="287"/>
        <v>0</v>
      </c>
      <c r="BB248" s="2189">
        <f t="shared" si="287"/>
        <v>0</v>
      </c>
      <c r="BC248" s="2189">
        <f t="shared" si="287"/>
        <v>0</v>
      </c>
      <c r="BD248" s="2189">
        <f t="shared" si="287"/>
        <v>0</v>
      </c>
      <c r="BE248" s="2189">
        <f t="shared" si="287"/>
        <v>0</v>
      </c>
      <c r="BF248" s="2189">
        <f t="shared" si="287"/>
        <v>0</v>
      </c>
      <c r="BG248" s="2189">
        <f t="shared" si="287"/>
        <v>0</v>
      </c>
      <c r="BH248" s="2189">
        <f t="shared" si="287"/>
        <v>0</v>
      </c>
      <c r="BI248" s="2189">
        <f t="shared" si="287"/>
        <v>0</v>
      </c>
      <c r="BJ248" s="2189">
        <f t="shared" si="287"/>
        <v>0</v>
      </c>
      <c r="BK248" s="2189">
        <f t="shared" si="287"/>
        <v>0</v>
      </c>
      <c r="BL248" s="2189">
        <f t="shared" si="287"/>
        <v>0</v>
      </c>
      <c r="BM248" s="2189">
        <f t="shared" si="287"/>
        <v>0</v>
      </c>
      <c r="BN248" s="2189">
        <f t="shared" si="287"/>
        <v>0</v>
      </c>
      <c r="BO248" s="2189">
        <f t="shared" si="287"/>
        <v>0</v>
      </c>
      <c r="BP248" s="2189">
        <f t="shared" si="287"/>
        <v>0</v>
      </c>
      <c r="BQ248" s="2188">
        <f t="shared" si="284"/>
        <v>0</v>
      </c>
    </row>
    <row r="249" spans="36:139" ht="15">
      <c r="AJ249" s="1746" t="s">
        <v>79</v>
      </c>
      <c r="AK249" s="1749">
        <f t="shared" si="282"/>
        <v>0</v>
      </c>
      <c r="AL249" s="2189">
        <f t="shared" ref="AL249:BP249" si="288">+(AL89+AL105+AL121+AL137+AL153+AL169+AL185)</f>
        <v>0</v>
      </c>
      <c r="AM249" s="2189">
        <f t="shared" si="288"/>
        <v>0</v>
      </c>
      <c r="AN249" s="2189">
        <f t="shared" si="288"/>
        <v>0</v>
      </c>
      <c r="AO249" s="2189">
        <f t="shared" si="288"/>
        <v>0</v>
      </c>
      <c r="AP249" s="2189">
        <f t="shared" si="288"/>
        <v>0</v>
      </c>
      <c r="AQ249" s="2189">
        <f t="shared" si="288"/>
        <v>0</v>
      </c>
      <c r="AR249" s="2189">
        <f t="shared" si="288"/>
        <v>0</v>
      </c>
      <c r="AS249" s="2189">
        <f t="shared" si="288"/>
        <v>0</v>
      </c>
      <c r="AT249" s="2189">
        <f t="shared" si="288"/>
        <v>0</v>
      </c>
      <c r="AU249" s="2189">
        <f t="shared" si="288"/>
        <v>0</v>
      </c>
      <c r="AV249" s="2189">
        <f t="shared" si="288"/>
        <v>0</v>
      </c>
      <c r="AW249" s="2189">
        <f t="shared" si="288"/>
        <v>0</v>
      </c>
      <c r="AX249" s="2189">
        <f t="shared" si="288"/>
        <v>0</v>
      </c>
      <c r="AY249" s="2189">
        <f t="shared" si="288"/>
        <v>0</v>
      </c>
      <c r="AZ249" s="2189">
        <f t="shared" si="288"/>
        <v>0</v>
      </c>
      <c r="BA249" s="2189">
        <f t="shared" si="288"/>
        <v>0</v>
      </c>
      <c r="BB249" s="2189">
        <f t="shared" si="288"/>
        <v>0</v>
      </c>
      <c r="BC249" s="2189">
        <f t="shared" si="288"/>
        <v>0</v>
      </c>
      <c r="BD249" s="2189">
        <f t="shared" si="288"/>
        <v>0</v>
      </c>
      <c r="BE249" s="2189">
        <f t="shared" si="288"/>
        <v>0</v>
      </c>
      <c r="BF249" s="2189">
        <f t="shared" si="288"/>
        <v>0</v>
      </c>
      <c r="BG249" s="2189">
        <f t="shared" si="288"/>
        <v>0</v>
      </c>
      <c r="BH249" s="2189">
        <f t="shared" si="288"/>
        <v>0</v>
      </c>
      <c r="BI249" s="2189">
        <f t="shared" si="288"/>
        <v>0</v>
      </c>
      <c r="BJ249" s="2189">
        <f t="shared" si="288"/>
        <v>0</v>
      </c>
      <c r="BK249" s="2189">
        <f t="shared" si="288"/>
        <v>0</v>
      </c>
      <c r="BL249" s="2189">
        <f t="shared" si="288"/>
        <v>0</v>
      </c>
      <c r="BM249" s="2189">
        <f t="shared" si="288"/>
        <v>0</v>
      </c>
      <c r="BN249" s="2189">
        <f t="shared" si="288"/>
        <v>0</v>
      </c>
      <c r="BO249" s="2189">
        <f t="shared" si="288"/>
        <v>0</v>
      </c>
      <c r="BP249" s="2189">
        <f t="shared" si="288"/>
        <v>0</v>
      </c>
      <c r="BQ249" s="2188">
        <f t="shared" si="284"/>
        <v>0</v>
      </c>
    </row>
    <row r="250" spans="36:139" ht="15">
      <c r="AJ250" s="1746" t="s">
        <v>80</v>
      </c>
      <c r="AK250" s="1749">
        <f t="shared" si="282"/>
        <v>0</v>
      </c>
      <c r="AL250" s="2189">
        <f t="shared" ref="AL250:BP250" si="289">+(AL90+AL106+AL122+AL138+AL154+AL170+AL186)</f>
        <v>0</v>
      </c>
      <c r="AM250" s="2189">
        <f t="shared" si="289"/>
        <v>0</v>
      </c>
      <c r="AN250" s="2189">
        <f t="shared" si="289"/>
        <v>0</v>
      </c>
      <c r="AO250" s="2189">
        <f t="shared" si="289"/>
        <v>0</v>
      </c>
      <c r="AP250" s="2189">
        <f t="shared" si="289"/>
        <v>0</v>
      </c>
      <c r="AQ250" s="2189">
        <f t="shared" si="289"/>
        <v>0</v>
      </c>
      <c r="AR250" s="2189">
        <f t="shared" si="289"/>
        <v>0</v>
      </c>
      <c r="AS250" s="2189">
        <f t="shared" si="289"/>
        <v>0</v>
      </c>
      <c r="AT250" s="2189">
        <f t="shared" si="289"/>
        <v>0</v>
      </c>
      <c r="AU250" s="2189">
        <f t="shared" si="289"/>
        <v>0</v>
      </c>
      <c r="AV250" s="2189">
        <f t="shared" si="289"/>
        <v>0</v>
      </c>
      <c r="AW250" s="2189">
        <f t="shared" si="289"/>
        <v>0</v>
      </c>
      <c r="AX250" s="2189">
        <f t="shared" si="289"/>
        <v>0</v>
      </c>
      <c r="AY250" s="2189">
        <f t="shared" si="289"/>
        <v>0</v>
      </c>
      <c r="AZ250" s="2189">
        <f t="shared" si="289"/>
        <v>0</v>
      </c>
      <c r="BA250" s="2189">
        <f t="shared" si="289"/>
        <v>0</v>
      </c>
      <c r="BB250" s="2189">
        <f t="shared" si="289"/>
        <v>0</v>
      </c>
      <c r="BC250" s="2189">
        <f t="shared" si="289"/>
        <v>0</v>
      </c>
      <c r="BD250" s="2189">
        <f t="shared" si="289"/>
        <v>0</v>
      </c>
      <c r="BE250" s="2189">
        <f t="shared" si="289"/>
        <v>0</v>
      </c>
      <c r="BF250" s="2189">
        <f t="shared" si="289"/>
        <v>0</v>
      </c>
      <c r="BG250" s="2189">
        <f t="shared" si="289"/>
        <v>0</v>
      </c>
      <c r="BH250" s="2189">
        <f t="shared" si="289"/>
        <v>0</v>
      </c>
      <c r="BI250" s="2189">
        <f t="shared" si="289"/>
        <v>0</v>
      </c>
      <c r="BJ250" s="2189">
        <f t="shared" si="289"/>
        <v>0</v>
      </c>
      <c r="BK250" s="2189">
        <f t="shared" si="289"/>
        <v>0</v>
      </c>
      <c r="BL250" s="2189">
        <f t="shared" si="289"/>
        <v>0</v>
      </c>
      <c r="BM250" s="2189">
        <f t="shared" si="289"/>
        <v>0</v>
      </c>
      <c r="BN250" s="2189">
        <f t="shared" si="289"/>
        <v>0</v>
      </c>
      <c r="BO250" s="2189">
        <f t="shared" si="289"/>
        <v>0</v>
      </c>
      <c r="BP250" s="2189">
        <f t="shared" si="289"/>
        <v>0</v>
      </c>
      <c r="BQ250" s="2188">
        <f t="shared" si="284"/>
        <v>0</v>
      </c>
    </row>
    <row r="251" spans="36:139" ht="15">
      <c r="AJ251" s="1746" t="s">
        <v>81</v>
      </c>
      <c r="AK251" s="1749">
        <f t="shared" si="282"/>
        <v>0</v>
      </c>
      <c r="AL251" s="2189">
        <f t="shared" ref="AL251:BP251" si="290">+(AL91+AL107+AL123+AL139+AL155+AL171+AL187)</f>
        <v>0</v>
      </c>
      <c r="AM251" s="2189">
        <f t="shared" si="290"/>
        <v>0</v>
      </c>
      <c r="AN251" s="2189">
        <f t="shared" si="290"/>
        <v>0</v>
      </c>
      <c r="AO251" s="2189">
        <f t="shared" si="290"/>
        <v>0</v>
      </c>
      <c r="AP251" s="2189">
        <f t="shared" si="290"/>
        <v>0</v>
      </c>
      <c r="AQ251" s="2189">
        <f t="shared" si="290"/>
        <v>0</v>
      </c>
      <c r="AR251" s="2189">
        <f t="shared" si="290"/>
        <v>0</v>
      </c>
      <c r="AS251" s="2189">
        <f t="shared" si="290"/>
        <v>0</v>
      </c>
      <c r="AT251" s="2189">
        <f t="shared" si="290"/>
        <v>0</v>
      </c>
      <c r="AU251" s="2189">
        <f t="shared" si="290"/>
        <v>0</v>
      </c>
      <c r="AV251" s="2189">
        <f t="shared" si="290"/>
        <v>0</v>
      </c>
      <c r="AW251" s="2189">
        <f t="shared" si="290"/>
        <v>0</v>
      </c>
      <c r="AX251" s="2189">
        <f t="shared" si="290"/>
        <v>0</v>
      </c>
      <c r="AY251" s="2189">
        <f t="shared" si="290"/>
        <v>0</v>
      </c>
      <c r="AZ251" s="2189">
        <f t="shared" si="290"/>
        <v>0</v>
      </c>
      <c r="BA251" s="2189">
        <f t="shared" si="290"/>
        <v>0</v>
      </c>
      <c r="BB251" s="2189">
        <f t="shared" si="290"/>
        <v>0</v>
      </c>
      <c r="BC251" s="2189">
        <f t="shared" si="290"/>
        <v>0</v>
      </c>
      <c r="BD251" s="2189">
        <f t="shared" si="290"/>
        <v>0</v>
      </c>
      <c r="BE251" s="2189">
        <f t="shared" si="290"/>
        <v>0</v>
      </c>
      <c r="BF251" s="2189">
        <f t="shared" si="290"/>
        <v>0</v>
      </c>
      <c r="BG251" s="2189">
        <f t="shared" si="290"/>
        <v>0</v>
      </c>
      <c r="BH251" s="2189">
        <f t="shared" si="290"/>
        <v>0</v>
      </c>
      <c r="BI251" s="2189">
        <f t="shared" si="290"/>
        <v>0</v>
      </c>
      <c r="BJ251" s="2189">
        <f t="shared" si="290"/>
        <v>0</v>
      </c>
      <c r="BK251" s="2189">
        <f t="shared" si="290"/>
        <v>0</v>
      </c>
      <c r="BL251" s="2189">
        <f t="shared" si="290"/>
        <v>0</v>
      </c>
      <c r="BM251" s="2189">
        <f t="shared" si="290"/>
        <v>0</v>
      </c>
      <c r="BN251" s="2189">
        <f t="shared" si="290"/>
        <v>0</v>
      </c>
      <c r="BO251" s="2189">
        <f t="shared" si="290"/>
        <v>0</v>
      </c>
      <c r="BP251" s="2189">
        <f t="shared" si="290"/>
        <v>0</v>
      </c>
      <c r="BQ251" s="2188">
        <f t="shared" si="284"/>
        <v>0</v>
      </c>
    </row>
    <row r="252" spans="36:139" ht="15">
      <c r="AJ252" s="1746" t="s">
        <v>82</v>
      </c>
      <c r="AK252" s="1749">
        <f t="shared" si="282"/>
        <v>0</v>
      </c>
      <c r="AL252" s="2189">
        <f t="shared" ref="AL252:BP252" si="291">+(AL92+AL108+AL124+AL140+AL156+AL172+AL188)</f>
        <v>0</v>
      </c>
      <c r="AM252" s="2189">
        <f t="shared" si="291"/>
        <v>0</v>
      </c>
      <c r="AN252" s="2189">
        <f t="shared" si="291"/>
        <v>0</v>
      </c>
      <c r="AO252" s="2189">
        <f t="shared" si="291"/>
        <v>0</v>
      </c>
      <c r="AP252" s="2189">
        <f t="shared" si="291"/>
        <v>0</v>
      </c>
      <c r="AQ252" s="2189">
        <f t="shared" si="291"/>
        <v>0</v>
      </c>
      <c r="AR252" s="2189">
        <f t="shared" si="291"/>
        <v>0</v>
      </c>
      <c r="AS252" s="2189">
        <f t="shared" si="291"/>
        <v>0</v>
      </c>
      <c r="AT252" s="2189">
        <f t="shared" si="291"/>
        <v>0</v>
      </c>
      <c r="AU252" s="2189">
        <f t="shared" si="291"/>
        <v>0</v>
      </c>
      <c r="AV252" s="2189">
        <f t="shared" si="291"/>
        <v>0</v>
      </c>
      <c r="AW252" s="2189">
        <f t="shared" si="291"/>
        <v>0</v>
      </c>
      <c r="AX252" s="2189">
        <f t="shared" si="291"/>
        <v>0</v>
      </c>
      <c r="AY252" s="2189">
        <f t="shared" si="291"/>
        <v>0</v>
      </c>
      <c r="AZ252" s="2189">
        <f t="shared" si="291"/>
        <v>0</v>
      </c>
      <c r="BA252" s="2189">
        <f t="shared" si="291"/>
        <v>0</v>
      </c>
      <c r="BB252" s="2189">
        <f t="shared" si="291"/>
        <v>0</v>
      </c>
      <c r="BC252" s="2189">
        <f t="shared" si="291"/>
        <v>0</v>
      </c>
      <c r="BD252" s="2189">
        <f t="shared" si="291"/>
        <v>0</v>
      </c>
      <c r="BE252" s="2189">
        <f t="shared" si="291"/>
        <v>0</v>
      </c>
      <c r="BF252" s="2189">
        <f t="shared" si="291"/>
        <v>0</v>
      </c>
      <c r="BG252" s="2189">
        <f t="shared" si="291"/>
        <v>0</v>
      </c>
      <c r="BH252" s="2189">
        <f t="shared" si="291"/>
        <v>0</v>
      </c>
      <c r="BI252" s="2189">
        <f t="shared" si="291"/>
        <v>0</v>
      </c>
      <c r="BJ252" s="2189">
        <f t="shared" si="291"/>
        <v>0</v>
      </c>
      <c r="BK252" s="2189">
        <f t="shared" si="291"/>
        <v>0</v>
      </c>
      <c r="BL252" s="2189">
        <f t="shared" si="291"/>
        <v>0</v>
      </c>
      <c r="BM252" s="2189">
        <f t="shared" si="291"/>
        <v>0</v>
      </c>
      <c r="BN252" s="2189">
        <f t="shared" si="291"/>
        <v>0</v>
      </c>
      <c r="BO252" s="2189">
        <f t="shared" si="291"/>
        <v>0</v>
      </c>
      <c r="BP252" s="2189">
        <f t="shared" si="291"/>
        <v>0</v>
      </c>
      <c r="BQ252" s="2188">
        <f t="shared" si="284"/>
        <v>0</v>
      </c>
    </row>
    <row r="253" spans="36:139" ht="15">
      <c r="AJ253" s="1746" t="s">
        <v>83</v>
      </c>
      <c r="AK253" s="1749">
        <f t="shared" si="282"/>
        <v>1.954</v>
      </c>
      <c r="AL253" s="2189">
        <f t="shared" ref="AL253:BP253" si="292">+(AL93+AL109+AL125+AL141+AL157+AL173+AL189)</f>
        <v>0</v>
      </c>
      <c r="AM253" s="2189">
        <f t="shared" si="292"/>
        <v>0</v>
      </c>
      <c r="AN253" s="2189">
        <f t="shared" si="292"/>
        <v>0</v>
      </c>
      <c r="AO253" s="2189">
        <f t="shared" si="292"/>
        <v>0</v>
      </c>
      <c r="AP253" s="2189">
        <f t="shared" si="292"/>
        <v>0</v>
      </c>
      <c r="AQ253" s="2189">
        <f t="shared" si="292"/>
        <v>0.47499999999999998</v>
      </c>
      <c r="AR253" s="2189">
        <f t="shared" si="292"/>
        <v>0</v>
      </c>
      <c r="AS253" s="2189">
        <f t="shared" si="292"/>
        <v>0</v>
      </c>
      <c r="AT253" s="2189">
        <f t="shared" si="292"/>
        <v>0</v>
      </c>
      <c r="AU253" s="2189">
        <f t="shared" si="292"/>
        <v>0</v>
      </c>
      <c r="AV253" s="2189">
        <f t="shared" si="292"/>
        <v>0.39</v>
      </c>
      <c r="AW253" s="2189">
        <f t="shared" si="292"/>
        <v>0</v>
      </c>
      <c r="AX253" s="2189">
        <f t="shared" si="292"/>
        <v>0.52</v>
      </c>
      <c r="AY253" s="2189">
        <f t="shared" si="292"/>
        <v>0.56899999999999995</v>
      </c>
      <c r="AZ253" s="2189">
        <f t="shared" si="292"/>
        <v>0</v>
      </c>
      <c r="BA253" s="2189">
        <f t="shared" si="292"/>
        <v>0</v>
      </c>
      <c r="BB253" s="2189">
        <f t="shared" si="292"/>
        <v>0</v>
      </c>
      <c r="BC253" s="2189">
        <f t="shared" si="292"/>
        <v>0</v>
      </c>
      <c r="BD253" s="2189">
        <f t="shared" si="292"/>
        <v>0</v>
      </c>
      <c r="BE253" s="2189">
        <f t="shared" si="292"/>
        <v>0</v>
      </c>
      <c r="BF253" s="2189">
        <f t="shared" si="292"/>
        <v>0</v>
      </c>
      <c r="BG253" s="2189">
        <f t="shared" si="292"/>
        <v>0</v>
      </c>
      <c r="BH253" s="2189">
        <f t="shared" si="292"/>
        <v>0</v>
      </c>
      <c r="BI253" s="2189">
        <f t="shared" si="292"/>
        <v>0</v>
      </c>
      <c r="BJ253" s="2189">
        <f t="shared" si="292"/>
        <v>0</v>
      </c>
      <c r="BK253" s="2189">
        <f t="shared" si="292"/>
        <v>0</v>
      </c>
      <c r="BL253" s="2189">
        <f t="shared" si="292"/>
        <v>0</v>
      </c>
      <c r="BM253" s="2189">
        <f t="shared" si="292"/>
        <v>0</v>
      </c>
      <c r="BN253" s="2189">
        <f t="shared" si="292"/>
        <v>0</v>
      </c>
      <c r="BO253" s="2189">
        <f t="shared" si="292"/>
        <v>0</v>
      </c>
      <c r="BP253" s="2189">
        <f t="shared" si="292"/>
        <v>0</v>
      </c>
      <c r="BQ253" s="2188">
        <f t="shared" si="284"/>
        <v>1.954</v>
      </c>
    </row>
    <row r="254" spans="36:139" ht="15">
      <c r="AJ254" s="1746" t="s">
        <v>84</v>
      </c>
      <c r="AK254" s="1749">
        <f t="shared" si="282"/>
        <v>0.45</v>
      </c>
      <c r="AL254" s="2189">
        <f t="shared" ref="AL254:BP254" si="293">+(AL94+AL110+AL126+AL142+AL158+AL174+AL190)</f>
        <v>0</v>
      </c>
      <c r="AM254" s="2189">
        <f t="shared" si="293"/>
        <v>0</v>
      </c>
      <c r="AN254" s="2189">
        <f t="shared" si="293"/>
        <v>0</v>
      </c>
      <c r="AO254" s="2189">
        <f t="shared" si="293"/>
        <v>0</v>
      </c>
      <c r="AP254" s="2189">
        <f t="shared" si="293"/>
        <v>0</v>
      </c>
      <c r="AQ254" s="2189">
        <f t="shared" si="293"/>
        <v>0</v>
      </c>
      <c r="AR254" s="2189">
        <f t="shared" si="293"/>
        <v>0</v>
      </c>
      <c r="AS254" s="2189">
        <f t="shared" si="293"/>
        <v>0</v>
      </c>
      <c r="AT254" s="2189">
        <f t="shared" si="293"/>
        <v>0</v>
      </c>
      <c r="AU254" s="2189">
        <f t="shared" si="293"/>
        <v>0</v>
      </c>
      <c r="AV254" s="2189">
        <f t="shared" si="293"/>
        <v>0</v>
      </c>
      <c r="AW254" s="2189">
        <f t="shared" si="293"/>
        <v>0</v>
      </c>
      <c r="AX254" s="2189">
        <f t="shared" si="293"/>
        <v>0</v>
      </c>
      <c r="AY254" s="2189">
        <f t="shared" si="293"/>
        <v>0</v>
      </c>
      <c r="AZ254" s="2189">
        <f t="shared" si="293"/>
        <v>0</v>
      </c>
      <c r="BA254" s="2189">
        <f t="shared" si="293"/>
        <v>0.45</v>
      </c>
      <c r="BB254" s="2189">
        <f t="shared" si="293"/>
        <v>0</v>
      </c>
      <c r="BC254" s="2189">
        <f t="shared" si="293"/>
        <v>0</v>
      </c>
      <c r="BD254" s="2189">
        <f t="shared" si="293"/>
        <v>0</v>
      </c>
      <c r="BE254" s="2189">
        <f t="shared" si="293"/>
        <v>0</v>
      </c>
      <c r="BF254" s="2189">
        <f t="shared" si="293"/>
        <v>0</v>
      </c>
      <c r="BG254" s="2189">
        <f t="shared" si="293"/>
        <v>0</v>
      </c>
      <c r="BH254" s="2189">
        <f t="shared" si="293"/>
        <v>0</v>
      </c>
      <c r="BI254" s="2189">
        <f t="shared" si="293"/>
        <v>0</v>
      </c>
      <c r="BJ254" s="2189">
        <f t="shared" si="293"/>
        <v>0</v>
      </c>
      <c r="BK254" s="2189">
        <f t="shared" si="293"/>
        <v>0</v>
      </c>
      <c r="BL254" s="2189">
        <f t="shared" si="293"/>
        <v>0</v>
      </c>
      <c r="BM254" s="2189">
        <f t="shared" si="293"/>
        <v>0</v>
      </c>
      <c r="BN254" s="2189">
        <f t="shared" si="293"/>
        <v>0</v>
      </c>
      <c r="BO254" s="2189">
        <f t="shared" si="293"/>
        <v>0</v>
      </c>
      <c r="BP254" s="2189">
        <f t="shared" si="293"/>
        <v>0</v>
      </c>
      <c r="BQ254" s="2188">
        <f t="shared" si="284"/>
        <v>0.45</v>
      </c>
    </row>
    <row r="255" spans="36:139" ht="15">
      <c r="AJ255" s="1746" t="s">
        <v>85</v>
      </c>
      <c r="AK255" s="1749">
        <f t="shared" si="282"/>
        <v>2.2750000000000004</v>
      </c>
      <c r="AL255" s="2189">
        <f t="shared" ref="AL255:BP255" si="294">+(AL95+AL111+AL127+AL143+AL159+AL175+AL191)</f>
        <v>0</v>
      </c>
      <c r="AM255" s="2189">
        <f t="shared" si="294"/>
        <v>0</v>
      </c>
      <c r="AN255" s="2189">
        <f t="shared" si="294"/>
        <v>0</v>
      </c>
      <c r="AO255" s="2189">
        <f t="shared" si="294"/>
        <v>0</v>
      </c>
      <c r="AP255" s="2189">
        <f t="shared" si="294"/>
        <v>0</v>
      </c>
      <c r="AQ255" s="2189">
        <f t="shared" si="294"/>
        <v>0</v>
      </c>
      <c r="AR255" s="2189">
        <f t="shared" si="294"/>
        <v>0</v>
      </c>
      <c r="AS255" s="2189">
        <f t="shared" si="294"/>
        <v>0</v>
      </c>
      <c r="AT255" s="2189">
        <f t="shared" si="294"/>
        <v>0</v>
      </c>
      <c r="AU255" s="2189">
        <f t="shared" si="294"/>
        <v>0</v>
      </c>
      <c r="AV255" s="2189">
        <f t="shared" si="294"/>
        <v>0</v>
      </c>
      <c r="AW255" s="2189">
        <f t="shared" si="294"/>
        <v>0</v>
      </c>
      <c r="AX255" s="2189">
        <f t="shared" si="294"/>
        <v>0</v>
      </c>
      <c r="AY255" s="2189">
        <f t="shared" si="294"/>
        <v>0</v>
      </c>
      <c r="AZ255" s="2189">
        <f t="shared" si="294"/>
        <v>0</v>
      </c>
      <c r="BA255" s="2189">
        <f t="shared" si="294"/>
        <v>0</v>
      </c>
      <c r="BB255" s="2189">
        <f t="shared" si="294"/>
        <v>0</v>
      </c>
      <c r="BC255" s="2189">
        <f t="shared" si="294"/>
        <v>0</v>
      </c>
      <c r="BD255" s="2189">
        <f t="shared" si="294"/>
        <v>0</v>
      </c>
      <c r="BE255" s="2189">
        <f t="shared" si="294"/>
        <v>0</v>
      </c>
      <c r="BF255" s="2189">
        <f t="shared" si="294"/>
        <v>0</v>
      </c>
      <c r="BG255" s="2189">
        <f t="shared" si="294"/>
        <v>0.55200000000000005</v>
      </c>
      <c r="BH255" s="2189">
        <f t="shared" si="294"/>
        <v>0</v>
      </c>
      <c r="BI255" s="2189">
        <f t="shared" si="294"/>
        <v>0</v>
      </c>
      <c r="BJ255" s="2189">
        <f t="shared" si="294"/>
        <v>0</v>
      </c>
      <c r="BK255" s="2189">
        <f t="shared" si="294"/>
        <v>0</v>
      </c>
      <c r="BL255" s="2189">
        <f t="shared" si="294"/>
        <v>0</v>
      </c>
      <c r="BM255" s="2189">
        <f t="shared" si="294"/>
        <v>0</v>
      </c>
      <c r="BN255" s="2189">
        <f t="shared" si="294"/>
        <v>0</v>
      </c>
      <c r="BO255" s="2189">
        <f t="shared" si="294"/>
        <v>1.7230000000000001</v>
      </c>
      <c r="BP255" s="2189">
        <f t="shared" si="294"/>
        <v>0</v>
      </c>
      <c r="BQ255" s="2188">
        <f t="shared" si="284"/>
        <v>2.2750000000000004</v>
      </c>
    </row>
    <row r="256" spans="36:139" ht="15">
      <c r="AJ256" s="1746" t="s">
        <v>86</v>
      </c>
      <c r="AK256" s="1749">
        <f t="shared" si="282"/>
        <v>15.594000000000001</v>
      </c>
      <c r="AL256" s="2189">
        <f t="shared" ref="AL256:BP256" si="295">+(AL96+AL112+AL128+AL144+AL160+AL176+AL192)</f>
        <v>0</v>
      </c>
      <c r="AM256" s="2189">
        <f t="shared" si="295"/>
        <v>0</v>
      </c>
      <c r="AN256" s="2189">
        <f t="shared" si="295"/>
        <v>5.601</v>
      </c>
      <c r="AO256" s="2189">
        <f t="shared" si="295"/>
        <v>0.247</v>
      </c>
      <c r="AP256" s="2189">
        <f t="shared" si="295"/>
        <v>7.9640000000000004</v>
      </c>
      <c r="AQ256" s="2189">
        <f t="shared" si="295"/>
        <v>0.38400000000000001</v>
      </c>
      <c r="AR256" s="2189">
        <f t="shared" si="295"/>
        <v>0</v>
      </c>
      <c r="AS256" s="2189">
        <f t="shared" si="295"/>
        <v>0</v>
      </c>
      <c r="AT256" s="2189">
        <f t="shared" si="295"/>
        <v>1.3979999999999999</v>
      </c>
      <c r="AU256" s="2189">
        <f t="shared" si="295"/>
        <v>0</v>
      </c>
      <c r="AV256" s="2189">
        <f t="shared" si="295"/>
        <v>0</v>
      </c>
      <c r="AW256" s="2189">
        <f t="shared" si="295"/>
        <v>0</v>
      </c>
      <c r="AX256" s="2189">
        <f t="shared" si="295"/>
        <v>0</v>
      </c>
      <c r="AY256" s="2189">
        <f t="shared" si="295"/>
        <v>0</v>
      </c>
      <c r="AZ256" s="2189">
        <f t="shared" si="295"/>
        <v>0</v>
      </c>
      <c r="BA256" s="2189">
        <f t="shared" si="295"/>
        <v>0</v>
      </c>
      <c r="BB256" s="2189">
        <f t="shared" si="295"/>
        <v>0</v>
      </c>
      <c r="BC256" s="2189">
        <f t="shared" si="295"/>
        <v>0</v>
      </c>
      <c r="BD256" s="2189">
        <f t="shared" si="295"/>
        <v>0</v>
      </c>
      <c r="BE256" s="2189">
        <f t="shared" si="295"/>
        <v>0</v>
      </c>
      <c r="BF256" s="2189">
        <f t="shared" si="295"/>
        <v>0</v>
      </c>
      <c r="BG256" s="2189">
        <f t="shared" si="295"/>
        <v>0</v>
      </c>
      <c r="BH256" s="2189">
        <f t="shared" si="295"/>
        <v>0</v>
      </c>
      <c r="BI256" s="2189">
        <f t="shared" si="295"/>
        <v>0</v>
      </c>
      <c r="BJ256" s="2189">
        <f t="shared" si="295"/>
        <v>0</v>
      </c>
      <c r="BK256" s="2189">
        <f t="shared" si="295"/>
        <v>0</v>
      </c>
      <c r="BL256" s="2189">
        <f t="shared" si="295"/>
        <v>0</v>
      </c>
      <c r="BM256" s="2189">
        <f t="shared" si="295"/>
        <v>0</v>
      </c>
      <c r="BN256" s="2189">
        <f t="shared" si="295"/>
        <v>0</v>
      </c>
      <c r="BO256" s="2189">
        <f t="shared" si="295"/>
        <v>0</v>
      </c>
      <c r="BP256" s="2189">
        <f t="shared" si="295"/>
        <v>0</v>
      </c>
      <c r="BQ256" s="2188">
        <f t="shared" si="284"/>
        <v>15.594000000000001</v>
      </c>
    </row>
    <row r="257" spans="36:69" ht="15">
      <c r="AJ257" s="2191" t="s">
        <v>74</v>
      </c>
      <c r="AK257" s="2190">
        <f t="shared" ref="AK257:BQ257" si="296">SUM(AK245:AK256)</f>
        <v>26.256</v>
      </c>
      <c r="AL257" s="2189">
        <f t="shared" si="296"/>
        <v>0</v>
      </c>
      <c r="AM257" s="2189">
        <f t="shared" si="296"/>
        <v>0</v>
      </c>
      <c r="AN257" s="2189">
        <f t="shared" si="296"/>
        <v>5.601</v>
      </c>
      <c r="AO257" s="2189">
        <f t="shared" si="296"/>
        <v>0.247</v>
      </c>
      <c r="AP257" s="2189">
        <f t="shared" si="296"/>
        <v>7.9640000000000004</v>
      </c>
      <c r="AQ257" s="2189">
        <f t="shared" si="296"/>
        <v>0.85899999999999999</v>
      </c>
      <c r="AR257" s="2189">
        <f t="shared" si="296"/>
        <v>1.4810000000000001</v>
      </c>
      <c r="AS257" s="2189">
        <f t="shared" si="296"/>
        <v>0</v>
      </c>
      <c r="AT257" s="2189">
        <f t="shared" si="296"/>
        <v>1.3979999999999999</v>
      </c>
      <c r="AU257" s="2189">
        <f t="shared" si="296"/>
        <v>0</v>
      </c>
      <c r="AV257" s="2189">
        <f t="shared" si="296"/>
        <v>0.39</v>
      </c>
      <c r="AW257" s="2189">
        <f t="shared" si="296"/>
        <v>0</v>
      </c>
      <c r="AX257" s="2189">
        <f t="shared" si="296"/>
        <v>0.52</v>
      </c>
      <c r="AY257" s="2189">
        <f t="shared" si="296"/>
        <v>0.56899999999999995</v>
      </c>
      <c r="AZ257" s="2189">
        <f t="shared" si="296"/>
        <v>2.5939999999999999</v>
      </c>
      <c r="BA257" s="2189">
        <f t="shared" si="296"/>
        <v>0.45</v>
      </c>
      <c r="BB257" s="2189">
        <f t="shared" si="296"/>
        <v>0</v>
      </c>
      <c r="BC257" s="2189">
        <f t="shared" si="296"/>
        <v>0.40899999999999997</v>
      </c>
      <c r="BD257" s="2189">
        <f t="shared" si="296"/>
        <v>0</v>
      </c>
      <c r="BE257" s="2189">
        <f t="shared" si="296"/>
        <v>0</v>
      </c>
      <c r="BF257" s="2189">
        <f t="shared" si="296"/>
        <v>1.1879999999999999</v>
      </c>
      <c r="BG257" s="2189">
        <f t="shared" si="296"/>
        <v>0.55200000000000005</v>
      </c>
      <c r="BH257" s="2189">
        <f t="shared" si="296"/>
        <v>0.311</v>
      </c>
      <c r="BI257" s="2189">
        <f t="shared" si="296"/>
        <v>0</v>
      </c>
      <c r="BJ257" s="2189">
        <f t="shared" si="296"/>
        <v>0</v>
      </c>
      <c r="BK257" s="2189">
        <f t="shared" si="296"/>
        <v>0</v>
      </c>
      <c r="BL257" s="2189">
        <f t="shared" si="296"/>
        <v>0</v>
      </c>
      <c r="BM257" s="2189">
        <f t="shared" si="296"/>
        <v>0</v>
      </c>
      <c r="BN257" s="2189">
        <f t="shared" si="296"/>
        <v>0</v>
      </c>
      <c r="BO257" s="2189">
        <f t="shared" si="296"/>
        <v>1.7230000000000001</v>
      </c>
      <c r="BP257" s="2189">
        <f t="shared" si="296"/>
        <v>0</v>
      </c>
      <c r="BQ257" s="2188">
        <f t="shared" si="296"/>
        <v>26.256</v>
      </c>
    </row>
  </sheetData>
  <mergeCells count="64">
    <mergeCell ref="A3:C3"/>
    <mergeCell ref="A19:C19"/>
    <mergeCell ref="A1:T1"/>
    <mergeCell ref="A35:C35"/>
    <mergeCell ref="AJ115:AL115"/>
    <mergeCell ref="A147:C147"/>
    <mergeCell ref="AJ1:BC1"/>
    <mergeCell ref="AJ3:AL3"/>
    <mergeCell ref="AJ19:AL19"/>
    <mergeCell ref="AJ35:AL35"/>
    <mergeCell ref="AJ51:AL51"/>
    <mergeCell ref="AJ67:AL67"/>
    <mergeCell ref="AJ83:AL83"/>
    <mergeCell ref="AJ99:AL99"/>
    <mergeCell ref="AJ131:AL131"/>
    <mergeCell ref="A99:C99"/>
    <mergeCell ref="A115:C115"/>
    <mergeCell ref="A131:C131"/>
    <mergeCell ref="A51:C51"/>
    <mergeCell ref="A67:C67"/>
    <mergeCell ref="A83:C83"/>
    <mergeCell ref="DB1:DU1"/>
    <mergeCell ref="DB3:DD3"/>
    <mergeCell ref="DB19:DD19"/>
    <mergeCell ref="DB131:DD131"/>
    <mergeCell ref="BS1:CL1"/>
    <mergeCell ref="BS3:BU3"/>
    <mergeCell ref="BS19:BU19"/>
    <mergeCell ref="BS131:BU131"/>
    <mergeCell ref="BS35:BU35"/>
    <mergeCell ref="BS51:BU51"/>
    <mergeCell ref="BS67:BU67"/>
    <mergeCell ref="BS83:BU83"/>
    <mergeCell ref="BS99:BU99"/>
    <mergeCell ref="BS115:BU115"/>
    <mergeCell ref="EK1:FD1"/>
    <mergeCell ref="A195:C195"/>
    <mergeCell ref="AJ195:AL195"/>
    <mergeCell ref="BS195:BU195"/>
    <mergeCell ref="DB195:DD195"/>
    <mergeCell ref="A163:C163"/>
    <mergeCell ref="AJ163:AL163"/>
    <mergeCell ref="BS163:BU163"/>
    <mergeCell ref="DB163:DD163"/>
    <mergeCell ref="A179:C179"/>
    <mergeCell ref="DB35:DD35"/>
    <mergeCell ref="DB51:DD51"/>
    <mergeCell ref="DB67:DD67"/>
    <mergeCell ref="DB83:DD83"/>
    <mergeCell ref="DB99:DD99"/>
    <mergeCell ref="DB115:DD115"/>
    <mergeCell ref="AJ227:AL227"/>
    <mergeCell ref="AJ243:AL243"/>
    <mergeCell ref="DB211:DD211"/>
    <mergeCell ref="DB227:DD227"/>
    <mergeCell ref="EK3:EM3"/>
    <mergeCell ref="EK19:EM19"/>
    <mergeCell ref="AJ211:AL211"/>
    <mergeCell ref="DB147:DD147"/>
    <mergeCell ref="BS147:BU147"/>
    <mergeCell ref="AJ147:AL147"/>
    <mergeCell ref="AJ179:AL179"/>
    <mergeCell ref="BS179:BU179"/>
    <mergeCell ref="DB179:DD179"/>
  </mergeCells>
  <pageMargins left="0.7" right="0.7" top="0.75" bottom="0.75" header="0.3" footer="0.3"/>
  <pageSetup orientation="portrait" r:id="rId1"/>
  <legacyDrawing r:id="rId2"/>
</worksheet>
</file>

<file path=xl/worksheets/sheet23.xml><?xml version="1.0" encoding="utf-8"?>
<worksheet xmlns="http://schemas.openxmlformats.org/spreadsheetml/2006/main" xmlns:r="http://schemas.openxmlformats.org/officeDocument/2006/relationships">
  <dimension ref="A2:O231"/>
  <sheetViews>
    <sheetView workbookViewId="0"/>
  </sheetViews>
  <sheetFormatPr baseColWidth="10" defaultRowHeight="15"/>
  <cols>
    <col min="1" max="1" width="11.42578125" style="2450"/>
    <col min="2" max="2" width="20.5703125" style="2451" customWidth="1"/>
    <col min="3" max="4" width="11.42578125" style="2450"/>
    <col min="5" max="7" width="11.42578125" style="2940"/>
    <col min="8" max="8" width="12.28515625" style="2587" bestFit="1" customWidth="1"/>
    <col min="9" max="9" width="2.28515625" style="2451" customWidth="1"/>
    <col min="10" max="253" width="11.42578125" style="2451"/>
    <col min="254" max="254" width="20.5703125" style="2451" customWidth="1"/>
    <col min="255" max="259" width="11.42578125" style="2451"/>
    <col min="260" max="260" width="1.85546875" style="2451" customWidth="1"/>
    <col min="261" max="509" width="11.42578125" style="2451"/>
    <col min="510" max="510" width="20.5703125" style="2451" customWidth="1"/>
    <col min="511" max="515" width="11.42578125" style="2451"/>
    <col min="516" max="516" width="1.85546875" style="2451" customWidth="1"/>
    <col min="517" max="765" width="11.42578125" style="2451"/>
    <col min="766" max="766" width="20.5703125" style="2451" customWidth="1"/>
    <col min="767" max="771" width="11.42578125" style="2451"/>
    <col min="772" max="772" width="1.85546875" style="2451" customWidth="1"/>
    <col min="773" max="1021" width="11.42578125" style="2451"/>
    <col min="1022" max="1022" width="20.5703125" style="2451" customWidth="1"/>
    <col min="1023" max="1027" width="11.42578125" style="2451"/>
    <col min="1028" max="1028" width="1.85546875" style="2451" customWidth="1"/>
    <col min="1029" max="1277" width="11.42578125" style="2451"/>
    <col min="1278" max="1278" width="20.5703125" style="2451" customWidth="1"/>
    <col min="1279" max="1283" width="11.42578125" style="2451"/>
    <col min="1284" max="1284" width="1.85546875" style="2451" customWidth="1"/>
    <col min="1285" max="1533" width="11.42578125" style="2451"/>
    <col min="1534" max="1534" width="20.5703125" style="2451" customWidth="1"/>
    <col min="1535" max="1539" width="11.42578125" style="2451"/>
    <col min="1540" max="1540" width="1.85546875" style="2451" customWidth="1"/>
    <col min="1541" max="1789" width="11.42578125" style="2451"/>
    <col min="1790" max="1790" width="20.5703125" style="2451" customWidth="1"/>
    <col min="1791" max="1795" width="11.42578125" style="2451"/>
    <col min="1796" max="1796" width="1.85546875" style="2451" customWidth="1"/>
    <col min="1797" max="2045" width="11.42578125" style="2451"/>
    <col min="2046" max="2046" width="20.5703125" style="2451" customWidth="1"/>
    <col min="2047" max="2051" width="11.42578125" style="2451"/>
    <col min="2052" max="2052" width="1.85546875" style="2451" customWidth="1"/>
    <col min="2053" max="2301" width="11.42578125" style="2451"/>
    <col min="2302" max="2302" width="20.5703125" style="2451" customWidth="1"/>
    <col min="2303" max="2307" width="11.42578125" style="2451"/>
    <col min="2308" max="2308" width="1.85546875" style="2451" customWidth="1"/>
    <col min="2309" max="2557" width="11.42578125" style="2451"/>
    <col min="2558" max="2558" width="20.5703125" style="2451" customWidth="1"/>
    <col min="2559" max="2563" width="11.42578125" style="2451"/>
    <col min="2564" max="2564" width="1.85546875" style="2451" customWidth="1"/>
    <col min="2565" max="2813" width="11.42578125" style="2451"/>
    <col min="2814" max="2814" width="20.5703125" style="2451" customWidth="1"/>
    <col min="2815" max="2819" width="11.42578125" style="2451"/>
    <col min="2820" max="2820" width="1.85546875" style="2451" customWidth="1"/>
    <col min="2821" max="3069" width="11.42578125" style="2451"/>
    <col min="3070" max="3070" width="20.5703125" style="2451" customWidth="1"/>
    <col min="3071" max="3075" width="11.42578125" style="2451"/>
    <col min="3076" max="3076" width="1.85546875" style="2451" customWidth="1"/>
    <col min="3077" max="3325" width="11.42578125" style="2451"/>
    <col min="3326" max="3326" width="20.5703125" style="2451" customWidth="1"/>
    <col min="3327" max="3331" width="11.42578125" style="2451"/>
    <col min="3332" max="3332" width="1.85546875" style="2451" customWidth="1"/>
    <col min="3333" max="3581" width="11.42578125" style="2451"/>
    <col min="3582" max="3582" width="20.5703125" style="2451" customWidth="1"/>
    <col min="3583" max="3587" width="11.42578125" style="2451"/>
    <col min="3588" max="3588" width="1.85546875" style="2451" customWidth="1"/>
    <col min="3589" max="3837" width="11.42578125" style="2451"/>
    <col min="3838" max="3838" width="20.5703125" style="2451" customWidth="1"/>
    <col min="3839" max="3843" width="11.42578125" style="2451"/>
    <col min="3844" max="3844" width="1.85546875" style="2451" customWidth="1"/>
    <col min="3845" max="4093" width="11.42578125" style="2451"/>
    <col min="4094" max="4094" width="20.5703125" style="2451" customWidth="1"/>
    <col min="4095" max="4099" width="11.42578125" style="2451"/>
    <col min="4100" max="4100" width="1.85546875" style="2451" customWidth="1"/>
    <col min="4101" max="4349" width="11.42578125" style="2451"/>
    <col min="4350" max="4350" width="20.5703125" style="2451" customWidth="1"/>
    <col min="4351" max="4355" width="11.42578125" style="2451"/>
    <col min="4356" max="4356" width="1.85546875" style="2451" customWidth="1"/>
    <col min="4357" max="4605" width="11.42578125" style="2451"/>
    <col min="4606" max="4606" width="20.5703125" style="2451" customWidth="1"/>
    <col min="4607" max="4611" width="11.42578125" style="2451"/>
    <col min="4612" max="4612" width="1.85546875" style="2451" customWidth="1"/>
    <col min="4613" max="4861" width="11.42578125" style="2451"/>
    <col min="4862" max="4862" width="20.5703125" style="2451" customWidth="1"/>
    <col min="4863" max="4867" width="11.42578125" style="2451"/>
    <col min="4868" max="4868" width="1.85546875" style="2451" customWidth="1"/>
    <col min="4869" max="5117" width="11.42578125" style="2451"/>
    <col min="5118" max="5118" width="20.5703125" style="2451" customWidth="1"/>
    <col min="5119" max="5123" width="11.42578125" style="2451"/>
    <col min="5124" max="5124" width="1.85546875" style="2451" customWidth="1"/>
    <col min="5125" max="5373" width="11.42578125" style="2451"/>
    <col min="5374" max="5374" width="20.5703125" style="2451" customWidth="1"/>
    <col min="5375" max="5379" width="11.42578125" style="2451"/>
    <col min="5380" max="5380" width="1.85546875" style="2451" customWidth="1"/>
    <col min="5381" max="5629" width="11.42578125" style="2451"/>
    <col min="5630" max="5630" width="20.5703125" style="2451" customWidth="1"/>
    <col min="5631" max="5635" width="11.42578125" style="2451"/>
    <col min="5636" max="5636" width="1.85546875" style="2451" customWidth="1"/>
    <col min="5637" max="5885" width="11.42578125" style="2451"/>
    <col min="5886" max="5886" width="20.5703125" style="2451" customWidth="1"/>
    <col min="5887" max="5891" width="11.42578125" style="2451"/>
    <col min="5892" max="5892" width="1.85546875" style="2451" customWidth="1"/>
    <col min="5893" max="6141" width="11.42578125" style="2451"/>
    <col min="6142" max="6142" width="20.5703125" style="2451" customWidth="1"/>
    <col min="6143" max="6147" width="11.42578125" style="2451"/>
    <col min="6148" max="6148" width="1.85546875" style="2451" customWidth="1"/>
    <col min="6149" max="6397" width="11.42578125" style="2451"/>
    <col min="6398" max="6398" width="20.5703125" style="2451" customWidth="1"/>
    <col min="6399" max="6403" width="11.42578125" style="2451"/>
    <col min="6404" max="6404" width="1.85546875" style="2451" customWidth="1"/>
    <col min="6405" max="6653" width="11.42578125" style="2451"/>
    <col min="6654" max="6654" width="20.5703125" style="2451" customWidth="1"/>
    <col min="6655" max="6659" width="11.42578125" style="2451"/>
    <col min="6660" max="6660" width="1.85546875" style="2451" customWidth="1"/>
    <col min="6661" max="6909" width="11.42578125" style="2451"/>
    <col min="6910" max="6910" width="20.5703125" style="2451" customWidth="1"/>
    <col min="6911" max="6915" width="11.42578125" style="2451"/>
    <col min="6916" max="6916" width="1.85546875" style="2451" customWidth="1"/>
    <col min="6917" max="7165" width="11.42578125" style="2451"/>
    <col min="7166" max="7166" width="20.5703125" style="2451" customWidth="1"/>
    <col min="7167" max="7171" width="11.42578125" style="2451"/>
    <col min="7172" max="7172" width="1.85546875" style="2451" customWidth="1"/>
    <col min="7173" max="7421" width="11.42578125" style="2451"/>
    <col min="7422" max="7422" width="20.5703125" style="2451" customWidth="1"/>
    <col min="7423" max="7427" width="11.42578125" style="2451"/>
    <col min="7428" max="7428" width="1.85546875" style="2451" customWidth="1"/>
    <col min="7429" max="7677" width="11.42578125" style="2451"/>
    <col min="7678" max="7678" width="20.5703125" style="2451" customWidth="1"/>
    <col min="7679" max="7683" width="11.42578125" style="2451"/>
    <col min="7684" max="7684" width="1.85546875" style="2451" customWidth="1"/>
    <col min="7685" max="7933" width="11.42578125" style="2451"/>
    <col min="7934" max="7934" width="20.5703125" style="2451" customWidth="1"/>
    <col min="7935" max="7939" width="11.42578125" style="2451"/>
    <col min="7940" max="7940" width="1.85546875" style="2451" customWidth="1"/>
    <col min="7941" max="8189" width="11.42578125" style="2451"/>
    <col min="8190" max="8190" width="20.5703125" style="2451" customWidth="1"/>
    <col min="8191" max="8195" width="11.42578125" style="2451"/>
    <col min="8196" max="8196" width="1.85546875" style="2451" customWidth="1"/>
    <col min="8197" max="8445" width="11.42578125" style="2451"/>
    <col min="8446" max="8446" width="20.5703125" style="2451" customWidth="1"/>
    <col min="8447" max="8451" width="11.42578125" style="2451"/>
    <col min="8452" max="8452" width="1.85546875" style="2451" customWidth="1"/>
    <col min="8453" max="8701" width="11.42578125" style="2451"/>
    <col min="8702" max="8702" width="20.5703125" style="2451" customWidth="1"/>
    <col min="8703" max="8707" width="11.42578125" style="2451"/>
    <col min="8708" max="8708" width="1.85546875" style="2451" customWidth="1"/>
    <col min="8709" max="8957" width="11.42578125" style="2451"/>
    <col min="8958" max="8958" width="20.5703125" style="2451" customWidth="1"/>
    <col min="8959" max="8963" width="11.42578125" style="2451"/>
    <col min="8964" max="8964" width="1.85546875" style="2451" customWidth="1"/>
    <col min="8965" max="9213" width="11.42578125" style="2451"/>
    <col min="9214" max="9214" width="20.5703125" style="2451" customWidth="1"/>
    <col min="9215" max="9219" width="11.42578125" style="2451"/>
    <col min="9220" max="9220" width="1.85546875" style="2451" customWidth="1"/>
    <col min="9221" max="9469" width="11.42578125" style="2451"/>
    <col min="9470" max="9470" width="20.5703125" style="2451" customWidth="1"/>
    <col min="9471" max="9475" width="11.42578125" style="2451"/>
    <col min="9476" max="9476" width="1.85546875" style="2451" customWidth="1"/>
    <col min="9477" max="9725" width="11.42578125" style="2451"/>
    <col min="9726" max="9726" width="20.5703125" style="2451" customWidth="1"/>
    <col min="9727" max="9731" width="11.42578125" style="2451"/>
    <col min="9732" max="9732" width="1.85546875" style="2451" customWidth="1"/>
    <col min="9733" max="9981" width="11.42578125" style="2451"/>
    <col min="9982" max="9982" width="20.5703125" style="2451" customWidth="1"/>
    <col min="9983" max="9987" width="11.42578125" style="2451"/>
    <col min="9988" max="9988" width="1.85546875" style="2451" customWidth="1"/>
    <col min="9989" max="10237" width="11.42578125" style="2451"/>
    <col min="10238" max="10238" width="20.5703125" style="2451" customWidth="1"/>
    <col min="10239" max="10243" width="11.42578125" style="2451"/>
    <col min="10244" max="10244" width="1.85546875" style="2451" customWidth="1"/>
    <col min="10245" max="10493" width="11.42578125" style="2451"/>
    <col min="10494" max="10494" width="20.5703125" style="2451" customWidth="1"/>
    <col min="10495" max="10499" width="11.42578125" style="2451"/>
    <col min="10500" max="10500" width="1.85546875" style="2451" customWidth="1"/>
    <col min="10501" max="10749" width="11.42578125" style="2451"/>
    <col min="10750" max="10750" width="20.5703125" style="2451" customWidth="1"/>
    <col min="10751" max="10755" width="11.42578125" style="2451"/>
    <col min="10756" max="10756" width="1.85546875" style="2451" customWidth="1"/>
    <col min="10757" max="11005" width="11.42578125" style="2451"/>
    <col min="11006" max="11006" width="20.5703125" style="2451" customWidth="1"/>
    <col min="11007" max="11011" width="11.42578125" style="2451"/>
    <col min="11012" max="11012" width="1.85546875" style="2451" customWidth="1"/>
    <col min="11013" max="11261" width="11.42578125" style="2451"/>
    <col min="11262" max="11262" width="20.5703125" style="2451" customWidth="1"/>
    <col min="11263" max="11267" width="11.42578125" style="2451"/>
    <col min="11268" max="11268" width="1.85546875" style="2451" customWidth="1"/>
    <col min="11269" max="11517" width="11.42578125" style="2451"/>
    <col min="11518" max="11518" width="20.5703125" style="2451" customWidth="1"/>
    <col min="11519" max="11523" width="11.42578125" style="2451"/>
    <col min="11524" max="11524" width="1.85546875" style="2451" customWidth="1"/>
    <col min="11525" max="11773" width="11.42578125" style="2451"/>
    <col min="11774" max="11774" width="20.5703125" style="2451" customWidth="1"/>
    <col min="11775" max="11779" width="11.42578125" style="2451"/>
    <col min="11780" max="11780" width="1.85546875" style="2451" customWidth="1"/>
    <col min="11781" max="12029" width="11.42578125" style="2451"/>
    <col min="12030" max="12030" width="20.5703125" style="2451" customWidth="1"/>
    <col min="12031" max="12035" width="11.42578125" style="2451"/>
    <col min="12036" max="12036" width="1.85546875" style="2451" customWidth="1"/>
    <col min="12037" max="12285" width="11.42578125" style="2451"/>
    <col min="12286" max="12286" width="20.5703125" style="2451" customWidth="1"/>
    <col min="12287" max="12291" width="11.42578125" style="2451"/>
    <col min="12292" max="12292" width="1.85546875" style="2451" customWidth="1"/>
    <col min="12293" max="12541" width="11.42578125" style="2451"/>
    <col min="12542" max="12542" width="20.5703125" style="2451" customWidth="1"/>
    <col min="12543" max="12547" width="11.42578125" style="2451"/>
    <col min="12548" max="12548" width="1.85546875" style="2451" customWidth="1"/>
    <col min="12549" max="12797" width="11.42578125" style="2451"/>
    <col min="12798" max="12798" width="20.5703125" style="2451" customWidth="1"/>
    <col min="12799" max="12803" width="11.42578125" style="2451"/>
    <col min="12804" max="12804" width="1.85546875" style="2451" customWidth="1"/>
    <col min="12805" max="13053" width="11.42578125" style="2451"/>
    <col min="13054" max="13054" width="20.5703125" style="2451" customWidth="1"/>
    <col min="13055" max="13059" width="11.42578125" style="2451"/>
    <col min="13060" max="13060" width="1.85546875" style="2451" customWidth="1"/>
    <col min="13061" max="13309" width="11.42578125" style="2451"/>
    <col min="13310" max="13310" width="20.5703125" style="2451" customWidth="1"/>
    <col min="13311" max="13315" width="11.42578125" style="2451"/>
    <col min="13316" max="13316" width="1.85546875" style="2451" customWidth="1"/>
    <col min="13317" max="13565" width="11.42578125" style="2451"/>
    <col min="13566" max="13566" width="20.5703125" style="2451" customWidth="1"/>
    <col min="13567" max="13571" width="11.42578125" style="2451"/>
    <col min="13572" max="13572" width="1.85546875" style="2451" customWidth="1"/>
    <col min="13573" max="13821" width="11.42578125" style="2451"/>
    <col min="13822" max="13822" width="20.5703125" style="2451" customWidth="1"/>
    <col min="13823" max="13827" width="11.42578125" style="2451"/>
    <col min="13828" max="13828" width="1.85546875" style="2451" customWidth="1"/>
    <col min="13829" max="14077" width="11.42578125" style="2451"/>
    <col min="14078" max="14078" width="20.5703125" style="2451" customWidth="1"/>
    <col min="14079" max="14083" width="11.42578125" style="2451"/>
    <col min="14084" max="14084" width="1.85546875" style="2451" customWidth="1"/>
    <col min="14085" max="14333" width="11.42578125" style="2451"/>
    <col min="14334" max="14334" width="20.5703125" style="2451" customWidth="1"/>
    <col min="14335" max="14339" width="11.42578125" style="2451"/>
    <col min="14340" max="14340" width="1.85546875" style="2451" customWidth="1"/>
    <col min="14341" max="14589" width="11.42578125" style="2451"/>
    <col min="14590" max="14590" width="20.5703125" style="2451" customWidth="1"/>
    <col min="14591" max="14595" width="11.42578125" style="2451"/>
    <col min="14596" max="14596" width="1.85546875" style="2451" customWidth="1"/>
    <col min="14597" max="14845" width="11.42578125" style="2451"/>
    <col min="14846" max="14846" width="20.5703125" style="2451" customWidth="1"/>
    <col min="14847" max="14851" width="11.42578125" style="2451"/>
    <col min="14852" max="14852" width="1.85546875" style="2451" customWidth="1"/>
    <col min="14853" max="15101" width="11.42578125" style="2451"/>
    <col min="15102" max="15102" width="20.5703125" style="2451" customWidth="1"/>
    <col min="15103" max="15107" width="11.42578125" style="2451"/>
    <col min="15108" max="15108" width="1.85546875" style="2451" customWidth="1"/>
    <col min="15109" max="15357" width="11.42578125" style="2451"/>
    <col min="15358" max="15358" width="20.5703125" style="2451" customWidth="1"/>
    <col min="15359" max="15363" width="11.42578125" style="2451"/>
    <col min="15364" max="15364" width="1.85546875" style="2451" customWidth="1"/>
    <col min="15365" max="15613" width="11.42578125" style="2451"/>
    <col min="15614" max="15614" width="20.5703125" style="2451" customWidth="1"/>
    <col min="15615" max="15619" width="11.42578125" style="2451"/>
    <col min="15620" max="15620" width="1.85546875" style="2451" customWidth="1"/>
    <col min="15621" max="15869" width="11.42578125" style="2451"/>
    <col min="15870" max="15870" width="20.5703125" style="2451" customWidth="1"/>
    <col min="15871" max="15875" width="11.42578125" style="2451"/>
    <col min="15876" max="15876" width="1.85546875" style="2451" customWidth="1"/>
    <col min="15877" max="16125" width="11.42578125" style="2451"/>
    <col min="16126" max="16126" width="20.5703125" style="2451" customWidth="1"/>
    <col min="16127" max="16131" width="11.42578125" style="2451"/>
    <col min="16132" max="16132" width="1.85546875" style="2451" customWidth="1"/>
    <col min="16133" max="16384" width="11.42578125" style="2451"/>
  </cols>
  <sheetData>
    <row r="2" spans="1:15">
      <c r="D2" s="2451"/>
      <c r="E2" s="3784" t="s">
        <v>709</v>
      </c>
      <c r="F2" s="3785"/>
      <c r="G2" s="3786"/>
    </row>
    <row r="3" spans="1:15">
      <c r="D3" s="2451"/>
      <c r="E3" s="2937" t="s">
        <v>8</v>
      </c>
      <c r="F3" s="2937" t="s">
        <v>710</v>
      </c>
      <c r="G3" s="2937" t="s">
        <v>52</v>
      </c>
    </row>
    <row r="4" spans="1:15">
      <c r="A4" s="2452" t="s">
        <v>711</v>
      </c>
      <c r="D4" s="2453" t="s">
        <v>155</v>
      </c>
      <c r="E4" s="2938">
        <v>1714</v>
      </c>
      <c r="F4" s="2938">
        <v>13309</v>
      </c>
      <c r="G4" s="2938">
        <f>+F4+E4</f>
        <v>15023</v>
      </c>
      <c r="I4" s="2594"/>
    </row>
    <row r="5" spans="1:15">
      <c r="A5" s="2452" t="s">
        <v>712</v>
      </c>
      <c r="D5" s="2454" t="s">
        <v>156</v>
      </c>
      <c r="E5" s="2939">
        <f>SUM(F9:F246)</f>
        <v>879.55499999999984</v>
      </c>
      <c r="F5" s="2941">
        <f>SUM(G9:G268)</f>
        <v>9363.0989999999892</v>
      </c>
      <c r="G5" s="2941">
        <f>+F5+E5</f>
        <v>10242.65399999999</v>
      </c>
    </row>
    <row r="6" spans="1:15">
      <c r="B6" s="2455" t="s">
        <v>713</v>
      </c>
      <c r="D6" s="2453" t="s">
        <v>157</v>
      </c>
      <c r="E6" s="2938">
        <f>+E4-E5</f>
        <v>834.44500000000016</v>
      </c>
      <c r="F6" s="2938">
        <f>+F4-F5</f>
        <v>3945.9010000000108</v>
      </c>
      <c r="G6" s="2938">
        <f>+F6+E6</f>
        <v>4780.3460000000105</v>
      </c>
    </row>
    <row r="7" spans="1:15">
      <c r="D7" s="2451"/>
      <c r="H7" s="3351" t="s">
        <v>1200</v>
      </c>
    </row>
    <row r="8" spans="1:15">
      <c r="A8" s="2585" t="s">
        <v>714</v>
      </c>
      <c r="B8" s="2585" t="s">
        <v>228</v>
      </c>
      <c r="C8" s="2585" t="s">
        <v>715</v>
      </c>
      <c r="D8" s="2585" t="s">
        <v>943</v>
      </c>
      <c r="E8" s="2585" t="s">
        <v>716</v>
      </c>
      <c r="F8" s="2586" t="s">
        <v>8</v>
      </c>
      <c r="G8" s="2586" t="s">
        <v>717</v>
      </c>
      <c r="H8" s="2586" t="s">
        <v>74</v>
      </c>
      <c r="M8" s="3352" t="s">
        <v>1201</v>
      </c>
      <c r="O8" s="3352" t="s">
        <v>1202</v>
      </c>
    </row>
    <row r="9" spans="1:15">
      <c r="A9" s="3174">
        <v>954081</v>
      </c>
      <c r="B9" s="3175" t="s">
        <v>723</v>
      </c>
      <c r="C9" s="3174">
        <v>2255</v>
      </c>
      <c r="D9" s="3174" t="s">
        <v>939</v>
      </c>
      <c r="E9" s="3174">
        <v>8</v>
      </c>
      <c r="F9" s="3176">
        <v>22.003</v>
      </c>
      <c r="G9" s="3176">
        <v>258.35300000000001</v>
      </c>
      <c r="H9" s="3176">
        <f>+G9+F9</f>
        <v>280.35599999999999</v>
      </c>
      <c r="I9" s="2581"/>
      <c r="J9" s="2582" t="s">
        <v>902</v>
      </c>
      <c r="O9" s="3350">
        <f>(H9-M9)</f>
        <v>280.35599999999999</v>
      </c>
    </row>
    <row r="10" spans="1:15">
      <c r="A10" s="3174">
        <v>959841</v>
      </c>
      <c r="B10" s="3175" t="s">
        <v>720</v>
      </c>
      <c r="C10" s="3174">
        <v>809</v>
      </c>
      <c r="D10" s="3174" t="s">
        <v>939</v>
      </c>
      <c r="E10" s="3174">
        <v>8.4</v>
      </c>
      <c r="F10" s="3176">
        <v>18.824000000000002</v>
      </c>
      <c r="G10" s="3176">
        <v>241.142</v>
      </c>
      <c r="H10" s="3176">
        <f t="shared" ref="H10:H73" si="0">+G10+F10</f>
        <v>259.96600000000001</v>
      </c>
      <c r="I10" s="2581"/>
      <c r="J10" s="2582" t="s">
        <v>900</v>
      </c>
      <c r="O10" s="3350">
        <f t="shared" ref="O10:O73" si="1">(H10-M10)</f>
        <v>259.96600000000001</v>
      </c>
    </row>
    <row r="11" spans="1:15">
      <c r="A11" s="3174">
        <v>959845</v>
      </c>
      <c r="B11" s="3175" t="s">
        <v>718</v>
      </c>
      <c r="C11" s="3174">
        <v>648</v>
      </c>
      <c r="D11" s="3174" t="s">
        <v>939</v>
      </c>
      <c r="E11" s="3174">
        <v>8.1</v>
      </c>
      <c r="F11" s="3176">
        <v>37.905999999999999</v>
      </c>
      <c r="G11" s="3176">
        <v>221.00399999999999</v>
      </c>
      <c r="H11" s="3176">
        <f t="shared" si="0"/>
        <v>258.90999999999997</v>
      </c>
      <c r="I11" s="2581"/>
      <c r="J11" s="2582" t="s">
        <v>719</v>
      </c>
      <c r="O11" s="3350">
        <f t="shared" si="1"/>
        <v>258.90999999999997</v>
      </c>
    </row>
    <row r="12" spans="1:15">
      <c r="A12" s="3174">
        <v>960321</v>
      </c>
      <c r="B12" s="3175" t="s">
        <v>727</v>
      </c>
      <c r="C12" s="3174">
        <v>1946</v>
      </c>
      <c r="D12" s="3174" t="s">
        <v>939</v>
      </c>
      <c r="E12" s="3174">
        <v>8.1</v>
      </c>
      <c r="F12" s="3176">
        <v>38.024999999999999</v>
      </c>
      <c r="G12" s="3176">
        <v>219.83</v>
      </c>
      <c r="H12" s="3176">
        <f t="shared" si="0"/>
        <v>257.85500000000002</v>
      </c>
      <c r="I12" s="2581"/>
      <c r="J12" s="2582" t="s">
        <v>1146</v>
      </c>
      <c r="O12" s="3350">
        <f t="shared" si="1"/>
        <v>257.85500000000002</v>
      </c>
    </row>
    <row r="13" spans="1:15">
      <c r="A13" s="3174">
        <v>958597</v>
      </c>
      <c r="B13" s="3175" t="s">
        <v>722</v>
      </c>
      <c r="C13" s="3174">
        <v>1792</v>
      </c>
      <c r="D13" s="3174" t="s">
        <v>939</v>
      </c>
      <c r="E13" s="3174">
        <v>8.5</v>
      </c>
      <c r="F13" s="3176">
        <v>20.896999999999998</v>
      </c>
      <c r="G13" s="3176">
        <v>211.13499999999999</v>
      </c>
      <c r="H13" s="3176">
        <f t="shared" si="0"/>
        <v>232.03199999999998</v>
      </c>
      <c r="I13" s="2581"/>
      <c r="J13" s="2583" t="s">
        <v>721</v>
      </c>
      <c r="O13" s="3350">
        <f t="shared" si="1"/>
        <v>232.03199999999998</v>
      </c>
    </row>
    <row r="14" spans="1:15">
      <c r="A14" s="3174">
        <v>959393</v>
      </c>
      <c r="B14" s="3175" t="s">
        <v>724</v>
      </c>
      <c r="C14" s="3174">
        <v>1991</v>
      </c>
      <c r="D14" s="3174" t="s">
        <v>939</v>
      </c>
      <c r="E14" s="3174">
        <v>8.3000000000000007</v>
      </c>
      <c r="F14" s="3176">
        <v>19.54</v>
      </c>
      <c r="G14" s="3176">
        <v>187.38900000000001</v>
      </c>
      <c r="H14" s="3176">
        <f t="shared" si="0"/>
        <v>206.929</v>
      </c>
      <c r="I14" s="2584"/>
      <c r="J14" s="2583" t="s">
        <v>721</v>
      </c>
      <c r="O14" s="3350">
        <f t="shared" si="1"/>
        <v>206.929</v>
      </c>
    </row>
    <row r="15" spans="1:15">
      <c r="A15" s="3174">
        <v>959606</v>
      </c>
      <c r="B15" s="3175" t="s">
        <v>732</v>
      </c>
      <c r="C15" s="3174">
        <v>707</v>
      </c>
      <c r="D15" s="3174" t="s">
        <v>939</v>
      </c>
      <c r="E15" s="3174">
        <v>8.1</v>
      </c>
      <c r="F15" s="3176">
        <v>22.927</v>
      </c>
      <c r="G15" s="3176">
        <v>181.48699999999999</v>
      </c>
      <c r="H15" s="3176">
        <f t="shared" si="0"/>
        <v>204.41399999999999</v>
      </c>
      <c r="I15" s="2584"/>
      <c r="J15" s="2583" t="s">
        <v>721</v>
      </c>
      <c r="O15" s="3350">
        <f t="shared" si="1"/>
        <v>204.41399999999999</v>
      </c>
    </row>
    <row r="16" spans="1:15">
      <c r="A16" s="3174">
        <v>956818</v>
      </c>
      <c r="B16" s="3175" t="s">
        <v>725</v>
      </c>
      <c r="C16" s="3174">
        <v>1388</v>
      </c>
      <c r="D16" s="3174" t="s">
        <v>939</v>
      </c>
      <c r="E16" s="3174">
        <v>11</v>
      </c>
      <c r="F16" s="3176">
        <v>15.217000000000001</v>
      </c>
      <c r="G16" s="3176">
        <v>188.732</v>
      </c>
      <c r="H16" s="3176">
        <f t="shared" si="0"/>
        <v>203.94900000000001</v>
      </c>
      <c r="I16" s="2584"/>
      <c r="J16" s="2583" t="s">
        <v>721</v>
      </c>
      <c r="O16" s="3353">
        <f t="shared" si="1"/>
        <v>203.94900000000001</v>
      </c>
    </row>
    <row r="17" spans="1:15">
      <c r="A17" s="3174">
        <v>959980</v>
      </c>
      <c r="B17" s="3175" t="s">
        <v>731</v>
      </c>
      <c r="C17" s="3174">
        <v>2165</v>
      </c>
      <c r="D17" s="3174" t="s">
        <v>939</v>
      </c>
      <c r="E17" s="3174">
        <v>8.1999999999999993</v>
      </c>
      <c r="F17" s="3176">
        <v>18.369</v>
      </c>
      <c r="G17" s="3176">
        <v>174.904</v>
      </c>
      <c r="H17" s="3176">
        <f t="shared" si="0"/>
        <v>193.273</v>
      </c>
      <c r="I17" s="2584"/>
      <c r="J17" s="2583" t="s">
        <v>721</v>
      </c>
      <c r="O17" s="3350">
        <f t="shared" si="1"/>
        <v>193.273</v>
      </c>
    </row>
    <row r="18" spans="1:15">
      <c r="A18" s="3174">
        <v>960816</v>
      </c>
      <c r="B18" s="3175" t="s">
        <v>1264</v>
      </c>
      <c r="C18" s="3174">
        <v>3004</v>
      </c>
      <c r="D18" s="3174" t="s">
        <v>939</v>
      </c>
      <c r="E18" s="3174">
        <v>11.96</v>
      </c>
      <c r="F18" s="3176">
        <v>39.347999999999999</v>
      </c>
      <c r="G18" s="3176">
        <v>146.14099999999999</v>
      </c>
      <c r="H18" s="3176">
        <f t="shared" si="0"/>
        <v>185.48899999999998</v>
      </c>
      <c r="I18" s="2584"/>
      <c r="J18" s="2583" t="s">
        <v>721</v>
      </c>
      <c r="O18" s="3350">
        <f t="shared" si="1"/>
        <v>185.48899999999998</v>
      </c>
    </row>
    <row r="19" spans="1:15">
      <c r="A19" s="3174">
        <v>960819</v>
      </c>
      <c r="B19" s="3175" t="s">
        <v>1265</v>
      </c>
      <c r="C19" s="3174">
        <v>2388</v>
      </c>
      <c r="D19" s="3174" t="s">
        <v>939</v>
      </c>
      <c r="E19" s="3174">
        <v>11.94</v>
      </c>
      <c r="F19" s="3176">
        <v>7.6189999999999998</v>
      </c>
      <c r="G19" s="3176">
        <v>177.649</v>
      </c>
      <c r="H19" s="3176">
        <f t="shared" si="0"/>
        <v>185.268</v>
      </c>
      <c r="I19" s="2584"/>
      <c r="J19" s="3141" t="s">
        <v>721</v>
      </c>
      <c r="O19" s="3350">
        <f t="shared" si="1"/>
        <v>185.268</v>
      </c>
    </row>
    <row r="20" spans="1:15">
      <c r="A20" s="3174">
        <v>954964</v>
      </c>
      <c r="B20" s="3175" t="s">
        <v>726</v>
      </c>
      <c r="C20" s="3174">
        <v>1394</v>
      </c>
      <c r="D20" s="3174" t="s">
        <v>939</v>
      </c>
      <c r="E20" s="3174">
        <v>10.8</v>
      </c>
      <c r="F20" s="3176">
        <v>17.375</v>
      </c>
      <c r="G20" s="3176">
        <v>163.93700000000001</v>
      </c>
      <c r="H20" s="3176">
        <f t="shared" si="0"/>
        <v>181.31200000000001</v>
      </c>
      <c r="I20" s="2584"/>
      <c r="J20" s="219"/>
      <c r="O20" s="3350">
        <f t="shared" si="1"/>
        <v>181.31200000000001</v>
      </c>
    </row>
    <row r="21" spans="1:15">
      <c r="A21" s="3174">
        <v>960116</v>
      </c>
      <c r="B21" s="3175" t="s">
        <v>905</v>
      </c>
      <c r="C21" s="3174">
        <v>2169</v>
      </c>
      <c r="D21" s="3174" t="s">
        <v>939</v>
      </c>
      <c r="E21" s="3174">
        <v>8.1</v>
      </c>
      <c r="F21" s="3176">
        <v>45.3</v>
      </c>
      <c r="G21" s="3176">
        <v>131.863</v>
      </c>
      <c r="H21" s="3176">
        <f t="shared" si="0"/>
        <v>177.16300000000001</v>
      </c>
      <c r="I21" s="2584"/>
      <c r="J21" s="219"/>
      <c r="O21" s="3350">
        <f t="shared" si="1"/>
        <v>177.16300000000001</v>
      </c>
    </row>
    <row r="22" spans="1:15">
      <c r="A22" s="3174">
        <v>955324</v>
      </c>
      <c r="B22" s="3175" t="s">
        <v>730</v>
      </c>
      <c r="C22" s="3174">
        <v>145</v>
      </c>
      <c r="D22" s="3174" t="s">
        <v>939</v>
      </c>
      <c r="E22" s="3174">
        <v>9.35</v>
      </c>
      <c r="F22" s="3176">
        <v>13.618</v>
      </c>
      <c r="G22" s="3176">
        <v>163.27000000000001</v>
      </c>
      <c r="H22" s="3176">
        <f t="shared" si="0"/>
        <v>176.88800000000001</v>
      </c>
      <c r="I22" s="2584"/>
      <c r="J22" s="219"/>
      <c r="O22" s="3350">
        <f t="shared" si="1"/>
        <v>176.88800000000001</v>
      </c>
    </row>
    <row r="23" spans="1:15">
      <c r="A23" s="3174">
        <v>959387</v>
      </c>
      <c r="B23" s="3175" t="s">
        <v>733</v>
      </c>
      <c r="C23" s="3174">
        <v>1424</v>
      </c>
      <c r="D23" s="3174" t="s">
        <v>939</v>
      </c>
      <c r="E23" s="3174">
        <v>8.1</v>
      </c>
      <c r="F23" s="3176">
        <v>29.667000000000002</v>
      </c>
      <c r="G23" s="3176">
        <v>141.86000000000001</v>
      </c>
      <c r="H23" s="3176">
        <f t="shared" si="0"/>
        <v>171.52700000000002</v>
      </c>
      <c r="I23" s="2584"/>
      <c r="J23" s="219"/>
      <c r="O23" s="3350">
        <f t="shared" si="1"/>
        <v>171.52700000000002</v>
      </c>
    </row>
    <row r="24" spans="1:15">
      <c r="A24" s="3174">
        <v>957726</v>
      </c>
      <c r="B24" s="3175" t="s">
        <v>889</v>
      </c>
      <c r="C24" s="3174">
        <v>224</v>
      </c>
      <c r="D24" s="3174" t="s">
        <v>939</v>
      </c>
      <c r="E24" s="3174">
        <v>8.4</v>
      </c>
      <c r="F24" s="3176">
        <v>20.766999999999999</v>
      </c>
      <c r="G24" s="3176">
        <v>150.166</v>
      </c>
      <c r="H24" s="3176">
        <f t="shared" si="0"/>
        <v>170.93299999999999</v>
      </c>
      <c r="I24" s="2584"/>
      <c r="J24" s="219"/>
      <c r="O24" s="3350">
        <f t="shared" si="1"/>
        <v>170.93299999999999</v>
      </c>
    </row>
    <row r="25" spans="1:15">
      <c r="A25" s="3174">
        <v>957249</v>
      </c>
      <c r="B25" s="3175" t="s">
        <v>729</v>
      </c>
      <c r="C25" s="3174">
        <v>1520</v>
      </c>
      <c r="D25" s="3174" t="s">
        <v>939</v>
      </c>
      <c r="E25" s="3174">
        <v>10.199999999999999</v>
      </c>
      <c r="F25" s="3176">
        <v>18.558</v>
      </c>
      <c r="G25" s="3176">
        <v>151.15799999999999</v>
      </c>
      <c r="H25" s="3176">
        <f t="shared" si="0"/>
        <v>169.71599999999998</v>
      </c>
      <c r="I25" s="2584"/>
      <c r="J25" s="219"/>
      <c r="O25" s="3350">
        <f t="shared" si="1"/>
        <v>169.71599999999998</v>
      </c>
    </row>
    <row r="26" spans="1:15">
      <c r="A26" s="3174">
        <v>959092</v>
      </c>
      <c r="B26" s="3175" t="s">
        <v>734</v>
      </c>
      <c r="C26" s="3174">
        <v>978</v>
      </c>
      <c r="D26" s="3174" t="s">
        <v>939</v>
      </c>
      <c r="E26" s="3174">
        <v>8.3000000000000007</v>
      </c>
      <c r="F26" s="3176">
        <v>12.648</v>
      </c>
      <c r="G26" s="3176">
        <v>148.262</v>
      </c>
      <c r="H26" s="3176">
        <f t="shared" si="0"/>
        <v>160.91</v>
      </c>
      <c r="I26" s="2584"/>
      <c r="J26" s="219"/>
      <c r="O26" s="3350">
        <f t="shared" si="1"/>
        <v>160.91</v>
      </c>
    </row>
    <row r="27" spans="1:15">
      <c r="A27" s="3174">
        <v>953743</v>
      </c>
      <c r="B27" s="3175" t="s">
        <v>728</v>
      </c>
      <c r="C27" s="3174">
        <v>2811</v>
      </c>
      <c r="D27" s="3174" t="s">
        <v>939</v>
      </c>
      <c r="E27" s="3174">
        <v>9.3000000000000007</v>
      </c>
      <c r="F27" s="3176">
        <v>14.125</v>
      </c>
      <c r="G27" s="3176">
        <v>144.17599999999999</v>
      </c>
      <c r="H27" s="3176">
        <f t="shared" si="0"/>
        <v>158.30099999999999</v>
      </c>
      <c r="I27" s="2584"/>
      <c r="J27" s="219"/>
      <c r="O27" s="3350">
        <f t="shared" si="1"/>
        <v>158.30099999999999</v>
      </c>
    </row>
    <row r="28" spans="1:15">
      <c r="A28" s="3174">
        <v>960814</v>
      </c>
      <c r="B28" s="3175" t="s">
        <v>1266</v>
      </c>
      <c r="C28" s="3174">
        <v>2975</v>
      </c>
      <c r="D28" s="3174" t="s">
        <v>939</v>
      </c>
      <c r="E28" s="3174">
        <v>11.95</v>
      </c>
      <c r="F28" s="3176">
        <v>6.0259999999999998</v>
      </c>
      <c r="G28" s="3176">
        <v>149.49199999999999</v>
      </c>
      <c r="H28" s="3176">
        <f t="shared" si="0"/>
        <v>155.518</v>
      </c>
      <c r="I28" s="2584"/>
      <c r="J28" s="219"/>
      <c r="O28" s="3350">
        <f t="shared" si="1"/>
        <v>155.518</v>
      </c>
    </row>
    <row r="29" spans="1:15">
      <c r="A29" s="3174">
        <v>960113</v>
      </c>
      <c r="B29" s="3175" t="s">
        <v>942</v>
      </c>
      <c r="C29" s="3174">
        <v>811</v>
      </c>
      <c r="D29" s="3174" t="s">
        <v>939</v>
      </c>
      <c r="E29" s="3174">
        <v>8.3000000000000007</v>
      </c>
      <c r="F29" s="3176">
        <v>48.863</v>
      </c>
      <c r="G29" s="3176">
        <v>106.301</v>
      </c>
      <c r="H29" s="3176">
        <f t="shared" si="0"/>
        <v>155.16399999999999</v>
      </c>
      <c r="I29" s="2584"/>
      <c r="J29" s="219"/>
      <c r="O29" s="3353">
        <f t="shared" si="1"/>
        <v>155.16399999999999</v>
      </c>
    </row>
    <row r="30" spans="1:15">
      <c r="A30" s="3174">
        <v>960106</v>
      </c>
      <c r="B30" s="3175" t="s">
        <v>739</v>
      </c>
      <c r="C30" s="3174">
        <v>2134</v>
      </c>
      <c r="D30" s="3174" t="s">
        <v>939</v>
      </c>
      <c r="E30" s="3174">
        <v>11.5</v>
      </c>
      <c r="F30" s="3176">
        <v>10.488</v>
      </c>
      <c r="G30" s="3176">
        <v>142.77199999999999</v>
      </c>
      <c r="H30" s="3176">
        <f t="shared" si="0"/>
        <v>153.26</v>
      </c>
      <c r="I30" s="2584"/>
      <c r="J30" s="219"/>
      <c r="O30" s="3353">
        <f t="shared" si="1"/>
        <v>153.26</v>
      </c>
    </row>
    <row r="31" spans="1:15">
      <c r="A31" s="3174">
        <v>957982</v>
      </c>
      <c r="B31" s="3175" t="s">
        <v>763</v>
      </c>
      <c r="C31" s="3174">
        <v>1551</v>
      </c>
      <c r="D31" s="3174" t="s">
        <v>939</v>
      </c>
      <c r="E31" s="3174">
        <v>11.5</v>
      </c>
      <c r="F31" s="3176">
        <v>3.0179999999999998</v>
      </c>
      <c r="G31" s="3176">
        <v>136.33600000000001</v>
      </c>
      <c r="H31" s="3176">
        <f t="shared" si="0"/>
        <v>139.35400000000001</v>
      </c>
      <c r="I31" s="2584"/>
      <c r="J31" s="219"/>
      <c r="O31" s="3350">
        <f t="shared" si="1"/>
        <v>139.35400000000001</v>
      </c>
    </row>
    <row r="32" spans="1:15">
      <c r="A32" s="3174">
        <v>954876</v>
      </c>
      <c r="B32" s="3175" t="s">
        <v>735</v>
      </c>
      <c r="C32" s="3174">
        <v>2846</v>
      </c>
      <c r="D32" s="3174" t="s">
        <v>939</v>
      </c>
      <c r="E32" s="3174">
        <v>10.8</v>
      </c>
      <c r="F32" s="3176">
        <v>6.8869999999999996</v>
      </c>
      <c r="G32" s="3176">
        <v>132.464</v>
      </c>
      <c r="H32" s="3176">
        <f t="shared" si="0"/>
        <v>139.351</v>
      </c>
      <c r="I32" s="2584"/>
      <c r="J32" s="219"/>
      <c r="O32" s="3350">
        <f t="shared" si="1"/>
        <v>139.351</v>
      </c>
    </row>
    <row r="33" spans="1:15">
      <c r="A33" s="3174">
        <v>958588</v>
      </c>
      <c r="B33" s="3175" t="s">
        <v>744</v>
      </c>
      <c r="C33" s="3174">
        <v>710</v>
      </c>
      <c r="D33" s="3174" t="s">
        <v>939</v>
      </c>
      <c r="E33" s="3174">
        <v>8.18</v>
      </c>
      <c r="F33" s="3176">
        <v>14.031000000000001</v>
      </c>
      <c r="G33" s="3176">
        <v>99.343999999999994</v>
      </c>
      <c r="H33" s="3176">
        <f t="shared" si="0"/>
        <v>113.375</v>
      </c>
      <c r="I33" s="2584"/>
      <c r="J33" s="219"/>
      <c r="O33" s="3350">
        <f t="shared" si="1"/>
        <v>113.375</v>
      </c>
    </row>
    <row r="34" spans="1:15">
      <c r="A34" s="3174">
        <v>960879</v>
      </c>
      <c r="B34" s="3175" t="s">
        <v>1267</v>
      </c>
      <c r="C34" s="3174">
        <v>3048</v>
      </c>
      <c r="D34" s="3174" t="s">
        <v>939</v>
      </c>
      <c r="E34" s="3174">
        <v>8.1999999999999993</v>
      </c>
      <c r="F34" s="3176">
        <v>13.492000000000001</v>
      </c>
      <c r="G34" s="3176">
        <v>94.614000000000004</v>
      </c>
      <c r="H34" s="3176">
        <f t="shared" si="0"/>
        <v>108.10600000000001</v>
      </c>
      <c r="I34" s="2584"/>
      <c r="J34" s="219"/>
      <c r="O34" s="3350">
        <f t="shared" si="1"/>
        <v>108.10600000000001</v>
      </c>
    </row>
    <row r="35" spans="1:15">
      <c r="A35" s="3174">
        <v>955396</v>
      </c>
      <c r="B35" s="3175" t="s">
        <v>206</v>
      </c>
      <c r="C35" s="3174">
        <v>2836</v>
      </c>
      <c r="D35" s="3174" t="s">
        <v>939</v>
      </c>
      <c r="E35" s="3174">
        <v>12</v>
      </c>
      <c r="F35" s="3176">
        <v>7.6589999999999998</v>
      </c>
      <c r="G35" s="3176">
        <v>97.283000000000001</v>
      </c>
      <c r="H35" s="3176">
        <f t="shared" si="0"/>
        <v>104.94200000000001</v>
      </c>
      <c r="I35" s="2584"/>
      <c r="J35" s="219"/>
      <c r="O35" s="3350">
        <f t="shared" si="1"/>
        <v>104.94200000000001</v>
      </c>
    </row>
    <row r="36" spans="1:15">
      <c r="A36" s="3174">
        <v>960338</v>
      </c>
      <c r="B36" s="3175" t="s">
        <v>736</v>
      </c>
      <c r="C36" s="3174">
        <v>709</v>
      </c>
      <c r="D36" s="3174" t="s">
        <v>939</v>
      </c>
      <c r="E36" s="3174">
        <v>8.1999999999999993</v>
      </c>
      <c r="F36" s="3176">
        <v>3.456</v>
      </c>
      <c r="G36" s="3176">
        <v>101.149</v>
      </c>
      <c r="H36" s="3176">
        <f t="shared" si="0"/>
        <v>104.605</v>
      </c>
      <c r="I36" s="2584"/>
      <c r="J36" s="219"/>
      <c r="O36" s="3350">
        <f t="shared" si="1"/>
        <v>104.605</v>
      </c>
    </row>
    <row r="37" spans="1:15">
      <c r="A37" s="3174">
        <v>959007</v>
      </c>
      <c r="B37" s="3175" t="s">
        <v>741</v>
      </c>
      <c r="C37" s="3174">
        <v>659</v>
      </c>
      <c r="D37" s="3174" t="s">
        <v>939</v>
      </c>
      <c r="E37" s="3174">
        <v>8.1999999999999993</v>
      </c>
      <c r="F37" s="3176">
        <v>10.86</v>
      </c>
      <c r="G37" s="3176">
        <v>92.850999999999999</v>
      </c>
      <c r="H37" s="3176">
        <f t="shared" si="0"/>
        <v>103.711</v>
      </c>
      <c r="I37" s="2584"/>
      <c r="J37" s="219"/>
      <c r="O37" s="3350">
        <f t="shared" si="1"/>
        <v>103.711</v>
      </c>
    </row>
    <row r="38" spans="1:15">
      <c r="A38" s="3174">
        <v>956006</v>
      </c>
      <c r="B38" s="3175" t="s">
        <v>773</v>
      </c>
      <c r="C38" s="3174">
        <v>716</v>
      </c>
      <c r="D38" s="3174" t="s">
        <v>939</v>
      </c>
      <c r="E38" s="3174">
        <v>7.1</v>
      </c>
      <c r="F38" s="3176">
        <v>26.672999999999998</v>
      </c>
      <c r="G38" s="3176">
        <v>76.396000000000001</v>
      </c>
      <c r="H38" s="3176">
        <f t="shared" si="0"/>
        <v>103.069</v>
      </c>
      <c r="I38" s="2584"/>
      <c r="J38" s="219"/>
      <c r="O38" s="3350">
        <f t="shared" si="1"/>
        <v>103.069</v>
      </c>
    </row>
    <row r="39" spans="1:15">
      <c r="A39" s="3174">
        <v>960815</v>
      </c>
      <c r="B39" s="3175" t="s">
        <v>1268</v>
      </c>
      <c r="C39" s="3174">
        <v>2701</v>
      </c>
      <c r="D39" s="3174" t="s">
        <v>939</v>
      </c>
      <c r="E39" s="3174">
        <v>11.95</v>
      </c>
      <c r="F39" s="3176">
        <v>6.9939999999999998</v>
      </c>
      <c r="G39" s="3176">
        <v>94.084000000000003</v>
      </c>
      <c r="H39" s="3176">
        <f t="shared" si="0"/>
        <v>101.078</v>
      </c>
      <c r="I39" s="2584"/>
      <c r="J39" s="219"/>
      <c r="O39" s="3350">
        <f t="shared" si="1"/>
        <v>101.078</v>
      </c>
    </row>
    <row r="40" spans="1:15">
      <c r="A40" s="3174">
        <v>952489</v>
      </c>
      <c r="B40" s="3175" t="s">
        <v>748</v>
      </c>
      <c r="C40" s="3174">
        <v>1778</v>
      </c>
      <c r="D40" s="3174" t="s">
        <v>939</v>
      </c>
      <c r="E40" s="3174">
        <v>9.5</v>
      </c>
      <c r="F40" s="3176">
        <v>0.30399999999999999</v>
      </c>
      <c r="G40" s="3176">
        <v>96.971000000000004</v>
      </c>
      <c r="H40" s="3176">
        <f t="shared" si="0"/>
        <v>97.275000000000006</v>
      </c>
      <c r="I40" s="2584"/>
      <c r="J40" s="219"/>
      <c r="O40" s="3353">
        <f t="shared" si="1"/>
        <v>97.275000000000006</v>
      </c>
    </row>
    <row r="41" spans="1:15">
      <c r="A41" s="3174">
        <v>31051</v>
      </c>
      <c r="B41" s="3175" t="s">
        <v>1115</v>
      </c>
      <c r="C41" s="3174">
        <v>587</v>
      </c>
      <c r="D41" s="3174" t="s">
        <v>939</v>
      </c>
      <c r="E41" s="3174">
        <v>7.6</v>
      </c>
      <c r="F41" s="3176"/>
      <c r="G41" s="3176">
        <v>94.653999999999996</v>
      </c>
      <c r="H41" s="3176">
        <f t="shared" si="0"/>
        <v>94.653999999999996</v>
      </c>
      <c r="I41" s="2584"/>
      <c r="J41" s="219"/>
      <c r="O41" s="3350">
        <f t="shared" si="1"/>
        <v>94.653999999999996</v>
      </c>
    </row>
    <row r="42" spans="1:15">
      <c r="A42" s="3174">
        <v>960520</v>
      </c>
      <c r="B42" s="3175" t="s">
        <v>1103</v>
      </c>
      <c r="C42" s="3174">
        <v>2000</v>
      </c>
      <c r="D42" s="3174" t="s">
        <v>939</v>
      </c>
      <c r="E42" s="3174">
        <v>11.9</v>
      </c>
      <c r="F42" s="3176">
        <v>7.0220000000000002</v>
      </c>
      <c r="G42" s="3176">
        <v>85.537000000000006</v>
      </c>
      <c r="H42" s="3176">
        <f t="shared" si="0"/>
        <v>92.559000000000012</v>
      </c>
      <c r="I42" s="2584"/>
      <c r="J42" s="219"/>
      <c r="O42" s="3350">
        <f t="shared" si="1"/>
        <v>92.559000000000012</v>
      </c>
    </row>
    <row r="43" spans="1:15">
      <c r="A43" s="3174">
        <v>960347</v>
      </c>
      <c r="B43" s="3175" t="s">
        <v>745</v>
      </c>
      <c r="C43" s="3174">
        <v>668</v>
      </c>
      <c r="D43" s="3174" t="s">
        <v>939</v>
      </c>
      <c r="E43" s="3174">
        <v>8.1300000000000008</v>
      </c>
      <c r="F43" s="3176">
        <v>13.391</v>
      </c>
      <c r="G43" s="3176">
        <v>76.369</v>
      </c>
      <c r="H43" s="3176">
        <f t="shared" si="0"/>
        <v>89.76</v>
      </c>
      <c r="I43" s="2584"/>
      <c r="J43" s="219"/>
      <c r="O43" s="3350">
        <f t="shared" si="1"/>
        <v>89.76</v>
      </c>
    </row>
    <row r="44" spans="1:15">
      <c r="A44" s="3174">
        <v>957834</v>
      </c>
      <c r="B44" s="3175" t="s">
        <v>760</v>
      </c>
      <c r="C44" s="3174">
        <v>2101</v>
      </c>
      <c r="D44" s="3174" t="s">
        <v>939</v>
      </c>
      <c r="E44" s="3174">
        <v>11.7</v>
      </c>
      <c r="F44" s="3176"/>
      <c r="G44" s="3176">
        <v>89.575999999999993</v>
      </c>
      <c r="H44" s="3176">
        <f t="shared" si="0"/>
        <v>89.575999999999993</v>
      </c>
      <c r="I44" s="2584"/>
      <c r="J44" s="219"/>
      <c r="O44" s="3350">
        <f t="shared" si="1"/>
        <v>89.575999999999993</v>
      </c>
    </row>
    <row r="45" spans="1:15">
      <c r="A45" s="3174">
        <v>954625</v>
      </c>
      <c r="B45" s="3175" t="s">
        <v>743</v>
      </c>
      <c r="C45" s="3174">
        <v>1106</v>
      </c>
      <c r="D45" s="3174" t="s">
        <v>939</v>
      </c>
      <c r="E45" s="3174">
        <v>8.8000000000000007</v>
      </c>
      <c r="F45" s="3176">
        <v>6.6130000000000004</v>
      </c>
      <c r="G45" s="3176">
        <v>82.418999999999997</v>
      </c>
      <c r="H45" s="3176">
        <f t="shared" si="0"/>
        <v>89.031999999999996</v>
      </c>
      <c r="I45" s="2584"/>
      <c r="J45" s="219"/>
      <c r="O45" s="3350">
        <f t="shared" si="1"/>
        <v>89.031999999999996</v>
      </c>
    </row>
    <row r="46" spans="1:15">
      <c r="A46" s="3174">
        <v>960011</v>
      </c>
      <c r="B46" s="3175" t="s">
        <v>753</v>
      </c>
      <c r="C46" s="3174">
        <v>527</v>
      </c>
      <c r="D46" s="3174" t="s">
        <v>939</v>
      </c>
      <c r="E46" s="3174">
        <v>8.1999999999999993</v>
      </c>
      <c r="F46" s="3176">
        <v>21.565999999999999</v>
      </c>
      <c r="G46" s="3176">
        <v>66.097999999999999</v>
      </c>
      <c r="H46" s="3176">
        <f t="shared" si="0"/>
        <v>87.664000000000001</v>
      </c>
      <c r="I46" s="2584"/>
      <c r="J46" s="219"/>
      <c r="O46" s="3350">
        <f t="shared" si="1"/>
        <v>87.664000000000001</v>
      </c>
    </row>
    <row r="47" spans="1:15">
      <c r="A47" s="3174">
        <v>960142</v>
      </c>
      <c r="B47" s="3175" t="s">
        <v>916</v>
      </c>
      <c r="C47" s="3174">
        <v>3019</v>
      </c>
      <c r="D47" s="3174" t="s">
        <v>939</v>
      </c>
      <c r="E47" s="3174">
        <v>8.24</v>
      </c>
      <c r="F47" s="3176">
        <v>6.2</v>
      </c>
      <c r="G47" s="3176">
        <v>79.8</v>
      </c>
      <c r="H47" s="3176">
        <f t="shared" si="0"/>
        <v>86</v>
      </c>
      <c r="I47" s="2584"/>
      <c r="J47" s="219"/>
      <c r="O47" s="3350">
        <f t="shared" si="1"/>
        <v>86</v>
      </c>
    </row>
    <row r="48" spans="1:15">
      <c r="A48" s="3174">
        <v>958603</v>
      </c>
      <c r="B48" s="3175" t="s">
        <v>890</v>
      </c>
      <c r="C48" s="3174">
        <v>148</v>
      </c>
      <c r="D48" s="3174" t="s">
        <v>939</v>
      </c>
      <c r="E48" s="3174">
        <v>8</v>
      </c>
      <c r="F48" s="3176">
        <v>35.213000000000001</v>
      </c>
      <c r="G48" s="3176">
        <v>50.508000000000003</v>
      </c>
      <c r="H48" s="3176">
        <f t="shared" si="0"/>
        <v>85.721000000000004</v>
      </c>
      <c r="I48" s="2584"/>
      <c r="J48" s="219"/>
      <c r="O48" s="3350">
        <f t="shared" si="1"/>
        <v>85.721000000000004</v>
      </c>
    </row>
    <row r="49" spans="1:15">
      <c r="A49" s="3174">
        <v>959046</v>
      </c>
      <c r="B49" s="3175" t="s">
        <v>740</v>
      </c>
      <c r="C49" s="3174">
        <v>1627</v>
      </c>
      <c r="D49" s="3174" t="s">
        <v>939</v>
      </c>
      <c r="E49" s="3174">
        <v>9.3000000000000007</v>
      </c>
      <c r="F49" s="3176">
        <v>17.783000000000001</v>
      </c>
      <c r="G49" s="3176">
        <v>65.241</v>
      </c>
      <c r="H49" s="3176">
        <f t="shared" si="0"/>
        <v>83.024000000000001</v>
      </c>
      <c r="I49" s="2584"/>
      <c r="J49" s="219"/>
      <c r="O49" s="3350">
        <f t="shared" si="1"/>
        <v>83.024000000000001</v>
      </c>
    </row>
    <row r="50" spans="1:15">
      <c r="A50" s="3174">
        <v>954871</v>
      </c>
      <c r="B50" s="3175" t="s">
        <v>772</v>
      </c>
      <c r="C50" s="3174">
        <v>2318</v>
      </c>
      <c r="D50" s="3174" t="s">
        <v>939</v>
      </c>
      <c r="E50" s="3174">
        <v>8.3000000000000007</v>
      </c>
      <c r="F50" s="3176">
        <v>20.931000000000001</v>
      </c>
      <c r="G50" s="3176">
        <v>60.726999999999997</v>
      </c>
      <c r="H50" s="3176">
        <f t="shared" si="0"/>
        <v>81.658000000000001</v>
      </c>
      <c r="I50" s="2584"/>
      <c r="J50" s="219"/>
      <c r="O50" s="3353">
        <f t="shared" si="1"/>
        <v>81.658000000000001</v>
      </c>
    </row>
    <row r="51" spans="1:15">
      <c r="A51" s="3174">
        <v>959047</v>
      </c>
      <c r="B51" s="3175" t="s">
        <v>751</v>
      </c>
      <c r="C51" s="3174">
        <v>2058</v>
      </c>
      <c r="D51" s="3174" t="s">
        <v>939</v>
      </c>
      <c r="E51" s="3174">
        <v>11.9</v>
      </c>
      <c r="F51" s="3176">
        <v>1.65</v>
      </c>
      <c r="G51" s="3176">
        <v>79.811999999999998</v>
      </c>
      <c r="H51" s="3176">
        <f t="shared" si="0"/>
        <v>81.462000000000003</v>
      </c>
      <c r="I51" s="2584"/>
      <c r="J51" s="219"/>
      <c r="O51" s="3353">
        <f t="shared" si="1"/>
        <v>81.462000000000003</v>
      </c>
    </row>
    <row r="52" spans="1:15">
      <c r="A52" s="3174">
        <v>955397</v>
      </c>
      <c r="B52" s="3175" t="s">
        <v>754</v>
      </c>
      <c r="C52" s="3174">
        <v>1918</v>
      </c>
      <c r="D52" s="3174" t="s">
        <v>939</v>
      </c>
      <c r="E52" s="3174">
        <v>11.3</v>
      </c>
      <c r="F52" s="3176">
        <v>0.11799999999999999</v>
      </c>
      <c r="G52" s="3176">
        <v>80.403000000000006</v>
      </c>
      <c r="H52" s="3176">
        <f t="shared" si="0"/>
        <v>80.521000000000001</v>
      </c>
      <c r="I52" s="2584"/>
      <c r="J52" s="219"/>
      <c r="O52" s="3353">
        <f t="shared" si="1"/>
        <v>80.521000000000001</v>
      </c>
    </row>
    <row r="53" spans="1:15">
      <c r="A53" s="3174">
        <v>954820</v>
      </c>
      <c r="B53" s="3175" t="s">
        <v>737</v>
      </c>
      <c r="C53" s="3174">
        <v>1919</v>
      </c>
      <c r="D53" s="3174" t="s">
        <v>939</v>
      </c>
      <c r="E53" s="3174">
        <v>9.65</v>
      </c>
      <c r="F53" s="3176"/>
      <c r="G53" s="3176">
        <v>79.819999999999993</v>
      </c>
      <c r="H53" s="3176">
        <f t="shared" si="0"/>
        <v>79.819999999999993</v>
      </c>
      <c r="I53" s="2584"/>
      <c r="J53" s="219"/>
      <c r="O53" s="3350">
        <f t="shared" si="1"/>
        <v>79.819999999999993</v>
      </c>
    </row>
    <row r="54" spans="1:15">
      <c r="A54" s="3174">
        <v>953859</v>
      </c>
      <c r="B54" s="3175" t="s">
        <v>738</v>
      </c>
      <c r="C54" s="3174">
        <v>625</v>
      </c>
      <c r="D54" s="3174" t="s">
        <v>939</v>
      </c>
      <c r="E54" s="3174">
        <v>10</v>
      </c>
      <c r="F54" s="3176"/>
      <c r="G54" s="3176">
        <v>76.879000000000005</v>
      </c>
      <c r="H54" s="3176">
        <f t="shared" si="0"/>
        <v>76.879000000000005</v>
      </c>
      <c r="I54" s="2584"/>
      <c r="J54" s="219"/>
      <c r="O54" s="3350">
        <f t="shared" si="1"/>
        <v>76.879000000000005</v>
      </c>
    </row>
    <row r="55" spans="1:15">
      <c r="A55" s="3174">
        <v>5227</v>
      </c>
      <c r="B55" s="3175" t="s">
        <v>782</v>
      </c>
      <c r="C55" s="3174">
        <v>453</v>
      </c>
      <c r="D55" s="3174" t="s">
        <v>939</v>
      </c>
      <c r="E55" s="3174">
        <v>5.7</v>
      </c>
      <c r="F55" s="3176">
        <v>9.9239999999999995</v>
      </c>
      <c r="G55" s="3176">
        <v>61.731999999999999</v>
      </c>
      <c r="H55" s="3176">
        <f t="shared" si="0"/>
        <v>71.656000000000006</v>
      </c>
      <c r="I55" s="2584"/>
      <c r="J55" s="219"/>
      <c r="O55" s="3350">
        <f t="shared" si="1"/>
        <v>71.656000000000006</v>
      </c>
    </row>
    <row r="56" spans="1:15">
      <c r="A56" s="3174">
        <v>955079</v>
      </c>
      <c r="B56" s="3175" t="s">
        <v>742</v>
      </c>
      <c r="C56" s="3174">
        <v>1890</v>
      </c>
      <c r="D56" s="3174" t="s">
        <v>939</v>
      </c>
      <c r="E56" s="3174">
        <v>11.2</v>
      </c>
      <c r="F56" s="3176"/>
      <c r="G56" s="3176">
        <v>69.251999999999995</v>
      </c>
      <c r="H56" s="3176">
        <f t="shared" si="0"/>
        <v>69.251999999999995</v>
      </c>
      <c r="I56" s="2584"/>
      <c r="J56" s="219"/>
      <c r="O56" s="3350">
        <f t="shared" si="1"/>
        <v>69.251999999999995</v>
      </c>
    </row>
    <row r="57" spans="1:15">
      <c r="A57" s="3174">
        <v>955425</v>
      </c>
      <c r="B57" s="3175" t="s">
        <v>756</v>
      </c>
      <c r="C57" s="3174">
        <v>1928</v>
      </c>
      <c r="D57" s="3174" t="s">
        <v>939</v>
      </c>
      <c r="E57" s="3174">
        <v>11.95</v>
      </c>
      <c r="F57" s="3176">
        <v>1.7889999999999999</v>
      </c>
      <c r="G57" s="3176">
        <v>66.019000000000005</v>
      </c>
      <c r="H57" s="3176">
        <f t="shared" si="0"/>
        <v>67.808000000000007</v>
      </c>
      <c r="I57" s="2584"/>
      <c r="J57" s="219"/>
      <c r="O57" s="3350">
        <f t="shared" si="1"/>
        <v>67.808000000000007</v>
      </c>
    </row>
    <row r="58" spans="1:15">
      <c r="A58" s="3174">
        <v>960549</v>
      </c>
      <c r="B58" s="3175" t="s">
        <v>1183</v>
      </c>
      <c r="C58" s="3174">
        <v>2163</v>
      </c>
      <c r="D58" s="3174" t="s">
        <v>939</v>
      </c>
      <c r="E58" s="3174">
        <v>11.95</v>
      </c>
      <c r="F58" s="3176">
        <v>1.345</v>
      </c>
      <c r="G58" s="3176">
        <v>61.999000000000002</v>
      </c>
      <c r="H58" s="3176">
        <f t="shared" si="0"/>
        <v>63.344000000000001</v>
      </c>
      <c r="I58" s="2584"/>
      <c r="J58" s="219"/>
      <c r="O58" s="3350">
        <f t="shared" si="1"/>
        <v>63.344000000000001</v>
      </c>
    </row>
    <row r="59" spans="1:15">
      <c r="A59" s="3174">
        <v>959388</v>
      </c>
      <c r="B59" s="3175" t="s">
        <v>749</v>
      </c>
      <c r="C59" s="3174">
        <v>1557</v>
      </c>
      <c r="D59" s="3174" t="s">
        <v>939</v>
      </c>
      <c r="E59" s="3174">
        <v>8.1999999999999993</v>
      </c>
      <c r="F59" s="3176">
        <v>1.7390000000000001</v>
      </c>
      <c r="G59" s="3176">
        <v>60.329000000000001</v>
      </c>
      <c r="H59" s="3176">
        <f t="shared" si="0"/>
        <v>62.067999999999998</v>
      </c>
      <c r="I59" s="2584"/>
      <c r="J59" s="219"/>
      <c r="O59" s="3350">
        <f t="shared" si="1"/>
        <v>62.067999999999998</v>
      </c>
    </row>
    <row r="60" spans="1:15">
      <c r="A60" s="3174">
        <v>955508</v>
      </c>
      <c r="B60" s="3175" t="s">
        <v>838</v>
      </c>
      <c r="C60" s="3174">
        <v>1391</v>
      </c>
      <c r="D60" s="3174" t="s">
        <v>939</v>
      </c>
      <c r="E60" s="3174">
        <v>8</v>
      </c>
      <c r="F60" s="3176"/>
      <c r="G60" s="3176">
        <v>59.813000000000002</v>
      </c>
      <c r="H60" s="3176">
        <f t="shared" si="0"/>
        <v>59.813000000000002</v>
      </c>
      <c r="I60" s="2584"/>
      <c r="J60" s="219"/>
      <c r="O60" s="3350">
        <f t="shared" si="1"/>
        <v>59.813000000000002</v>
      </c>
    </row>
    <row r="61" spans="1:15">
      <c r="A61" s="3174">
        <v>959495</v>
      </c>
      <c r="B61" s="3175" t="s">
        <v>747</v>
      </c>
      <c r="C61" s="3174">
        <v>2166</v>
      </c>
      <c r="D61" s="3174" t="s">
        <v>939</v>
      </c>
      <c r="E61" s="3174">
        <v>11.4</v>
      </c>
      <c r="F61" s="3176">
        <v>0.318</v>
      </c>
      <c r="G61" s="3176">
        <v>57.728000000000002</v>
      </c>
      <c r="H61" s="3176">
        <f t="shared" si="0"/>
        <v>58.045999999999999</v>
      </c>
      <c r="I61" s="2584"/>
      <c r="J61" s="219"/>
      <c r="O61" s="3350">
        <f t="shared" si="1"/>
        <v>58.045999999999999</v>
      </c>
    </row>
    <row r="62" spans="1:15">
      <c r="A62" s="3174">
        <v>958889</v>
      </c>
      <c r="B62" s="3175" t="s">
        <v>820</v>
      </c>
      <c r="C62" s="3174">
        <v>204</v>
      </c>
      <c r="D62" s="3174" t="s">
        <v>939</v>
      </c>
      <c r="E62" s="3174">
        <v>8.3000000000000007</v>
      </c>
      <c r="F62" s="3176">
        <v>9.9019999999999992</v>
      </c>
      <c r="G62" s="3176">
        <v>46.728999999999999</v>
      </c>
      <c r="H62" s="3176">
        <f t="shared" si="0"/>
        <v>56.631</v>
      </c>
      <c r="I62" s="2584"/>
      <c r="J62" s="219"/>
      <c r="O62" s="3350">
        <f t="shared" si="1"/>
        <v>56.631</v>
      </c>
    </row>
    <row r="63" spans="1:15">
      <c r="A63" s="3174">
        <v>959585</v>
      </c>
      <c r="B63" s="3175" t="s">
        <v>766</v>
      </c>
      <c r="C63" s="3174">
        <v>492</v>
      </c>
      <c r="D63" s="3174" t="s">
        <v>939</v>
      </c>
      <c r="E63" s="3174">
        <v>8.3000000000000007</v>
      </c>
      <c r="F63" s="3176">
        <v>3.93</v>
      </c>
      <c r="G63" s="3176">
        <v>52.354999999999997</v>
      </c>
      <c r="H63" s="3176">
        <f t="shared" si="0"/>
        <v>56.284999999999997</v>
      </c>
      <c r="I63" s="2584"/>
      <c r="J63" s="219"/>
      <c r="O63" s="3350">
        <f t="shared" si="1"/>
        <v>56.284999999999997</v>
      </c>
    </row>
    <row r="64" spans="1:15">
      <c r="A64" s="3174">
        <v>959810</v>
      </c>
      <c r="B64" s="3175" t="s">
        <v>796</v>
      </c>
      <c r="C64" s="3174">
        <v>203</v>
      </c>
      <c r="D64" s="3174" t="s">
        <v>939</v>
      </c>
      <c r="E64" s="3174">
        <v>8.4</v>
      </c>
      <c r="F64" s="3176">
        <v>6.0529999999999999</v>
      </c>
      <c r="G64" s="3176">
        <v>50.133000000000003</v>
      </c>
      <c r="H64" s="3176">
        <f t="shared" si="0"/>
        <v>56.186</v>
      </c>
      <c r="I64" s="2584"/>
      <c r="J64" s="219"/>
      <c r="O64" s="3350">
        <f t="shared" si="1"/>
        <v>56.186</v>
      </c>
    </row>
    <row r="65" spans="1:15">
      <c r="A65" s="3174">
        <v>955064</v>
      </c>
      <c r="B65" s="3175" t="s">
        <v>788</v>
      </c>
      <c r="C65" s="3174">
        <v>1889</v>
      </c>
      <c r="D65" s="3174" t="s">
        <v>939</v>
      </c>
      <c r="E65" s="3174">
        <v>10.15</v>
      </c>
      <c r="F65" s="3176">
        <v>9.9580000000000002</v>
      </c>
      <c r="G65" s="3176">
        <v>45.832999999999998</v>
      </c>
      <c r="H65" s="3176">
        <f t="shared" si="0"/>
        <v>55.790999999999997</v>
      </c>
      <c r="I65" s="2584"/>
      <c r="J65" s="219"/>
      <c r="O65" s="3350">
        <f t="shared" si="1"/>
        <v>55.790999999999997</v>
      </c>
    </row>
    <row r="66" spans="1:15">
      <c r="A66" s="3174">
        <v>957990</v>
      </c>
      <c r="B66" s="3175" t="s">
        <v>746</v>
      </c>
      <c r="C66" s="3174">
        <v>2113</v>
      </c>
      <c r="D66" s="3174" t="s">
        <v>939</v>
      </c>
      <c r="E66" s="3174">
        <v>11.8</v>
      </c>
      <c r="F66" s="3176"/>
      <c r="G66" s="3176">
        <v>54.872999999999998</v>
      </c>
      <c r="H66" s="3176">
        <f t="shared" si="0"/>
        <v>54.872999999999998</v>
      </c>
      <c r="I66" s="2584"/>
      <c r="J66" s="219"/>
      <c r="O66" s="3350">
        <f t="shared" si="1"/>
        <v>54.872999999999998</v>
      </c>
    </row>
    <row r="67" spans="1:15">
      <c r="A67" s="3174">
        <v>959996</v>
      </c>
      <c r="B67" s="3175" t="s">
        <v>909</v>
      </c>
      <c r="C67" s="3174">
        <v>313</v>
      </c>
      <c r="D67" s="3174" t="s">
        <v>939</v>
      </c>
      <c r="E67" s="3174">
        <v>8.1999999999999993</v>
      </c>
      <c r="F67" s="3176">
        <v>3.3849999999999998</v>
      </c>
      <c r="G67" s="3176">
        <v>50.518000000000001</v>
      </c>
      <c r="H67" s="3176">
        <f t="shared" si="0"/>
        <v>53.902999999999999</v>
      </c>
      <c r="I67" s="2584"/>
      <c r="J67" s="219"/>
      <c r="O67" s="3350">
        <f t="shared" si="1"/>
        <v>53.902999999999999</v>
      </c>
    </row>
    <row r="68" spans="1:15">
      <c r="A68" s="3174">
        <v>955442</v>
      </c>
      <c r="B68" s="3175" t="s">
        <v>750</v>
      </c>
      <c r="C68" s="3174">
        <v>1935</v>
      </c>
      <c r="D68" s="3174" t="s">
        <v>939</v>
      </c>
      <c r="E68" s="3174">
        <v>11.6</v>
      </c>
      <c r="F68" s="3176"/>
      <c r="G68" s="3176">
        <v>52.570999999999998</v>
      </c>
      <c r="H68" s="3176">
        <f t="shared" si="0"/>
        <v>52.570999999999998</v>
      </c>
      <c r="I68" s="2584"/>
      <c r="J68" s="219"/>
      <c r="O68" s="3350">
        <f t="shared" si="1"/>
        <v>52.570999999999998</v>
      </c>
    </row>
    <row r="69" spans="1:15">
      <c r="A69" s="3174">
        <v>959508</v>
      </c>
      <c r="B69" s="3175" t="s">
        <v>752</v>
      </c>
      <c r="C69" s="3174">
        <v>1604</v>
      </c>
      <c r="D69" s="3174" t="s">
        <v>939</v>
      </c>
      <c r="E69" s="3174">
        <v>8.3000000000000007</v>
      </c>
      <c r="F69" s="3176"/>
      <c r="G69" s="3176">
        <v>51.953000000000003</v>
      </c>
      <c r="H69" s="3176">
        <f t="shared" si="0"/>
        <v>51.953000000000003</v>
      </c>
      <c r="I69" s="2584"/>
      <c r="J69" s="219"/>
      <c r="O69" s="3350">
        <f t="shared" si="1"/>
        <v>51.953000000000003</v>
      </c>
    </row>
    <row r="70" spans="1:15">
      <c r="A70" s="3174">
        <v>959105</v>
      </c>
      <c r="B70" s="3175" t="s">
        <v>848</v>
      </c>
      <c r="C70" s="3174">
        <v>1465</v>
      </c>
      <c r="D70" s="3174" t="s">
        <v>939</v>
      </c>
      <c r="E70" s="3174">
        <v>8.1999999999999993</v>
      </c>
      <c r="F70" s="3176">
        <v>2.3E-2</v>
      </c>
      <c r="G70" s="3176">
        <v>50.673000000000002</v>
      </c>
      <c r="H70" s="3176">
        <f t="shared" si="0"/>
        <v>50.696000000000005</v>
      </c>
      <c r="I70" s="2584"/>
      <c r="J70" s="219"/>
      <c r="O70" s="3350">
        <f t="shared" si="1"/>
        <v>50.696000000000005</v>
      </c>
    </row>
    <row r="71" spans="1:15">
      <c r="A71" s="3174">
        <v>960756</v>
      </c>
      <c r="B71" s="3175" t="s">
        <v>775</v>
      </c>
      <c r="C71" s="3174">
        <v>2111</v>
      </c>
      <c r="D71" s="3174" t="s">
        <v>939</v>
      </c>
      <c r="E71" s="3174">
        <v>9.4</v>
      </c>
      <c r="F71" s="3176">
        <v>1.5840000000000001</v>
      </c>
      <c r="G71" s="3176">
        <v>48.533000000000001</v>
      </c>
      <c r="H71" s="3176">
        <f t="shared" si="0"/>
        <v>50.117000000000004</v>
      </c>
      <c r="I71" s="2584"/>
      <c r="J71" s="219"/>
      <c r="O71" s="3353">
        <f t="shared" si="1"/>
        <v>50.117000000000004</v>
      </c>
    </row>
    <row r="72" spans="1:15">
      <c r="A72" s="3174">
        <v>957817</v>
      </c>
      <c r="B72" s="3175" t="s">
        <v>868</v>
      </c>
      <c r="C72" s="3174">
        <v>1424</v>
      </c>
      <c r="D72" s="3174" t="s">
        <v>939</v>
      </c>
      <c r="E72" s="3174">
        <v>11.7</v>
      </c>
      <c r="F72" s="3176">
        <v>3.7749999999999999</v>
      </c>
      <c r="G72" s="3176">
        <v>46.195</v>
      </c>
      <c r="H72" s="3176">
        <f t="shared" si="0"/>
        <v>49.97</v>
      </c>
      <c r="I72" s="2584"/>
      <c r="J72" s="219"/>
      <c r="O72" s="3353">
        <f t="shared" si="1"/>
        <v>49.97</v>
      </c>
    </row>
    <row r="73" spans="1:15">
      <c r="A73" s="3174">
        <v>960354</v>
      </c>
      <c r="B73" s="3175" t="s">
        <v>1104</v>
      </c>
      <c r="C73" s="3174">
        <v>3026</v>
      </c>
      <c r="D73" s="3174" t="s">
        <v>939</v>
      </c>
      <c r="E73" s="3174">
        <v>10.4</v>
      </c>
      <c r="F73" s="3176">
        <v>1.3560000000000001</v>
      </c>
      <c r="G73" s="3176">
        <v>45.511000000000003</v>
      </c>
      <c r="H73" s="3176">
        <f t="shared" si="0"/>
        <v>46.867000000000004</v>
      </c>
      <c r="I73" s="2584"/>
      <c r="J73" s="219"/>
      <c r="O73" s="3350">
        <f t="shared" si="1"/>
        <v>46.867000000000004</v>
      </c>
    </row>
    <row r="74" spans="1:15">
      <c r="A74" s="3174">
        <v>957820</v>
      </c>
      <c r="B74" s="3175" t="s">
        <v>769</v>
      </c>
      <c r="C74" s="3174">
        <v>2072</v>
      </c>
      <c r="D74" s="3174" t="s">
        <v>939</v>
      </c>
      <c r="E74" s="3174">
        <v>11.4</v>
      </c>
      <c r="F74" s="3176">
        <v>0.94</v>
      </c>
      <c r="G74" s="3176">
        <v>45.759</v>
      </c>
      <c r="H74" s="3176">
        <f t="shared" ref="H74:H137" si="2">+G74+F74</f>
        <v>46.698999999999998</v>
      </c>
      <c r="I74" s="2584"/>
      <c r="J74" s="219"/>
      <c r="O74" s="3350">
        <f t="shared" ref="O74:O137" si="3">(H74-M74)</f>
        <v>46.698999999999998</v>
      </c>
    </row>
    <row r="75" spans="1:15">
      <c r="A75" s="3174">
        <v>960125</v>
      </c>
      <c r="B75" s="3175" t="s">
        <v>757</v>
      </c>
      <c r="C75" s="3174">
        <v>2132</v>
      </c>
      <c r="D75" s="3174" t="s">
        <v>939</v>
      </c>
      <c r="E75" s="3174">
        <v>12</v>
      </c>
      <c r="F75" s="3176"/>
      <c r="G75" s="3176">
        <v>46.551000000000002</v>
      </c>
      <c r="H75" s="3176">
        <f t="shared" si="2"/>
        <v>46.551000000000002</v>
      </c>
      <c r="I75" s="2584"/>
      <c r="J75" s="219"/>
      <c r="O75" s="3350">
        <f t="shared" si="3"/>
        <v>46.551000000000002</v>
      </c>
    </row>
    <row r="76" spans="1:15">
      <c r="A76" s="3174">
        <v>959023</v>
      </c>
      <c r="B76" s="3175" t="s">
        <v>1088</v>
      </c>
      <c r="C76" s="3174">
        <v>118</v>
      </c>
      <c r="D76" s="3174" t="s">
        <v>939</v>
      </c>
      <c r="E76" s="3174">
        <v>8.6</v>
      </c>
      <c r="F76" s="3176">
        <v>8.3000000000000004E-2</v>
      </c>
      <c r="G76" s="3176">
        <v>45.201999999999998</v>
      </c>
      <c r="H76" s="3176">
        <f t="shared" si="2"/>
        <v>45.284999999999997</v>
      </c>
      <c r="I76" s="2584"/>
      <c r="J76" s="219"/>
      <c r="O76" s="3350">
        <f t="shared" si="3"/>
        <v>45.284999999999997</v>
      </c>
    </row>
    <row r="77" spans="1:15">
      <c r="A77" s="3174">
        <v>957819</v>
      </c>
      <c r="B77" s="3175" t="s">
        <v>755</v>
      </c>
      <c r="C77" s="3174">
        <v>2100</v>
      </c>
      <c r="D77" s="3174" t="s">
        <v>939</v>
      </c>
      <c r="E77" s="3174">
        <v>11.8</v>
      </c>
      <c r="F77" s="3176">
        <v>1.2999999999999999E-2</v>
      </c>
      <c r="G77" s="3176">
        <v>44.225999999999999</v>
      </c>
      <c r="H77" s="3176">
        <f t="shared" si="2"/>
        <v>44.238999999999997</v>
      </c>
      <c r="I77" s="2584"/>
      <c r="J77" s="219"/>
      <c r="O77" s="3350">
        <f t="shared" si="3"/>
        <v>44.238999999999997</v>
      </c>
    </row>
    <row r="78" spans="1:15">
      <c r="A78" s="3174">
        <v>955101</v>
      </c>
      <c r="B78" s="3175" t="s">
        <v>803</v>
      </c>
      <c r="C78" s="3174">
        <v>1384</v>
      </c>
      <c r="D78" s="3174" t="s">
        <v>939</v>
      </c>
      <c r="E78" s="3174">
        <v>8.06</v>
      </c>
      <c r="F78" s="3176"/>
      <c r="G78" s="3176">
        <v>44.22</v>
      </c>
      <c r="H78" s="3176">
        <f t="shared" si="2"/>
        <v>44.22</v>
      </c>
      <c r="I78" s="2584"/>
      <c r="J78" s="219"/>
      <c r="O78" s="3350">
        <f t="shared" si="3"/>
        <v>44.22</v>
      </c>
    </row>
    <row r="79" spans="1:15">
      <c r="A79" s="3174">
        <v>959343</v>
      </c>
      <c r="B79" s="3175" t="s">
        <v>776</v>
      </c>
      <c r="C79" s="3174">
        <v>2106</v>
      </c>
      <c r="D79" s="3174" t="s">
        <v>939</v>
      </c>
      <c r="E79" s="3174">
        <v>8.1999999999999993</v>
      </c>
      <c r="F79" s="3176">
        <v>4.1459999999999999</v>
      </c>
      <c r="G79" s="3176">
        <v>37.969000000000001</v>
      </c>
      <c r="H79" s="3176">
        <f t="shared" si="2"/>
        <v>42.115000000000002</v>
      </c>
      <c r="I79" s="2584"/>
      <c r="J79" s="219"/>
      <c r="O79" s="3350">
        <f t="shared" si="3"/>
        <v>42.115000000000002</v>
      </c>
    </row>
    <row r="80" spans="1:15">
      <c r="A80" s="3174">
        <v>959326</v>
      </c>
      <c r="B80" s="3175" t="s">
        <v>779</v>
      </c>
      <c r="C80" s="3174">
        <v>208</v>
      </c>
      <c r="D80" s="3174" t="s">
        <v>939</v>
      </c>
      <c r="E80" s="3174">
        <v>8.4</v>
      </c>
      <c r="F80" s="3176">
        <v>6.68</v>
      </c>
      <c r="G80" s="3176">
        <v>34.488</v>
      </c>
      <c r="H80" s="3176">
        <f t="shared" si="2"/>
        <v>41.167999999999999</v>
      </c>
      <c r="I80" s="2584"/>
      <c r="J80" s="219"/>
      <c r="O80" s="3350">
        <f t="shared" si="3"/>
        <v>41.167999999999999</v>
      </c>
    </row>
    <row r="81" spans="1:15">
      <c r="A81" s="3174">
        <v>31199</v>
      </c>
      <c r="B81" s="3175" t="s">
        <v>307</v>
      </c>
      <c r="C81" s="3174">
        <v>573</v>
      </c>
      <c r="D81" s="3174" t="s">
        <v>939</v>
      </c>
      <c r="E81" s="3174">
        <v>8.1999999999999993</v>
      </c>
      <c r="F81" s="3176">
        <v>1.4670000000000001</v>
      </c>
      <c r="G81" s="3176">
        <v>39.49</v>
      </c>
      <c r="H81" s="3176">
        <f t="shared" si="2"/>
        <v>40.957000000000001</v>
      </c>
      <c r="I81" s="2584"/>
      <c r="J81" s="219"/>
      <c r="O81" s="3350">
        <f t="shared" si="3"/>
        <v>40.957000000000001</v>
      </c>
    </row>
    <row r="82" spans="1:15">
      <c r="A82" s="3174">
        <v>959952</v>
      </c>
      <c r="B82" s="3175" t="s">
        <v>893</v>
      </c>
      <c r="C82" s="3174">
        <v>643</v>
      </c>
      <c r="D82" s="3174" t="s">
        <v>939</v>
      </c>
      <c r="E82" s="3174">
        <v>8.1999999999999993</v>
      </c>
      <c r="F82" s="3176"/>
      <c r="G82" s="3176">
        <v>40.6</v>
      </c>
      <c r="H82" s="3176">
        <f t="shared" si="2"/>
        <v>40.6</v>
      </c>
      <c r="I82" s="2584"/>
      <c r="J82" s="219"/>
      <c r="O82" s="3350">
        <f t="shared" si="3"/>
        <v>40.6</v>
      </c>
    </row>
    <row r="83" spans="1:15">
      <c r="A83" s="3174">
        <v>960096</v>
      </c>
      <c r="B83" s="3175" t="s">
        <v>810</v>
      </c>
      <c r="C83" s="3174">
        <v>2113</v>
      </c>
      <c r="D83" s="3174" t="s">
        <v>939</v>
      </c>
      <c r="E83" s="3174">
        <v>8.1999999999999993</v>
      </c>
      <c r="F83" s="3176">
        <v>2.2000000000000002</v>
      </c>
      <c r="G83" s="3176">
        <v>37.933999999999997</v>
      </c>
      <c r="H83" s="3176">
        <f t="shared" si="2"/>
        <v>40.134</v>
      </c>
      <c r="I83" s="2584"/>
      <c r="J83" s="219"/>
      <c r="O83" s="3350">
        <f t="shared" si="3"/>
        <v>40.134</v>
      </c>
    </row>
    <row r="84" spans="1:15">
      <c r="A84" s="3174">
        <v>953860</v>
      </c>
      <c r="B84" s="3175" t="s">
        <v>758</v>
      </c>
      <c r="C84" s="3174">
        <v>1230</v>
      </c>
      <c r="D84" s="3174" t="s">
        <v>939</v>
      </c>
      <c r="E84" s="3174">
        <v>10.3</v>
      </c>
      <c r="F84" s="3176"/>
      <c r="G84" s="3176">
        <v>40.119</v>
      </c>
      <c r="H84" s="3176">
        <f t="shared" si="2"/>
        <v>40.119</v>
      </c>
      <c r="I84" s="2584"/>
      <c r="J84" s="219"/>
      <c r="O84" s="3353">
        <f t="shared" si="3"/>
        <v>40.119</v>
      </c>
    </row>
    <row r="85" spans="1:15">
      <c r="A85" s="3174">
        <v>957818</v>
      </c>
      <c r="B85" s="3175" t="s">
        <v>759</v>
      </c>
      <c r="C85" s="3174">
        <v>2096</v>
      </c>
      <c r="D85" s="3174" t="s">
        <v>939</v>
      </c>
      <c r="E85" s="3174">
        <v>11.2</v>
      </c>
      <c r="F85" s="3176"/>
      <c r="G85" s="3176">
        <v>40.101999999999997</v>
      </c>
      <c r="H85" s="3176">
        <f t="shared" si="2"/>
        <v>40.101999999999997</v>
      </c>
      <c r="I85" s="2584"/>
      <c r="J85" s="219"/>
      <c r="O85" s="3353">
        <f t="shared" si="3"/>
        <v>40.101999999999997</v>
      </c>
    </row>
    <row r="86" spans="1:15">
      <c r="A86" s="3174">
        <v>960847</v>
      </c>
      <c r="B86" s="3175" t="s">
        <v>1105</v>
      </c>
      <c r="C86" s="3174">
        <v>684</v>
      </c>
      <c r="D86" s="3174" t="s">
        <v>939</v>
      </c>
      <c r="E86" s="3174">
        <v>8.08</v>
      </c>
      <c r="F86" s="3176">
        <v>3.0000000000000001E-3</v>
      </c>
      <c r="G86" s="3176">
        <v>39.146999999999998</v>
      </c>
      <c r="H86" s="3176">
        <f t="shared" si="2"/>
        <v>39.15</v>
      </c>
      <c r="I86" s="2584"/>
      <c r="J86" s="219"/>
      <c r="O86" s="3353">
        <f t="shared" si="3"/>
        <v>39.15</v>
      </c>
    </row>
    <row r="87" spans="1:15">
      <c r="A87" s="3174">
        <v>956413</v>
      </c>
      <c r="B87" s="3175" t="s">
        <v>767</v>
      </c>
      <c r="C87" s="3174">
        <v>417</v>
      </c>
      <c r="D87" s="3174" t="s">
        <v>939</v>
      </c>
      <c r="E87" s="3174">
        <v>9.3000000000000007</v>
      </c>
      <c r="F87" s="3176">
        <v>0.55800000000000005</v>
      </c>
      <c r="G87" s="3176">
        <v>37.402999999999999</v>
      </c>
      <c r="H87" s="3176">
        <f t="shared" si="2"/>
        <v>37.960999999999999</v>
      </c>
      <c r="I87" s="2584"/>
      <c r="J87" s="219"/>
      <c r="O87" s="3353">
        <f t="shared" si="3"/>
        <v>37.960999999999999</v>
      </c>
    </row>
    <row r="88" spans="1:15">
      <c r="A88" s="3174">
        <v>959963</v>
      </c>
      <c r="B88" s="3175" t="s">
        <v>791</v>
      </c>
      <c r="C88" s="3174">
        <v>1333</v>
      </c>
      <c r="D88" s="3174" t="s">
        <v>939</v>
      </c>
      <c r="E88" s="3174">
        <v>9.4</v>
      </c>
      <c r="F88" s="3176">
        <v>11.233000000000001</v>
      </c>
      <c r="G88" s="3176">
        <v>26.702000000000002</v>
      </c>
      <c r="H88" s="3176">
        <f t="shared" si="2"/>
        <v>37.935000000000002</v>
      </c>
      <c r="I88" s="2584"/>
      <c r="J88" s="219"/>
      <c r="O88" s="3353">
        <f t="shared" si="3"/>
        <v>37.935000000000002</v>
      </c>
    </row>
    <row r="89" spans="1:15">
      <c r="A89" s="3174">
        <v>957535</v>
      </c>
      <c r="B89" s="3175" t="s">
        <v>761</v>
      </c>
      <c r="C89" s="3174">
        <v>50</v>
      </c>
      <c r="D89" s="3174" t="s">
        <v>939</v>
      </c>
      <c r="E89" s="3174">
        <v>9.1</v>
      </c>
      <c r="F89" s="3176">
        <v>7.05</v>
      </c>
      <c r="G89" s="3176">
        <v>29.515999999999998</v>
      </c>
      <c r="H89" s="3176">
        <f t="shared" si="2"/>
        <v>36.565999999999995</v>
      </c>
      <c r="I89" s="2584"/>
      <c r="J89" s="219"/>
      <c r="O89" s="3350">
        <f t="shared" si="3"/>
        <v>36.565999999999995</v>
      </c>
    </row>
    <row r="90" spans="1:15">
      <c r="A90" s="3174">
        <v>956892</v>
      </c>
      <c r="B90" s="3175" t="s">
        <v>910</v>
      </c>
      <c r="C90" s="3174">
        <v>446</v>
      </c>
      <c r="D90" s="3174" t="s">
        <v>939</v>
      </c>
      <c r="E90" s="3174">
        <v>8.1999999999999993</v>
      </c>
      <c r="F90" s="3176">
        <v>0.33200000000000002</v>
      </c>
      <c r="G90" s="3176">
        <v>36.18</v>
      </c>
      <c r="H90" s="3176">
        <f t="shared" si="2"/>
        <v>36.512</v>
      </c>
      <c r="I90" s="2584"/>
      <c r="J90" s="219"/>
      <c r="O90" s="3350">
        <f t="shared" si="3"/>
        <v>36.512</v>
      </c>
    </row>
    <row r="91" spans="1:15">
      <c r="A91" s="3174">
        <v>956935</v>
      </c>
      <c r="B91" s="3175" t="s">
        <v>786</v>
      </c>
      <c r="C91" s="3174">
        <v>1997</v>
      </c>
      <c r="D91" s="3174" t="s">
        <v>939</v>
      </c>
      <c r="E91" s="3174">
        <v>11</v>
      </c>
      <c r="F91" s="3176">
        <v>2.1749999999999998</v>
      </c>
      <c r="G91" s="3176">
        <v>32.884999999999998</v>
      </c>
      <c r="H91" s="3176">
        <f t="shared" si="2"/>
        <v>35.059999999999995</v>
      </c>
      <c r="I91" s="2584"/>
      <c r="J91" s="219"/>
      <c r="O91" s="3350">
        <f t="shared" si="3"/>
        <v>35.059999999999995</v>
      </c>
    </row>
    <row r="92" spans="1:15">
      <c r="A92" s="3174">
        <v>955340</v>
      </c>
      <c r="B92" s="3175" t="s">
        <v>762</v>
      </c>
      <c r="C92" s="3174">
        <v>1187</v>
      </c>
      <c r="D92" s="3174" t="s">
        <v>939</v>
      </c>
      <c r="E92" s="3174">
        <v>9</v>
      </c>
      <c r="F92" s="3176"/>
      <c r="G92" s="3176">
        <v>34.648000000000003</v>
      </c>
      <c r="H92" s="3176">
        <f t="shared" si="2"/>
        <v>34.648000000000003</v>
      </c>
      <c r="I92" s="2584"/>
      <c r="J92" s="219"/>
      <c r="O92" s="3350">
        <f t="shared" si="3"/>
        <v>34.648000000000003</v>
      </c>
    </row>
    <row r="93" spans="1:15">
      <c r="A93" s="3174">
        <v>959206</v>
      </c>
      <c r="B93" s="3175" t="s">
        <v>764</v>
      </c>
      <c r="C93" s="3174">
        <v>434</v>
      </c>
      <c r="D93" s="3174" t="s">
        <v>939</v>
      </c>
      <c r="E93" s="3174">
        <v>9.6</v>
      </c>
      <c r="F93" s="3176"/>
      <c r="G93" s="3176">
        <v>34.457000000000001</v>
      </c>
      <c r="H93" s="3176">
        <f t="shared" si="2"/>
        <v>34.457000000000001</v>
      </c>
      <c r="I93" s="2584"/>
      <c r="J93" s="219"/>
      <c r="O93" s="3350">
        <f t="shared" si="3"/>
        <v>34.457000000000001</v>
      </c>
    </row>
    <row r="94" spans="1:15">
      <c r="A94" s="3174">
        <v>959107</v>
      </c>
      <c r="B94" s="3175" t="s">
        <v>768</v>
      </c>
      <c r="C94" s="3174">
        <v>2989</v>
      </c>
      <c r="D94" s="3174" t="s">
        <v>939</v>
      </c>
      <c r="E94" s="3174">
        <v>8.1999999999999993</v>
      </c>
      <c r="F94" s="3176">
        <v>2.75</v>
      </c>
      <c r="G94" s="3176">
        <v>30.186</v>
      </c>
      <c r="H94" s="3176">
        <f t="shared" si="2"/>
        <v>32.936</v>
      </c>
      <c r="I94" s="2584"/>
      <c r="J94" s="219"/>
      <c r="O94" s="3350">
        <f t="shared" si="3"/>
        <v>32.936</v>
      </c>
    </row>
    <row r="95" spans="1:15">
      <c r="A95" s="3174">
        <v>954972</v>
      </c>
      <c r="B95" s="3175" t="s">
        <v>765</v>
      </c>
      <c r="C95" s="3174">
        <v>1858</v>
      </c>
      <c r="D95" s="3174" t="s">
        <v>939</v>
      </c>
      <c r="E95" s="3174">
        <v>10.3</v>
      </c>
      <c r="F95" s="3176"/>
      <c r="G95" s="3176">
        <v>32.808999999999997</v>
      </c>
      <c r="H95" s="3176">
        <f t="shared" si="2"/>
        <v>32.808999999999997</v>
      </c>
      <c r="I95" s="2584"/>
      <c r="J95" s="219"/>
      <c r="O95" s="3350">
        <f t="shared" si="3"/>
        <v>32.808999999999997</v>
      </c>
    </row>
    <row r="96" spans="1:15">
      <c r="A96" s="3174">
        <v>959193</v>
      </c>
      <c r="B96" s="3175" t="s">
        <v>770</v>
      </c>
      <c r="C96" s="3174">
        <v>1603</v>
      </c>
      <c r="D96" s="3174" t="s">
        <v>939</v>
      </c>
      <c r="E96" s="3174">
        <v>8.1</v>
      </c>
      <c r="F96" s="3176">
        <v>2.0099999999999998</v>
      </c>
      <c r="G96" s="3176">
        <v>30.523</v>
      </c>
      <c r="H96" s="3176">
        <f t="shared" si="2"/>
        <v>32.533000000000001</v>
      </c>
      <c r="I96" s="2584"/>
      <c r="J96" s="219"/>
      <c r="O96" s="3350">
        <f t="shared" si="3"/>
        <v>32.533000000000001</v>
      </c>
    </row>
    <row r="97" spans="1:15">
      <c r="A97" s="3174">
        <v>955406</v>
      </c>
      <c r="B97" s="3175" t="s">
        <v>849</v>
      </c>
      <c r="C97" s="3174">
        <v>1011</v>
      </c>
      <c r="D97" s="3174" t="s">
        <v>939</v>
      </c>
      <c r="E97" s="3174">
        <v>8.5</v>
      </c>
      <c r="F97" s="3176"/>
      <c r="G97" s="3176">
        <v>31.09</v>
      </c>
      <c r="H97" s="3176">
        <f t="shared" si="2"/>
        <v>31.09</v>
      </c>
      <c r="I97" s="2584"/>
      <c r="J97" s="219"/>
      <c r="O97" s="3350">
        <f t="shared" si="3"/>
        <v>31.09</v>
      </c>
    </row>
    <row r="98" spans="1:15">
      <c r="A98" s="3174">
        <v>956916</v>
      </c>
      <c r="B98" s="3175" t="s">
        <v>784</v>
      </c>
      <c r="C98" s="3174">
        <v>1886</v>
      </c>
      <c r="D98" s="3174" t="s">
        <v>939</v>
      </c>
      <c r="E98" s="3174">
        <v>9.85</v>
      </c>
      <c r="F98" s="3176">
        <v>0.505</v>
      </c>
      <c r="G98" s="3176">
        <v>28.777000000000001</v>
      </c>
      <c r="H98" s="3176">
        <f t="shared" si="2"/>
        <v>29.282</v>
      </c>
      <c r="I98" s="2584"/>
      <c r="J98" s="219"/>
      <c r="O98" s="3350">
        <f t="shared" si="3"/>
        <v>29.282</v>
      </c>
    </row>
    <row r="99" spans="1:15">
      <c r="A99" s="3174">
        <v>958890</v>
      </c>
      <c r="B99" s="3175" t="s">
        <v>837</v>
      </c>
      <c r="C99" s="3174">
        <v>2899</v>
      </c>
      <c r="D99" s="3174" t="s">
        <v>939</v>
      </c>
      <c r="E99" s="3174">
        <v>8.1</v>
      </c>
      <c r="F99" s="3176"/>
      <c r="G99" s="3176">
        <v>28.771999999999998</v>
      </c>
      <c r="H99" s="3176">
        <f t="shared" si="2"/>
        <v>28.771999999999998</v>
      </c>
      <c r="I99" s="2584"/>
      <c r="J99" s="219"/>
      <c r="O99" s="3350">
        <f t="shared" si="3"/>
        <v>28.771999999999998</v>
      </c>
    </row>
    <row r="100" spans="1:15">
      <c r="A100" s="3174">
        <v>958186</v>
      </c>
      <c r="B100" s="3175" t="s">
        <v>771</v>
      </c>
      <c r="C100" s="3174">
        <v>1943</v>
      </c>
      <c r="D100" s="3174" t="s">
        <v>939</v>
      </c>
      <c r="E100" s="3174">
        <v>9.1</v>
      </c>
      <c r="F100" s="3176"/>
      <c r="G100" s="3176">
        <v>28.73</v>
      </c>
      <c r="H100" s="3176">
        <f t="shared" si="2"/>
        <v>28.73</v>
      </c>
      <c r="I100" s="2584"/>
      <c r="J100" s="219"/>
      <c r="O100" s="3350">
        <f t="shared" si="3"/>
        <v>28.73</v>
      </c>
    </row>
    <row r="101" spans="1:15">
      <c r="A101" s="3174">
        <v>958331</v>
      </c>
      <c r="B101" s="3175" t="s">
        <v>777</v>
      </c>
      <c r="C101" s="3174">
        <v>2039</v>
      </c>
      <c r="D101" s="3174" t="s">
        <v>939</v>
      </c>
      <c r="E101" s="3174">
        <v>8.1</v>
      </c>
      <c r="F101" s="3176">
        <v>2.0099999999999998</v>
      </c>
      <c r="G101" s="3176">
        <v>25.783000000000001</v>
      </c>
      <c r="H101" s="3176">
        <f t="shared" si="2"/>
        <v>27.792999999999999</v>
      </c>
      <c r="I101" s="2584"/>
      <c r="J101" s="219"/>
      <c r="O101" s="3350">
        <f t="shared" si="3"/>
        <v>27.792999999999999</v>
      </c>
    </row>
    <row r="102" spans="1:15">
      <c r="A102" s="3174">
        <v>958595</v>
      </c>
      <c r="B102" s="3175" t="s">
        <v>774</v>
      </c>
      <c r="C102" s="3174">
        <v>605</v>
      </c>
      <c r="D102" s="3174" t="s">
        <v>939</v>
      </c>
      <c r="E102" s="3174">
        <v>7.6</v>
      </c>
      <c r="F102" s="3176">
        <v>3.718</v>
      </c>
      <c r="G102" s="3176">
        <v>23.271000000000001</v>
      </c>
      <c r="H102" s="3176">
        <f t="shared" si="2"/>
        <v>26.989000000000001</v>
      </c>
      <c r="I102" s="2584"/>
      <c r="J102" s="219"/>
      <c r="O102" s="3350">
        <f t="shared" si="3"/>
        <v>26.989000000000001</v>
      </c>
    </row>
    <row r="103" spans="1:15">
      <c r="A103" s="3174">
        <v>958892</v>
      </c>
      <c r="B103" s="3175" t="s">
        <v>829</v>
      </c>
      <c r="C103" s="3174">
        <v>2897</v>
      </c>
      <c r="D103" s="3174" t="s">
        <v>939</v>
      </c>
      <c r="E103" s="3174">
        <v>8.1</v>
      </c>
      <c r="F103" s="3176">
        <v>0.30499999999999999</v>
      </c>
      <c r="G103" s="3176">
        <v>26.452000000000002</v>
      </c>
      <c r="H103" s="3176">
        <f t="shared" si="2"/>
        <v>26.757000000000001</v>
      </c>
      <c r="I103" s="2584"/>
      <c r="J103" s="219"/>
      <c r="O103" s="3350">
        <f t="shared" si="3"/>
        <v>26.757000000000001</v>
      </c>
    </row>
    <row r="104" spans="1:15">
      <c r="A104" s="3174">
        <v>30579</v>
      </c>
      <c r="B104" s="3175" t="s">
        <v>808</v>
      </c>
      <c r="C104" s="3174">
        <v>671</v>
      </c>
      <c r="D104" s="3174" t="s">
        <v>939</v>
      </c>
      <c r="E104" s="3174">
        <v>7.6</v>
      </c>
      <c r="F104" s="3176">
        <v>0.23300000000000001</v>
      </c>
      <c r="G104" s="3176">
        <v>26.260999999999999</v>
      </c>
      <c r="H104" s="3176">
        <f t="shared" si="2"/>
        <v>26.494</v>
      </c>
      <c r="I104" s="2584"/>
      <c r="J104" s="219"/>
      <c r="O104" s="3350">
        <f t="shared" si="3"/>
        <v>26.494</v>
      </c>
    </row>
    <row r="105" spans="1:15">
      <c r="A105" s="3174">
        <v>954447</v>
      </c>
      <c r="B105" s="3175" t="s">
        <v>778</v>
      </c>
      <c r="C105" s="3174">
        <v>2246</v>
      </c>
      <c r="D105" s="3174" t="s">
        <v>939</v>
      </c>
      <c r="E105" s="3174">
        <v>10.7</v>
      </c>
      <c r="F105" s="3176"/>
      <c r="G105" s="3176">
        <v>25.802</v>
      </c>
      <c r="H105" s="3176">
        <f t="shared" si="2"/>
        <v>25.802</v>
      </c>
      <c r="I105" s="2584"/>
      <c r="J105" s="219"/>
      <c r="O105" s="3350">
        <f t="shared" si="3"/>
        <v>25.802</v>
      </c>
    </row>
    <row r="106" spans="1:15">
      <c r="A106" s="3174">
        <v>959089</v>
      </c>
      <c r="B106" s="3175" t="s">
        <v>780</v>
      </c>
      <c r="C106" s="3174">
        <v>2156</v>
      </c>
      <c r="D106" s="3174" t="s">
        <v>939</v>
      </c>
      <c r="E106" s="3174">
        <v>11.8</v>
      </c>
      <c r="F106" s="3176"/>
      <c r="G106" s="3176">
        <v>25.167999999999999</v>
      </c>
      <c r="H106" s="3176">
        <f t="shared" si="2"/>
        <v>25.167999999999999</v>
      </c>
      <c r="I106" s="2584"/>
      <c r="J106" s="219"/>
      <c r="O106" s="3350">
        <f t="shared" si="3"/>
        <v>25.167999999999999</v>
      </c>
    </row>
    <row r="107" spans="1:15">
      <c r="A107" s="3174">
        <v>959390</v>
      </c>
      <c r="B107" s="3175" t="s">
        <v>787</v>
      </c>
      <c r="C107" s="3174">
        <v>1446</v>
      </c>
      <c r="D107" s="3174" t="s">
        <v>939</v>
      </c>
      <c r="E107" s="3174">
        <v>8.1999999999999993</v>
      </c>
      <c r="F107" s="3176">
        <v>2.286</v>
      </c>
      <c r="G107" s="3176">
        <v>22.393999999999998</v>
      </c>
      <c r="H107" s="3176">
        <f t="shared" si="2"/>
        <v>24.68</v>
      </c>
      <c r="I107" s="2584"/>
      <c r="J107" s="219"/>
      <c r="O107" s="3350">
        <f t="shared" si="3"/>
        <v>24.68</v>
      </c>
    </row>
    <row r="108" spans="1:15">
      <c r="A108" s="3174">
        <v>5591</v>
      </c>
      <c r="B108" s="3175" t="s">
        <v>783</v>
      </c>
      <c r="C108" s="3174">
        <v>314</v>
      </c>
      <c r="D108" s="3174" t="s">
        <v>939</v>
      </c>
      <c r="E108" s="3174">
        <v>7.3</v>
      </c>
      <c r="F108" s="3176"/>
      <c r="G108" s="3176">
        <v>24.48</v>
      </c>
      <c r="H108" s="3176">
        <f t="shared" si="2"/>
        <v>24.48</v>
      </c>
      <c r="I108" s="2584"/>
      <c r="J108" s="219"/>
      <c r="O108" s="3350">
        <f t="shared" si="3"/>
        <v>24.48</v>
      </c>
    </row>
    <row r="109" spans="1:15">
      <c r="A109" s="3174">
        <v>959618</v>
      </c>
      <c r="B109" s="3175" t="s">
        <v>790</v>
      </c>
      <c r="C109" s="3174">
        <v>1514</v>
      </c>
      <c r="D109" s="3174" t="s">
        <v>939</v>
      </c>
      <c r="E109" s="3174">
        <v>8.1999999999999993</v>
      </c>
      <c r="F109" s="3176">
        <v>1.282</v>
      </c>
      <c r="G109" s="3176">
        <v>22.933</v>
      </c>
      <c r="H109" s="3176">
        <f t="shared" si="2"/>
        <v>24.215</v>
      </c>
      <c r="I109" s="2584"/>
      <c r="J109" s="219"/>
      <c r="O109" s="3350">
        <f t="shared" si="3"/>
        <v>24.215</v>
      </c>
    </row>
    <row r="110" spans="1:15">
      <c r="A110" s="3174">
        <v>959103</v>
      </c>
      <c r="B110" s="3175" t="s">
        <v>853</v>
      </c>
      <c r="C110" s="3174">
        <v>794</v>
      </c>
      <c r="D110" s="3174" t="s">
        <v>939</v>
      </c>
      <c r="E110" s="3174">
        <v>8.5</v>
      </c>
      <c r="F110" s="3176">
        <v>11.494</v>
      </c>
      <c r="G110" s="3176">
        <v>12.561</v>
      </c>
      <c r="H110" s="3176">
        <f t="shared" si="2"/>
        <v>24.055</v>
      </c>
      <c r="I110" s="2584"/>
      <c r="J110" s="219"/>
      <c r="O110" s="3350">
        <f t="shared" si="3"/>
        <v>24.055</v>
      </c>
    </row>
    <row r="111" spans="1:15">
      <c r="A111" s="3174">
        <v>959194</v>
      </c>
      <c r="B111" s="3175" t="s">
        <v>804</v>
      </c>
      <c r="C111" s="3174">
        <v>382</v>
      </c>
      <c r="D111" s="3174" t="s">
        <v>939</v>
      </c>
      <c r="E111" s="3174">
        <v>8.3000000000000007</v>
      </c>
      <c r="F111" s="3176">
        <v>1.0429999999999999</v>
      </c>
      <c r="G111" s="3176">
        <v>22.937000000000001</v>
      </c>
      <c r="H111" s="3176">
        <f t="shared" si="2"/>
        <v>23.98</v>
      </c>
      <c r="I111" s="2584"/>
      <c r="J111" s="219"/>
      <c r="O111" s="3350">
        <f t="shared" si="3"/>
        <v>23.98</v>
      </c>
    </row>
    <row r="112" spans="1:15">
      <c r="A112" s="3174">
        <v>30846</v>
      </c>
      <c r="B112" s="3175" t="s">
        <v>904</v>
      </c>
      <c r="C112" s="3174">
        <v>720</v>
      </c>
      <c r="D112" s="3174" t="s">
        <v>939</v>
      </c>
      <c r="E112" s="3174">
        <v>8.5</v>
      </c>
      <c r="F112" s="3176"/>
      <c r="G112" s="3176">
        <v>23.7</v>
      </c>
      <c r="H112" s="3176">
        <f t="shared" si="2"/>
        <v>23.7</v>
      </c>
      <c r="I112" s="2584"/>
      <c r="J112" s="219"/>
      <c r="O112" s="3350">
        <f t="shared" si="3"/>
        <v>23.7</v>
      </c>
    </row>
    <row r="113" spans="1:15">
      <c r="A113" s="3174">
        <v>957706</v>
      </c>
      <c r="B113" s="3175" t="s">
        <v>835</v>
      </c>
      <c r="C113" s="3174">
        <v>1522</v>
      </c>
      <c r="D113" s="3174" t="s">
        <v>939</v>
      </c>
      <c r="E113" s="3174">
        <v>5.3</v>
      </c>
      <c r="F113" s="3176">
        <v>3.6</v>
      </c>
      <c r="G113" s="3176">
        <v>19.7</v>
      </c>
      <c r="H113" s="3176">
        <f t="shared" si="2"/>
        <v>23.3</v>
      </c>
      <c r="I113" s="2584"/>
      <c r="J113" s="219"/>
      <c r="O113" s="3350">
        <f t="shared" si="3"/>
        <v>23.3</v>
      </c>
    </row>
    <row r="114" spans="1:15">
      <c r="A114" s="3174">
        <v>955411</v>
      </c>
      <c r="B114" s="3175" t="s">
        <v>785</v>
      </c>
      <c r="C114" s="3174">
        <v>1916</v>
      </c>
      <c r="D114" s="3174" t="s">
        <v>939</v>
      </c>
      <c r="E114" s="3174">
        <v>10.8</v>
      </c>
      <c r="F114" s="3176"/>
      <c r="G114" s="3176">
        <v>22.696999999999999</v>
      </c>
      <c r="H114" s="3176">
        <f t="shared" si="2"/>
        <v>22.696999999999999</v>
      </c>
      <c r="I114" s="2584"/>
      <c r="J114" s="219"/>
      <c r="O114" s="3350">
        <f t="shared" si="3"/>
        <v>22.696999999999999</v>
      </c>
    </row>
    <row r="115" spans="1:15">
      <c r="A115" s="3174">
        <v>955519</v>
      </c>
      <c r="B115" s="3175" t="s">
        <v>794</v>
      </c>
      <c r="C115" s="3174">
        <v>1951</v>
      </c>
      <c r="D115" s="3174" t="s">
        <v>939</v>
      </c>
      <c r="E115" s="3174">
        <v>9.35</v>
      </c>
      <c r="F115" s="3176">
        <v>0.40100000000000002</v>
      </c>
      <c r="G115" s="3176">
        <v>22.27</v>
      </c>
      <c r="H115" s="3176">
        <f t="shared" si="2"/>
        <v>22.670999999999999</v>
      </c>
      <c r="I115" s="2584"/>
      <c r="J115" s="219"/>
      <c r="O115" s="3353">
        <f t="shared" si="3"/>
        <v>22.670999999999999</v>
      </c>
    </row>
    <row r="116" spans="1:15">
      <c r="A116" s="3174">
        <v>957371</v>
      </c>
      <c r="B116" s="3175" t="s">
        <v>799</v>
      </c>
      <c r="C116" s="3174">
        <v>761</v>
      </c>
      <c r="D116" s="3174" t="s">
        <v>939</v>
      </c>
      <c r="E116" s="3174">
        <v>10</v>
      </c>
      <c r="F116" s="3176">
        <v>7.9000000000000001E-2</v>
      </c>
      <c r="G116" s="3176">
        <v>21.983000000000001</v>
      </c>
      <c r="H116" s="3176">
        <f t="shared" si="2"/>
        <v>22.062000000000001</v>
      </c>
      <c r="I116" s="2584"/>
      <c r="J116" s="219"/>
      <c r="O116" s="3353">
        <f t="shared" si="3"/>
        <v>22.062000000000001</v>
      </c>
    </row>
    <row r="117" spans="1:15">
      <c r="A117" s="3174">
        <v>960062</v>
      </c>
      <c r="B117" s="3175" t="s">
        <v>789</v>
      </c>
      <c r="C117" s="3174">
        <v>694</v>
      </c>
      <c r="D117" s="3174" t="s">
        <v>939</v>
      </c>
      <c r="E117" s="3174">
        <v>8.6</v>
      </c>
      <c r="F117" s="3176"/>
      <c r="G117" s="3176">
        <v>20.858000000000001</v>
      </c>
      <c r="H117" s="3176">
        <f t="shared" si="2"/>
        <v>20.858000000000001</v>
      </c>
      <c r="I117" s="2584"/>
      <c r="J117" s="219"/>
      <c r="O117" s="3353">
        <f t="shared" si="3"/>
        <v>20.858000000000001</v>
      </c>
    </row>
    <row r="118" spans="1:15">
      <c r="A118" s="3174">
        <v>959093</v>
      </c>
      <c r="B118" s="3175" t="s">
        <v>855</v>
      </c>
      <c r="C118" s="3174">
        <v>795</v>
      </c>
      <c r="D118" s="3174" t="s">
        <v>939</v>
      </c>
      <c r="E118" s="3174">
        <v>8.5</v>
      </c>
      <c r="F118" s="3176">
        <v>9.9380000000000006</v>
      </c>
      <c r="G118" s="3176">
        <v>10.755000000000001</v>
      </c>
      <c r="H118" s="3176">
        <f t="shared" si="2"/>
        <v>20.693000000000001</v>
      </c>
      <c r="I118" s="2584"/>
      <c r="J118" s="219"/>
      <c r="O118" s="3353">
        <f t="shared" si="3"/>
        <v>20.693000000000001</v>
      </c>
    </row>
    <row r="119" spans="1:15">
      <c r="A119" s="3174">
        <v>960343</v>
      </c>
      <c r="B119" s="3175" t="s">
        <v>814</v>
      </c>
      <c r="C119" s="3174">
        <v>510</v>
      </c>
      <c r="D119" s="3174" t="s">
        <v>939</v>
      </c>
      <c r="E119" s="3174">
        <v>8.1</v>
      </c>
      <c r="F119" s="3176"/>
      <c r="G119" s="3176">
        <v>20.251999999999999</v>
      </c>
      <c r="H119" s="3176">
        <f t="shared" si="2"/>
        <v>20.251999999999999</v>
      </c>
      <c r="I119" s="2584"/>
      <c r="J119" s="219"/>
      <c r="O119" s="3353">
        <f t="shared" si="3"/>
        <v>20.251999999999999</v>
      </c>
    </row>
    <row r="120" spans="1:15">
      <c r="A120" s="3174">
        <v>959410</v>
      </c>
      <c r="B120" s="3175" t="s">
        <v>792</v>
      </c>
      <c r="C120" s="3174">
        <v>1949</v>
      </c>
      <c r="D120" s="3174" t="s">
        <v>939</v>
      </c>
      <c r="E120" s="3174">
        <v>8.1</v>
      </c>
      <c r="F120" s="3176"/>
      <c r="G120" s="3176">
        <v>19.96</v>
      </c>
      <c r="H120" s="3176">
        <f t="shared" si="2"/>
        <v>19.96</v>
      </c>
      <c r="I120" s="2584"/>
      <c r="J120" s="219"/>
      <c r="O120" s="3353">
        <f t="shared" si="3"/>
        <v>19.96</v>
      </c>
    </row>
    <row r="121" spans="1:15">
      <c r="A121" s="3174">
        <v>952465</v>
      </c>
      <c r="B121" s="3175" t="s">
        <v>801</v>
      </c>
      <c r="C121" s="3174">
        <v>1791</v>
      </c>
      <c r="D121" s="3174" t="s">
        <v>939</v>
      </c>
      <c r="E121" s="3174">
        <v>11</v>
      </c>
      <c r="F121" s="3176">
        <v>0.32900000000000001</v>
      </c>
      <c r="G121" s="3176">
        <v>19.462</v>
      </c>
      <c r="H121" s="3176">
        <f t="shared" si="2"/>
        <v>19.791</v>
      </c>
      <c r="I121" s="2584"/>
      <c r="J121" s="219"/>
      <c r="O121" s="3350">
        <f t="shared" si="3"/>
        <v>19.791</v>
      </c>
    </row>
    <row r="122" spans="1:15">
      <c r="A122" s="3174">
        <v>959104</v>
      </c>
      <c r="B122" s="3175" t="s">
        <v>856</v>
      </c>
      <c r="C122" s="3174">
        <v>293</v>
      </c>
      <c r="D122" s="3174" t="s">
        <v>939</v>
      </c>
      <c r="E122" s="3174">
        <v>8.3000000000000007</v>
      </c>
      <c r="F122" s="3176"/>
      <c r="G122" s="3176">
        <v>19.791</v>
      </c>
      <c r="H122" s="3176">
        <f t="shared" si="2"/>
        <v>19.791</v>
      </c>
      <c r="I122" s="2584"/>
      <c r="J122" s="219"/>
      <c r="O122" s="3353">
        <f t="shared" si="3"/>
        <v>19.791</v>
      </c>
    </row>
    <row r="123" spans="1:15">
      <c r="A123" s="3174">
        <v>959043</v>
      </c>
      <c r="B123" s="3175" t="s">
        <v>885</v>
      </c>
      <c r="C123" s="3174">
        <v>172</v>
      </c>
      <c r="D123" s="3174" t="s">
        <v>939</v>
      </c>
      <c r="E123" s="3174">
        <v>8.5</v>
      </c>
      <c r="F123" s="3176">
        <v>0.93600000000000005</v>
      </c>
      <c r="G123" s="3176">
        <v>18.256</v>
      </c>
      <c r="H123" s="3176">
        <f t="shared" si="2"/>
        <v>19.192</v>
      </c>
      <c r="I123" s="2584"/>
      <c r="J123" s="219"/>
      <c r="O123" s="3350">
        <f t="shared" si="3"/>
        <v>19.192</v>
      </c>
    </row>
    <row r="124" spans="1:15">
      <c r="A124" s="3174">
        <v>955389</v>
      </c>
      <c r="B124" s="3175" t="s">
        <v>793</v>
      </c>
      <c r="C124" s="3174">
        <v>1925</v>
      </c>
      <c r="D124" s="3174" t="s">
        <v>939</v>
      </c>
      <c r="E124" s="3174">
        <v>8.3000000000000007</v>
      </c>
      <c r="F124" s="3176">
        <v>4.8000000000000001E-2</v>
      </c>
      <c r="G124" s="3176">
        <v>18.802</v>
      </c>
      <c r="H124" s="3176">
        <f t="shared" si="2"/>
        <v>18.849999999999998</v>
      </c>
      <c r="I124" s="2584"/>
      <c r="J124" s="219"/>
      <c r="O124" s="3350">
        <f t="shared" si="3"/>
        <v>18.849999999999998</v>
      </c>
    </row>
    <row r="125" spans="1:15">
      <c r="A125" s="3174">
        <v>958003</v>
      </c>
      <c r="B125" s="3175" t="s">
        <v>781</v>
      </c>
      <c r="C125" s="3174">
        <v>2890</v>
      </c>
      <c r="D125" s="3174" t="s">
        <v>939</v>
      </c>
      <c r="E125" s="3174">
        <v>11.1</v>
      </c>
      <c r="F125" s="3176"/>
      <c r="G125" s="3176">
        <v>18.77</v>
      </c>
      <c r="H125" s="3176">
        <f t="shared" si="2"/>
        <v>18.77</v>
      </c>
      <c r="I125" s="2584"/>
      <c r="J125" s="219"/>
      <c r="O125" s="3350">
        <f t="shared" si="3"/>
        <v>18.77</v>
      </c>
    </row>
    <row r="126" spans="1:15">
      <c r="A126" s="3174">
        <v>959035</v>
      </c>
      <c r="B126" s="3175" t="s">
        <v>795</v>
      </c>
      <c r="C126" s="3174">
        <v>2958</v>
      </c>
      <c r="D126" s="3174" t="s">
        <v>939</v>
      </c>
      <c r="E126" s="3174">
        <v>11.2</v>
      </c>
      <c r="F126" s="3176"/>
      <c r="G126" s="3176">
        <v>18.408000000000001</v>
      </c>
      <c r="H126" s="3176">
        <f t="shared" si="2"/>
        <v>18.408000000000001</v>
      </c>
      <c r="I126" s="2584"/>
      <c r="J126" s="219"/>
      <c r="O126" s="3350">
        <f t="shared" si="3"/>
        <v>18.408000000000001</v>
      </c>
    </row>
    <row r="127" spans="1:15">
      <c r="A127" s="3174">
        <v>959355</v>
      </c>
      <c r="B127" s="3175" t="s">
        <v>876</v>
      </c>
      <c r="C127" s="3174">
        <v>1607</v>
      </c>
      <c r="D127" s="3174" t="s">
        <v>939</v>
      </c>
      <c r="E127" s="3174">
        <v>11.98</v>
      </c>
      <c r="F127" s="3176"/>
      <c r="G127" s="3176">
        <v>18.042999999999999</v>
      </c>
      <c r="H127" s="3176">
        <f t="shared" si="2"/>
        <v>18.042999999999999</v>
      </c>
      <c r="I127" s="2584"/>
      <c r="J127" s="219"/>
      <c r="O127" s="3350">
        <f t="shared" si="3"/>
        <v>18.042999999999999</v>
      </c>
    </row>
    <row r="128" spans="1:15">
      <c r="A128" s="3174">
        <v>955444</v>
      </c>
      <c r="B128" s="3175" t="s">
        <v>797</v>
      </c>
      <c r="C128" s="3174">
        <v>1926</v>
      </c>
      <c r="D128" s="3174" t="s">
        <v>939</v>
      </c>
      <c r="E128" s="3174">
        <v>8.1999999999999993</v>
      </c>
      <c r="F128" s="3176"/>
      <c r="G128" s="3176">
        <v>17.72</v>
      </c>
      <c r="H128" s="3176">
        <f t="shared" si="2"/>
        <v>17.72</v>
      </c>
      <c r="I128" s="2584"/>
      <c r="J128" s="219"/>
      <c r="O128" s="3350">
        <f t="shared" si="3"/>
        <v>17.72</v>
      </c>
    </row>
    <row r="129" spans="1:15">
      <c r="A129" s="3174">
        <v>959379</v>
      </c>
      <c r="B129" s="3175" t="s">
        <v>798</v>
      </c>
      <c r="C129" s="3174">
        <v>2107</v>
      </c>
      <c r="D129" s="3174" t="s">
        <v>939</v>
      </c>
      <c r="E129" s="3174">
        <v>8.5</v>
      </c>
      <c r="F129" s="3176"/>
      <c r="G129" s="3176">
        <v>17.559999999999999</v>
      </c>
      <c r="H129" s="3176">
        <f t="shared" si="2"/>
        <v>17.559999999999999</v>
      </c>
      <c r="I129" s="2584"/>
      <c r="J129" s="219"/>
      <c r="O129" s="3350">
        <f t="shared" si="3"/>
        <v>17.559999999999999</v>
      </c>
    </row>
    <row r="130" spans="1:15">
      <c r="A130" s="3174">
        <v>959385</v>
      </c>
      <c r="B130" s="3175" t="s">
        <v>807</v>
      </c>
      <c r="C130" s="3174">
        <v>141</v>
      </c>
      <c r="D130" s="3174" t="s">
        <v>939</v>
      </c>
      <c r="E130" s="3174">
        <v>8.5500000000000007</v>
      </c>
      <c r="F130" s="3176">
        <v>0.25900000000000001</v>
      </c>
      <c r="G130" s="3176">
        <v>16.981000000000002</v>
      </c>
      <c r="H130" s="3176">
        <f t="shared" si="2"/>
        <v>17.240000000000002</v>
      </c>
      <c r="I130" s="2584"/>
      <c r="J130" s="219"/>
      <c r="O130" s="3350">
        <f t="shared" si="3"/>
        <v>17.240000000000002</v>
      </c>
    </row>
    <row r="131" spans="1:15">
      <c r="A131" s="3174">
        <v>959383</v>
      </c>
      <c r="B131" s="3175" t="s">
        <v>800</v>
      </c>
      <c r="C131" s="3174">
        <v>1189</v>
      </c>
      <c r="D131" s="3174" t="s">
        <v>939</v>
      </c>
      <c r="E131" s="3174">
        <v>8.5</v>
      </c>
      <c r="F131" s="3176"/>
      <c r="G131" s="3176">
        <v>17.23</v>
      </c>
      <c r="H131" s="3176">
        <f t="shared" si="2"/>
        <v>17.23</v>
      </c>
      <c r="I131" s="2584"/>
      <c r="J131" s="219"/>
      <c r="O131" s="3350">
        <f t="shared" si="3"/>
        <v>17.23</v>
      </c>
    </row>
    <row r="132" spans="1:15">
      <c r="A132" s="3174">
        <v>959744</v>
      </c>
      <c r="B132" s="3175" t="s">
        <v>802</v>
      </c>
      <c r="C132" s="3174">
        <v>182</v>
      </c>
      <c r="D132" s="3174" t="s">
        <v>939</v>
      </c>
      <c r="E132" s="3174">
        <v>8.15</v>
      </c>
      <c r="F132" s="3176">
        <v>0.36399999999999999</v>
      </c>
      <c r="G132" s="3176">
        <v>16.661000000000001</v>
      </c>
      <c r="H132" s="3176">
        <f t="shared" si="2"/>
        <v>17.025000000000002</v>
      </c>
      <c r="I132" s="2584"/>
      <c r="J132" s="219"/>
      <c r="O132" s="3350">
        <f t="shared" si="3"/>
        <v>17.025000000000002</v>
      </c>
    </row>
    <row r="133" spans="1:15">
      <c r="A133" s="3174">
        <v>959371</v>
      </c>
      <c r="B133" s="3175" t="s">
        <v>805</v>
      </c>
      <c r="C133" s="3174">
        <v>1616</v>
      </c>
      <c r="D133" s="3174" t="s">
        <v>939</v>
      </c>
      <c r="E133" s="3174">
        <v>9.6</v>
      </c>
      <c r="F133" s="3176">
        <v>0.27400000000000002</v>
      </c>
      <c r="G133" s="3176">
        <v>16.646000000000001</v>
      </c>
      <c r="H133" s="3176">
        <f t="shared" si="2"/>
        <v>16.920000000000002</v>
      </c>
      <c r="I133" s="2584"/>
      <c r="J133" s="219"/>
      <c r="O133" s="3350">
        <f t="shared" si="3"/>
        <v>16.920000000000002</v>
      </c>
    </row>
    <row r="134" spans="1:15">
      <c r="A134" s="3174">
        <v>959957</v>
      </c>
      <c r="B134" s="3175" t="s">
        <v>806</v>
      </c>
      <c r="C134" s="3174">
        <v>195</v>
      </c>
      <c r="D134" s="3174" t="s">
        <v>939</v>
      </c>
      <c r="E134" s="3174">
        <v>8.1</v>
      </c>
      <c r="F134" s="3176"/>
      <c r="G134" s="3176">
        <v>16.902000000000001</v>
      </c>
      <c r="H134" s="3176">
        <f t="shared" si="2"/>
        <v>16.902000000000001</v>
      </c>
      <c r="I134" s="2584"/>
      <c r="J134" s="219"/>
      <c r="O134" s="3350">
        <f t="shared" si="3"/>
        <v>16.902000000000001</v>
      </c>
    </row>
    <row r="135" spans="1:15">
      <c r="A135" s="3174">
        <v>959808</v>
      </c>
      <c r="B135" s="3175" t="s">
        <v>815</v>
      </c>
      <c r="C135" s="3174">
        <v>266</v>
      </c>
      <c r="D135" s="3174" t="s">
        <v>939</v>
      </c>
      <c r="E135" s="3174">
        <v>8.3000000000000007</v>
      </c>
      <c r="F135" s="3176">
        <v>0.624</v>
      </c>
      <c r="G135" s="3176">
        <v>16.134</v>
      </c>
      <c r="H135" s="3176">
        <f t="shared" si="2"/>
        <v>16.757999999999999</v>
      </c>
      <c r="I135" s="2584"/>
      <c r="J135" s="219"/>
      <c r="O135" s="3350">
        <f t="shared" si="3"/>
        <v>16.757999999999999</v>
      </c>
    </row>
    <row r="136" spans="1:15">
      <c r="A136" s="3174">
        <v>960803</v>
      </c>
      <c r="B136" s="3175" t="s">
        <v>1269</v>
      </c>
      <c r="C136" s="3174">
        <v>1690</v>
      </c>
      <c r="D136" s="3174" t="s">
        <v>939</v>
      </c>
      <c r="E136" s="3174">
        <v>9.3000000000000007</v>
      </c>
      <c r="F136" s="3176">
        <v>0.39400000000000002</v>
      </c>
      <c r="G136" s="3176">
        <v>16.077000000000002</v>
      </c>
      <c r="H136" s="3176">
        <f t="shared" si="2"/>
        <v>16.471</v>
      </c>
      <c r="I136" s="2584"/>
      <c r="J136" s="219"/>
      <c r="O136" s="3350">
        <f t="shared" si="3"/>
        <v>16.471</v>
      </c>
    </row>
    <row r="137" spans="1:15">
      <c r="A137" s="3174">
        <v>959483</v>
      </c>
      <c r="B137" s="3175" t="s">
        <v>809</v>
      </c>
      <c r="C137" s="3174">
        <v>2023</v>
      </c>
      <c r="D137" s="3174" t="s">
        <v>939</v>
      </c>
      <c r="E137" s="3174">
        <v>8</v>
      </c>
      <c r="F137" s="3176"/>
      <c r="G137" s="3176">
        <v>16.43</v>
      </c>
      <c r="H137" s="3176">
        <f t="shared" si="2"/>
        <v>16.43</v>
      </c>
      <c r="I137" s="2584"/>
      <c r="J137" s="219"/>
      <c r="O137" s="3350">
        <f t="shared" si="3"/>
        <v>16.43</v>
      </c>
    </row>
    <row r="138" spans="1:15">
      <c r="A138" s="3174">
        <v>959210</v>
      </c>
      <c r="B138" s="3175" t="s">
        <v>811</v>
      </c>
      <c r="C138" s="3174">
        <v>50</v>
      </c>
      <c r="D138" s="3174" t="s">
        <v>939</v>
      </c>
      <c r="E138" s="3174">
        <v>8.1</v>
      </c>
      <c r="F138" s="3176"/>
      <c r="G138" s="3176">
        <v>15.97</v>
      </c>
      <c r="H138" s="3176">
        <f t="shared" ref="H138:H201" si="4">+G138+F138</f>
        <v>15.97</v>
      </c>
      <c r="I138" s="2584"/>
      <c r="J138" s="219"/>
      <c r="O138" s="3350">
        <f t="shared" ref="O138:O201" si="5">(H138-M138)</f>
        <v>15.97</v>
      </c>
    </row>
    <row r="139" spans="1:15">
      <c r="A139" s="3174">
        <v>959589</v>
      </c>
      <c r="B139" s="3175" t="s">
        <v>309</v>
      </c>
      <c r="C139" s="3174">
        <v>143</v>
      </c>
      <c r="D139" s="3174" t="s">
        <v>939</v>
      </c>
      <c r="E139" s="3174">
        <v>8.3000000000000007</v>
      </c>
      <c r="F139" s="3176">
        <v>0.61399999999999999</v>
      </c>
      <c r="G139" s="3176">
        <v>15.336</v>
      </c>
      <c r="H139" s="3176">
        <f t="shared" si="4"/>
        <v>15.950000000000001</v>
      </c>
      <c r="I139" s="2584"/>
      <c r="J139" s="219"/>
      <c r="O139" s="3350">
        <f t="shared" si="5"/>
        <v>15.950000000000001</v>
      </c>
    </row>
    <row r="140" spans="1:15">
      <c r="A140" s="3174">
        <v>955932</v>
      </c>
      <c r="B140" s="3175" t="s">
        <v>818</v>
      </c>
      <c r="C140" s="3174">
        <v>1413</v>
      </c>
      <c r="D140" s="3174" t="s">
        <v>939</v>
      </c>
      <c r="E140" s="3174">
        <v>8.1999999999999993</v>
      </c>
      <c r="F140" s="3176">
        <v>1.8839999999999999</v>
      </c>
      <c r="G140" s="3176">
        <v>13.906000000000001</v>
      </c>
      <c r="H140" s="3176">
        <f t="shared" si="4"/>
        <v>15.790000000000001</v>
      </c>
      <c r="I140" s="2584"/>
      <c r="J140" s="219"/>
      <c r="O140" s="3350">
        <f t="shared" si="5"/>
        <v>15.790000000000001</v>
      </c>
    </row>
    <row r="141" spans="1:15">
      <c r="A141" s="3174">
        <v>958255</v>
      </c>
      <c r="B141" s="3175" t="s">
        <v>812</v>
      </c>
      <c r="C141" s="3174">
        <v>1845</v>
      </c>
      <c r="D141" s="3174" t="s">
        <v>939</v>
      </c>
      <c r="E141" s="3174">
        <v>8.4</v>
      </c>
      <c r="F141" s="3176"/>
      <c r="G141" s="3176">
        <v>15.733000000000001</v>
      </c>
      <c r="H141" s="3176">
        <f t="shared" si="4"/>
        <v>15.733000000000001</v>
      </c>
      <c r="I141" s="2584"/>
      <c r="J141" s="219"/>
      <c r="O141" s="3350">
        <f t="shared" si="5"/>
        <v>15.733000000000001</v>
      </c>
    </row>
    <row r="142" spans="1:15">
      <c r="A142" s="3174">
        <v>955372</v>
      </c>
      <c r="B142" s="3175" t="s">
        <v>813</v>
      </c>
      <c r="C142" s="3174">
        <v>1862</v>
      </c>
      <c r="D142" s="3174" t="s">
        <v>939</v>
      </c>
      <c r="E142" s="3174">
        <v>8.6</v>
      </c>
      <c r="F142" s="3176"/>
      <c r="G142" s="3176">
        <v>15.64</v>
      </c>
      <c r="H142" s="3176">
        <f t="shared" si="4"/>
        <v>15.64</v>
      </c>
      <c r="I142" s="2584"/>
      <c r="J142" s="219"/>
      <c r="O142" s="3350">
        <f t="shared" si="5"/>
        <v>15.64</v>
      </c>
    </row>
    <row r="143" spans="1:15">
      <c r="A143" s="3174">
        <v>955793</v>
      </c>
      <c r="B143" s="3175" t="s">
        <v>861</v>
      </c>
      <c r="C143" s="3174">
        <v>1425</v>
      </c>
      <c r="D143" s="3174" t="s">
        <v>939</v>
      </c>
      <c r="E143" s="3174">
        <v>8.35</v>
      </c>
      <c r="F143" s="3176"/>
      <c r="G143" s="3176">
        <v>15.46</v>
      </c>
      <c r="H143" s="3176">
        <f t="shared" si="4"/>
        <v>15.46</v>
      </c>
      <c r="I143" s="2584"/>
      <c r="J143" s="219"/>
      <c r="O143" s="3350">
        <f t="shared" si="5"/>
        <v>15.46</v>
      </c>
    </row>
    <row r="144" spans="1:15">
      <c r="A144" s="3174">
        <v>959386</v>
      </c>
      <c r="B144" s="3175" t="s">
        <v>819</v>
      </c>
      <c r="C144" s="3174">
        <v>1444</v>
      </c>
      <c r="D144" s="3174" t="s">
        <v>939</v>
      </c>
      <c r="E144" s="3174">
        <v>8.1</v>
      </c>
      <c r="F144" s="3176">
        <v>0.28000000000000003</v>
      </c>
      <c r="G144" s="3176">
        <v>14.802</v>
      </c>
      <c r="H144" s="3176">
        <f t="shared" si="4"/>
        <v>15.081999999999999</v>
      </c>
      <c r="I144" s="2584"/>
      <c r="J144" s="219"/>
      <c r="O144" s="3350">
        <f t="shared" si="5"/>
        <v>15.081999999999999</v>
      </c>
    </row>
    <row r="145" spans="1:15">
      <c r="A145" s="3174">
        <v>951724</v>
      </c>
      <c r="B145" s="3175" t="s">
        <v>816</v>
      </c>
      <c r="C145" s="3174">
        <v>1724</v>
      </c>
      <c r="D145" s="3174" t="s">
        <v>939</v>
      </c>
      <c r="E145" s="3174">
        <v>8.23</v>
      </c>
      <c r="F145" s="3176"/>
      <c r="G145" s="3176">
        <v>14.427</v>
      </c>
      <c r="H145" s="3176">
        <f t="shared" si="4"/>
        <v>14.427</v>
      </c>
      <c r="I145" s="2584"/>
      <c r="J145" s="219"/>
      <c r="O145" s="3350">
        <f t="shared" si="5"/>
        <v>14.427</v>
      </c>
    </row>
    <row r="146" spans="1:15">
      <c r="A146" s="3174">
        <v>957802</v>
      </c>
      <c r="B146" s="3175" t="s">
        <v>817</v>
      </c>
      <c r="C146" s="3174">
        <v>1438</v>
      </c>
      <c r="D146" s="3174" t="s">
        <v>939</v>
      </c>
      <c r="E146" s="3174">
        <v>8.1</v>
      </c>
      <c r="F146" s="3176"/>
      <c r="G146" s="3176">
        <v>14.355</v>
      </c>
      <c r="H146" s="3176">
        <f t="shared" si="4"/>
        <v>14.355</v>
      </c>
      <c r="I146" s="2584"/>
      <c r="J146" s="219"/>
      <c r="O146" s="3350">
        <f t="shared" si="5"/>
        <v>14.355</v>
      </c>
    </row>
    <row r="147" spans="1:15">
      <c r="A147" s="3174">
        <v>955410</v>
      </c>
      <c r="B147" s="3175" t="s">
        <v>823</v>
      </c>
      <c r="C147" s="3174">
        <v>1935</v>
      </c>
      <c r="D147" s="3174" t="s">
        <v>939</v>
      </c>
      <c r="E147" s="3174">
        <v>8.1999999999999993</v>
      </c>
      <c r="F147" s="3176"/>
      <c r="G147" s="3176">
        <v>14.196</v>
      </c>
      <c r="H147" s="3176">
        <f t="shared" si="4"/>
        <v>14.196</v>
      </c>
      <c r="I147" s="2584"/>
      <c r="J147" s="219"/>
      <c r="O147" s="3350">
        <f t="shared" si="5"/>
        <v>14.196</v>
      </c>
    </row>
    <row r="148" spans="1:15">
      <c r="A148" s="3174">
        <v>959360</v>
      </c>
      <c r="B148" s="3175" t="s">
        <v>821</v>
      </c>
      <c r="C148" s="3174">
        <v>1931</v>
      </c>
      <c r="D148" s="3174" t="s">
        <v>939</v>
      </c>
      <c r="E148" s="3174">
        <v>8.5</v>
      </c>
      <c r="F148" s="3176">
        <v>0.1</v>
      </c>
      <c r="G148" s="3176">
        <v>14.03</v>
      </c>
      <c r="H148" s="3176">
        <f t="shared" si="4"/>
        <v>14.129999999999999</v>
      </c>
      <c r="I148" s="2584"/>
      <c r="J148" s="219"/>
      <c r="O148" s="3350">
        <f t="shared" si="5"/>
        <v>14.129999999999999</v>
      </c>
    </row>
    <row r="149" spans="1:15">
      <c r="A149" s="3174">
        <v>959408</v>
      </c>
      <c r="B149" s="3175" t="s">
        <v>822</v>
      </c>
      <c r="C149" s="3174">
        <v>1732</v>
      </c>
      <c r="D149" s="3174" t="s">
        <v>939</v>
      </c>
      <c r="E149" s="3174">
        <v>8.3000000000000007</v>
      </c>
      <c r="F149" s="3176"/>
      <c r="G149" s="3176">
        <v>13.98</v>
      </c>
      <c r="H149" s="3176">
        <f t="shared" si="4"/>
        <v>13.98</v>
      </c>
      <c r="I149" s="2584"/>
      <c r="J149" s="219"/>
      <c r="O149" s="3350">
        <f t="shared" si="5"/>
        <v>13.98</v>
      </c>
    </row>
    <row r="150" spans="1:15">
      <c r="A150" s="3174">
        <v>959617</v>
      </c>
      <c r="B150" s="3175" t="s">
        <v>825</v>
      </c>
      <c r="C150" s="3174">
        <v>1459</v>
      </c>
      <c r="D150" s="3174" t="s">
        <v>939</v>
      </c>
      <c r="E150" s="3174">
        <v>8.1</v>
      </c>
      <c r="F150" s="3176">
        <v>0.05</v>
      </c>
      <c r="G150" s="3176">
        <v>13.93</v>
      </c>
      <c r="H150" s="3176">
        <f t="shared" si="4"/>
        <v>13.98</v>
      </c>
      <c r="I150" s="2584"/>
      <c r="J150" s="219"/>
      <c r="O150" s="3350">
        <f t="shared" si="5"/>
        <v>13.98</v>
      </c>
    </row>
    <row r="151" spans="1:15">
      <c r="A151" s="3174">
        <v>959510</v>
      </c>
      <c r="B151" s="3175" t="s">
        <v>828</v>
      </c>
      <c r="C151" s="3174">
        <v>270</v>
      </c>
      <c r="D151" s="3174" t="s">
        <v>939</v>
      </c>
      <c r="E151" s="3174">
        <v>9.6</v>
      </c>
      <c r="F151" s="3176"/>
      <c r="G151" s="3176">
        <v>13.749000000000001</v>
      </c>
      <c r="H151" s="3176">
        <f t="shared" si="4"/>
        <v>13.749000000000001</v>
      </c>
      <c r="I151" s="2584"/>
      <c r="J151" s="219"/>
      <c r="O151" s="3350">
        <f t="shared" si="5"/>
        <v>13.749000000000001</v>
      </c>
    </row>
    <row r="152" spans="1:15">
      <c r="A152" s="3174">
        <v>960353</v>
      </c>
      <c r="B152" s="3175" t="s">
        <v>857</v>
      </c>
      <c r="C152" s="3174">
        <v>1549</v>
      </c>
      <c r="D152" s="3174" t="s">
        <v>939</v>
      </c>
      <c r="E152" s="3174">
        <v>8.02</v>
      </c>
      <c r="F152" s="3176">
        <v>0.15</v>
      </c>
      <c r="G152" s="3176">
        <v>13.59</v>
      </c>
      <c r="H152" s="3176">
        <f t="shared" si="4"/>
        <v>13.74</v>
      </c>
      <c r="I152" s="2584"/>
      <c r="J152" s="219"/>
      <c r="O152" s="3350">
        <f t="shared" si="5"/>
        <v>13.74</v>
      </c>
    </row>
    <row r="153" spans="1:15">
      <c r="A153" s="3174">
        <v>959484</v>
      </c>
      <c r="B153" s="3175" t="s">
        <v>824</v>
      </c>
      <c r="C153" s="3174">
        <v>2109</v>
      </c>
      <c r="D153" s="3174" t="s">
        <v>939</v>
      </c>
      <c r="E153" s="3174">
        <v>8.1999999999999993</v>
      </c>
      <c r="F153" s="3176"/>
      <c r="G153" s="3176">
        <v>13.73</v>
      </c>
      <c r="H153" s="3176">
        <f t="shared" si="4"/>
        <v>13.73</v>
      </c>
      <c r="I153" s="2584"/>
      <c r="J153" s="219"/>
      <c r="O153" s="3350">
        <f t="shared" si="5"/>
        <v>13.73</v>
      </c>
    </row>
    <row r="154" spans="1:15">
      <c r="A154" s="3174">
        <v>958751</v>
      </c>
      <c r="B154" s="3175" t="s">
        <v>826</v>
      </c>
      <c r="C154" s="3174">
        <v>915</v>
      </c>
      <c r="D154" s="3174" t="s">
        <v>939</v>
      </c>
      <c r="E154" s="3174">
        <v>8.1</v>
      </c>
      <c r="F154" s="3176"/>
      <c r="G154" s="3176">
        <v>13.42</v>
      </c>
      <c r="H154" s="3176">
        <f t="shared" si="4"/>
        <v>13.42</v>
      </c>
      <c r="I154" s="2584"/>
      <c r="J154" s="219"/>
      <c r="O154" s="3350">
        <f t="shared" si="5"/>
        <v>13.42</v>
      </c>
    </row>
    <row r="155" spans="1:15">
      <c r="A155" s="3174">
        <v>959404</v>
      </c>
      <c r="B155" s="3175" t="s">
        <v>827</v>
      </c>
      <c r="C155" s="3174">
        <v>2110</v>
      </c>
      <c r="D155" s="3174" t="s">
        <v>939</v>
      </c>
      <c r="E155" s="3174">
        <v>8.1</v>
      </c>
      <c r="F155" s="3176"/>
      <c r="G155" s="3176">
        <v>13.31</v>
      </c>
      <c r="H155" s="3176">
        <f t="shared" si="4"/>
        <v>13.31</v>
      </c>
      <c r="I155" s="2584"/>
      <c r="J155" s="219"/>
      <c r="O155" s="3350">
        <f t="shared" si="5"/>
        <v>13.31</v>
      </c>
    </row>
    <row r="156" spans="1:15">
      <c r="A156" s="3174">
        <v>957769</v>
      </c>
      <c r="B156" s="3175" t="s">
        <v>830</v>
      </c>
      <c r="C156" s="3174">
        <v>337</v>
      </c>
      <c r="D156" s="3174" t="s">
        <v>939</v>
      </c>
      <c r="E156" s="3174">
        <v>8.6999999999999993</v>
      </c>
      <c r="F156" s="3176"/>
      <c r="G156" s="3176">
        <v>13.25</v>
      </c>
      <c r="H156" s="3176">
        <f t="shared" si="4"/>
        <v>13.25</v>
      </c>
      <c r="I156" s="2584"/>
      <c r="J156" s="219"/>
      <c r="O156" s="3350">
        <f t="shared" si="5"/>
        <v>13.25</v>
      </c>
    </row>
    <row r="157" spans="1:15">
      <c r="A157" s="3174">
        <v>957251</v>
      </c>
      <c r="B157" s="3175" t="s">
        <v>831</v>
      </c>
      <c r="C157" s="3174">
        <v>1927</v>
      </c>
      <c r="D157" s="3174" t="s">
        <v>939</v>
      </c>
      <c r="E157" s="3174">
        <v>11.1</v>
      </c>
      <c r="F157" s="3176"/>
      <c r="G157" s="3176">
        <v>12.64</v>
      </c>
      <c r="H157" s="3176">
        <f t="shared" si="4"/>
        <v>12.64</v>
      </c>
      <c r="I157" s="2584"/>
      <c r="J157" s="219"/>
      <c r="O157" s="3350">
        <f t="shared" si="5"/>
        <v>12.64</v>
      </c>
    </row>
    <row r="158" spans="1:15">
      <c r="A158" s="3174">
        <v>5184</v>
      </c>
      <c r="B158" s="3175" t="s">
        <v>903</v>
      </c>
      <c r="C158" s="3174">
        <v>315</v>
      </c>
      <c r="D158" s="3174" t="s">
        <v>939</v>
      </c>
      <c r="E158" s="3174">
        <v>6.4</v>
      </c>
      <c r="F158" s="3176"/>
      <c r="G158" s="3176">
        <v>12.58</v>
      </c>
      <c r="H158" s="3176">
        <f t="shared" si="4"/>
        <v>12.58</v>
      </c>
      <c r="I158" s="2584"/>
      <c r="J158" s="219"/>
      <c r="O158" s="3350">
        <f t="shared" si="5"/>
        <v>12.58</v>
      </c>
    </row>
    <row r="159" spans="1:15">
      <c r="A159" s="3174">
        <v>955408</v>
      </c>
      <c r="B159" s="3175" t="s">
        <v>833</v>
      </c>
      <c r="C159" s="3174">
        <v>1921</v>
      </c>
      <c r="D159" s="3174" t="s">
        <v>939</v>
      </c>
      <c r="E159" s="3174">
        <v>10.15</v>
      </c>
      <c r="F159" s="3176"/>
      <c r="G159" s="3176">
        <v>12.518000000000001</v>
      </c>
      <c r="H159" s="3176">
        <f t="shared" si="4"/>
        <v>12.518000000000001</v>
      </c>
      <c r="I159" s="2584"/>
      <c r="J159" s="219"/>
      <c r="O159" s="3350">
        <f t="shared" si="5"/>
        <v>12.518000000000001</v>
      </c>
    </row>
    <row r="160" spans="1:15">
      <c r="A160" s="3174">
        <v>954656</v>
      </c>
      <c r="B160" s="3175" t="s">
        <v>832</v>
      </c>
      <c r="C160" s="3174">
        <v>745</v>
      </c>
      <c r="D160" s="3174" t="s">
        <v>939</v>
      </c>
      <c r="E160" s="3174">
        <v>8.4</v>
      </c>
      <c r="F160" s="3176"/>
      <c r="G160" s="3176">
        <v>12.42</v>
      </c>
      <c r="H160" s="3176">
        <f t="shared" si="4"/>
        <v>12.42</v>
      </c>
      <c r="I160" s="2584"/>
      <c r="J160" s="219"/>
      <c r="O160" s="3350">
        <f t="shared" si="5"/>
        <v>12.42</v>
      </c>
    </row>
    <row r="161" spans="1:15">
      <c r="A161" s="3174">
        <v>960868</v>
      </c>
      <c r="B161" s="3175" t="s">
        <v>834</v>
      </c>
      <c r="C161" s="3174">
        <v>169</v>
      </c>
      <c r="D161" s="3174" t="s">
        <v>939</v>
      </c>
      <c r="E161" s="3174">
        <v>8.1999999999999993</v>
      </c>
      <c r="F161" s="3176"/>
      <c r="G161" s="3176">
        <v>12.273999999999999</v>
      </c>
      <c r="H161" s="3176">
        <f t="shared" si="4"/>
        <v>12.273999999999999</v>
      </c>
      <c r="I161" s="2584"/>
      <c r="J161" s="219"/>
      <c r="O161" s="3350">
        <f t="shared" si="5"/>
        <v>12.273999999999999</v>
      </c>
    </row>
    <row r="162" spans="1:15">
      <c r="A162" s="3174">
        <v>957811</v>
      </c>
      <c r="B162" s="3175" t="s">
        <v>836</v>
      </c>
      <c r="C162" s="3174">
        <v>2055</v>
      </c>
      <c r="D162" s="3174" t="s">
        <v>939</v>
      </c>
      <c r="E162" s="3174">
        <v>8.1999999999999993</v>
      </c>
      <c r="F162" s="3176"/>
      <c r="G162" s="3176">
        <v>11.977</v>
      </c>
      <c r="H162" s="3176">
        <f t="shared" si="4"/>
        <v>11.977</v>
      </c>
      <c r="I162" s="2584"/>
      <c r="J162" s="219"/>
      <c r="O162" s="3350">
        <f t="shared" si="5"/>
        <v>11.977</v>
      </c>
    </row>
    <row r="163" spans="1:15">
      <c r="A163" s="3174">
        <v>959319</v>
      </c>
      <c r="B163" s="3175" t="s">
        <v>878</v>
      </c>
      <c r="C163" s="3174">
        <v>2851</v>
      </c>
      <c r="D163" s="3174" t="s">
        <v>939</v>
      </c>
      <c r="E163" s="3174">
        <v>10</v>
      </c>
      <c r="F163" s="3176"/>
      <c r="G163" s="3176">
        <v>11.55</v>
      </c>
      <c r="H163" s="3176">
        <f t="shared" si="4"/>
        <v>11.55</v>
      </c>
      <c r="I163" s="2584"/>
      <c r="J163" s="219"/>
      <c r="O163" s="3350">
        <f t="shared" si="5"/>
        <v>11.55</v>
      </c>
    </row>
    <row r="164" spans="1:15">
      <c r="A164" s="3174">
        <v>959774</v>
      </c>
      <c r="B164" s="3175" t="s">
        <v>841</v>
      </c>
      <c r="C164" s="3174">
        <v>1453</v>
      </c>
      <c r="D164" s="3174" t="s">
        <v>939</v>
      </c>
      <c r="E164" s="3174">
        <v>8.1999999999999993</v>
      </c>
      <c r="F164" s="3176"/>
      <c r="G164" s="3176">
        <v>11.48</v>
      </c>
      <c r="H164" s="3176">
        <f t="shared" si="4"/>
        <v>11.48</v>
      </c>
      <c r="I164" s="2584"/>
      <c r="J164" s="219"/>
      <c r="O164" s="3350">
        <f t="shared" si="5"/>
        <v>11.48</v>
      </c>
    </row>
    <row r="165" spans="1:15">
      <c r="A165" s="3174">
        <v>957988</v>
      </c>
      <c r="B165" s="3175" t="s">
        <v>927</v>
      </c>
      <c r="C165" s="3174">
        <v>2108</v>
      </c>
      <c r="D165" s="3174" t="s">
        <v>939</v>
      </c>
      <c r="E165" s="3174">
        <v>11</v>
      </c>
      <c r="F165" s="3176">
        <v>1.665</v>
      </c>
      <c r="G165" s="3176">
        <v>9.1229999999999993</v>
      </c>
      <c r="H165" s="3176">
        <f t="shared" si="4"/>
        <v>10.788</v>
      </c>
      <c r="I165" s="2584"/>
      <c r="J165" s="219"/>
      <c r="O165" s="3350">
        <f t="shared" si="5"/>
        <v>10.788</v>
      </c>
    </row>
    <row r="166" spans="1:15">
      <c r="A166" s="3174">
        <v>959380</v>
      </c>
      <c r="B166" s="3175" t="s">
        <v>839</v>
      </c>
      <c r="C166" s="3174">
        <v>1973</v>
      </c>
      <c r="D166" s="3174" t="s">
        <v>939</v>
      </c>
      <c r="E166" s="3174">
        <v>8.1</v>
      </c>
      <c r="F166" s="3176"/>
      <c r="G166" s="3176">
        <v>10.49</v>
      </c>
      <c r="H166" s="3176">
        <f t="shared" si="4"/>
        <v>10.49</v>
      </c>
      <c r="I166" s="2584"/>
      <c r="J166" s="219"/>
      <c r="O166" s="3350">
        <f t="shared" si="5"/>
        <v>10.49</v>
      </c>
    </row>
    <row r="167" spans="1:15">
      <c r="A167" s="3174">
        <v>958604</v>
      </c>
      <c r="B167" s="3175" t="s">
        <v>840</v>
      </c>
      <c r="C167" s="3174">
        <v>2141</v>
      </c>
      <c r="D167" s="3174" t="s">
        <v>939</v>
      </c>
      <c r="E167" s="3174">
        <v>8.1</v>
      </c>
      <c r="F167" s="3176"/>
      <c r="G167" s="3176">
        <v>10.32</v>
      </c>
      <c r="H167" s="3176">
        <f t="shared" si="4"/>
        <v>10.32</v>
      </c>
      <c r="I167" s="2584"/>
      <c r="J167" s="219"/>
      <c r="O167" s="3350">
        <f t="shared" si="5"/>
        <v>10.32</v>
      </c>
    </row>
    <row r="168" spans="1:15">
      <c r="A168" s="3174">
        <v>959998</v>
      </c>
      <c r="B168" s="3175" t="s">
        <v>859</v>
      </c>
      <c r="C168" s="3174">
        <v>1447</v>
      </c>
      <c r="D168" s="3174" t="s">
        <v>939</v>
      </c>
      <c r="E168" s="3174">
        <v>8.1199999999999992</v>
      </c>
      <c r="F168" s="3176"/>
      <c r="G168" s="3176">
        <v>10.221</v>
      </c>
      <c r="H168" s="3176">
        <f t="shared" si="4"/>
        <v>10.221</v>
      </c>
      <c r="I168" s="2584"/>
      <c r="J168" s="219"/>
      <c r="O168" s="3350">
        <f t="shared" si="5"/>
        <v>10.221</v>
      </c>
    </row>
    <row r="169" spans="1:15">
      <c r="A169" s="3174">
        <v>957511</v>
      </c>
      <c r="B169" s="3175" t="s">
        <v>1270</v>
      </c>
      <c r="C169" s="3174">
        <v>2054</v>
      </c>
      <c r="D169" s="3174" t="s">
        <v>939</v>
      </c>
      <c r="E169" s="3174">
        <v>7.7</v>
      </c>
      <c r="F169" s="3176"/>
      <c r="G169" s="3176">
        <v>10.15</v>
      </c>
      <c r="H169" s="3176">
        <f t="shared" si="4"/>
        <v>10.15</v>
      </c>
      <c r="I169" s="2584"/>
      <c r="J169" s="219"/>
      <c r="O169" s="3350">
        <f t="shared" si="5"/>
        <v>10.15</v>
      </c>
    </row>
    <row r="170" spans="1:15">
      <c r="A170" s="3174">
        <v>957520</v>
      </c>
      <c r="B170" s="3175" t="s">
        <v>842</v>
      </c>
      <c r="C170" s="3174">
        <v>2008</v>
      </c>
      <c r="D170" s="3174" t="s">
        <v>939</v>
      </c>
      <c r="E170" s="3174">
        <v>8.1999999999999993</v>
      </c>
      <c r="F170" s="3176"/>
      <c r="G170" s="3176">
        <v>10.1</v>
      </c>
      <c r="H170" s="3176">
        <f t="shared" si="4"/>
        <v>10.1</v>
      </c>
      <c r="I170" s="2584"/>
      <c r="J170" s="219"/>
      <c r="O170" s="3350">
        <f t="shared" si="5"/>
        <v>10.1</v>
      </c>
    </row>
    <row r="171" spans="1:15">
      <c r="A171" s="3174">
        <v>959487</v>
      </c>
      <c r="B171" s="3175" t="s">
        <v>845</v>
      </c>
      <c r="C171" s="3174">
        <v>2162</v>
      </c>
      <c r="D171" s="3174" t="s">
        <v>939</v>
      </c>
      <c r="E171" s="3174">
        <v>11.9</v>
      </c>
      <c r="F171" s="3176"/>
      <c r="G171" s="3176">
        <v>10.050000000000001</v>
      </c>
      <c r="H171" s="3176">
        <f t="shared" si="4"/>
        <v>10.050000000000001</v>
      </c>
      <c r="I171" s="2584"/>
      <c r="J171" s="219"/>
      <c r="O171" s="3350">
        <f t="shared" si="5"/>
        <v>10.050000000000001</v>
      </c>
    </row>
    <row r="172" spans="1:15">
      <c r="A172" s="3174">
        <v>959761</v>
      </c>
      <c r="B172" s="3175" t="s">
        <v>843</v>
      </c>
      <c r="C172" s="3174">
        <v>1380</v>
      </c>
      <c r="D172" s="3174" t="s">
        <v>939</v>
      </c>
      <c r="E172" s="3174">
        <v>8.3000000000000007</v>
      </c>
      <c r="F172" s="3176"/>
      <c r="G172" s="3176">
        <v>10.050000000000001</v>
      </c>
      <c r="H172" s="3176">
        <f t="shared" si="4"/>
        <v>10.050000000000001</v>
      </c>
      <c r="I172" s="2584"/>
      <c r="J172" s="219"/>
      <c r="O172" s="3350">
        <f t="shared" si="5"/>
        <v>10.050000000000001</v>
      </c>
    </row>
    <row r="173" spans="1:15">
      <c r="A173" s="3174">
        <v>959409</v>
      </c>
      <c r="B173" s="3175" t="s">
        <v>844</v>
      </c>
      <c r="C173" s="3174">
        <v>2114</v>
      </c>
      <c r="D173" s="3174" t="s">
        <v>939</v>
      </c>
      <c r="E173" s="3174">
        <v>8.5</v>
      </c>
      <c r="F173" s="3176"/>
      <c r="G173" s="3176">
        <v>10.019</v>
      </c>
      <c r="H173" s="3176">
        <f t="shared" si="4"/>
        <v>10.019</v>
      </c>
      <c r="I173" s="2584"/>
      <c r="J173" s="219"/>
      <c r="O173" s="3350">
        <f t="shared" si="5"/>
        <v>10.019</v>
      </c>
    </row>
    <row r="174" spans="1:15">
      <c r="A174" s="3174">
        <v>19236</v>
      </c>
      <c r="B174" s="3175" t="s">
        <v>846</v>
      </c>
      <c r="C174" s="3174">
        <v>1347</v>
      </c>
      <c r="D174" s="3174" t="s">
        <v>939</v>
      </c>
      <c r="E174" s="3174">
        <v>8.6</v>
      </c>
      <c r="F174" s="3176"/>
      <c r="G174" s="3176">
        <v>9.7789999999999999</v>
      </c>
      <c r="H174" s="3176">
        <f t="shared" si="4"/>
        <v>9.7789999999999999</v>
      </c>
      <c r="I174" s="2584"/>
      <c r="J174" s="219"/>
      <c r="O174" s="3350">
        <f t="shared" si="5"/>
        <v>9.7789999999999999</v>
      </c>
    </row>
    <row r="175" spans="1:15">
      <c r="A175" s="3174">
        <v>958759</v>
      </c>
      <c r="B175" s="3175" t="s">
        <v>847</v>
      </c>
      <c r="C175" s="3174">
        <v>460</v>
      </c>
      <c r="D175" s="3174" t="s">
        <v>939</v>
      </c>
      <c r="E175" s="3174">
        <v>8.1</v>
      </c>
      <c r="F175" s="3176"/>
      <c r="G175" s="3176">
        <v>9.66</v>
      </c>
      <c r="H175" s="3176">
        <f t="shared" si="4"/>
        <v>9.66</v>
      </c>
      <c r="I175" s="2584"/>
      <c r="J175" s="219"/>
      <c r="O175" s="3350">
        <f t="shared" si="5"/>
        <v>9.66</v>
      </c>
    </row>
    <row r="176" spans="1:15">
      <c r="A176" s="3174">
        <v>959485</v>
      </c>
      <c r="B176" s="3175" t="s">
        <v>850</v>
      </c>
      <c r="C176" s="3174">
        <v>2108</v>
      </c>
      <c r="D176" s="3174" t="s">
        <v>939</v>
      </c>
      <c r="E176" s="3174">
        <v>9.6999999999999993</v>
      </c>
      <c r="F176" s="3176"/>
      <c r="G176" s="3176">
        <v>9.3079999999999998</v>
      </c>
      <c r="H176" s="3176">
        <f t="shared" si="4"/>
        <v>9.3079999999999998</v>
      </c>
      <c r="I176" s="2584"/>
      <c r="J176" s="219"/>
      <c r="O176" s="3350">
        <f t="shared" si="5"/>
        <v>9.3079999999999998</v>
      </c>
    </row>
    <row r="177" spans="1:15">
      <c r="A177" s="3174">
        <v>958634</v>
      </c>
      <c r="B177" s="3175" t="s">
        <v>851</v>
      </c>
      <c r="C177" s="3174">
        <v>2037</v>
      </c>
      <c r="D177" s="3174" t="s">
        <v>939</v>
      </c>
      <c r="E177" s="3174">
        <v>7.6</v>
      </c>
      <c r="F177" s="3176"/>
      <c r="G177" s="3176">
        <v>9.3000000000000007</v>
      </c>
      <c r="H177" s="3176">
        <f t="shared" si="4"/>
        <v>9.3000000000000007</v>
      </c>
      <c r="I177" s="2584"/>
      <c r="J177" s="219"/>
      <c r="O177" s="3350">
        <f t="shared" si="5"/>
        <v>9.3000000000000007</v>
      </c>
    </row>
    <row r="178" spans="1:15">
      <c r="A178" s="3174">
        <v>959741</v>
      </c>
      <c r="B178" s="3175" t="s">
        <v>852</v>
      </c>
      <c r="C178" s="3174">
        <v>400</v>
      </c>
      <c r="D178" s="3174" t="s">
        <v>939</v>
      </c>
      <c r="E178" s="3174">
        <v>8.6999999999999993</v>
      </c>
      <c r="F178" s="3176"/>
      <c r="G178" s="3176">
        <v>9.1829999999999998</v>
      </c>
      <c r="H178" s="3176">
        <f t="shared" si="4"/>
        <v>9.1829999999999998</v>
      </c>
      <c r="I178" s="2584"/>
      <c r="J178" s="219"/>
      <c r="O178" s="3350">
        <f t="shared" si="5"/>
        <v>9.1829999999999998</v>
      </c>
    </row>
    <row r="179" spans="1:15">
      <c r="A179" s="3174">
        <v>958712</v>
      </c>
      <c r="B179" s="3175" t="s">
        <v>911</v>
      </c>
      <c r="C179" s="3174">
        <v>66</v>
      </c>
      <c r="D179" s="3174" t="s">
        <v>939</v>
      </c>
      <c r="E179" s="3174">
        <v>7.7</v>
      </c>
      <c r="F179" s="3176">
        <v>8.7560000000000002</v>
      </c>
      <c r="G179" s="3176">
        <v>0.29899999999999999</v>
      </c>
      <c r="H179" s="3176">
        <f t="shared" si="4"/>
        <v>9.0549999999999997</v>
      </c>
      <c r="I179" s="2584"/>
      <c r="J179" s="219"/>
      <c r="O179" s="3350">
        <f t="shared" si="5"/>
        <v>9.0549999999999997</v>
      </c>
    </row>
    <row r="180" spans="1:15">
      <c r="A180" s="3174">
        <v>957703</v>
      </c>
      <c r="B180" s="3175" t="s">
        <v>854</v>
      </c>
      <c r="C180" s="3174">
        <v>2046</v>
      </c>
      <c r="D180" s="3174" t="s">
        <v>939</v>
      </c>
      <c r="E180" s="3174">
        <v>8.4</v>
      </c>
      <c r="F180" s="3176"/>
      <c r="G180" s="3176">
        <v>9.02</v>
      </c>
      <c r="H180" s="3176">
        <f t="shared" si="4"/>
        <v>9.02</v>
      </c>
      <c r="I180" s="2584"/>
      <c r="J180" s="219"/>
      <c r="O180" s="3350">
        <f t="shared" si="5"/>
        <v>9.02</v>
      </c>
    </row>
    <row r="181" spans="1:15">
      <c r="A181" s="3174">
        <v>953663</v>
      </c>
      <c r="B181" s="3175" t="s">
        <v>858</v>
      </c>
      <c r="C181" s="3174">
        <v>510</v>
      </c>
      <c r="D181" s="3174" t="s">
        <v>939</v>
      </c>
      <c r="E181" s="3174">
        <v>7.7</v>
      </c>
      <c r="F181" s="3176"/>
      <c r="G181" s="3176">
        <v>8.3650000000000002</v>
      </c>
      <c r="H181" s="3176">
        <f t="shared" si="4"/>
        <v>8.3650000000000002</v>
      </c>
      <c r="I181" s="2584"/>
      <c r="J181" s="219"/>
      <c r="O181" s="3350">
        <f t="shared" si="5"/>
        <v>8.3650000000000002</v>
      </c>
    </row>
    <row r="182" spans="1:15">
      <c r="A182" s="3174">
        <v>959367</v>
      </c>
      <c r="B182" s="3175" t="s">
        <v>872</v>
      </c>
      <c r="C182" s="3174">
        <v>247</v>
      </c>
      <c r="D182" s="3174" t="s">
        <v>939</v>
      </c>
      <c r="E182" s="3174">
        <v>8.3000000000000007</v>
      </c>
      <c r="F182" s="3176">
        <v>0.15</v>
      </c>
      <c r="G182" s="3176">
        <v>8.1050000000000004</v>
      </c>
      <c r="H182" s="3176">
        <f t="shared" si="4"/>
        <v>8.2550000000000008</v>
      </c>
      <c r="I182" s="2584"/>
      <c r="J182" s="219"/>
      <c r="O182" s="3350">
        <f t="shared" si="5"/>
        <v>8.2550000000000008</v>
      </c>
    </row>
    <row r="183" spans="1:15">
      <c r="A183" s="3174">
        <v>959091</v>
      </c>
      <c r="B183" s="3175" t="s">
        <v>860</v>
      </c>
      <c r="C183" s="3174">
        <v>2898</v>
      </c>
      <c r="D183" s="3174" t="s">
        <v>939</v>
      </c>
      <c r="E183" s="3174">
        <v>8.1999999999999993</v>
      </c>
      <c r="F183" s="3176">
        <v>9.4E-2</v>
      </c>
      <c r="G183" s="3176">
        <v>7.9980000000000002</v>
      </c>
      <c r="H183" s="3176">
        <f t="shared" si="4"/>
        <v>8.0920000000000005</v>
      </c>
      <c r="I183" s="2584"/>
      <c r="J183" s="219"/>
      <c r="O183" s="3350">
        <f t="shared" si="5"/>
        <v>8.0920000000000005</v>
      </c>
    </row>
    <row r="184" spans="1:15">
      <c r="A184" s="3174">
        <v>959332</v>
      </c>
      <c r="B184" s="3175" t="s">
        <v>888</v>
      </c>
      <c r="C184" s="3174">
        <v>116</v>
      </c>
      <c r="D184" s="3174" t="s">
        <v>939</v>
      </c>
      <c r="E184" s="3174">
        <v>8.1</v>
      </c>
      <c r="F184" s="3176">
        <v>0.27400000000000002</v>
      </c>
      <c r="G184" s="3176">
        <v>7.6589999999999998</v>
      </c>
      <c r="H184" s="3176">
        <f t="shared" si="4"/>
        <v>7.9329999999999998</v>
      </c>
      <c r="I184" s="2584"/>
      <c r="J184" s="219"/>
      <c r="O184" s="3350">
        <f t="shared" si="5"/>
        <v>7.9329999999999998</v>
      </c>
    </row>
    <row r="185" spans="1:15">
      <c r="A185" s="3174">
        <v>959586</v>
      </c>
      <c r="B185" s="3175" t="s">
        <v>873</v>
      </c>
      <c r="C185" s="3174">
        <v>2879</v>
      </c>
      <c r="D185" s="3174" t="s">
        <v>939</v>
      </c>
      <c r="E185" s="3174">
        <v>8.1</v>
      </c>
      <c r="F185" s="3176"/>
      <c r="G185" s="3176">
        <v>7.8970000000000002</v>
      </c>
      <c r="H185" s="3176">
        <f t="shared" si="4"/>
        <v>7.8970000000000002</v>
      </c>
      <c r="I185" s="2584"/>
      <c r="J185" s="219"/>
      <c r="O185" s="3350">
        <f t="shared" si="5"/>
        <v>7.8970000000000002</v>
      </c>
    </row>
    <row r="186" spans="1:15">
      <c r="A186" s="3174">
        <v>959010</v>
      </c>
      <c r="B186" s="3175" t="s">
        <v>874</v>
      </c>
      <c r="C186" s="3174">
        <v>414</v>
      </c>
      <c r="D186" s="3174" t="s">
        <v>939</v>
      </c>
      <c r="E186" s="3174">
        <v>8.3000000000000007</v>
      </c>
      <c r="F186" s="3176"/>
      <c r="G186" s="3176">
        <v>7.81</v>
      </c>
      <c r="H186" s="3176">
        <f t="shared" si="4"/>
        <v>7.81</v>
      </c>
      <c r="I186" s="2584"/>
      <c r="J186" s="219"/>
      <c r="O186" s="3350">
        <f t="shared" si="5"/>
        <v>7.81</v>
      </c>
    </row>
    <row r="187" spans="1:15">
      <c r="A187" s="3174">
        <v>956395</v>
      </c>
      <c r="B187" s="3175" t="s">
        <v>862</v>
      </c>
      <c r="C187" s="3174">
        <v>1984</v>
      </c>
      <c r="D187" s="3174" t="s">
        <v>939</v>
      </c>
      <c r="E187" s="3174">
        <v>8.06</v>
      </c>
      <c r="F187" s="3176"/>
      <c r="G187" s="3176">
        <v>7.55</v>
      </c>
      <c r="H187" s="3176">
        <f t="shared" si="4"/>
        <v>7.55</v>
      </c>
      <c r="I187" s="2584"/>
      <c r="J187" s="219"/>
      <c r="O187" s="3350">
        <f t="shared" si="5"/>
        <v>7.55</v>
      </c>
    </row>
    <row r="188" spans="1:15">
      <c r="A188" s="3174">
        <v>952520</v>
      </c>
      <c r="B188" s="3175" t="s">
        <v>863</v>
      </c>
      <c r="C188" s="3174">
        <v>1774</v>
      </c>
      <c r="D188" s="3174" t="s">
        <v>939</v>
      </c>
      <c r="E188" s="3174">
        <v>7.6</v>
      </c>
      <c r="F188" s="3176"/>
      <c r="G188" s="3176">
        <v>7.5279999999999996</v>
      </c>
      <c r="H188" s="3176">
        <f t="shared" si="4"/>
        <v>7.5279999999999996</v>
      </c>
      <c r="I188" s="2584"/>
      <c r="J188" s="219"/>
      <c r="O188" s="3350">
        <f t="shared" si="5"/>
        <v>7.5279999999999996</v>
      </c>
    </row>
    <row r="189" spans="1:15">
      <c r="A189" s="3174">
        <v>959759</v>
      </c>
      <c r="B189" s="3175" t="s">
        <v>867</v>
      </c>
      <c r="C189" s="3174">
        <v>146</v>
      </c>
      <c r="D189" s="3174" t="s">
        <v>939</v>
      </c>
      <c r="E189" s="3174">
        <v>8.6</v>
      </c>
      <c r="F189" s="3176"/>
      <c r="G189" s="3176">
        <v>7.4989999999999997</v>
      </c>
      <c r="H189" s="3176">
        <f t="shared" si="4"/>
        <v>7.4989999999999997</v>
      </c>
      <c r="I189" s="2584"/>
      <c r="J189" s="219"/>
      <c r="O189" s="3350">
        <f t="shared" si="5"/>
        <v>7.4989999999999997</v>
      </c>
    </row>
    <row r="190" spans="1:15">
      <c r="A190" s="3174">
        <v>960002</v>
      </c>
      <c r="B190" s="3175" t="s">
        <v>940</v>
      </c>
      <c r="C190" s="3174">
        <v>831</v>
      </c>
      <c r="D190" s="3174" t="s">
        <v>939</v>
      </c>
      <c r="E190" s="3174">
        <v>9.6</v>
      </c>
      <c r="F190" s="3176"/>
      <c r="G190" s="3176">
        <v>7.4080000000000004</v>
      </c>
      <c r="H190" s="3176">
        <f t="shared" si="4"/>
        <v>7.4080000000000004</v>
      </c>
      <c r="I190" s="2584"/>
      <c r="J190" s="219"/>
      <c r="O190" s="3350">
        <f t="shared" si="5"/>
        <v>7.4080000000000004</v>
      </c>
    </row>
    <row r="191" spans="1:15">
      <c r="A191" s="3174">
        <v>957065</v>
      </c>
      <c r="B191" s="3175" t="s">
        <v>864</v>
      </c>
      <c r="C191" s="3174">
        <v>2014</v>
      </c>
      <c r="D191" s="3174" t="s">
        <v>939</v>
      </c>
      <c r="E191" s="3174">
        <v>8.1999999999999993</v>
      </c>
      <c r="F191" s="3176">
        <v>0.99</v>
      </c>
      <c r="G191" s="3176">
        <v>6.3049999999999997</v>
      </c>
      <c r="H191" s="3176">
        <f t="shared" si="4"/>
        <v>7.2949999999999999</v>
      </c>
      <c r="I191" s="2584"/>
      <c r="J191" s="219"/>
      <c r="O191" s="3350">
        <f t="shared" si="5"/>
        <v>7.2949999999999999</v>
      </c>
    </row>
    <row r="192" spans="1:15">
      <c r="A192" s="3174">
        <v>31011</v>
      </c>
      <c r="B192" s="3175" t="s">
        <v>865</v>
      </c>
      <c r="C192" s="3174">
        <v>1042</v>
      </c>
      <c r="D192" s="3174" t="s">
        <v>939</v>
      </c>
      <c r="E192" s="3174">
        <v>7.1</v>
      </c>
      <c r="F192" s="3176">
        <v>0.1</v>
      </c>
      <c r="G192" s="3176">
        <v>7.19</v>
      </c>
      <c r="H192" s="3176">
        <f t="shared" si="4"/>
        <v>7.29</v>
      </c>
      <c r="I192" s="2584"/>
      <c r="J192" s="219"/>
      <c r="O192" s="3350">
        <f t="shared" si="5"/>
        <v>7.29</v>
      </c>
    </row>
    <row r="193" spans="1:15">
      <c r="A193" s="3174">
        <v>955412</v>
      </c>
      <c r="B193" s="3175" t="s">
        <v>866</v>
      </c>
      <c r="C193" s="3174">
        <v>1938</v>
      </c>
      <c r="D193" s="3174" t="s">
        <v>939</v>
      </c>
      <c r="E193" s="3174">
        <v>7</v>
      </c>
      <c r="F193" s="3176"/>
      <c r="G193" s="3176">
        <v>7.23</v>
      </c>
      <c r="H193" s="3176">
        <f t="shared" si="4"/>
        <v>7.23</v>
      </c>
      <c r="I193" s="2584"/>
      <c r="J193" s="219"/>
      <c r="O193" s="3350">
        <f t="shared" si="5"/>
        <v>7.23</v>
      </c>
    </row>
    <row r="194" spans="1:15">
      <c r="A194" s="3174">
        <v>959352</v>
      </c>
      <c r="B194" s="3175" t="s">
        <v>869</v>
      </c>
      <c r="C194" s="3174">
        <v>1136</v>
      </c>
      <c r="D194" s="3174" t="s">
        <v>939</v>
      </c>
      <c r="E194" s="3174">
        <v>8.6</v>
      </c>
      <c r="F194" s="3176">
        <v>8.5000000000000006E-2</v>
      </c>
      <c r="G194" s="3176">
        <v>6.7549999999999999</v>
      </c>
      <c r="H194" s="3176">
        <f t="shared" si="4"/>
        <v>6.84</v>
      </c>
      <c r="I194" s="2584"/>
      <c r="J194" s="219"/>
      <c r="O194" s="3350">
        <f t="shared" si="5"/>
        <v>6.84</v>
      </c>
    </row>
    <row r="195" spans="1:15">
      <c r="A195" s="3174">
        <v>957719</v>
      </c>
      <c r="B195" s="3175" t="s">
        <v>870</v>
      </c>
      <c r="C195" s="3174">
        <v>2093</v>
      </c>
      <c r="D195" s="3174" t="s">
        <v>939</v>
      </c>
      <c r="E195" s="3174">
        <v>7.7</v>
      </c>
      <c r="F195" s="3176"/>
      <c r="G195" s="3176">
        <v>6.835</v>
      </c>
      <c r="H195" s="3176">
        <f t="shared" si="4"/>
        <v>6.835</v>
      </c>
      <c r="I195" s="2584"/>
      <c r="J195" s="219"/>
      <c r="O195" s="3350">
        <f t="shared" si="5"/>
        <v>6.835</v>
      </c>
    </row>
    <row r="196" spans="1:15">
      <c r="A196" s="3174">
        <v>959027</v>
      </c>
      <c r="B196" s="3175" t="s">
        <v>877</v>
      </c>
      <c r="C196" s="3174">
        <v>372</v>
      </c>
      <c r="D196" s="3174" t="s">
        <v>939</v>
      </c>
      <c r="E196" s="3174">
        <v>8.6</v>
      </c>
      <c r="F196" s="3176"/>
      <c r="G196" s="3176">
        <v>6.75</v>
      </c>
      <c r="H196" s="3176">
        <f t="shared" si="4"/>
        <v>6.75</v>
      </c>
      <c r="I196" s="2584"/>
      <c r="J196" s="219"/>
      <c r="O196" s="3350">
        <f t="shared" si="5"/>
        <v>6.75</v>
      </c>
    </row>
    <row r="197" spans="1:15">
      <c r="A197" s="3174">
        <v>956564</v>
      </c>
      <c r="B197" s="3175" t="s">
        <v>871</v>
      </c>
      <c r="C197" s="3174">
        <v>798</v>
      </c>
      <c r="D197" s="3174" t="s">
        <v>939</v>
      </c>
      <c r="E197" s="3174">
        <v>8.1999999999999993</v>
      </c>
      <c r="F197" s="3176"/>
      <c r="G197" s="3176">
        <v>6.2050000000000001</v>
      </c>
      <c r="H197" s="3176">
        <f t="shared" si="4"/>
        <v>6.2050000000000001</v>
      </c>
      <c r="I197" s="2584"/>
      <c r="J197" s="219"/>
      <c r="O197" s="3350">
        <f t="shared" si="5"/>
        <v>6.2050000000000001</v>
      </c>
    </row>
    <row r="198" spans="1:15">
      <c r="A198" s="3174">
        <v>959497</v>
      </c>
      <c r="B198" s="3175" t="s">
        <v>875</v>
      </c>
      <c r="C198" s="3174">
        <v>1452</v>
      </c>
      <c r="D198" s="3174" t="s">
        <v>939</v>
      </c>
      <c r="E198" s="3174">
        <v>8.1</v>
      </c>
      <c r="F198" s="3176"/>
      <c r="G198" s="3176">
        <v>5.81</v>
      </c>
      <c r="H198" s="3176">
        <f t="shared" si="4"/>
        <v>5.81</v>
      </c>
      <c r="I198" s="2584"/>
      <c r="J198" s="219"/>
      <c r="O198" s="3350">
        <f t="shared" si="5"/>
        <v>5.81</v>
      </c>
    </row>
    <row r="199" spans="1:15">
      <c r="A199" s="3174">
        <v>959608</v>
      </c>
      <c r="B199" s="3175" t="s">
        <v>882</v>
      </c>
      <c r="C199" s="3174">
        <v>2172</v>
      </c>
      <c r="D199" s="3174" t="s">
        <v>939</v>
      </c>
      <c r="E199" s="3174">
        <v>12</v>
      </c>
      <c r="F199" s="3176">
        <v>1.2999999999999999E-2</v>
      </c>
      <c r="G199" s="3176">
        <v>5.7709999999999999</v>
      </c>
      <c r="H199" s="3176">
        <f t="shared" si="4"/>
        <v>5.7839999999999998</v>
      </c>
      <c r="I199" s="2584"/>
      <c r="J199" s="219"/>
      <c r="O199" s="3350">
        <f t="shared" si="5"/>
        <v>5.7839999999999998</v>
      </c>
    </row>
    <row r="200" spans="1:15">
      <c r="A200" s="3174">
        <v>959362</v>
      </c>
      <c r="B200" s="3175" t="s">
        <v>884</v>
      </c>
      <c r="C200" s="3174">
        <v>289</v>
      </c>
      <c r="D200" s="3174" t="s">
        <v>939</v>
      </c>
      <c r="E200" s="3174">
        <v>8.1</v>
      </c>
      <c r="F200" s="3176">
        <v>0.52400000000000002</v>
      </c>
      <c r="G200" s="3176">
        <v>4.8410000000000002</v>
      </c>
      <c r="H200" s="3176">
        <f t="shared" si="4"/>
        <v>5.3650000000000002</v>
      </c>
      <c r="I200" s="2584"/>
      <c r="J200" s="219"/>
      <c r="O200" s="3350">
        <f t="shared" si="5"/>
        <v>5.3650000000000002</v>
      </c>
    </row>
    <row r="201" spans="1:15">
      <c r="A201" s="3174">
        <v>959197</v>
      </c>
      <c r="B201" s="3175" t="s">
        <v>879</v>
      </c>
      <c r="C201" s="3174">
        <v>2158</v>
      </c>
      <c r="D201" s="3174" t="s">
        <v>939</v>
      </c>
      <c r="E201" s="3174">
        <v>9.1</v>
      </c>
      <c r="F201" s="3176"/>
      <c r="G201" s="3176">
        <v>5.08</v>
      </c>
      <c r="H201" s="3176">
        <f t="shared" si="4"/>
        <v>5.08</v>
      </c>
      <c r="I201" s="2584"/>
      <c r="J201" s="219"/>
      <c r="O201" s="3350">
        <f t="shared" si="5"/>
        <v>5.08</v>
      </c>
    </row>
    <row r="202" spans="1:15">
      <c r="A202" s="3174">
        <v>957513</v>
      </c>
      <c r="B202" s="3175" t="s">
        <v>881</v>
      </c>
      <c r="C202" s="3174">
        <v>123</v>
      </c>
      <c r="D202" s="3174" t="s">
        <v>939</v>
      </c>
      <c r="E202" s="3174">
        <v>6.8</v>
      </c>
      <c r="F202" s="3176">
        <v>0.2</v>
      </c>
      <c r="G202" s="3176">
        <v>4.8600000000000003</v>
      </c>
      <c r="H202" s="3176">
        <f t="shared" ref="H202:H226" si="6">+G202+F202</f>
        <v>5.0600000000000005</v>
      </c>
      <c r="I202" s="2584"/>
      <c r="J202" s="219"/>
      <c r="O202" s="3350">
        <f t="shared" ref="O202:O226" si="7">(H202-M202)</f>
        <v>5.0600000000000005</v>
      </c>
    </row>
    <row r="203" spans="1:15">
      <c r="A203" s="3174">
        <v>955154</v>
      </c>
      <c r="B203" s="3175" t="s">
        <v>880</v>
      </c>
      <c r="C203" s="3174">
        <v>1908</v>
      </c>
      <c r="D203" s="3174" t="s">
        <v>939</v>
      </c>
      <c r="E203" s="3174">
        <v>8.9</v>
      </c>
      <c r="F203" s="3176"/>
      <c r="G203" s="3176">
        <v>4.87</v>
      </c>
      <c r="H203" s="3176">
        <f t="shared" si="6"/>
        <v>4.87</v>
      </c>
      <c r="I203" s="2584"/>
      <c r="J203" s="219"/>
      <c r="O203" s="3350">
        <f t="shared" si="7"/>
        <v>4.87</v>
      </c>
    </row>
    <row r="204" spans="1:15">
      <c r="A204" s="3174">
        <v>960056</v>
      </c>
      <c r="B204" s="3175" t="s">
        <v>894</v>
      </c>
      <c r="C204" s="3174">
        <v>2131</v>
      </c>
      <c r="D204" s="3174" t="s">
        <v>939</v>
      </c>
      <c r="E204" s="3174">
        <v>12</v>
      </c>
      <c r="F204" s="3176"/>
      <c r="G204" s="3176">
        <v>4.7619999999999996</v>
      </c>
      <c r="H204" s="3176">
        <f t="shared" si="6"/>
        <v>4.7619999999999996</v>
      </c>
      <c r="I204" s="2584"/>
      <c r="J204" s="219"/>
      <c r="O204" s="3350">
        <f t="shared" si="7"/>
        <v>4.7619999999999996</v>
      </c>
    </row>
    <row r="205" spans="1:15">
      <c r="A205" s="3174">
        <v>953557</v>
      </c>
      <c r="B205" s="3175" t="s">
        <v>887</v>
      </c>
      <c r="C205" s="3174">
        <v>554</v>
      </c>
      <c r="D205" s="3174" t="s">
        <v>939</v>
      </c>
      <c r="E205" s="3174">
        <v>8.6</v>
      </c>
      <c r="F205" s="3176"/>
      <c r="G205" s="3176">
        <v>4.6859999999999999</v>
      </c>
      <c r="H205" s="3176">
        <f t="shared" si="6"/>
        <v>4.6859999999999999</v>
      </c>
      <c r="I205" s="2584"/>
      <c r="J205" s="219"/>
      <c r="O205" s="3350">
        <f t="shared" si="7"/>
        <v>4.6859999999999999</v>
      </c>
    </row>
    <row r="206" spans="1:15">
      <c r="A206" s="3174">
        <v>955438</v>
      </c>
      <c r="B206" s="3175" t="s">
        <v>883</v>
      </c>
      <c r="C206" s="3174">
        <v>1941</v>
      </c>
      <c r="D206" s="3174" t="s">
        <v>939</v>
      </c>
      <c r="E206" s="3174">
        <v>9.1999999999999993</v>
      </c>
      <c r="F206" s="3176"/>
      <c r="G206" s="3176">
        <v>4.46</v>
      </c>
      <c r="H206" s="3176">
        <f t="shared" si="6"/>
        <v>4.46</v>
      </c>
      <c r="I206" s="2584"/>
      <c r="J206" s="219"/>
      <c r="O206" s="3350">
        <f t="shared" si="7"/>
        <v>4.46</v>
      </c>
    </row>
    <row r="207" spans="1:15">
      <c r="A207" s="3174">
        <v>960335</v>
      </c>
      <c r="B207" s="3175" t="s">
        <v>886</v>
      </c>
      <c r="C207" s="3174">
        <v>396</v>
      </c>
      <c r="D207" s="3174" t="s">
        <v>939</v>
      </c>
      <c r="E207" s="3174">
        <v>8.5</v>
      </c>
      <c r="F207" s="3176"/>
      <c r="G207" s="3176">
        <v>4.1680000000000001</v>
      </c>
      <c r="H207" s="3176">
        <f t="shared" si="6"/>
        <v>4.1680000000000001</v>
      </c>
      <c r="I207" s="2584"/>
      <c r="J207" s="219"/>
      <c r="O207" s="3350">
        <f t="shared" si="7"/>
        <v>4.1680000000000001</v>
      </c>
    </row>
    <row r="208" spans="1:15">
      <c r="A208" s="3174">
        <v>960297</v>
      </c>
      <c r="B208" s="3175" t="s">
        <v>1087</v>
      </c>
      <c r="C208" s="3174">
        <v>243</v>
      </c>
      <c r="D208" s="3174" t="s">
        <v>939</v>
      </c>
      <c r="E208" s="3174">
        <v>8.16</v>
      </c>
      <c r="F208" s="3176"/>
      <c r="G208" s="3176">
        <v>4</v>
      </c>
      <c r="H208" s="3176">
        <f t="shared" si="6"/>
        <v>4</v>
      </c>
      <c r="I208" s="2584"/>
      <c r="J208" s="219"/>
      <c r="O208" s="3350">
        <f t="shared" si="7"/>
        <v>4</v>
      </c>
    </row>
    <row r="209" spans="1:15">
      <c r="A209" s="3174">
        <v>959198</v>
      </c>
      <c r="B209" s="3175" t="s">
        <v>892</v>
      </c>
      <c r="C209" s="3174">
        <v>1712</v>
      </c>
      <c r="D209" s="3174" t="s">
        <v>939</v>
      </c>
      <c r="E209" s="3174">
        <v>8.4</v>
      </c>
      <c r="F209" s="3176">
        <v>3.2000000000000001E-2</v>
      </c>
      <c r="G209" s="3176">
        <v>3.6720000000000002</v>
      </c>
      <c r="H209" s="3176">
        <f t="shared" si="6"/>
        <v>3.7040000000000002</v>
      </c>
      <c r="I209" s="2584"/>
      <c r="J209" s="219"/>
      <c r="O209" s="3350">
        <f t="shared" si="7"/>
        <v>3.7040000000000002</v>
      </c>
    </row>
    <row r="210" spans="1:15">
      <c r="A210" s="3174">
        <v>958891</v>
      </c>
      <c r="B210" s="3175" t="s">
        <v>891</v>
      </c>
      <c r="C210" s="3174">
        <v>2893</v>
      </c>
      <c r="D210" s="3174" t="s">
        <v>939</v>
      </c>
      <c r="E210" s="3174">
        <v>8.1</v>
      </c>
      <c r="F210" s="3176"/>
      <c r="G210" s="3176">
        <v>3.5219999999999998</v>
      </c>
      <c r="H210" s="3176">
        <f t="shared" si="6"/>
        <v>3.5219999999999998</v>
      </c>
      <c r="I210" s="2584"/>
      <c r="J210" s="219"/>
      <c r="O210" s="3350">
        <f t="shared" si="7"/>
        <v>3.5219999999999998</v>
      </c>
    </row>
    <row r="211" spans="1:15">
      <c r="A211" s="3174">
        <v>960301</v>
      </c>
      <c r="B211" s="3175" t="s">
        <v>941</v>
      </c>
      <c r="C211" s="3174">
        <v>827</v>
      </c>
      <c r="D211" s="3174" t="s">
        <v>939</v>
      </c>
      <c r="E211" s="3174">
        <v>10.8</v>
      </c>
      <c r="F211" s="3176"/>
      <c r="G211" s="3176">
        <v>3.47</v>
      </c>
      <c r="H211" s="3176">
        <f t="shared" si="6"/>
        <v>3.47</v>
      </c>
      <c r="I211" s="2584"/>
      <c r="J211" s="219"/>
      <c r="O211" s="3350">
        <f t="shared" si="7"/>
        <v>3.47</v>
      </c>
    </row>
    <row r="212" spans="1:15">
      <c r="A212" s="3174">
        <v>959599</v>
      </c>
      <c r="B212" s="3175" t="s">
        <v>1059</v>
      </c>
      <c r="C212" s="3174">
        <v>230</v>
      </c>
      <c r="D212" s="3174" t="s">
        <v>939</v>
      </c>
      <c r="E212" s="3174">
        <v>8.6</v>
      </c>
      <c r="F212" s="3176"/>
      <c r="G212" s="3176">
        <v>3.38</v>
      </c>
      <c r="H212" s="3176">
        <f t="shared" si="6"/>
        <v>3.38</v>
      </c>
      <c r="I212" s="2584"/>
      <c r="J212" s="219"/>
      <c r="O212" s="3350">
        <f t="shared" si="7"/>
        <v>3.38</v>
      </c>
    </row>
    <row r="213" spans="1:15">
      <c r="A213" s="3174">
        <v>959111</v>
      </c>
      <c r="B213" s="3175" t="s">
        <v>906</v>
      </c>
      <c r="C213" s="3174">
        <v>2089</v>
      </c>
      <c r="D213" s="3174" t="s">
        <v>939</v>
      </c>
      <c r="E213" s="3174">
        <v>9.1</v>
      </c>
      <c r="F213" s="3176">
        <v>3.13</v>
      </c>
      <c r="G213" s="3176"/>
      <c r="H213" s="3176">
        <f t="shared" si="6"/>
        <v>3.13</v>
      </c>
      <c r="I213" s="2584"/>
      <c r="J213" s="219"/>
      <c r="O213" s="3350">
        <f t="shared" si="7"/>
        <v>3.13</v>
      </c>
    </row>
    <row r="214" spans="1:15">
      <c r="A214" s="3174">
        <v>958094</v>
      </c>
      <c r="B214" s="3175" t="s">
        <v>895</v>
      </c>
      <c r="C214" s="3174">
        <v>2203</v>
      </c>
      <c r="D214" s="3174" t="s">
        <v>939</v>
      </c>
      <c r="E214" s="3174">
        <v>7.4</v>
      </c>
      <c r="F214" s="3176"/>
      <c r="G214" s="3176">
        <v>2.2229999999999999</v>
      </c>
      <c r="H214" s="3176">
        <f t="shared" si="6"/>
        <v>2.2229999999999999</v>
      </c>
      <c r="I214" s="2584"/>
      <c r="J214" s="219"/>
      <c r="O214" s="3350">
        <f t="shared" si="7"/>
        <v>2.2229999999999999</v>
      </c>
    </row>
    <row r="215" spans="1:15">
      <c r="A215" s="3174">
        <v>953505</v>
      </c>
      <c r="B215" s="3175" t="s">
        <v>897</v>
      </c>
      <c r="C215" s="3174">
        <v>113</v>
      </c>
      <c r="D215" s="3174" t="s">
        <v>939</v>
      </c>
      <c r="E215" s="3174">
        <v>7</v>
      </c>
      <c r="F215" s="3176"/>
      <c r="G215" s="3176">
        <v>2.2000000000000002</v>
      </c>
      <c r="H215" s="3176">
        <f t="shared" si="6"/>
        <v>2.2000000000000002</v>
      </c>
      <c r="I215" s="2584"/>
      <c r="J215" s="219"/>
      <c r="O215" s="3350">
        <f t="shared" si="7"/>
        <v>2.2000000000000002</v>
      </c>
    </row>
    <row r="216" spans="1:15" s="2611" customFormat="1">
      <c r="A216" s="3174">
        <v>20965</v>
      </c>
      <c r="B216" s="3175" t="s">
        <v>896</v>
      </c>
      <c r="C216" s="3174">
        <v>449</v>
      </c>
      <c r="D216" s="3174" t="s">
        <v>939</v>
      </c>
      <c r="E216" s="3174">
        <v>5.75</v>
      </c>
      <c r="F216" s="3176"/>
      <c r="G216" s="3176">
        <v>1.75</v>
      </c>
      <c r="H216" s="3176">
        <f t="shared" si="6"/>
        <v>1.75</v>
      </c>
      <c r="O216" s="3350">
        <f t="shared" si="7"/>
        <v>1.75</v>
      </c>
    </row>
    <row r="217" spans="1:15">
      <c r="A217" s="3174">
        <v>959213</v>
      </c>
      <c r="B217" s="3175" t="s">
        <v>1184</v>
      </c>
      <c r="C217" s="3174">
        <v>2095</v>
      </c>
      <c r="D217" s="3174" t="s">
        <v>939</v>
      </c>
      <c r="E217" s="3174">
        <v>8.5</v>
      </c>
      <c r="F217" s="3176">
        <v>0.65</v>
      </c>
      <c r="G217" s="3176">
        <v>0.65</v>
      </c>
      <c r="H217" s="3176">
        <f t="shared" si="6"/>
        <v>1.3</v>
      </c>
      <c r="O217" s="3350">
        <f t="shared" si="7"/>
        <v>1.3</v>
      </c>
    </row>
    <row r="218" spans="1:15">
      <c r="A218" s="3174">
        <v>958760</v>
      </c>
      <c r="B218" s="3175" t="s">
        <v>899</v>
      </c>
      <c r="C218" s="3174">
        <v>2096</v>
      </c>
      <c r="D218" s="3174" t="s">
        <v>939</v>
      </c>
      <c r="E218" s="3174">
        <v>10.9</v>
      </c>
      <c r="F218" s="3176">
        <v>8.5000000000000006E-2</v>
      </c>
      <c r="G218" s="3176">
        <v>1.2050000000000001</v>
      </c>
      <c r="H218" s="3176">
        <f t="shared" si="6"/>
        <v>1.29</v>
      </c>
      <c r="O218" s="3350">
        <f t="shared" si="7"/>
        <v>1.29</v>
      </c>
    </row>
    <row r="219" spans="1:15">
      <c r="A219" s="3174">
        <v>960880</v>
      </c>
      <c r="B219" s="3175" t="s">
        <v>1271</v>
      </c>
      <c r="C219" s="3174">
        <v>809</v>
      </c>
      <c r="D219" s="3174" t="s">
        <v>939</v>
      </c>
      <c r="E219" s="3174">
        <v>9.75</v>
      </c>
      <c r="F219" s="3176">
        <v>0.5</v>
      </c>
      <c r="G219" s="3176">
        <v>0.7</v>
      </c>
      <c r="H219" s="3176">
        <f t="shared" si="6"/>
        <v>1.2</v>
      </c>
      <c r="O219" s="3350">
        <f t="shared" si="7"/>
        <v>1.2</v>
      </c>
    </row>
    <row r="220" spans="1:15">
      <c r="A220" s="3174">
        <v>959330</v>
      </c>
      <c r="B220" s="3175" t="s">
        <v>1182</v>
      </c>
      <c r="C220" s="3174">
        <v>213</v>
      </c>
      <c r="D220" s="3174" t="s">
        <v>939</v>
      </c>
      <c r="E220" s="3174">
        <v>8.4</v>
      </c>
      <c r="F220" s="3176"/>
      <c r="G220" s="3176">
        <v>0.85</v>
      </c>
      <c r="H220" s="3176">
        <f t="shared" si="6"/>
        <v>0.85</v>
      </c>
      <c r="O220" s="3350">
        <f t="shared" si="7"/>
        <v>0.85</v>
      </c>
    </row>
    <row r="221" spans="1:15">
      <c r="A221" s="3174">
        <v>956565</v>
      </c>
      <c r="B221" s="3175" t="s">
        <v>898</v>
      </c>
      <c r="C221" s="3174">
        <v>2001</v>
      </c>
      <c r="D221" s="3174" t="s">
        <v>939</v>
      </c>
      <c r="E221" s="3174">
        <v>8.06</v>
      </c>
      <c r="F221" s="3176">
        <v>0.4</v>
      </c>
      <c r="G221" s="3176">
        <v>0.35</v>
      </c>
      <c r="H221" s="3176">
        <f t="shared" si="6"/>
        <v>0.75</v>
      </c>
      <c r="O221" s="3350">
        <f t="shared" si="7"/>
        <v>0.75</v>
      </c>
    </row>
    <row r="222" spans="1:15">
      <c r="A222" s="3174">
        <v>31243</v>
      </c>
      <c r="B222" s="3175" t="s">
        <v>1025</v>
      </c>
      <c r="C222" s="3174">
        <v>383</v>
      </c>
      <c r="D222" s="3174" t="s">
        <v>939</v>
      </c>
      <c r="E222" s="3174">
        <v>7</v>
      </c>
      <c r="F222" s="3176"/>
      <c r="G222" s="3176">
        <v>0.6</v>
      </c>
      <c r="H222" s="3176">
        <f t="shared" si="6"/>
        <v>0.6</v>
      </c>
      <c r="O222" s="3350">
        <f t="shared" si="7"/>
        <v>0.6</v>
      </c>
    </row>
    <row r="223" spans="1:15">
      <c r="A223" s="2450">
        <v>958899</v>
      </c>
      <c r="B223" s="2451" t="s">
        <v>1014</v>
      </c>
      <c r="C223" s="2450">
        <v>2145</v>
      </c>
      <c r="D223" s="2450" t="s">
        <v>939</v>
      </c>
      <c r="E223" s="2940">
        <v>8.5</v>
      </c>
      <c r="G223" s="2940">
        <v>0.5</v>
      </c>
      <c r="H223" s="3176">
        <f t="shared" si="6"/>
        <v>0.5</v>
      </c>
      <c r="O223" s="3350">
        <f t="shared" si="7"/>
        <v>0.5</v>
      </c>
    </row>
    <row r="224" spans="1:15">
      <c r="A224" s="2450">
        <v>959997</v>
      </c>
      <c r="B224" s="2451" t="s">
        <v>918</v>
      </c>
      <c r="C224" s="2450">
        <v>2345</v>
      </c>
      <c r="D224" s="2450" t="s">
        <v>939</v>
      </c>
      <c r="E224" s="2940">
        <v>8.08</v>
      </c>
      <c r="G224" s="3140">
        <v>0.45</v>
      </c>
      <c r="H224" s="3176">
        <f t="shared" si="6"/>
        <v>0.45</v>
      </c>
      <c r="O224" s="3350">
        <f t="shared" si="7"/>
        <v>0.45</v>
      </c>
    </row>
    <row r="225" spans="1:15">
      <c r="A225" s="2450">
        <v>960298</v>
      </c>
      <c r="B225" s="2451" t="s">
        <v>953</v>
      </c>
      <c r="C225" s="2450">
        <v>913</v>
      </c>
      <c r="D225" s="2450" t="s">
        <v>1181</v>
      </c>
      <c r="E225" s="2940">
        <v>8.1</v>
      </c>
      <c r="F225" s="2940">
        <v>1.4999999999999999E-2</v>
      </c>
      <c r="G225" s="2940">
        <v>0.123</v>
      </c>
      <c r="H225" s="3176">
        <f t="shared" si="6"/>
        <v>0.13800000000000001</v>
      </c>
      <c r="O225" s="3350">
        <f t="shared" si="7"/>
        <v>0.13800000000000001</v>
      </c>
    </row>
    <row r="226" spans="1:15">
      <c r="A226" s="2450">
        <v>955572</v>
      </c>
      <c r="B226" s="2451" t="s">
        <v>1027</v>
      </c>
      <c r="C226" s="2450">
        <v>1537</v>
      </c>
      <c r="D226" s="2450" t="s">
        <v>939</v>
      </c>
      <c r="E226" s="2940">
        <v>6.2</v>
      </c>
      <c r="G226" s="2940">
        <v>0.05</v>
      </c>
      <c r="H226" s="3176">
        <f t="shared" si="6"/>
        <v>0.05</v>
      </c>
      <c r="O226" s="3350">
        <f t="shared" si="7"/>
        <v>0.05</v>
      </c>
    </row>
    <row r="227" spans="1:15">
      <c r="O227" s="3354">
        <f>SUM(O9:O226)</f>
        <v>10242.653999999986</v>
      </c>
    </row>
    <row r="231" spans="1:15">
      <c r="H231" s="2940"/>
    </row>
  </sheetData>
  <mergeCells count="1">
    <mergeCell ref="E2:G2"/>
  </mergeCells>
  <pageMargins left="0.70866141732283472" right="0.70866141732283472" top="0.74803149606299213" bottom="0.74803149606299213" header="0.31496062992125984" footer="0.31496062992125984"/>
  <pageSetup orientation="landscape" r:id="rId1"/>
  <drawing r:id="rId2"/>
</worksheet>
</file>

<file path=xl/worksheets/sheet24.xml><?xml version="1.0" encoding="utf-8"?>
<worksheet xmlns="http://schemas.openxmlformats.org/spreadsheetml/2006/main" xmlns:r="http://schemas.openxmlformats.org/officeDocument/2006/relationships">
  <dimension ref="A1:BQ706"/>
  <sheetViews>
    <sheetView topLeftCell="A610" zoomScale="50" zoomScaleNormal="50" workbookViewId="0">
      <selection activeCell="S656" sqref="S656"/>
    </sheetView>
  </sheetViews>
  <sheetFormatPr baseColWidth="10" defaultRowHeight="12.75"/>
  <cols>
    <col min="1" max="2" width="16.42578125" customWidth="1"/>
    <col min="3" max="3" width="21.28515625" customWidth="1"/>
    <col min="4" max="4" width="22.42578125" bestFit="1" customWidth="1"/>
    <col min="5" max="5" width="14.140625" customWidth="1"/>
    <col min="7" max="7" width="15.42578125" customWidth="1"/>
    <col min="8" max="8" width="11.85546875" customWidth="1"/>
    <col min="11" max="11" width="19.140625" bestFit="1" customWidth="1"/>
    <col min="14" max="14" width="21.42578125" bestFit="1" customWidth="1"/>
    <col min="22" max="22" width="11.42578125" customWidth="1"/>
    <col min="23" max="23" width="29.140625" customWidth="1"/>
    <col min="24" max="24" width="17.7109375" customWidth="1"/>
    <col min="26" max="26" width="14" customWidth="1"/>
    <col min="29" max="29" width="15.28515625" customWidth="1"/>
    <col min="30" max="31" width="14" customWidth="1"/>
    <col min="38" max="38" width="33.42578125" customWidth="1"/>
    <col min="39" max="39" width="37.7109375" customWidth="1"/>
    <col min="40" max="40" width="38.7109375" customWidth="1"/>
    <col min="42" max="43" width="16" customWidth="1"/>
    <col min="49" max="49" width="14" customWidth="1"/>
  </cols>
  <sheetData>
    <row r="1" spans="1:69" ht="43.5" customHeight="1">
      <c r="A1" s="2187"/>
      <c r="B1" s="2187"/>
      <c r="C1" s="2187"/>
      <c r="D1" s="2187"/>
      <c r="E1" s="2187"/>
      <c r="F1" s="2187"/>
      <c r="G1" s="2187"/>
      <c r="H1" s="2187"/>
      <c r="I1" s="2187"/>
      <c r="J1" s="2187"/>
      <c r="K1" s="2187"/>
      <c r="L1" s="2187"/>
      <c r="M1" s="2187"/>
      <c r="N1" s="2187"/>
      <c r="O1" s="2187"/>
      <c r="P1" s="2187"/>
      <c r="Q1" s="2187"/>
      <c r="R1" s="2187"/>
      <c r="S1" s="2187"/>
      <c r="T1" s="2187"/>
      <c r="U1" s="2187"/>
      <c r="V1" s="2187"/>
      <c r="W1" s="2187"/>
      <c r="X1" s="2187"/>
      <c r="Y1" s="2187"/>
      <c r="Z1" s="2187"/>
      <c r="AA1" s="2187"/>
      <c r="AB1" s="2187"/>
      <c r="AC1" s="2187"/>
      <c r="AD1" s="2187"/>
      <c r="AE1" s="2187"/>
      <c r="AF1" s="2187"/>
      <c r="AG1" s="2187"/>
      <c r="AH1" s="2187"/>
      <c r="AJ1" s="3884" t="s">
        <v>1018</v>
      </c>
      <c r="AK1" s="3884"/>
      <c r="AL1" s="3884"/>
      <c r="AM1" s="3884"/>
      <c r="AN1" s="3884"/>
      <c r="AO1" s="3884"/>
      <c r="AP1" s="3884"/>
      <c r="AQ1" s="3884"/>
      <c r="AR1" s="3884"/>
      <c r="AS1" s="3884"/>
      <c r="AT1" s="3884"/>
      <c r="AU1" s="3884"/>
      <c r="AV1" s="3884"/>
      <c r="AW1" s="3884"/>
      <c r="AX1" s="3884"/>
      <c r="AY1" s="3884"/>
      <c r="AZ1" s="3884"/>
      <c r="BA1" s="3884"/>
      <c r="BB1" s="3884"/>
      <c r="BC1" s="3884"/>
      <c r="BD1" s="3884"/>
      <c r="BE1" s="3884"/>
      <c r="BF1" s="3884"/>
      <c r="BG1" s="3884"/>
      <c r="BH1" s="3884"/>
      <c r="BI1" s="3884"/>
      <c r="BJ1" s="3884"/>
      <c r="BK1" s="3884"/>
      <c r="BL1" s="3884"/>
      <c r="BM1" s="3884"/>
      <c r="BN1" s="3884"/>
      <c r="BO1" s="3884"/>
      <c r="BP1" s="3884"/>
      <c r="BQ1" s="3884"/>
    </row>
    <row r="2" spans="1:69" ht="33">
      <c r="A2" s="2547" t="s">
        <v>907</v>
      </c>
      <c r="B2" s="2548"/>
      <c r="C2" s="2548" t="s">
        <v>908</v>
      </c>
      <c r="D2" s="2187"/>
      <c r="E2" s="2187"/>
      <c r="F2" s="2187"/>
      <c r="G2" s="3016" t="s">
        <v>1052</v>
      </c>
      <c r="H2" s="1415"/>
      <c r="I2" s="1415"/>
      <c r="J2" s="1415"/>
      <c r="K2" s="3080"/>
      <c r="L2" s="2187"/>
      <c r="M2" s="2187"/>
      <c r="N2" s="2187"/>
      <c r="O2" s="2187"/>
      <c r="P2" s="2187"/>
      <c r="Q2" s="2187"/>
      <c r="R2" s="2187"/>
      <c r="S2" s="2187"/>
      <c r="T2" s="2187"/>
      <c r="U2" s="2187"/>
      <c r="V2" s="2187"/>
      <c r="W2" s="2187"/>
      <c r="X2" s="2187"/>
      <c r="Y2" s="2187"/>
      <c r="Z2" s="2187"/>
      <c r="AA2" s="2187"/>
      <c r="AB2" s="2187"/>
      <c r="AC2" s="2187"/>
      <c r="AD2" s="2187"/>
      <c r="AE2" s="2187"/>
      <c r="AF2" s="2187"/>
      <c r="AG2" s="2187"/>
      <c r="AH2" s="2187"/>
      <c r="AJ2" s="3013" t="s">
        <v>1019</v>
      </c>
      <c r="AK2" s="3013"/>
      <c r="AL2" s="3013"/>
      <c r="AM2" s="1415"/>
      <c r="AN2" s="3013" t="s">
        <v>1020</v>
      </c>
      <c r="AO2" s="1415"/>
      <c r="AP2" s="3080"/>
      <c r="AQ2" s="2629"/>
      <c r="AR2" s="2630"/>
      <c r="AS2" s="2630"/>
      <c r="AT2" s="2630"/>
      <c r="AU2" s="2630"/>
      <c r="AV2" s="2630"/>
      <c r="AW2" s="2630"/>
      <c r="AX2" s="2630"/>
      <c r="AY2" s="2630"/>
      <c r="AZ2" s="2630"/>
      <c r="BA2" s="2630"/>
      <c r="BB2" s="2630"/>
      <c r="BC2" s="2630"/>
      <c r="BD2" s="2630"/>
      <c r="BE2" s="2630"/>
      <c r="BF2" s="2630"/>
      <c r="BG2" s="2630"/>
      <c r="BH2" s="2630"/>
      <c r="BI2" s="2630"/>
      <c r="BJ2" s="2630"/>
      <c r="BK2" s="2630"/>
      <c r="BL2" s="2630"/>
      <c r="BM2" s="2630"/>
      <c r="BN2" s="2630"/>
      <c r="BO2" s="2630"/>
      <c r="BP2" s="2630"/>
      <c r="BQ2" s="2630"/>
    </row>
    <row r="3" spans="1:69" ht="15">
      <c r="A3" s="3772" t="s">
        <v>271</v>
      </c>
      <c r="B3" s="3773"/>
      <c r="C3" s="3774"/>
      <c r="D3" s="2671"/>
      <c r="E3" s="2671"/>
      <c r="F3" s="2671"/>
      <c r="G3" s="2671"/>
      <c r="H3" s="2671"/>
      <c r="I3" s="2671"/>
      <c r="J3" s="2671"/>
      <c r="K3" s="2671"/>
      <c r="L3" s="2671"/>
      <c r="M3" s="2671"/>
      <c r="N3" s="2671"/>
      <c r="O3" s="2671"/>
      <c r="P3" s="2671"/>
      <c r="Q3" s="2671"/>
      <c r="R3" s="2671"/>
      <c r="S3" s="2245"/>
      <c r="T3" s="2245"/>
      <c r="U3" s="2245"/>
      <c r="V3" s="2245"/>
      <c r="W3" s="2245"/>
      <c r="X3" s="2245"/>
      <c r="Y3" s="2245"/>
      <c r="Z3" s="2245"/>
      <c r="AA3" s="2245"/>
      <c r="AB3" s="2245"/>
      <c r="AC3" s="2245"/>
      <c r="AD3" s="2245"/>
      <c r="AE3" s="2245"/>
      <c r="AF3" s="2245"/>
      <c r="AG3" s="2245"/>
      <c r="AH3" s="2245"/>
      <c r="AJ3" s="3885" t="s">
        <v>264</v>
      </c>
      <c r="AK3" s="3886"/>
      <c r="AL3" s="3887"/>
      <c r="AM3" s="2631"/>
      <c r="AN3" s="2631"/>
      <c r="AO3" s="2631"/>
      <c r="AP3" s="2631"/>
      <c r="AQ3" s="2631"/>
      <c r="AR3" s="2631"/>
      <c r="AS3" s="2631"/>
      <c r="AT3" s="2631"/>
      <c r="AU3" s="2631"/>
      <c r="AV3" s="2631"/>
      <c r="AW3" s="2631"/>
      <c r="AX3" s="2631"/>
      <c r="AY3" s="2631"/>
      <c r="AZ3" s="2631"/>
      <c r="BA3" s="2631"/>
      <c r="BB3" s="2632"/>
      <c r="BC3" s="2632"/>
      <c r="BD3" s="2632"/>
      <c r="BE3" s="2632"/>
      <c r="BF3" s="2632"/>
      <c r="BG3" s="2632"/>
      <c r="BH3" s="2632"/>
      <c r="BI3" s="2632"/>
      <c r="BJ3" s="2632"/>
      <c r="BK3" s="2632"/>
      <c r="BL3" s="2632"/>
      <c r="BM3" s="2632"/>
      <c r="BN3" s="2632"/>
      <c r="BO3" s="2632"/>
      <c r="BP3" s="2632"/>
      <c r="BQ3" s="2632"/>
    </row>
    <row r="4" spans="1:69" ht="15">
      <c r="A4" s="1845" t="s">
        <v>72</v>
      </c>
      <c r="B4" s="2672" t="s">
        <v>73</v>
      </c>
      <c r="C4" s="2063">
        <v>1</v>
      </c>
      <c r="D4" s="2063">
        <v>2</v>
      </c>
      <c r="E4" s="2063">
        <v>3</v>
      </c>
      <c r="F4" s="2063">
        <v>4</v>
      </c>
      <c r="G4" s="2063">
        <v>5</v>
      </c>
      <c r="H4" s="2063">
        <v>6</v>
      </c>
      <c r="I4" s="2063">
        <v>7</v>
      </c>
      <c r="J4" s="2063">
        <v>8</v>
      </c>
      <c r="K4" s="2063">
        <v>9</v>
      </c>
      <c r="L4" s="2063">
        <v>10</v>
      </c>
      <c r="M4" s="2063">
        <v>11</v>
      </c>
      <c r="N4" s="2063">
        <v>12</v>
      </c>
      <c r="O4" s="2063">
        <v>13</v>
      </c>
      <c r="P4" s="2063">
        <v>14</v>
      </c>
      <c r="Q4" s="2063">
        <v>15</v>
      </c>
      <c r="R4" s="2063">
        <v>16</v>
      </c>
      <c r="S4" s="1845">
        <v>17</v>
      </c>
      <c r="T4" s="1845">
        <v>18</v>
      </c>
      <c r="U4" s="1845">
        <v>19</v>
      </c>
      <c r="V4" s="1845">
        <v>20</v>
      </c>
      <c r="W4" s="1845">
        <v>21</v>
      </c>
      <c r="X4" s="1845">
        <v>22</v>
      </c>
      <c r="Y4" s="1845">
        <v>23</v>
      </c>
      <c r="Z4" s="1845">
        <v>24</v>
      </c>
      <c r="AA4" s="1845">
        <v>25</v>
      </c>
      <c r="AB4" s="1845">
        <v>26</v>
      </c>
      <c r="AC4" s="1845">
        <v>27</v>
      </c>
      <c r="AD4" s="1845">
        <v>28</v>
      </c>
      <c r="AE4" s="1845">
        <v>29</v>
      </c>
      <c r="AF4" s="1845">
        <v>30</v>
      </c>
      <c r="AG4" s="1845">
        <v>31</v>
      </c>
      <c r="AH4" s="2184" t="s">
        <v>74</v>
      </c>
      <c r="AJ4" s="2655" t="s">
        <v>72</v>
      </c>
      <c r="AK4" s="2656" t="s">
        <v>73</v>
      </c>
      <c r="AL4" s="2657">
        <v>1</v>
      </c>
      <c r="AM4" s="2042">
        <v>2</v>
      </c>
      <c r="AN4" s="2042">
        <v>3</v>
      </c>
      <c r="AO4" s="2042">
        <v>4</v>
      </c>
      <c r="AP4" s="2042">
        <v>5</v>
      </c>
      <c r="AQ4" s="2042">
        <v>6</v>
      </c>
      <c r="AR4" s="2042">
        <v>7</v>
      </c>
      <c r="AS4" s="2042">
        <v>8</v>
      </c>
      <c r="AT4" s="2042">
        <v>9</v>
      </c>
      <c r="AU4" s="2042">
        <v>10</v>
      </c>
      <c r="AV4" s="2042">
        <v>11</v>
      </c>
      <c r="AW4" s="2042">
        <v>12</v>
      </c>
      <c r="AX4" s="2042">
        <v>13</v>
      </c>
      <c r="AY4" s="2042">
        <v>14</v>
      </c>
      <c r="AZ4" s="2042">
        <v>15</v>
      </c>
      <c r="BA4" s="2042">
        <v>16</v>
      </c>
      <c r="BB4" s="1841">
        <v>17</v>
      </c>
      <c r="BC4" s="1841">
        <v>18</v>
      </c>
      <c r="BD4" s="1841">
        <v>19</v>
      </c>
      <c r="BE4" s="1841">
        <v>20</v>
      </c>
      <c r="BF4" s="1841">
        <v>21</v>
      </c>
      <c r="BG4" s="1841">
        <v>22</v>
      </c>
      <c r="BH4" s="1841">
        <v>23</v>
      </c>
      <c r="BI4" s="1841">
        <v>24</v>
      </c>
      <c r="BJ4" s="1841">
        <v>25</v>
      </c>
      <c r="BK4" s="1841">
        <v>26</v>
      </c>
      <c r="BL4" s="1841">
        <v>27</v>
      </c>
      <c r="BM4" s="1841">
        <v>28</v>
      </c>
      <c r="BN4" s="1841">
        <v>29</v>
      </c>
      <c r="BO4" s="1841">
        <v>30</v>
      </c>
      <c r="BP4" s="1841">
        <v>31</v>
      </c>
      <c r="BQ4" s="2634" t="s">
        <v>74</v>
      </c>
    </row>
    <row r="5" spans="1:69" ht="15">
      <c r="A5" s="1845" t="s">
        <v>75</v>
      </c>
      <c r="B5" s="2672">
        <f t="shared" ref="B5:B16" si="0">+AH5</f>
        <v>0</v>
      </c>
      <c r="C5" s="2673"/>
      <c r="D5" s="2673"/>
      <c r="E5" s="2673"/>
      <c r="F5" s="2673"/>
      <c r="G5" s="2673"/>
      <c r="H5" s="2673"/>
      <c r="I5" s="2673"/>
      <c r="J5" s="2673"/>
      <c r="K5" s="2673"/>
      <c r="L5" s="2673"/>
      <c r="M5" s="2673"/>
      <c r="N5" s="2673"/>
      <c r="O5" s="2673"/>
      <c r="P5" s="2673"/>
      <c r="Q5" s="2673"/>
      <c r="R5" s="2673"/>
      <c r="S5" s="2673"/>
      <c r="T5" s="2673"/>
      <c r="U5" s="2673"/>
      <c r="V5" s="2673"/>
      <c r="W5" s="2673"/>
      <c r="X5" s="2673"/>
      <c r="Y5" s="2673"/>
      <c r="Z5" s="2673"/>
      <c r="AA5" s="2673"/>
      <c r="AB5" s="2673"/>
      <c r="AC5" s="2673"/>
      <c r="AD5" s="2673"/>
      <c r="AE5" s="2673"/>
      <c r="AF5" s="2673"/>
      <c r="AG5" s="2673"/>
      <c r="AH5" s="2180">
        <f>SUM(C5:AG5)</f>
        <v>0</v>
      </c>
      <c r="AJ5" s="2655" t="s">
        <v>75</v>
      </c>
      <c r="AK5" s="2656">
        <f t="shared" ref="AK5:AK16" si="1">+BQ5</f>
        <v>0</v>
      </c>
      <c r="AL5" s="2658"/>
      <c r="AM5" s="2635"/>
      <c r="AN5" s="2635"/>
      <c r="AO5" s="2635"/>
      <c r="AP5" s="2635"/>
      <c r="AQ5" s="2635"/>
      <c r="AR5" s="2635"/>
      <c r="AS5" s="2635"/>
      <c r="AT5" s="2635"/>
      <c r="AU5" s="2635"/>
      <c r="AV5" s="2635"/>
      <c r="AW5" s="2635"/>
      <c r="AX5" s="2635"/>
      <c r="AY5" s="2635"/>
      <c r="AZ5" s="2635"/>
      <c r="BA5" s="2635"/>
      <c r="BB5" s="2635"/>
      <c r="BC5" s="2635"/>
      <c r="BD5" s="2635"/>
      <c r="BE5" s="2635"/>
      <c r="BF5" s="2635"/>
      <c r="BG5" s="2635"/>
      <c r="BH5" s="2635"/>
      <c r="BI5" s="2635"/>
      <c r="BJ5" s="2635"/>
      <c r="BK5" s="2635"/>
      <c r="BL5" s="2635"/>
      <c r="BM5" s="2635"/>
      <c r="BN5" s="2635"/>
      <c r="BO5" s="2635"/>
      <c r="BP5" s="2635"/>
      <c r="BQ5" s="2636">
        <f>SUM(AL5:BP5)</f>
        <v>0</v>
      </c>
    </row>
    <row r="6" spans="1:69" ht="15.75" thickBot="1">
      <c r="A6" s="1845" t="s">
        <v>76</v>
      </c>
      <c r="B6" s="2672">
        <f t="shared" si="0"/>
        <v>0</v>
      </c>
      <c r="C6" s="2673"/>
      <c r="D6" s="2673"/>
      <c r="E6" s="2673"/>
      <c r="F6" s="2673"/>
      <c r="G6" s="2673"/>
      <c r="H6" s="2673"/>
      <c r="I6" s="2673"/>
      <c r="J6" s="2673"/>
      <c r="K6" s="2673"/>
      <c r="L6" s="2673"/>
      <c r="M6" s="2673"/>
      <c r="N6" s="2673"/>
      <c r="O6" s="2673"/>
      <c r="P6" s="2673"/>
      <c r="Q6" s="2673"/>
      <c r="R6" s="2673"/>
      <c r="S6" s="2673"/>
      <c r="T6" s="2673"/>
      <c r="U6" s="2673"/>
      <c r="V6" s="2673"/>
      <c r="W6" s="2673"/>
      <c r="X6" s="2673"/>
      <c r="Y6" s="2673"/>
      <c r="Z6" s="2673"/>
      <c r="AA6" s="2673"/>
      <c r="AB6" s="2673"/>
      <c r="AC6" s="2673"/>
      <c r="AD6" s="2673"/>
      <c r="AE6" s="2673"/>
      <c r="AF6" s="2673"/>
      <c r="AG6" s="2673"/>
      <c r="AH6" s="2180">
        <f t="shared" ref="AH6:AH16" si="2">SUM(C6:AG6)</f>
        <v>0</v>
      </c>
      <c r="AJ6" s="2655" t="s">
        <v>76</v>
      </c>
      <c r="AK6" s="2656">
        <f t="shared" si="1"/>
        <v>0</v>
      </c>
      <c r="AL6" s="2658"/>
      <c r="AM6" s="2635"/>
      <c r="AN6" s="2635"/>
      <c r="AO6" s="2635"/>
      <c r="AP6" s="2635"/>
      <c r="AQ6" s="2635"/>
      <c r="AR6" s="2635"/>
      <c r="AS6" s="2635"/>
      <c r="AT6" s="2635"/>
      <c r="AU6" s="2635"/>
      <c r="AV6" s="2635"/>
      <c r="AW6" s="2635"/>
      <c r="AX6" s="2635"/>
      <c r="AY6" s="2635"/>
      <c r="AZ6" s="2635"/>
      <c r="BA6" s="2635"/>
      <c r="BB6" s="2635"/>
      <c r="BC6" s="2635"/>
      <c r="BD6" s="2635"/>
      <c r="BE6" s="2635"/>
      <c r="BF6" s="2635"/>
      <c r="BG6" s="2635"/>
      <c r="BH6" s="2635"/>
      <c r="BI6" s="2635"/>
      <c r="BJ6" s="2635"/>
      <c r="BK6" s="2635"/>
      <c r="BL6" s="2635"/>
      <c r="BM6" s="2635"/>
      <c r="BN6" s="2635"/>
      <c r="BO6" s="2635"/>
      <c r="BP6" s="2635"/>
      <c r="BQ6" s="2636">
        <f t="shared" ref="BQ6:BQ16" si="3">SUM(AL6:BP6)</f>
        <v>0</v>
      </c>
    </row>
    <row r="7" spans="1:69" ht="15.75" thickBot="1">
      <c r="A7" s="1845" t="s">
        <v>77</v>
      </c>
      <c r="B7" s="2672">
        <f t="shared" si="0"/>
        <v>230.79</v>
      </c>
      <c r="C7" s="2673"/>
      <c r="D7" s="2673"/>
      <c r="E7" s="2673"/>
      <c r="F7" s="2673"/>
      <c r="G7" s="2673"/>
      <c r="H7" s="1846"/>
      <c r="I7" s="1846"/>
      <c r="J7" s="1846"/>
      <c r="K7" s="1846"/>
      <c r="L7" s="1846"/>
      <c r="M7" s="1846"/>
      <c r="N7" s="1846"/>
      <c r="O7" s="1846"/>
      <c r="P7" s="1846"/>
      <c r="Q7" s="1846">
        <v>61.66</v>
      </c>
      <c r="R7" s="2674"/>
      <c r="S7" s="1846"/>
      <c r="T7" s="1846">
        <v>62.76</v>
      </c>
      <c r="U7" s="1846"/>
      <c r="V7" s="1846">
        <v>46.03</v>
      </c>
      <c r="W7" s="1846"/>
      <c r="X7" s="1846">
        <v>32.22</v>
      </c>
      <c r="Y7" s="1846"/>
      <c r="Z7" s="1846"/>
      <c r="AA7" s="1846"/>
      <c r="AB7" s="1846"/>
      <c r="AC7" s="2673">
        <v>28.12</v>
      </c>
      <c r="AD7" s="2673"/>
      <c r="AE7" s="2673"/>
      <c r="AF7" s="2673"/>
      <c r="AG7" s="2673"/>
      <c r="AH7" s="2180">
        <f t="shared" si="2"/>
        <v>230.79</v>
      </c>
      <c r="AJ7" s="2655" t="s">
        <v>77</v>
      </c>
      <c r="AK7" s="2656">
        <f t="shared" si="1"/>
        <v>0</v>
      </c>
      <c r="AL7" s="2658"/>
      <c r="AM7" s="2635"/>
      <c r="AN7" s="2635"/>
      <c r="AO7" s="2635"/>
      <c r="AP7" s="2635"/>
      <c r="AQ7" s="1842"/>
      <c r="AR7" s="1842"/>
      <c r="AS7" s="1842"/>
      <c r="AT7" s="1842"/>
      <c r="AU7" s="1842"/>
      <c r="AV7" s="1842"/>
      <c r="AW7" s="1842"/>
      <c r="AX7" s="1842"/>
      <c r="AY7" s="1842"/>
      <c r="AZ7" s="1842"/>
      <c r="BA7" s="2637"/>
      <c r="BB7" s="1842"/>
      <c r="BC7" s="1842"/>
      <c r="BD7" s="1842"/>
      <c r="BE7" s="1842"/>
      <c r="BF7" s="1842"/>
      <c r="BG7" s="1842"/>
      <c r="BH7" s="1842"/>
      <c r="BI7" s="1842"/>
      <c r="BJ7" s="1842"/>
      <c r="BK7" s="1842"/>
      <c r="BL7" s="2635"/>
      <c r="BM7" s="2635"/>
      <c r="BN7" s="2635"/>
      <c r="BO7" s="2635"/>
      <c r="BP7" s="2635"/>
      <c r="BQ7" s="2636">
        <f t="shared" si="3"/>
        <v>0</v>
      </c>
    </row>
    <row r="8" spans="1:69" ht="15">
      <c r="A8" s="1845" t="s">
        <v>78</v>
      </c>
      <c r="B8" s="2672">
        <f t="shared" si="0"/>
        <v>119.709</v>
      </c>
      <c r="C8" s="2673"/>
      <c r="D8" s="2673">
        <v>18.776</v>
      </c>
      <c r="E8" s="2673">
        <v>5.8289999999999997</v>
      </c>
      <c r="F8" s="2673">
        <v>2.0139999999999998</v>
      </c>
      <c r="G8" s="2673">
        <v>37.247999999999998</v>
      </c>
      <c r="H8" s="2673"/>
      <c r="I8" s="2673"/>
      <c r="J8" s="2673"/>
      <c r="K8" s="2673"/>
      <c r="L8" s="2675"/>
      <c r="M8" s="2675"/>
      <c r="N8" s="2675"/>
      <c r="O8" s="2675"/>
      <c r="P8" s="2675"/>
      <c r="Q8" s="2675"/>
      <c r="R8" s="2675">
        <v>53.35</v>
      </c>
      <c r="S8" s="2675"/>
      <c r="T8" s="2675"/>
      <c r="U8" s="2675"/>
      <c r="V8" s="2675"/>
      <c r="W8" s="2675">
        <v>2.492</v>
      </c>
      <c r="X8" s="2675"/>
      <c r="Y8" s="2675"/>
      <c r="Z8" s="2675"/>
      <c r="AA8" s="2675"/>
      <c r="AB8" s="2675"/>
      <c r="AC8" s="2675"/>
      <c r="AD8" s="2675"/>
      <c r="AE8" s="2675"/>
      <c r="AF8" s="2675"/>
      <c r="AG8" s="2675"/>
      <c r="AH8" s="2180">
        <f t="shared" si="2"/>
        <v>119.709</v>
      </c>
      <c r="AJ8" s="2655" t="s">
        <v>78</v>
      </c>
      <c r="AK8" s="2656">
        <f t="shared" si="1"/>
        <v>0</v>
      </c>
      <c r="AL8" s="2658"/>
      <c r="AM8" s="2635"/>
      <c r="AN8" s="2635"/>
      <c r="AO8" s="2635"/>
      <c r="AP8" s="2635"/>
      <c r="AQ8" s="2635"/>
      <c r="AR8" s="2635"/>
      <c r="AS8" s="2635"/>
      <c r="AT8" s="2635"/>
      <c r="AU8" s="2638"/>
      <c r="AV8" s="2638"/>
      <c r="AW8" s="2638"/>
      <c r="AX8" s="2638"/>
      <c r="AY8" s="2638"/>
      <c r="AZ8" s="2638"/>
      <c r="BA8" s="2638"/>
      <c r="BB8" s="2638"/>
      <c r="BC8" s="2638"/>
      <c r="BD8" s="2638"/>
      <c r="BE8" s="2638"/>
      <c r="BF8" s="2638"/>
      <c r="BG8" s="2638"/>
      <c r="BH8" s="2638"/>
      <c r="BI8" s="2638"/>
      <c r="BJ8" s="2638"/>
      <c r="BK8" s="2638"/>
      <c r="BL8" s="2638"/>
      <c r="BM8" s="2638"/>
      <c r="BN8" s="2638"/>
      <c r="BO8" s="2638"/>
      <c r="BP8" s="2638"/>
      <c r="BQ8" s="2636">
        <f t="shared" si="3"/>
        <v>0</v>
      </c>
    </row>
    <row r="9" spans="1:69" ht="15">
      <c r="A9" s="1845" t="s">
        <v>79</v>
      </c>
      <c r="B9" s="2672">
        <f t="shared" si="0"/>
        <v>61.888999999999996</v>
      </c>
      <c r="C9" s="1846"/>
      <c r="D9" s="1846"/>
      <c r="E9" s="1846"/>
      <c r="F9" s="1846"/>
      <c r="G9" s="1846">
        <v>60.29</v>
      </c>
      <c r="H9" s="1846"/>
      <c r="I9" s="1846"/>
      <c r="J9" s="1846"/>
      <c r="K9" s="1846"/>
      <c r="L9" s="1846"/>
      <c r="M9" s="1846"/>
      <c r="N9" s="1846"/>
      <c r="O9" s="1846"/>
      <c r="P9" s="1846"/>
      <c r="Q9" s="1846"/>
      <c r="R9" s="1846"/>
      <c r="S9" s="1846"/>
      <c r="T9" s="1846"/>
      <c r="U9" s="1846"/>
      <c r="V9" s="1846"/>
      <c r="W9" s="1846"/>
      <c r="X9" s="1846">
        <v>1.599</v>
      </c>
      <c r="Y9" s="1846"/>
      <c r="Z9" s="1846"/>
      <c r="AA9" s="1846"/>
      <c r="AB9" s="1846"/>
      <c r="AC9" s="1846"/>
      <c r="AD9" s="1846"/>
      <c r="AE9" s="1846"/>
      <c r="AF9" s="1846"/>
      <c r="AG9" s="1846"/>
      <c r="AH9" s="2180">
        <f t="shared" si="2"/>
        <v>61.888999999999996</v>
      </c>
      <c r="AJ9" s="2655" t="s">
        <v>79</v>
      </c>
      <c r="AK9" s="2656">
        <f t="shared" si="1"/>
        <v>0</v>
      </c>
      <c r="AL9" s="2659"/>
      <c r="AM9" s="1842"/>
      <c r="AN9" s="1842"/>
      <c r="AO9" s="1842"/>
      <c r="AP9" s="1842"/>
      <c r="AQ9" s="1842"/>
      <c r="AR9" s="1842"/>
      <c r="AS9" s="1842"/>
      <c r="AT9" s="1842"/>
      <c r="AU9" s="1842"/>
      <c r="AV9" s="1842"/>
      <c r="AW9" s="1842"/>
      <c r="AX9" s="1842"/>
      <c r="AY9" s="1842"/>
      <c r="AZ9" s="1842"/>
      <c r="BA9" s="1842"/>
      <c r="BB9" s="1842"/>
      <c r="BC9" s="1842"/>
      <c r="BD9" s="1842"/>
      <c r="BE9" s="1842"/>
      <c r="BF9" s="1842"/>
      <c r="BG9" s="1842"/>
      <c r="BH9" s="1842"/>
      <c r="BI9" s="1842"/>
      <c r="BJ9" s="1842"/>
      <c r="BK9" s="1842"/>
      <c r="BL9" s="1842"/>
      <c r="BM9" s="1842"/>
      <c r="BN9" s="1842"/>
      <c r="BO9" s="1842"/>
      <c r="BP9" s="1842"/>
      <c r="BQ9" s="2636">
        <f t="shared" si="3"/>
        <v>0</v>
      </c>
    </row>
    <row r="10" spans="1:69" ht="15">
      <c r="A10" s="1845" t="s">
        <v>80</v>
      </c>
      <c r="B10" s="2672">
        <f t="shared" si="0"/>
        <v>0</v>
      </c>
      <c r="C10" s="1846"/>
      <c r="D10" s="1846"/>
      <c r="E10" s="1846"/>
      <c r="F10" s="1846"/>
      <c r="G10" s="1846"/>
      <c r="H10" s="1846"/>
      <c r="I10" s="1846"/>
      <c r="J10" s="1846"/>
      <c r="K10" s="1846"/>
      <c r="L10" s="1846"/>
      <c r="M10" s="1846"/>
      <c r="N10" s="1846"/>
      <c r="O10" s="1846"/>
      <c r="P10" s="1846"/>
      <c r="Q10" s="1846"/>
      <c r="R10" s="1846"/>
      <c r="S10" s="1846"/>
      <c r="T10" s="1846"/>
      <c r="U10" s="1846"/>
      <c r="V10" s="1846"/>
      <c r="W10" s="1846"/>
      <c r="X10" s="1846"/>
      <c r="Y10" s="1846"/>
      <c r="Z10" s="1846"/>
      <c r="AA10" s="1846"/>
      <c r="AB10" s="1846"/>
      <c r="AC10" s="1846"/>
      <c r="AD10" s="1846"/>
      <c r="AE10" s="1846"/>
      <c r="AF10" s="1846"/>
      <c r="AG10" s="1846"/>
      <c r="AH10" s="2180">
        <f t="shared" si="2"/>
        <v>0</v>
      </c>
      <c r="AJ10" s="2655" t="s">
        <v>80</v>
      </c>
      <c r="AK10" s="2656">
        <f t="shared" si="1"/>
        <v>0</v>
      </c>
      <c r="AL10" s="2659"/>
      <c r="AM10" s="1842"/>
      <c r="AN10" s="1842"/>
      <c r="AO10" s="1842"/>
      <c r="AP10" s="1842"/>
      <c r="AQ10" s="1842"/>
      <c r="AR10" s="1842"/>
      <c r="AS10" s="1842"/>
      <c r="AT10" s="1842"/>
      <c r="AU10" s="1842"/>
      <c r="AV10" s="1842"/>
      <c r="AW10" s="1842"/>
      <c r="AX10" s="1842"/>
      <c r="AY10" s="1842"/>
      <c r="AZ10" s="1842"/>
      <c r="BA10" s="1842"/>
      <c r="BB10" s="1842"/>
      <c r="BC10" s="1842"/>
      <c r="BD10" s="1842"/>
      <c r="BE10" s="1842"/>
      <c r="BF10" s="1842"/>
      <c r="BG10" s="1842"/>
      <c r="BH10" s="1842"/>
      <c r="BI10" s="1842"/>
      <c r="BJ10" s="1842"/>
      <c r="BK10" s="1842"/>
      <c r="BL10" s="1842"/>
      <c r="BM10" s="1842"/>
      <c r="BN10" s="1842"/>
      <c r="BO10" s="1842"/>
      <c r="BP10" s="1842"/>
      <c r="BQ10" s="2636">
        <f t="shared" si="3"/>
        <v>0</v>
      </c>
    </row>
    <row r="11" spans="1:69" ht="15">
      <c r="A11" s="1845" t="s">
        <v>81</v>
      </c>
      <c r="B11" s="2672">
        <f t="shared" si="0"/>
        <v>0</v>
      </c>
      <c r="C11" s="1846"/>
      <c r="D11" s="2180"/>
      <c r="E11" s="2180"/>
      <c r="F11" s="2180"/>
      <c r="G11" s="1846"/>
      <c r="H11" s="1846"/>
      <c r="I11" s="1846"/>
      <c r="J11" s="1846"/>
      <c r="K11" s="1846"/>
      <c r="L11" s="1846"/>
      <c r="M11" s="1846"/>
      <c r="N11" s="1846"/>
      <c r="O11" s="1846"/>
      <c r="P11" s="1846"/>
      <c r="Q11" s="1846"/>
      <c r="R11" s="1846"/>
      <c r="S11" s="1846"/>
      <c r="T11" s="1846"/>
      <c r="U11" s="1846"/>
      <c r="V11" s="1846"/>
      <c r="W11" s="1846"/>
      <c r="X11" s="1846"/>
      <c r="Y11" s="1846"/>
      <c r="Z11" s="1846"/>
      <c r="AA11" s="1846"/>
      <c r="AB11" s="1846"/>
      <c r="AC11" s="1846"/>
      <c r="AD11" s="1846"/>
      <c r="AE11" s="1846"/>
      <c r="AF11" s="1846"/>
      <c r="AG11" s="1846"/>
      <c r="AH11" s="2180">
        <f t="shared" si="2"/>
        <v>0</v>
      </c>
      <c r="AJ11" s="2655" t="s">
        <v>81</v>
      </c>
      <c r="AK11" s="2656">
        <f t="shared" si="1"/>
        <v>0</v>
      </c>
      <c r="AL11" s="2659"/>
      <c r="AM11" s="2636"/>
      <c r="AN11" s="2636"/>
      <c r="AO11" s="2636"/>
      <c r="AP11" s="1842"/>
      <c r="AQ11" s="1842"/>
      <c r="AR11" s="1842"/>
      <c r="AS11" s="1842"/>
      <c r="AT11" s="1842"/>
      <c r="AU11" s="1842"/>
      <c r="AV11" s="1842"/>
      <c r="AW11" s="1842"/>
      <c r="AX11" s="1842"/>
      <c r="AY11" s="1842"/>
      <c r="AZ11" s="1842"/>
      <c r="BA11" s="1842"/>
      <c r="BB11" s="1842"/>
      <c r="BC11" s="1842"/>
      <c r="BD11" s="1842"/>
      <c r="BE11" s="1842"/>
      <c r="BF11" s="1842"/>
      <c r="BG11" s="1842"/>
      <c r="BH11" s="1842"/>
      <c r="BI11" s="1842"/>
      <c r="BJ11" s="1842"/>
      <c r="BK11" s="1842"/>
      <c r="BL11" s="1842"/>
      <c r="BM11" s="1842"/>
      <c r="BN11" s="1842"/>
      <c r="BO11" s="1842"/>
      <c r="BP11" s="1842"/>
      <c r="BQ11" s="2636">
        <f t="shared" si="3"/>
        <v>0</v>
      </c>
    </row>
    <row r="12" spans="1:69" ht="15">
      <c r="A12" s="1845" t="s">
        <v>82</v>
      </c>
      <c r="B12" s="2672">
        <f t="shared" si="0"/>
        <v>0</v>
      </c>
      <c r="C12" s="1846"/>
      <c r="D12" s="1846"/>
      <c r="E12" s="1846"/>
      <c r="F12" s="1846"/>
      <c r="G12" s="1846"/>
      <c r="H12" s="1846"/>
      <c r="I12" s="1846"/>
      <c r="J12" s="1846"/>
      <c r="K12" s="1846"/>
      <c r="L12" s="1846"/>
      <c r="M12" s="1846"/>
      <c r="N12" s="1846"/>
      <c r="O12" s="1846"/>
      <c r="P12" s="1846"/>
      <c r="Q12" s="1846"/>
      <c r="R12" s="1846"/>
      <c r="S12" s="1846"/>
      <c r="T12" s="1846"/>
      <c r="U12" s="1846"/>
      <c r="V12" s="1846"/>
      <c r="W12" s="1846"/>
      <c r="X12" s="1846"/>
      <c r="Y12" s="1846"/>
      <c r="Z12" s="1846"/>
      <c r="AA12" s="1846"/>
      <c r="AB12" s="1846"/>
      <c r="AC12" s="1846"/>
      <c r="AD12" s="1846"/>
      <c r="AE12" s="1846"/>
      <c r="AF12" s="1846"/>
      <c r="AG12" s="1846"/>
      <c r="AH12" s="2180">
        <f t="shared" si="2"/>
        <v>0</v>
      </c>
      <c r="AJ12" s="2655" t="s">
        <v>82</v>
      </c>
      <c r="AK12" s="2656">
        <f t="shared" si="1"/>
        <v>0</v>
      </c>
      <c r="AL12" s="2659"/>
      <c r="AM12" s="1842"/>
      <c r="AN12" s="1842"/>
      <c r="AO12" s="1842"/>
      <c r="AP12" s="1842"/>
      <c r="AQ12" s="1842"/>
      <c r="AR12" s="1842"/>
      <c r="AS12" s="1842"/>
      <c r="AT12" s="1842"/>
      <c r="AU12" s="1842"/>
      <c r="AV12" s="1842"/>
      <c r="AW12" s="1842"/>
      <c r="AX12" s="1842"/>
      <c r="AY12" s="1842"/>
      <c r="AZ12" s="1842"/>
      <c r="BA12" s="1842"/>
      <c r="BB12" s="1842"/>
      <c r="BC12" s="1842"/>
      <c r="BD12" s="1842"/>
      <c r="BE12" s="1842"/>
      <c r="BF12" s="1842"/>
      <c r="BG12" s="1842"/>
      <c r="BH12" s="1842"/>
      <c r="BI12" s="1842"/>
      <c r="BJ12" s="1842"/>
      <c r="BK12" s="1842"/>
      <c r="BL12" s="1842"/>
      <c r="BM12" s="1842"/>
      <c r="BN12" s="1842"/>
      <c r="BO12" s="1842"/>
      <c r="BP12" s="1842"/>
      <c r="BQ12" s="2636">
        <f t="shared" si="3"/>
        <v>0</v>
      </c>
    </row>
    <row r="13" spans="1:69" ht="15">
      <c r="A13" s="1845" t="s">
        <v>83</v>
      </c>
      <c r="B13" s="2672">
        <f t="shared" si="0"/>
        <v>0</v>
      </c>
      <c r="C13" s="1846"/>
      <c r="D13" s="1846"/>
      <c r="E13" s="1846"/>
      <c r="F13" s="1846"/>
      <c r="G13" s="1846"/>
      <c r="H13" s="1846"/>
      <c r="I13" s="1846"/>
      <c r="J13" s="1846"/>
      <c r="K13" s="1846"/>
      <c r="L13" s="1846"/>
      <c r="M13" s="1846"/>
      <c r="N13" s="1846"/>
      <c r="O13" s="1846"/>
      <c r="P13" s="1846"/>
      <c r="Q13" s="1846"/>
      <c r="R13" s="1846"/>
      <c r="S13" s="1846"/>
      <c r="T13" s="1846"/>
      <c r="U13" s="1846"/>
      <c r="V13" s="1846"/>
      <c r="W13" s="1846"/>
      <c r="X13" s="1846"/>
      <c r="Y13" s="1846"/>
      <c r="Z13" s="1846"/>
      <c r="AA13" s="1846"/>
      <c r="AB13" s="1846"/>
      <c r="AC13" s="1846"/>
      <c r="AD13" s="1846"/>
      <c r="AE13" s="1846"/>
      <c r="AF13" s="1846"/>
      <c r="AG13" s="1846"/>
      <c r="AH13" s="2180">
        <f t="shared" si="2"/>
        <v>0</v>
      </c>
      <c r="AJ13" s="2655" t="s">
        <v>83</v>
      </c>
      <c r="AK13" s="2656">
        <f t="shared" si="1"/>
        <v>0</v>
      </c>
      <c r="AL13" s="2659"/>
      <c r="AM13" s="1842"/>
      <c r="AN13" s="1842"/>
      <c r="AO13" s="1842"/>
      <c r="AP13" s="1842"/>
      <c r="AQ13" s="1842"/>
      <c r="AR13" s="1842"/>
      <c r="AS13" s="1842"/>
      <c r="AT13" s="1842"/>
      <c r="AU13" s="1842"/>
      <c r="AV13" s="1842"/>
      <c r="AW13" s="1842"/>
      <c r="AX13" s="1842"/>
      <c r="AY13" s="1842"/>
      <c r="AZ13" s="1842"/>
      <c r="BA13" s="1842"/>
      <c r="BB13" s="1842"/>
      <c r="BC13" s="1842"/>
      <c r="BD13" s="1842"/>
      <c r="BE13" s="1842"/>
      <c r="BF13" s="1842"/>
      <c r="BG13" s="1842"/>
      <c r="BH13" s="1842"/>
      <c r="BI13" s="1842"/>
      <c r="BJ13" s="1842"/>
      <c r="BK13" s="1842"/>
      <c r="BL13" s="1842"/>
      <c r="BM13" s="1842"/>
      <c r="BN13" s="1842"/>
      <c r="BO13" s="1842"/>
      <c r="BP13" s="1842"/>
      <c r="BQ13" s="2636">
        <f t="shared" si="3"/>
        <v>0</v>
      </c>
    </row>
    <row r="14" spans="1:69" ht="15">
      <c r="A14" s="1845" t="s">
        <v>84</v>
      </c>
      <c r="B14" s="2672">
        <f t="shared" si="0"/>
        <v>0</v>
      </c>
      <c r="C14" s="1846"/>
      <c r="D14" s="1846"/>
      <c r="E14" s="1846"/>
      <c r="F14" s="1846"/>
      <c r="G14" s="1846"/>
      <c r="H14" s="1846"/>
      <c r="I14" s="1846"/>
      <c r="J14" s="1846"/>
      <c r="K14" s="1846"/>
      <c r="L14" s="1846"/>
      <c r="M14" s="1846"/>
      <c r="N14" s="1846"/>
      <c r="O14" s="1846"/>
      <c r="P14" s="1846"/>
      <c r="Q14" s="1846"/>
      <c r="R14" s="1846"/>
      <c r="S14" s="1846"/>
      <c r="T14" s="1846"/>
      <c r="U14" s="1846"/>
      <c r="V14" s="1846"/>
      <c r="W14" s="1846"/>
      <c r="X14" s="1846"/>
      <c r="Y14" s="1846"/>
      <c r="Z14" s="1846"/>
      <c r="AA14" s="1846"/>
      <c r="AB14" s="1846"/>
      <c r="AC14" s="1846"/>
      <c r="AD14" s="1846"/>
      <c r="AE14" s="2180"/>
      <c r="AF14" s="1846"/>
      <c r="AG14" s="2180"/>
      <c r="AH14" s="2180">
        <f t="shared" si="2"/>
        <v>0</v>
      </c>
      <c r="AJ14" s="2655" t="s">
        <v>84</v>
      </c>
      <c r="AK14" s="2656">
        <f t="shared" si="1"/>
        <v>0</v>
      </c>
      <c r="AL14" s="2659"/>
      <c r="AM14" s="1842"/>
      <c r="AN14" s="1842"/>
      <c r="AO14" s="1842"/>
      <c r="AP14" s="1842"/>
      <c r="AQ14" s="1842"/>
      <c r="AR14" s="1842"/>
      <c r="AS14" s="1842"/>
      <c r="AT14" s="1842"/>
      <c r="AU14" s="1842"/>
      <c r="AV14" s="1842"/>
      <c r="AW14" s="1842"/>
      <c r="AX14" s="1842"/>
      <c r="AY14" s="1842"/>
      <c r="AZ14" s="1842"/>
      <c r="BA14" s="1842"/>
      <c r="BB14" s="1842"/>
      <c r="BC14" s="1842"/>
      <c r="BD14" s="1842"/>
      <c r="BE14" s="1842"/>
      <c r="BF14" s="1842"/>
      <c r="BG14" s="1842"/>
      <c r="BH14" s="1842"/>
      <c r="BI14" s="1842"/>
      <c r="BJ14" s="1842"/>
      <c r="BK14" s="1842"/>
      <c r="BL14" s="1842"/>
      <c r="BM14" s="1842"/>
      <c r="BN14" s="2636"/>
      <c r="BO14" s="1842"/>
      <c r="BP14" s="2636"/>
      <c r="BQ14" s="2636">
        <f t="shared" si="3"/>
        <v>0</v>
      </c>
    </row>
    <row r="15" spans="1:69" ht="15">
      <c r="A15" s="1845" t="s">
        <v>85</v>
      </c>
      <c r="B15" s="2672">
        <f t="shared" si="0"/>
        <v>0</v>
      </c>
      <c r="C15" s="1846"/>
      <c r="D15" s="1846"/>
      <c r="E15" s="1846"/>
      <c r="F15" s="1846"/>
      <c r="G15" s="2185"/>
      <c r="H15" s="1846"/>
      <c r="I15" s="1846"/>
      <c r="J15" s="1846"/>
      <c r="K15" s="1846"/>
      <c r="L15" s="1846"/>
      <c r="M15" s="1846"/>
      <c r="N15" s="1846"/>
      <c r="O15" s="1846"/>
      <c r="P15" s="1846"/>
      <c r="Q15" s="1846"/>
      <c r="R15" s="1846"/>
      <c r="S15" s="1846"/>
      <c r="T15" s="1846"/>
      <c r="U15" s="1846"/>
      <c r="V15" s="1846"/>
      <c r="W15" s="1846"/>
      <c r="X15" s="1846"/>
      <c r="Y15" s="1846"/>
      <c r="Z15" s="1846"/>
      <c r="AA15" s="1846"/>
      <c r="AB15" s="1846"/>
      <c r="AC15" s="1846"/>
      <c r="AD15" s="1846"/>
      <c r="AE15" s="2180"/>
      <c r="AF15" s="1846"/>
      <c r="AG15" s="2180"/>
      <c r="AH15" s="2180">
        <f t="shared" si="2"/>
        <v>0</v>
      </c>
      <c r="AJ15" s="2655" t="s">
        <v>85</v>
      </c>
      <c r="AK15" s="2656">
        <f t="shared" si="1"/>
        <v>0</v>
      </c>
      <c r="AL15" s="2659"/>
      <c r="AM15" s="1842"/>
      <c r="AN15" s="1842"/>
      <c r="AO15" s="1842"/>
      <c r="AP15" s="2639"/>
      <c r="AQ15" s="1842"/>
      <c r="AR15" s="1842"/>
      <c r="AS15" s="1842"/>
      <c r="AT15" s="1842"/>
      <c r="AU15" s="1842"/>
      <c r="AV15" s="1842"/>
      <c r="AW15" s="1842"/>
      <c r="AX15" s="1842"/>
      <c r="AY15" s="1842"/>
      <c r="AZ15" s="1842"/>
      <c r="BA15" s="1842"/>
      <c r="BB15" s="1842"/>
      <c r="BC15" s="1842"/>
      <c r="BD15" s="1842"/>
      <c r="BE15" s="1842"/>
      <c r="BF15" s="1842"/>
      <c r="BG15" s="1842"/>
      <c r="BH15" s="1842"/>
      <c r="BI15" s="1842"/>
      <c r="BJ15" s="1842"/>
      <c r="BK15" s="1842"/>
      <c r="BL15" s="1842"/>
      <c r="BM15" s="1842"/>
      <c r="BN15" s="2636"/>
      <c r="BO15" s="1842"/>
      <c r="BP15" s="2636"/>
      <c r="BQ15" s="2636">
        <f t="shared" si="3"/>
        <v>0</v>
      </c>
    </row>
    <row r="16" spans="1:69" ht="15">
      <c r="A16" s="1845" t="s">
        <v>86</v>
      </c>
      <c r="B16" s="2672">
        <f t="shared" si="0"/>
        <v>0</v>
      </c>
      <c r="C16" s="1846"/>
      <c r="D16" s="1846"/>
      <c r="E16" s="1846"/>
      <c r="F16" s="1846"/>
      <c r="G16" s="1846"/>
      <c r="H16" s="1846"/>
      <c r="I16" s="1846"/>
      <c r="J16" s="1846"/>
      <c r="K16" s="1846"/>
      <c r="L16" s="1846"/>
      <c r="M16" s="1846"/>
      <c r="N16" s="1846"/>
      <c r="O16" s="1846"/>
      <c r="P16" s="1846"/>
      <c r="Q16" s="1846"/>
      <c r="R16" s="1846"/>
      <c r="S16" s="1846"/>
      <c r="T16" s="1846"/>
      <c r="U16" s="1846"/>
      <c r="V16" s="1846"/>
      <c r="W16" s="1846"/>
      <c r="X16" s="1846"/>
      <c r="Y16" s="1846"/>
      <c r="Z16" s="1846"/>
      <c r="AA16" s="1846"/>
      <c r="AB16" s="1846"/>
      <c r="AC16" s="1846"/>
      <c r="AD16" s="1846"/>
      <c r="AE16" s="1846"/>
      <c r="AF16" s="1846"/>
      <c r="AG16" s="1846"/>
      <c r="AH16" s="2180">
        <f t="shared" si="2"/>
        <v>0</v>
      </c>
      <c r="AJ16" s="2655" t="s">
        <v>86</v>
      </c>
      <c r="AK16" s="2656">
        <f t="shared" si="1"/>
        <v>0</v>
      </c>
      <c r="AL16" s="2659"/>
      <c r="AM16" s="1842"/>
      <c r="AN16" s="1842"/>
      <c r="AO16" s="1842"/>
      <c r="AP16" s="1842"/>
      <c r="AQ16" s="1842"/>
      <c r="AR16" s="1842"/>
      <c r="AS16" s="1842"/>
      <c r="AT16" s="1842"/>
      <c r="AU16" s="1842"/>
      <c r="AV16" s="1842"/>
      <c r="AW16" s="1842"/>
      <c r="AX16" s="1842"/>
      <c r="AY16" s="1842"/>
      <c r="AZ16" s="1842"/>
      <c r="BA16" s="1842"/>
      <c r="BB16" s="1842"/>
      <c r="BC16" s="1842"/>
      <c r="BD16" s="1842"/>
      <c r="BE16" s="1842"/>
      <c r="BF16" s="1842"/>
      <c r="BG16" s="1842"/>
      <c r="BH16" s="1842"/>
      <c r="BI16" s="1842"/>
      <c r="BJ16" s="1842"/>
      <c r="BK16" s="1842"/>
      <c r="BL16" s="1842"/>
      <c r="BM16" s="1842"/>
      <c r="BN16" s="1842"/>
      <c r="BO16" s="1842"/>
      <c r="BP16" s="1842"/>
      <c r="BQ16" s="2636">
        <f t="shared" si="3"/>
        <v>0</v>
      </c>
    </row>
    <row r="17" spans="1:69" ht="15">
      <c r="A17" s="2183" t="s">
        <v>74</v>
      </c>
      <c r="B17" s="2676">
        <f t="shared" ref="B17:R17" si="4">SUM(B5:B16)</f>
        <v>412.38800000000003</v>
      </c>
      <c r="C17" s="2672">
        <f t="shared" si="4"/>
        <v>0</v>
      </c>
      <c r="D17" s="2672">
        <f t="shared" si="4"/>
        <v>18.776</v>
      </c>
      <c r="E17" s="2672">
        <f t="shared" si="4"/>
        <v>5.8289999999999997</v>
      </c>
      <c r="F17" s="2672">
        <f t="shared" si="4"/>
        <v>2.0139999999999998</v>
      </c>
      <c r="G17" s="2672">
        <f t="shared" si="4"/>
        <v>97.537999999999997</v>
      </c>
      <c r="H17" s="2672">
        <f t="shared" si="4"/>
        <v>0</v>
      </c>
      <c r="I17" s="2672">
        <f t="shared" si="4"/>
        <v>0</v>
      </c>
      <c r="J17" s="2672">
        <f t="shared" si="4"/>
        <v>0</v>
      </c>
      <c r="K17" s="2672">
        <f t="shared" si="4"/>
        <v>0</v>
      </c>
      <c r="L17" s="2672">
        <f t="shared" si="4"/>
        <v>0</v>
      </c>
      <c r="M17" s="2672">
        <f t="shared" si="4"/>
        <v>0</v>
      </c>
      <c r="N17" s="2672">
        <f t="shared" si="4"/>
        <v>0</v>
      </c>
      <c r="O17" s="2672">
        <f t="shared" si="4"/>
        <v>0</v>
      </c>
      <c r="P17" s="2672">
        <f t="shared" si="4"/>
        <v>0</v>
      </c>
      <c r="Q17" s="2672">
        <f t="shared" si="4"/>
        <v>61.66</v>
      </c>
      <c r="R17" s="2672">
        <f t="shared" si="4"/>
        <v>53.35</v>
      </c>
      <c r="S17" s="2180">
        <f t="shared" ref="S17:AC17" si="5">SUM(S5:S15)</f>
        <v>0</v>
      </c>
      <c r="T17" s="2180">
        <f t="shared" si="5"/>
        <v>62.76</v>
      </c>
      <c r="U17" s="2180">
        <f t="shared" si="5"/>
        <v>0</v>
      </c>
      <c r="V17" s="2180">
        <f t="shared" si="5"/>
        <v>46.03</v>
      </c>
      <c r="W17" s="2180">
        <f t="shared" si="5"/>
        <v>2.492</v>
      </c>
      <c r="X17" s="2180">
        <f t="shared" si="5"/>
        <v>33.818999999999996</v>
      </c>
      <c r="Y17" s="2180">
        <f t="shared" si="5"/>
        <v>0</v>
      </c>
      <c r="Z17" s="2180">
        <f t="shared" si="5"/>
        <v>0</v>
      </c>
      <c r="AA17" s="2180">
        <f t="shared" si="5"/>
        <v>0</v>
      </c>
      <c r="AB17" s="2180">
        <f t="shared" si="5"/>
        <v>0</v>
      </c>
      <c r="AC17" s="2180">
        <f t="shared" si="5"/>
        <v>28.12</v>
      </c>
      <c r="AD17" s="2180">
        <v>0</v>
      </c>
      <c r="AE17" s="2180">
        <f>SUM(AE5:AE15)</f>
        <v>0</v>
      </c>
      <c r="AF17" s="2180">
        <f>SUM(AF5:AF15)</f>
        <v>0</v>
      </c>
      <c r="AG17" s="2180">
        <f>SUM(AG5:AG15)</f>
        <v>0</v>
      </c>
      <c r="AH17" s="2180">
        <f>SUM(AH5:AH15)</f>
        <v>412.38800000000003</v>
      </c>
      <c r="AJ17" s="2660" t="s">
        <v>74</v>
      </c>
      <c r="AK17" s="2661">
        <f t="shared" ref="AK17:BA17" si="6">SUM(AK5:AK16)</f>
        <v>0</v>
      </c>
      <c r="AL17" s="2656">
        <f t="shared" si="6"/>
        <v>0</v>
      </c>
      <c r="AM17" s="2633">
        <f t="shared" si="6"/>
        <v>0</v>
      </c>
      <c r="AN17" s="2633">
        <f t="shared" si="6"/>
        <v>0</v>
      </c>
      <c r="AO17" s="2633">
        <f t="shared" si="6"/>
        <v>0</v>
      </c>
      <c r="AP17" s="2633">
        <f t="shared" si="6"/>
        <v>0</v>
      </c>
      <c r="AQ17" s="2633">
        <f t="shared" si="6"/>
        <v>0</v>
      </c>
      <c r="AR17" s="2633">
        <f t="shared" si="6"/>
        <v>0</v>
      </c>
      <c r="AS17" s="2633">
        <f t="shared" si="6"/>
        <v>0</v>
      </c>
      <c r="AT17" s="2633">
        <f t="shared" si="6"/>
        <v>0</v>
      </c>
      <c r="AU17" s="2633">
        <f t="shared" si="6"/>
        <v>0</v>
      </c>
      <c r="AV17" s="2633">
        <f t="shared" si="6"/>
        <v>0</v>
      </c>
      <c r="AW17" s="2633">
        <f t="shared" si="6"/>
        <v>0</v>
      </c>
      <c r="AX17" s="2633">
        <f t="shared" si="6"/>
        <v>0</v>
      </c>
      <c r="AY17" s="2633">
        <f t="shared" si="6"/>
        <v>0</v>
      </c>
      <c r="AZ17" s="2633">
        <f t="shared" si="6"/>
        <v>0</v>
      </c>
      <c r="BA17" s="2633">
        <f t="shared" si="6"/>
        <v>0</v>
      </c>
      <c r="BB17" s="2636">
        <f t="shared" ref="BB17:BL17" si="7">SUM(BB5:BB15)</f>
        <v>0</v>
      </c>
      <c r="BC17" s="2636">
        <f t="shared" si="7"/>
        <v>0</v>
      </c>
      <c r="BD17" s="2636">
        <f t="shared" si="7"/>
        <v>0</v>
      </c>
      <c r="BE17" s="2636">
        <f t="shared" si="7"/>
        <v>0</v>
      </c>
      <c r="BF17" s="2636">
        <f t="shared" si="7"/>
        <v>0</v>
      </c>
      <c r="BG17" s="2636">
        <f t="shared" si="7"/>
        <v>0</v>
      </c>
      <c r="BH17" s="2636">
        <f t="shared" si="7"/>
        <v>0</v>
      </c>
      <c r="BI17" s="2636">
        <f t="shared" si="7"/>
        <v>0</v>
      </c>
      <c r="BJ17" s="2636">
        <f t="shared" si="7"/>
        <v>0</v>
      </c>
      <c r="BK17" s="2636">
        <f t="shared" si="7"/>
        <v>0</v>
      </c>
      <c r="BL17" s="2636">
        <f t="shared" si="7"/>
        <v>0</v>
      </c>
      <c r="BM17" s="2636">
        <v>0</v>
      </c>
      <c r="BN17" s="2636">
        <f>SUM(BN5:BN15)</f>
        <v>0</v>
      </c>
      <c r="BO17" s="2636">
        <f>SUM(BO5:BO15)</f>
        <v>0</v>
      </c>
      <c r="BP17" s="2636">
        <f>SUM(BP5:BP15)</f>
        <v>0</v>
      </c>
      <c r="BQ17" s="2636">
        <f>SUM(BQ5:BQ15)</f>
        <v>0</v>
      </c>
    </row>
    <row r="18" spans="1:69">
      <c r="A18" s="2187"/>
      <c r="B18" s="2187"/>
      <c r="C18" s="2187"/>
      <c r="D18" s="2187"/>
      <c r="E18" s="2187"/>
      <c r="F18" s="2187"/>
      <c r="G18" s="2187"/>
      <c r="H18" s="2187"/>
      <c r="I18" s="2187"/>
      <c r="J18" s="2187"/>
      <c r="K18" s="2187"/>
      <c r="L18" s="2187"/>
      <c r="M18" s="2187"/>
      <c r="N18" s="2187"/>
      <c r="O18" s="2187"/>
      <c r="P18" s="2187"/>
      <c r="Q18" s="2187"/>
      <c r="R18" s="2187"/>
      <c r="S18" s="2187"/>
      <c r="T18" s="2187"/>
      <c r="U18" s="2187"/>
      <c r="V18" s="2187"/>
      <c r="W18" s="2187"/>
      <c r="X18" s="2187"/>
      <c r="Y18" s="2187"/>
      <c r="Z18" s="2187"/>
      <c r="AA18" s="2187"/>
      <c r="AB18" s="2187"/>
      <c r="AC18" s="2187"/>
      <c r="AD18" s="2187"/>
      <c r="AE18" s="2187"/>
      <c r="AF18" s="2187"/>
      <c r="AG18" s="2187"/>
      <c r="AH18" s="2187"/>
      <c r="AJ18" s="2662"/>
      <c r="AK18" s="2662"/>
      <c r="AL18" s="2662"/>
      <c r="AM18" s="2630"/>
      <c r="AN18" s="2630"/>
      <c r="AO18" s="2630"/>
      <c r="AP18" s="2630"/>
      <c r="AQ18" s="2630"/>
      <c r="AR18" s="2630"/>
      <c r="AS18" s="2630"/>
      <c r="AT18" s="2630"/>
      <c r="AU18" s="2630"/>
      <c r="AV18" s="2630"/>
      <c r="AW18" s="2630"/>
      <c r="AX18" s="2630"/>
      <c r="AY18" s="2630"/>
      <c r="AZ18" s="2630"/>
      <c r="BA18" s="2630"/>
      <c r="BB18" s="2630"/>
      <c r="BC18" s="2630"/>
      <c r="BD18" s="2630"/>
      <c r="BE18" s="2630"/>
      <c r="BF18" s="2630"/>
      <c r="BG18" s="2630"/>
      <c r="BH18" s="2630"/>
      <c r="BI18" s="2630"/>
      <c r="BJ18" s="2630"/>
      <c r="BK18" s="2630"/>
      <c r="BL18" s="2630"/>
      <c r="BM18" s="2630"/>
      <c r="BN18" s="2630"/>
      <c r="BO18" s="2630"/>
      <c r="BP18" s="2630"/>
      <c r="BQ18" s="2630"/>
    </row>
    <row r="19" spans="1:69" ht="33">
      <c r="A19" s="2547" t="s">
        <v>907</v>
      </c>
      <c r="B19" s="2548"/>
      <c r="C19" s="2548" t="s">
        <v>908</v>
      </c>
      <c r="D19" s="2187"/>
      <c r="E19" s="2187"/>
      <c r="F19" s="2187"/>
      <c r="G19" s="3016" t="s">
        <v>1052</v>
      </c>
      <c r="H19" s="1415"/>
      <c r="I19" s="1415"/>
      <c r="J19" s="1415"/>
      <c r="K19" s="3080"/>
      <c r="L19" s="2187"/>
      <c r="M19" s="2187"/>
      <c r="N19" s="2187"/>
      <c r="O19" s="2187"/>
      <c r="P19" s="2187"/>
      <c r="Q19" s="2187"/>
      <c r="R19" s="2187"/>
      <c r="S19" s="2187"/>
      <c r="T19" s="2187"/>
      <c r="U19" s="2187"/>
      <c r="V19" s="2187"/>
      <c r="W19" s="2187"/>
      <c r="X19" s="2187"/>
      <c r="Y19" s="2187"/>
      <c r="Z19" s="2187"/>
      <c r="AA19" s="2187"/>
      <c r="AB19" s="2187"/>
      <c r="AC19" s="2187"/>
      <c r="AD19" s="2187"/>
      <c r="AE19" s="2187"/>
      <c r="AF19" s="2187"/>
      <c r="AG19" s="2187"/>
      <c r="AH19" s="2187"/>
      <c r="AJ19" s="3013" t="s">
        <v>1019</v>
      </c>
      <c r="AK19" s="3013"/>
      <c r="AL19" s="3013"/>
      <c r="AM19" s="1415"/>
      <c r="AN19" s="3013" t="s">
        <v>1020</v>
      </c>
      <c r="AO19" s="3013"/>
      <c r="AP19" s="3080"/>
      <c r="AQ19" s="2629"/>
      <c r="AR19" s="2630"/>
      <c r="AS19" s="2630"/>
      <c r="AT19" s="2630"/>
      <c r="AU19" s="2630"/>
      <c r="AV19" s="2630"/>
      <c r="AW19" s="2630"/>
      <c r="AX19" s="2630"/>
      <c r="AY19" s="2630"/>
      <c r="AZ19" s="2630"/>
      <c r="BA19" s="2630"/>
      <c r="BB19" s="2630"/>
      <c r="BC19" s="2630"/>
      <c r="BD19" s="2630"/>
      <c r="BE19" s="2630"/>
      <c r="BF19" s="2630"/>
      <c r="BG19" s="2630"/>
      <c r="BH19" s="2630"/>
      <c r="BI19" s="2630"/>
      <c r="BJ19" s="2630"/>
      <c r="BK19" s="2630"/>
      <c r="BL19" s="2630"/>
      <c r="BM19" s="2630"/>
      <c r="BN19" s="2630"/>
      <c r="BO19" s="2630"/>
      <c r="BP19" s="2630"/>
      <c r="BQ19" s="2630"/>
    </row>
    <row r="20" spans="1:69" ht="16.5" customHeight="1">
      <c r="A20" s="3772" t="s">
        <v>264</v>
      </c>
      <c r="B20" s="3773"/>
      <c r="C20" s="3774"/>
      <c r="D20" s="2671"/>
      <c r="E20" s="2671"/>
      <c r="F20" s="2671"/>
      <c r="G20" s="2671"/>
      <c r="H20" s="2671"/>
      <c r="I20" s="2671"/>
      <c r="J20" s="2671"/>
      <c r="K20" s="2671"/>
      <c r="L20" s="2671"/>
      <c r="M20" s="2671"/>
      <c r="N20" s="2671"/>
      <c r="O20" s="2671"/>
      <c r="P20" s="2671"/>
      <c r="Q20" s="2671"/>
      <c r="R20" s="2671"/>
      <c r="S20" s="2245"/>
      <c r="T20" s="2245"/>
      <c r="U20" s="2245"/>
      <c r="V20" s="2245"/>
      <c r="W20" s="2245"/>
      <c r="X20" s="2245"/>
      <c r="Y20" s="2245"/>
      <c r="Z20" s="2245"/>
      <c r="AA20" s="2245"/>
      <c r="AB20" s="2245"/>
      <c r="AC20" s="2245"/>
      <c r="AD20" s="2245"/>
      <c r="AE20" s="2245"/>
      <c r="AF20" s="2245"/>
      <c r="AG20" s="2245"/>
      <c r="AH20" s="2245"/>
      <c r="AJ20" s="3885" t="s">
        <v>271</v>
      </c>
      <c r="AK20" s="3886"/>
      <c r="AL20" s="3887"/>
      <c r="AM20" s="2631"/>
      <c r="AN20" s="2631"/>
      <c r="AO20" s="2631"/>
      <c r="AP20" s="2631"/>
      <c r="AQ20" s="2631"/>
      <c r="AR20" s="2631"/>
      <c r="AS20" s="2631"/>
      <c r="AT20" s="2631"/>
      <c r="AU20" s="2631"/>
      <c r="AV20" s="2631"/>
      <c r="AW20" s="2631"/>
      <c r="AX20" s="2631"/>
      <c r="AY20" s="2631"/>
      <c r="AZ20" s="2631"/>
      <c r="BA20" s="2631"/>
      <c r="BB20" s="2632"/>
      <c r="BC20" s="2632"/>
      <c r="BD20" s="2632"/>
      <c r="BE20" s="2632"/>
      <c r="BF20" s="2632"/>
      <c r="BG20" s="2632"/>
      <c r="BH20" s="2632"/>
      <c r="BI20" s="2632"/>
      <c r="BJ20" s="2632"/>
      <c r="BK20" s="2632"/>
      <c r="BL20" s="2632"/>
      <c r="BM20" s="2632"/>
      <c r="BN20" s="2632"/>
      <c r="BO20" s="2632"/>
      <c r="BP20" s="2632"/>
      <c r="BQ20" s="2632"/>
    </row>
    <row r="21" spans="1:69" ht="15">
      <c r="A21" s="1845" t="s">
        <v>72</v>
      </c>
      <c r="B21" s="2672" t="s">
        <v>73</v>
      </c>
      <c r="C21" s="2063">
        <v>1</v>
      </c>
      <c r="D21" s="2063">
        <v>2</v>
      </c>
      <c r="E21" s="2063">
        <v>3</v>
      </c>
      <c r="F21" s="2063">
        <v>4</v>
      </c>
      <c r="G21" s="2063">
        <v>5</v>
      </c>
      <c r="H21" s="2063">
        <v>6</v>
      </c>
      <c r="I21" s="2063">
        <v>7</v>
      </c>
      <c r="J21" s="2063">
        <v>8</v>
      </c>
      <c r="K21" s="2063">
        <v>9</v>
      </c>
      <c r="L21" s="2063">
        <v>10</v>
      </c>
      <c r="M21" s="2063">
        <v>11</v>
      </c>
      <c r="N21" s="2063">
        <v>12</v>
      </c>
      <c r="O21" s="2063">
        <v>13</v>
      </c>
      <c r="P21" s="2063">
        <v>14</v>
      </c>
      <c r="Q21" s="2063">
        <v>15</v>
      </c>
      <c r="R21" s="2063">
        <v>16</v>
      </c>
      <c r="S21" s="1845">
        <v>17</v>
      </c>
      <c r="T21" s="1845">
        <v>18</v>
      </c>
      <c r="U21" s="1845">
        <v>19</v>
      </c>
      <c r="V21" s="1845">
        <v>20</v>
      </c>
      <c r="W21" s="1845">
        <v>21</v>
      </c>
      <c r="X21" s="1845">
        <v>22</v>
      </c>
      <c r="Y21" s="1845">
        <v>23</v>
      </c>
      <c r="Z21" s="1845">
        <v>24</v>
      </c>
      <c r="AA21" s="1845">
        <v>25</v>
      </c>
      <c r="AB21" s="1845">
        <v>26</v>
      </c>
      <c r="AC21" s="1845">
        <v>27</v>
      </c>
      <c r="AD21" s="1845">
        <v>28</v>
      </c>
      <c r="AE21" s="1845">
        <v>29</v>
      </c>
      <c r="AF21" s="1845">
        <v>30</v>
      </c>
      <c r="AG21" s="1845">
        <v>31</v>
      </c>
      <c r="AH21" s="2184" t="s">
        <v>74</v>
      </c>
      <c r="AJ21" s="2655" t="s">
        <v>72</v>
      </c>
      <c r="AK21" s="2656" t="s">
        <v>73</v>
      </c>
      <c r="AL21" s="2657">
        <v>1</v>
      </c>
      <c r="AM21" s="2042">
        <v>2</v>
      </c>
      <c r="AN21" s="2042">
        <v>3</v>
      </c>
      <c r="AO21" s="2042">
        <v>4</v>
      </c>
      <c r="AP21" s="2042">
        <v>5</v>
      </c>
      <c r="AQ21" s="2042">
        <v>6</v>
      </c>
      <c r="AR21" s="2042">
        <v>7</v>
      </c>
      <c r="AS21" s="2042">
        <v>8</v>
      </c>
      <c r="AT21" s="2042">
        <v>9</v>
      </c>
      <c r="AU21" s="2042">
        <v>10</v>
      </c>
      <c r="AV21" s="2042">
        <v>11</v>
      </c>
      <c r="AW21" s="2042">
        <v>12</v>
      </c>
      <c r="AX21" s="2042">
        <v>13</v>
      </c>
      <c r="AY21" s="2042">
        <v>14</v>
      </c>
      <c r="AZ21" s="2042">
        <v>15</v>
      </c>
      <c r="BA21" s="2042">
        <v>16</v>
      </c>
      <c r="BB21" s="1841">
        <v>17</v>
      </c>
      <c r="BC21" s="1841">
        <v>18</v>
      </c>
      <c r="BD21" s="1841">
        <v>19</v>
      </c>
      <c r="BE21" s="1841">
        <v>20</v>
      </c>
      <c r="BF21" s="1841">
        <v>21</v>
      </c>
      <c r="BG21" s="1841">
        <v>22</v>
      </c>
      <c r="BH21" s="1841">
        <v>23</v>
      </c>
      <c r="BI21" s="1841">
        <v>24</v>
      </c>
      <c r="BJ21" s="1841">
        <v>25</v>
      </c>
      <c r="BK21" s="1841">
        <v>26</v>
      </c>
      <c r="BL21" s="1841">
        <v>27</v>
      </c>
      <c r="BM21" s="1841">
        <v>28</v>
      </c>
      <c r="BN21" s="1841">
        <v>29</v>
      </c>
      <c r="BO21" s="1841">
        <v>30</v>
      </c>
      <c r="BP21" s="1841">
        <v>31</v>
      </c>
      <c r="BQ21" s="2634" t="s">
        <v>74</v>
      </c>
    </row>
    <row r="22" spans="1:69" ht="15">
      <c r="A22" s="1845" t="s">
        <v>75</v>
      </c>
      <c r="B22" s="2672">
        <f t="shared" ref="B22:B33" si="8">+AH22</f>
        <v>0</v>
      </c>
      <c r="C22" s="2673"/>
      <c r="D22" s="2673"/>
      <c r="E22" s="2673"/>
      <c r="F22" s="2673"/>
      <c r="G22" s="2673"/>
      <c r="H22" s="2673"/>
      <c r="I22" s="2673"/>
      <c r="J22" s="2673"/>
      <c r="K22" s="2673"/>
      <c r="L22" s="2673"/>
      <c r="M22" s="2673"/>
      <c r="N22" s="2673"/>
      <c r="O22" s="2673"/>
      <c r="P22" s="2673"/>
      <c r="Q22" s="2673"/>
      <c r="R22" s="2673"/>
      <c r="S22" s="2673"/>
      <c r="T22" s="2673"/>
      <c r="U22" s="2673"/>
      <c r="V22" s="2673"/>
      <c r="W22" s="2673"/>
      <c r="X22" s="2673"/>
      <c r="Y22" s="2673"/>
      <c r="Z22" s="2673"/>
      <c r="AA22" s="2673"/>
      <c r="AB22" s="2673"/>
      <c r="AC22" s="2673"/>
      <c r="AD22" s="2673"/>
      <c r="AE22" s="2673"/>
      <c r="AF22" s="2673"/>
      <c r="AG22" s="2673"/>
      <c r="AH22" s="2180">
        <f>SUM(C22:AG22)</f>
        <v>0</v>
      </c>
      <c r="AJ22" s="2655" t="s">
        <v>75</v>
      </c>
      <c r="AK22" s="2656">
        <f t="shared" ref="AK22:AK33" si="9">+BQ22</f>
        <v>0</v>
      </c>
      <c r="AL22" s="2658"/>
      <c r="AM22" s="2635"/>
      <c r="AN22" s="2635"/>
      <c r="AO22" s="2635"/>
      <c r="AP22" s="2635"/>
      <c r="AQ22" s="2635"/>
      <c r="AR22" s="2635"/>
      <c r="AS22" s="2635"/>
      <c r="AT22" s="2635"/>
      <c r="AU22" s="2635"/>
      <c r="AV22" s="2635"/>
      <c r="AW22" s="2635"/>
      <c r="AX22" s="2635"/>
      <c r="AY22" s="2635"/>
      <c r="AZ22" s="2635"/>
      <c r="BA22" s="2635"/>
      <c r="BB22" s="2635"/>
      <c r="BC22" s="2635"/>
      <c r="BD22" s="2635"/>
      <c r="BE22" s="2635"/>
      <c r="BF22" s="2635"/>
      <c r="BG22" s="2635"/>
      <c r="BH22" s="2635"/>
      <c r="BI22" s="2635"/>
      <c r="BJ22" s="2635"/>
      <c r="BK22" s="2635"/>
      <c r="BL22" s="2635"/>
      <c r="BM22" s="2635"/>
      <c r="BN22" s="2635"/>
      <c r="BO22" s="2635"/>
      <c r="BP22" s="2635"/>
      <c r="BQ22" s="2636">
        <f>SUM(AL22:BP22)</f>
        <v>0</v>
      </c>
    </row>
    <row r="23" spans="1:69" ht="15.75" thickBot="1">
      <c r="A23" s="1845" t="s">
        <v>76</v>
      </c>
      <c r="B23" s="2672">
        <f t="shared" si="8"/>
        <v>0</v>
      </c>
      <c r="C23" s="2673"/>
      <c r="D23" s="2673"/>
      <c r="E23" s="2673"/>
      <c r="F23" s="2673"/>
      <c r="G23" s="2673"/>
      <c r="H23" s="2673"/>
      <c r="I23" s="2673"/>
      <c r="J23" s="2673"/>
      <c r="K23" s="2673"/>
      <c r="L23" s="2673"/>
      <c r="M23" s="2673"/>
      <c r="N23" s="2673"/>
      <c r="O23" s="2673"/>
      <c r="P23" s="2673"/>
      <c r="Q23" s="2673"/>
      <c r="R23" s="2673"/>
      <c r="S23" s="2673"/>
      <c r="T23" s="2673"/>
      <c r="U23" s="2673"/>
      <c r="V23" s="2673"/>
      <c r="W23" s="2673"/>
      <c r="X23" s="2673"/>
      <c r="Y23" s="2673"/>
      <c r="Z23" s="2673"/>
      <c r="AA23" s="2673"/>
      <c r="AB23" s="2673"/>
      <c r="AC23" s="2673"/>
      <c r="AD23" s="2673"/>
      <c r="AE23" s="2673"/>
      <c r="AF23" s="2673"/>
      <c r="AG23" s="2673"/>
      <c r="AH23" s="2180">
        <f t="shared" ref="AH23:AH33" si="10">SUM(C23:AG23)</f>
        <v>0</v>
      </c>
      <c r="AJ23" s="2655" t="s">
        <v>76</v>
      </c>
      <c r="AK23" s="2656">
        <f t="shared" si="9"/>
        <v>0</v>
      </c>
      <c r="AL23" s="2658"/>
      <c r="AM23" s="2635"/>
      <c r="AN23" s="2635"/>
      <c r="AO23" s="2635"/>
      <c r="AP23" s="2635"/>
      <c r="AQ23" s="2635"/>
      <c r="AR23" s="2635"/>
      <c r="AS23" s="2635"/>
      <c r="AT23" s="2635"/>
      <c r="AU23" s="2635"/>
      <c r="AV23" s="2635"/>
      <c r="AW23" s="2635"/>
      <c r="AX23" s="2635"/>
      <c r="AY23" s="2635"/>
      <c r="AZ23" s="2635"/>
      <c r="BA23" s="2635"/>
      <c r="BB23" s="2635"/>
      <c r="BC23" s="2635"/>
      <c r="BD23" s="2635"/>
      <c r="BE23" s="2635"/>
      <c r="BF23" s="2635"/>
      <c r="BG23" s="2635"/>
      <c r="BH23" s="2635"/>
      <c r="BI23" s="2635"/>
      <c r="BJ23" s="2635"/>
      <c r="BK23" s="2635"/>
      <c r="BL23" s="2635"/>
      <c r="BM23" s="2635"/>
      <c r="BN23" s="2635"/>
      <c r="BO23" s="2635"/>
      <c r="BP23" s="2635"/>
      <c r="BQ23" s="2636">
        <f t="shared" ref="BQ23:BQ33" si="11">SUM(AL23:BP23)</f>
        <v>0</v>
      </c>
    </row>
    <row r="24" spans="1:69" ht="15.75" thickBot="1">
      <c r="A24" s="1845" t="s">
        <v>77</v>
      </c>
      <c r="B24" s="2677">
        <f t="shared" si="8"/>
        <v>35.43</v>
      </c>
      <c r="C24" s="2673"/>
      <c r="D24" s="2673"/>
      <c r="E24" s="2673"/>
      <c r="F24" s="2673"/>
      <c r="G24" s="2673"/>
      <c r="H24" s="1846"/>
      <c r="I24" s="1846"/>
      <c r="J24" s="1846"/>
      <c r="K24" s="1846"/>
      <c r="L24" s="1846"/>
      <c r="M24" s="1846"/>
      <c r="N24" s="1846"/>
      <c r="O24" s="1846"/>
      <c r="P24" s="1846"/>
      <c r="Q24" s="1846"/>
      <c r="R24" s="1846"/>
      <c r="S24" s="1846"/>
      <c r="T24" s="1846"/>
      <c r="U24" s="1846"/>
      <c r="V24" s="1846"/>
      <c r="W24" s="1846"/>
      <c r="X24" s="1846">
        <v>14.214</v>
      </c>
      <c r="Y24" s="1846"/>
      <c r="Z24" s="1846"/>
      <c r="AA24" s="1846"/>
      <c r="AB24" s="2678"/>
      <c r="AC24" s="2673">
        <v>21.216000000000001</v>
      </c>
      <c r="AD24" s="1846"/>
      <c r="AE24" s="2673"/>
      <c r="AF24" s="2673"/>
      <c r="AG24" s="2673"/>
      <c r="AH24" s="2180">
        <f t="shared" si="10"/>
        <v>35.43</v>
      </c>
      <c r="AJ24" s="2655" t="s">
        <v>77</v>
      </c>
      <c r="AK24" s="2656">
        <f t="shared" si="9"/>
        <v>0</v>
      </c>
      <c r="AL24" s="2658"/>
      <c r="AM24" s="2635"/>
      <c r="AN24" s="2635"/>
      <c r="AO24" s="2635"/>
      <c r="AP24" s="2635"/>
      <c r="AQ24" s="1842"/>
      <c r="AR24" s="1842"/>
      <c r="AS24" s="1842"/>
      <c r="AT24" s="1842"/>
      <c r="AU24" s="1842"/>
      <c r="AV24" s="1842"/>
      <c r="AW24" s="1842"/>
      <c r="AX24" s="1842"/>
      <c r="AY24" s="1842"/>
      <c r="AZ24" s="1842"/>
      <c r="BA24" s="2637"/>
      <c r="BB24" s="1842"/>
      <c r="BC24" s="1842"/>
      <c r="BD24" s="1842"/>
      <c r="BE24" s="1842"/>
      <c r="BF24" s="1842"/>
      <c r="BG24" s="1842"/>
      <c r="BH24" s="1842"/>
      <c r="BI24" s="1842"/>
      <c r="BJ24" s="1842"/>
      <c r="BK24" s="1842"/>
      <c r="BL24" s="2635"/>
      <c r="BM24" s="2635"/>
      <c r="BN24" s="2635"/>
      <c r="BO24" s="2635"/>
      <c r="BP24" s="2635"/>
      <c r="BQ24" s="2636">
        <f t="shared" si="11"/>
        <v>0</v>
      </c>
    </row>
    <row r="25" spans="1:69" ht="15">
      <c r="A25" s="1845" t="s">
        <v>78</v>
      </c>
      <c r="B25" s="2672">
        <f t="shared" si="8"/>
        <v>197.571</v>
      </c>
      <c r="C25" s="2673"/>
      <c r="D25" s="2673">
        <v>28.164000000000001</v>
      </c>
      <c r="E25" s="2673">
        <v>47.161000000000001</v>
      </c>
      <c r="F25" s="2673">
        <v>65.135999999999996</v>
      </c>
      <c r="G25" s="2673">
        <v>33.031999999999996</v>
      </c>
      <c r="H25" s="2673"/>
      <c r="I25" s="2673"/>
      <c r="J25" s="2673"/>
      <c r="K25" s="2673"/>
      <c r="L25" s="2675"/>
      <c r="M25" s="2675"/>
      <c r="N25" s="2679"/>
      <c r="O25" s="2675"/>
      <c r="P25" s="2675"/>
      <c r="Q25" s="2675"/>
      <c r="R25" s="2675">
        <v>1.65</v>
      </c>
      <c r="S25" s="2675"/>
      <c r="T25" s="2675"/>
      <c r="U25" s="2675"/>
      <c r="V25" s="2675"/>
      <c r="W25" s="2675">
        <v>22.428000000000001</v>
      </c>
      <c r="X25" s="2675"/>
      <c r="Y25" s="2675"/>
      <c r="Z25" s="2675"/>
      <c r="AA25" s="2675"/>
      <c r="AB25" s="2675"/>
      <c r="AC25" s="2675"/>
      <c r="AD25" s="2675"/>
      <c r="AE25" s="2675"/>
      <c r="AF25" s="2675"/>
      <c r="AG25" s="2675"/>
      <c r="AH25" s="2180">
        <f t="shared" si="10"/>
        <v>197.571</v>
      </c>
      <c r="AJ25" s="2655" t="s">
        <v>78</v>
      </c>
      <c r="AK25" s="2656">
        <f t="shared" si="9"/>
        <v>0</v>
      </c>
      <c r="AL25" s="2658"/>
      <c r="AM25" s="2635"/>
      <c r="AN25" s="2635"/>
      <c r="AO25" s="2635"/>
      <c r="AP25" s="2635"/>
      <c r="AQ25" s="2635"/>
      <c r="AR25" s="2635"/>
      <c r="AS25" s="2635"/>
      <c r="AT25" s="2635"/>
      <c r="AU25" s="2638"/>
      <c r="AV25" s="2638"/>
      <c r="AW25" s="2638"/>
      <c r="AX25" s="2638"/>
      <c r="AY25" s="2638"/>
      <c r="AZ25" s="2638"/>
      <c r="BA25" s="2638"/>
      <c r="BB25" s="2638"/>
      <c r="BC25" s="2638"/>
      <c r="BD25" s="2638"/>
      <c r="BE25" s="2638"/>
      <c r="BF25" s="2638"/>
      <c r="BG25" s="2638"/>
      <c r="BH25" s="2638"/>
      <c r="BI25" s="2638"/>
      <c r="BJ25" s="2638"/>
      <c r="BK25" s="2638"/>
      <c r="BL25" s="2638"/>
      <c r="BM25" s="2638"/>
      <c r="BN25" s="2638"/>
      <c r="BO25" s="2638"/>
      <c r="BP25" s="2638"/>
      <c r="BQ25" s="2636">
        <f t="shared" si="11"/>
        <v>0</v>
      </c>
    </row>
    <row r="26" spans="1:69" ht="15">
      <c r="A26" s="1845" t="s">
        <v>79</v>
      </c>
      <c r="B26" s="2672">
        <f t="shared" si="8"/>
        <v>51.662999999999997</v>
      </c>
      <c r="C26" s="1846"/>
      <c r="D26" s="1846"/>
      <c r="E26" s="1846"/>
      <c r="F26" s="1846"/>
      <c r="G26" s="1846"/>
      <c r="H26" s="1846"/>
      <c r="I26" s="1846"/>
      <c r="J26" s="1846"/>
      <c r="K26" s="1846"/>
      <c r="L26" s="1846"/>
      <c r="M26" s="1846"/>
      <c r="N26" s="1846"/>
      <c r="O26" s="1846"/>
      <c r="P26" s="1846"/>
      <c r="Q26" s="1846"/>
      <c r="R26" s="1846"/>
      <c r="S26" s="1846"/>
      <c r="T26" s="1846"/>
      <c r="U26" s="1846"/>
      <c r="V26" s="1846"/>
      <c r="W26" s="1846"/>
      <c r="X26" s="1846">
        <v>51.662999999999997</v>
      </c>
      <c r="Y26" s="1846"/>
      <c r="Z26" s="1846"/>
      <c r="AA26" s="1846"/>
      <c r="AB26" s="1846"/>
      <c r="AC26" s="1846"/>
      <c r="AD26" s="1846"/>
      <c r="AE26" s="1846"/>
      <c r="AF26" s="1846"/>
      <c r="AG26" s="1846"/>
      <c r="AH26" s="2180">
        <f t="shared" si="10"/>
        <v>51.662999999999997</v>
      </c>
      <c r="AJ26" s="2655" t="s">
        <v>79</v>
      </c>
      <c r="AK26" s="2656">
        <f t="shared" si="9"/>
        <v>0</v>
      </c>
      <c r="AL26" s="2659"/>
      <c r="AM26" s="1842"/>
      <c r="AN26" s="1842"/>
      <c r="AO26" s="1842"/>
      <c r="AP26" s="1842"/>
      <c r="AQ26" s="1842"/>
      <c r="AR26" s="1842"/>
      <c r="AS26" s="1842"/>
      <c r="AT26" s="1842"/>
      <c r="AU26" s="1842"/>
      <c r="AV26" s="1842"/>
      <c r="AW26" s="1842"/>
      <c r="AX26" s="1842"/>
      <c r="AY26" s="1842"/>
      <c r="AZ26" s="1842"/>
      <c r="BA26" s="1842"/>
      <c r="BB26" s="1842"/>
      <c r="BC26" s="1842"/>
      <c r="BD26" s="1842"/>
      <c r="BE26" s="1842"/>
      <c r="BF26" s="1842"/>
      <c r="BG26" s="1842"/>
      <c r="BH26" s="1842"/>
      <c r="BI26" s="1842"/>
      <c r="BJ26" s="1842"/>
      <c r="BK26" s="1842"/>
      <c r="BL26" s="1842"/>
      <c r="BM26" s="1842"/>
      <c r="BN26" s="1842"/>
      <c r="BO26" s="1842"/>
      <c r="BP26" s="1842"/>
      <c r="BQ26" s="2636">
        <f t="shared" si="11"/>
        <v>0</v>
      </c>
    </row>
    <row r="27" spans="1:69" ht="15">
      <c r="A27" s="1845" t="s">
        <v>80</v>
      </c>
      <c r="B27" s="2672">
        <f t="shared" si="8"/>
        <v>0</v>
      </c>
      <c r="C27" s="1846"/>
      <c r="D27" s="1846"/>
      <c r="E27" s="1846"/>
      <c r="F27" s="1846"/>
      <c r="G27" s="1846"/>
      <c r="H27" s="1846"/>
      <c r="I27" s="1846"/>
      <c r="J27" s="1846"/>
      <c r="K27" s="1846"/>
      <c r="L27" s="1846"/>
      <c r="M27" s="1846"/>
      <c r="N27" s="1846"/>
      <c r="O27" s="1846"/>
      <c r="P27" s="1846"/>
      <c r="Q27" s="1846"/>
      <c r="R27" s="1846"/>
      <c r="S27" s="1846"/>
      <c r="T27" s="1846"/>
      <c r="U27" s="1846"/>
      <c r="V27" s="1846"/>
      <c r="W27" s="1846"/>
      <c r="X27" s="1846"/>
      <c r="Y27" s="1846"/>
      <c r="Z27" s="1846"/>
      <c r="AA27" s="1846"/>
      <c r="AB27" s="1846"/>
      <c r="AC27" s="1846"/>
      <c r="AD27" s="1846"/>
      <c r="AE27" s="1846"/>
      <c r="AF27" s="1846"/>
      <c r="AG27" s="1846"/>
      <c r="AH27" s="2180">
        <f t="shared" si="10"/>
        <v>0</v>
      </c>
      <c r="AJ27" s="2655" t="s">
        <v>80</v>
      </c>
      <c r="AK27" s="2656">
        <f t="shared" si="9"/>
        <v>0</v>
      </c>
      <c r="AL27" s="2659"/>
      <c r="AM27" s="1842"/>
      <c r="AN27" s="1842"/>
      <c r="AO27" s="1842"/>
      <c r="AP27" s="1842"/>
      <c r="AQ27" s="1842"/>
      <c r="AR27" s="1842"/>
      <c r="AS27" s="1842"/>
      <c r="AT27" s="1842"/>
      <c r="AU27" s="1842"/>
      <c r="AV27" s="1842"/>
      <c r="AW27" s="1842"/>
      <c r="AX27" s="1842"/>
      <c r="AY27" s="1842"/>
      <c r="AZ27" s="1842"/>
      <c r="BA27" s="1842"/>
      <c r="BB27" s="1842"/>
      <c r="BC27" s="1842"/>
      <c r="BD27" s="1842"/>
      <c r="BE27" s="1842"/>
      <c r="BF27" s="1842"/>
      <c r="BG27" s="1842"/>
      <c r="BH27" s="1842"/>
      <c r="BI27" s="1842"/>
      <c r="BJ27" s="1842"/>
      <c r="BK27" s="1842"/>
      <c r="BL27" s="1842"/>
      <c r="BM27" s="1842"/>
      <c r="BN27" s="1842"/>
      <c r="BO27" s="1842"/>
      <c r="BP27" s="1842"/>
      <c r="BQ27" s="2636">
        <f t="shared" si="11"/>
        <v>0</v>
      </c>
    </row>
    <row r="28" spans="1:69" ht="15">
      <c r="A28" s="1845" t="s">
        <v>81</v>
      </c>
      <c r="B28" s="2672">
        <f t="shared" si="8"/>
        <v>0</v>
      </c>
      <c r="C28" s="1846"/>
      <c r="D28" s="2180"/>
      <c r="E28" s="2180"/>
      <c r="F28" s="2180"/>
      <c r="G28" s="1846"/>
      <c r="H28" s="1846"/>
      <c r="I28" s="1846"/>
      <c r="J28" s="1846"/>
      <c r="K28" s="1846"/>
      <c r="L28" s="1846"/>
      <c r="M28" s="1846"/>
      <c r="N28" s="1846"/>
      <c r="O28" s="1846"/>
      <c r="P28" s="1846"/>
      <c r="Q28" s="1846"/>
      <c r="R28" s="1846"/>
      <c r="S28" s="1846"/>
      <c r="T28" s="1846"/>
      <c r="U28" s="1846"/>
      <c r="V28" s="1846"/>
      <c r="W28" s="1846"/>
      <c r="X28" s="1846"/>
      <c r="Y28" s="1846"/>
      <c r="Z28" s="1846"/>
      <c r="AA28" s="1846"/>
      <c r="AB28" s="1846"/>
      <c r="AC28" s="1846"/>
      <c r="AD28" s="1846"/>
      <c r="AE28" s="1846"/>
      <c r="AF28" s="1846"/>
      <c r="AG28" s="1846"/>
      <c r="AH28" s="2180">
        <f t="shared" si="10"/>
        <v>0</v>
      </c>
      <c r="AJ28" s="2655" t="s">
        <v>81</v>
      </c>
      <c r="AK28" s="2656">
        <f t="shared" si="9"/>
        <v>0</v>
      </c>
      <c r="AL28" s="2659"/>
      <c r="AM28" s="2636"/>
      <c r="AN28" s="2636"/>
      <c r="AO28" s="2636"/>
      <c r="AP28" s="1842"/>
      <c r="AQ28" s="1842"/>
      <c r="AR28" s="1842"/>
      <c r="AS28" s="1842"/>
      <c r="AT28" s="1842"/>
      <c r="AU28" s="1842"/>
      <c r="AV28" s="1842"/>
      <c r="AW28" s="1842"/>
      <c r="AX28" s="1842"/>
      <c r="AY28" s="1842"/>
      <c r="AZ28" s="1842"/>
      <c r="BA28" s="1842"/>
      <c r="BB28" s="1842"/>
      <c r="BC28" s="1842"/>
      <c r="BD28" s="1842"/>
      <c r="BE28" s="1842"/>
      <c r="BF28" s="1842"/>
      <c r="BG28" s="1842"/>
      <c r="BH28" s="1842"/>
      <c r="BI28" s="1842"/>
      <c r="BJ28" s="1842"/>
      <c r="BK28" s="1842"/>
      <c r="BL28" s="1842"/>
      <c r="BM28" s="1842"/>
      <c r="BN28" s="1842"/>
      <c r="BO28" s="1842"/>
      <c r="BP28" s="1842"/>
      <c r="BQ28" s="2636">
        <f t="shared" si="11"/>
        <v>0</v>
      </c>
    </row>
    <row r="29" spans="1:69" ht="15">
      <c r="A29" s="1845" t="s">
        <v>82</v>
      </c>
      <c r="B29" s="2672">
        <f t="shared" si="8"/>
        <v>0</v>
      </c>
      <c r="C29" s="1846"/>
      <c r="D29" s="1846"/>
      <c r="E29" s="1846"/>
      <c r="F29" s="1846"/>
      <c r="G29" s="1846"/>
      <c r="H29" s="1846"/>
      <c r="I29" s="1846"/>
      <c r="J29" s="1846"/>
      <c r="K29" s="1846"/>
      <c r="L29" s="1846"/>
      <c r="M29" s="1846"/>
      <c r="N29" s="1846"/>
      <c r="O29" s="1846"/>
      <c r="P29" s="1846"/>
      <c r="Q29" s="1846"/>
      <c r="R29" s="1846"/>
      <c r="S29" s="1846"/>
      <c r="T29" s="1846"/>
      <c r="U29" s="1846"/>
      <c r="V29" s="1846"/>
      <c r="W29" s="1846"/>
      <c r="X29" s="1846"/>
      <c r="Y29" s="1846"/>
      <c r="Z29" s="1846"/>
      <c r="AA29" s="1846"/>
      <c r="AB29" s="1846"/>
      <c r="AC29" s="1846"/>
      <c r="AD29" s="1846"/>
      <c r="AE29" s="1846"/>
      <c r="AF29" s="1846"/>
      <c r="AG29" s="1846"/>
      <c r="AH29" s="2180">
        <f t="shared" si="10"/>
        <v>0</v>
      </c>
      <c r="AJ29" s="2655" t="s">
        <v>82</v>
      </c>
      <c r="AK29" s="2656">
        <f t="shared" si="9"/>
        <v>0</v>
      </c>
      <c r="AL29" s="2659"/>
      <c r="AM29" s="1842"/>
      <c r="AN29" s="1842"/>
      <c r="AO29" s="1842"/>
      <c r="AP29" s="1842"/>
      <c r="AQ29" s="1842"/>
      <c r="AR29" s="1842"/>
      <c r="AS29" s="1842"/>
      <c r="AT29" s="1842"/>
      <c r="AU29" s="1842"/>
      <c r="AV29" s="1842"/>
      <c r="AW29" s="1842"/>
      <c r="AX29" s="1842"/>
      <c r="AY29" s="1842"/>
      <c r="AZ29" s="1842"/>
      <c r="BA29" s="1842"/>
      <c r="BB29" s="1842"/>
      <c r="BC29" s="1842"/>
      <c r="BD29" s="1842"/>
      <c r="BE29" s="1842"/>
      <c r="BF29" s="1842"/>
      <c r="BG29" s="1842"/>
      <c r="BH29" s="1842"/>
      <c r="BI29" s="1842"/>
      <c r="BJ29" s="1842"/>
      <c r="BK29" s="1842"/>
      <c r="BL29" s="1842"/>
      <c r="BM29" s="1842"/>
      <c r="BN29" s="1842"/>
      <c r="BO29" s="1842"/>
      <c r="BP29" s="1842"/>
      <c r="BQ29" s="2636">
        <f t="shared" si="11"/>
        <v>0</v>
      </c>
    </row>
    <row r="30" spans="1:69" ht="15">
      <c r="A30" s="1845" t="s">
        <v>83</v>
      </c>
      <c r="B30" s="2672">
        <f t="shared" si="8"/>
        <v>0</v>
      </c>
      <c r="C30" s="1846"/>
      <c r="D30" s="1846"/>
      <c r="E30" s="1846"/>
      <c r="F30" s="1846"/>
      <c r="G30" s="1846"/>
      <c r="H30" s="1846"/>
      <c r="I30" s="1846"/>
      <c r="J30" s="1846"/>
      <c r="K30" s="1846"/>
      <c r="L30" s="1846"/>
      <c r="M30" s="1846"/>
      <c r="N30" s="1846"/>
      <c r="O30" s="1846"/>
      <c r="P30" s="1846"/>
      <c r="Q30" s="1846"/>
      <c r="R30" s="1846"/>
      <c r="S30" s="1846"/>
      <c r="T30" s="1846"/>
      <c r="U30" s="1846"/>
      <c r="V30" s="1846"/>
      <c r="W30" s="1846"/>
      <c r="X30" s="1846"/>
      <c r="Y30" s="1846"/>
      <c r="Z30" s="1846"/>
      <c r="AA30" s="1846"/>
      <c r="AB30" s="1846"/>
      <c r="AC30" s="1846"/>
      <c r="AD30" s="1846"/>
      <c r="AE30" s="1846"/>
      <c r="AF30" s="1846"/>
      <c r="AG30" s="1846"/>
      <c r="AH30" s="2180">
        <f t="shared" si="10"/>
        <v>0</v>
      </c>
      <c r="AJ30" s="2655" t="s">
        <v>83</v>
      </c>
      <c r="AK30" s="2656">
        <f t="shared" si="9"/>
        <v>0</v>
      </c>
      <c r="AL30" s="2659"/>
      <c r="AM30" s="1842"/>
      <c r="AN30" s="1842"/>
      <c r="AO30" s="1842"/>
      <c r="AP30" s="1842"/>
      <c r="AQ30" s="1842"/>
      <c r="AR30" s="1842"/>
      <c r="AS30" s="1842"/>
      <c r="AT30" s="1842"/>
      <c r="AU30" s="1842"/>
      <c r="AV30" s="1842"/>
      <c r="AW30" s="1842"/>
      <c r="AX30" s="1842"/>
      <c r="AY30" s="1842"/>
      <c r="AZ30" s="1842"/>
      <c r="BA30" s="1842"/>
      <c r="BB30" s="1842"/>
      <c r="BC30" s="1842"/>
      <c r="BD30" s="1842"/>
      <c r="BE30" s="1842"/>
      <c r="BF30" s="1842"/>
      <c r="BG30" s="1842"/>
      <c r="BH30" s="1842"/>
      <c r="BI30" s="1842"/>
      <c r="BJ30" s="1842"/>
      <c r="BK30" s="1842"/>
      <c r="BL30" s="1842"/>
      <c r="BM30" s="1842"/>
      <c r="BN30" s="1842"/>
      <c r="BO30" s="1842"/>
      <c r="BP30" s="1842"/>
      <c r="BQ30" s="2636">
        <f t="shared" si="11"/>
        <v>0</v>
      </c>
    </row>
    <row r="31" spans="1:69" ht="15">
      <c r="A31" s="1845" t="s">
        <v>84</v>
      </c>
      <c r="B31" s="2672">
        <f t="shared" si="8"/>
        <v>0</v>
      </c>
      <c r="C31" s="1846"/>
      <c r="D31" s="1846"/>
      <c r="E31" s="1846"/>
      <c r="F31" s="1846"/>
      <c r="G31" s="1846"/>
      <c r="H31" s="1846"/>
      <c r="I31" s="1846"/>
      <c r="J31" s="1846"/>
      <c r="K31" s="1846"/>
      <c r="L31" s="1846"/>
      <c r="M31" s="1846"/>
      <c r="N31" s="1846"/>
      <c r="O31" s="1846"/>
      <c r="P31" s="1846"/>
      <c r="Q31" s="1846"/>
      <c r="R31" s="1846"/>
      <c r="S31" s="1846"/>
      <c r="T31" s="1846"/>
      <c r="U31" s="1846"/>
      <c r="V31" s="1846"/>
      <c r="W31" s="1846"/>
      <c r="X31" s="1846"/>
      <c r="Y31" s="1846"/>
      <c r="Z31" s="1846"/>
      <c r="AA31" s="1846"/>
      <c r="AB31" s="1846"/>
      <c r="AC31" s="1846"/>
      <c r="AD31" s="1846"/>
      <c r="AE31" s="2180"/>
      <c r="AF31" s="1846"/>
      <c r="AG31" s="2180"/>
      <c r="AH31" s="2180">
        <f t="shared" si="10"/>
        <v>0</v>
      </c>
      <c r="AJ31" s="2655" t="s">
        <v>84</v>
      </c>
      <c r="AK31" s="2656">
        <f t="shared" si="9"/>
        <v>0</v>
      </c>
      <c r="AL31" s="2659"/>
      <c r="AM31" s="1842"/>
      <c r="AN31" s="1842"/>
      <c r="AO31" s="1842"/>
      <c r="AP31" s="1842"/>
      <c r="AQ31" s="1842"/>
      <c r="AR31" s="1842"/>
      <c r="AS31" s="1842"/>
      <c r="AT31" s="1842"/>
      <c r="AU31" s="1842"/>
      <c r="AV31" s="1842"/>
      <c r="AW31" s="1842"/>
      <c r="AX31" s="1842"/>
      <c r="AY31" s="1842"/>
      <c r="AZ31" s="1842"/>
      <c r="BA31" s="1842"/>
      <c r="BB31" s="1842"/>
      <c r="BC31" s="1842"/>
      <c r="BD31" s="1842"/>
      <c r="BE31" s="1842"/>
      <c r="BF31" s="1842"/>
      <c r="BG31" s="1842"/>
      <c r="BH31" s="1842"/>
      <c r="BI31" s="1842"/>
      <c r="BJ31" s="1842"/>
      <c r="BK31" s="1842"/>
      <c r="BL31" s="1842"/>
      <c r="BM31" s="1842"/>
      <c r="BN31" s="2636"/>
      <c r="BO31" s="1842"/>
      <c r="BP31" s="2636"/>
      <c r="BQ31" s="2636">
        <f t="shared" si="11"/>
        <v>0</v>
      </c>
    </row>
    <row r="32" spans="1:69" ht="15">
      <c r="A32" s="1845" t="s">
        <v>85</v>
      </c>
      <c r="B32" s="2672">
        <f t="shared" si="8"/>
        <v>0</v>
      </c>
      <c r="C32" s="1846"/>
      <c r="D32" s="1846"/>
      <c r="E32" s="1846"/>
      <c r="F32" s="1846"/>
      <c r="G32" s="2185"/>
      <c r="H32" s="1846"/>
      <c r="I32" s="1846"/>
      <c r="J32" s="1846"/>
      <c r="K32" s="1846"/>
      <c r="L32" s="1846"/>
      <c r="M32" s="1846"/>
      <c r="N32" s="1846"/>
      <c r="O32" s="1846"/>
      <c r="P32" s="1846"/>
      <c r="Q32" s="1846"/>
      <c r="R32" s="1846"/>
      <c r="S32" s="1846"/>
      <c r="T32" s="1846"/>
      <c r="U32" s="1846"/>
      <c r="V32" s="1846"/>
      <c r="W32" s="1846"/>
      <c r="X32" s="1846"/>
      <c r="Y32" s="1846"/>
      <c r="Z32" s="1846"/>
      <c r="AA32" s="1846"/>
      <c r="AB32" s="1846"/>
      <c r="AC32" s="1846"/>
      <c r="AD32" s="1846"/>
      <c r="AE32" s="2180"/>
      <c r="AF32" s="1846"/>
      <c r="AG32" s="2180"/>
      <c r="AH32" s="2180">
        <f t="shared" si="10"/>
        <v>0</v>
      </c>
      <c r="AJ32" s="2655" t="s">
        <v>85</v>
      </c>
      <c r="AK32" s="2656">
        <f t="shared" si="9"/>
        <v>0</v>
      </c>
      <c r="AL32" s="2659"/>
      <c r="AM32" s="1842"/>
      <c r="AN32" s="1842"/>
      <c r="AO32" s="1842"/>
      <c r="AP32" s="2639"/>
      <c r="AQ32" s="1842"/>
      <c r="AR32" s="1842"/>
      <c r="AS32" s="1842"/>
      <c r="AT32" s="1842"/>
      <c r="AU32" s="1842"/>
      <c r="AV32" s="1842"/>
      <c r="AW32" s="1842"/>
      <c r="AX32" s="1842"/>
      <c r="AY32" s="1842"/>
      <c r="AZ32" s="1842"/>
      <c r="BA32" s="1842"/>
      <c r="BB32" s="1842"/>
      <c r="BC32" s="1842"/>
      <c r="BD32" s="1842"/>
      <c r="BE32" s="1842"/>
      <c r="BF32" s="1842"/>
      <c r="BG32" s="1842"/>
      <c r="BH32" s="1842"/>
      <c r="BI32" s="1842"/>
      <c r="BJ32" s="1842"/>
      <c r="BK32" s="1842"/>
      <c r="BL32" s="1842"/>
      <c r="BM32" s="1842"/>
      <c r="BN32" s="2636"/>
      <c r="BO32" s="1842"/>
      <c r="BP32" s="2636"/>
      <c r="BQ32" s="2636">
        <f t="shared" si="11"/>
        <v>0</v>
      </c>
    </row>
    <row r="33" spans="1:69" ht="15">
      <c r="A33" s="1845" t="s">
        <v>86</v>
      </c>
      <c r="B33" s="2672">
        <f t="shared" si="8"/>
        <v>0</v>
      </c>
      <c r="C33" s="1846"/>
      <c r="D33" s="1846"/>
      <c r="E33" s="1846"/>
      <c r="F33" s="1846"/>
      <c r="G33" s="1846"/>
      <c r="H33" s="1846"/>
      <c r="I33" s="1846"/>
      <c r="J33" s="1846"/>
      <c r="K33" s="1846"/>
      <c r="L33" s="1846"/>
      <c r="M33" s="1846"/>
      <c r="N33" s="1846"/>
      <c r="O33" s="1846"/>
      <c r="P33" s="1846"/>
      <c r="Q33" s="1846"/>
      <c r="R33" s="1846"/>
      <c r="S33" s="1846"/>
      <c r="T33" s="1846"/>
      <c r="U33" s="1846"/>
      <c r="V33" s="1846"/>
      <c r="W33" s="1846"/>
      <c r="X33" s="1846"/>
      <c r="Y33" s="1846"/>
      <c r="Z33" s="1846"/>
      <c r="AA33" s="1846"/>
      <c r="AB33" s="1846"/>
      <c r="AC33" s="1846"/>
      <c r="AD33" s="1846"/>
      <c r="AE33" s="1846"/>
      <c r="AF33" s="1846"/>
      <c r="AG33" s="1846"/>
      <c r="AH33" s="2180">
        <f t="shared" si="10"/>
        <v>0</v>
      </c>
      <c r="AJ33" s="2655" t="s">
        <v>86</v>
      </c>
      <c r="AK33" s="2656">
        <f t="shared" si="9"/>
        <v>0</v>
      </c>
      <c r="AL33" s="2659"/>
      <c r="AM33" s="1842"/>
      <c r="AN33" s="1842"/>
      <c r="AO33" s="1842"/>
      <c r="AP33" s="1842"/>
      <c r="AQ33" s="1842"/>
      <c r="AR33" s="1842"/>
      <c r="AS33" s="1842"/>
      <c r="AT33" s="1842"/>
      <c r="AU33" s="1842"/>
      <c r="AV33" s="1842"/>
      <c r="AW33" s="1842"/>
      <c r="AX33" s="1842"/>
      <c r="AY33" s="1842"/>
      <c r="AZ33" s="1842"/>
      <c r="BA33" s="1842"/>
      <c r="BB33" s="1842"/>
      <c r="BC33" s="1842"/>
      <c r="BD33" s="1842"/>
      <c r="BE33" s="1842"/>
      <c r="BF33" s="1842"/>
      <c r="BG33" s="1842"/>
      <c r="BH33" s="1842"/>
      <c r="BI33" s="1842"/>
      <c r="BJ33" s="1842"/>
      <c r="BK33" s="1842"/>
      <c r="BL33" s="1842"/>
      <c r="BM33" s="1842"/>
      <c r="BN33" s="1842"/>
      <c r="BO33" s="1842"/>
      <c r="BP33" s="1842"/>
      <c r="BQ33" s="2636">
        <f t="shared" si="11"/>
        <v>0</v>
      </c>
    </row>
    <row r="34" spans="1:69" ht="15">
      <c r="A34" s="2183" t="s">
        <v>74</v>
      </c>
      <c r="B34" s="2676">
        <f t="shared" ref="B34:R34" si="12">SUM(B22:B33)</f>
        <v>284.66399999999999</v>
      </c>
      <c r="C34" s="2672">
        <f t="shared" si="12"/>
        <v>0</v>
      </c>
      <c r="D34" s="2672">
        <f t="shared" si="12"/>
        <v>28.164000000000001</v>
      </c>
      <c r="E34" s="2672">
        <f t="shared" si="12"/>
        <v>47.161000000000001</v>
      </c>
      <c r="F34" s="2672">
        <f t="shared" si="12"/>
        <v>65.135999999999996</v>
      </c>
      <c r="G34" s="2672">
        <f t="shared" si="12"/>
        <v>33.031999999999996</v>
      </c>
      <c r="H34" s="2672">
        <f t="shared" si="12"/>
        <v>0</v>
      </c>
      <c r="I34" s="2672">
        <f t="shared" si="12"/>
        <v>0</v>
      </c>
      <c r="J34" s="2672">
        <f t="shared" si="12"/>
        <v>0</v>
      </c>
      <c r="K34" s="2672">
        <f t="shared" si="12"/>
        <v>0</v>
      </c>
      <c r="L34" s="2672">
        <f t="shared" si="12"/>
        <v>0</v>
      </c>
      <c r="M34" s="2672">
        <f t="shared" si="12"/>
        <v>0</v>
      </c>
      <c r="N34" s="2672">
        <f t="shared" si="12"/>
        <v>0</v>
      </c>
      <c r="O34" s="2672">
        <f t="shared" si="12"/>
        <v>0</v>
      </c>
      <c r="P34" s="2672">
        <f t="shared" si="12"/>
        <v>0</v>
      </c>
      <c r="Q34" s="2672">
        <f t="shared" si="12"/>
        <v>0</v>
      </c>
      <c r="R34" s="2672">
        <f t="shared" si="12"/>
        <v>1.65</v>
      </c>
      <c r="S34" s="2180">
        <f t="shared" ref="S34:AC34" si="13">SUM(S22:S32)</f>
        <v>0</v>
      </c>
      <c r="T34" s="2180">
        <f t="shared" si="13"/>
        <v>0</v>
      </c>
      <c r="U34" s="2180">
        <f t="shared" si="13"/>
        <v>0</v>
      </c>
      <c r="V34" s="2180">
        <f t="shared" si="13"/>
        <v>0</v>
      </c>
      <c r="W34" s="2180">
        <f t="shared" si="13"/>
        <v>22.428000000000001</v>
      </c>
      <c r="X34" s="2180">
        <f t="shared" si="13"/>
        <v>65.876999999999995</v>
      </c>
      <c r="Y34" s="2180">
        <f t="shared" si="13"/>
        <v>0</v>
      </c>
      <c r="Z34" s="2180">
        <f t="shared" si="13"/>
        <v>0</v>
      </c>
      <c r="AA34" s="2180">
        <f t="shared" si="13"/>
        <v>0</v>
      </c>
      <c r="AB34" s="2180">
        <f t="shared" si="13"/>
        <v>0</v>
      </c>
      <c r="AC34" s="2180">
        <f t="shared" si="13"/>
        <v>21.216000000000001</v>
      </c>
      <c r="AD34" s="2180">
        <v>0</v>
      </c>
      <c r="AE34" s="2180">
        <f>SUM(AE22:AE32)</f>
        <v>0</v>
      </c>
      <c r="AF34" s="2180">
        <f>SUM(AF22:AF32)</f>
        <v>0</v>
      </c>
      <c r="AG34" s="2180">
        <f>SUM(AG22:AG32)</f>
        <v>0</v>
      </c>
      <c r="AH34" s="2180">
        <f>SUM(AH22:AH32)</f>
        <v>284.66399999999999</v>
      </c>
      <c r="AJ34" s="2660" t="s">
        <v>74</v>
      </c>
      <c r="AK34" s="2661">
        <f t="shared" ref="AK34:BA34" si="14">SUM(AK22:AK33)</f>
        <v>0</v>
      </c>
      <c r="AL34" s="2656">
        <f t="shared" si="14"/>
        <v>0</v>
      </c>
      <c r="AM34" s="2633">
        <f t="shared" si="14"/>
        <v>0</v>
      </c>
      <c r="AN34" s="2633">
        <f t="shared" si="14"/>
        <v>0</v>
      </c>
      <c r="AO34" s="2633">
        <f t="shared" si="14"/>
        <v>0</v>
      </c>
      <c r="AP34" s="2633">
        <f t="shared" si="14"/>
        <v>0</v>
      </c>
      <c r="AQ34" s="2633">
        <f t="shared" si="14"/>
        <v>0</v>
      </c>
      <c r="AR34" s="2633">
        <f t="shared" si="14"/>
        <v>0</v>
      </c>
      <c r="AS34" s="2633">
        <f t="shared" si="14"/>
        <v>0</v>
      </c>
      <c r="AT34" s="2633">
        <f t="shared" si="14"/>
        <v>0</v>
      </c>
      <c r="AU34" s="2633">
        <f t="shared" si="14"/>
        <v>0</v>
      </c>
      <c r="AV34" s="2633">
        <f t="shared" si="14"/>
        <v>0</v>
      </c>
      <c r="AW34" s="2633">
        <f t="shared" si="14"/>
        <v>0</v>
      </c>
      <c r="AX34" s="2633">
        <f t="shared" si="14"/>
        <v>0</v>
      </c>
      <c r="AY34" s="2633">
        <f t="shared" si="14"/>
        <v>0</v>
      </c>
      <c r="AZ34" s="2633">
        <f t="shared" si="14"/>
        <v>0</v>
      </c>
      <c r="BA34" s="2633">
        <f t="shared" si="14"/>
        <v>0</v>
      </c>
      <c r="BB34" s="2636">
        <f t="shared" ref="BB34:BL34" si="15">SUM(BB22:BB32)</f>
        <v>0</v>
      </c>
      <c r="BC34" s="2636">
        <f t="shared" si="15"/>
        <v>0</v>
      </c>
      <c r="BD34" s="2636">
        <f t="shared" si="15"/>
        <v>0</v>
      </c>
      <c r="BE34" s="2636">
        <f t="shared" si="15"/>
        <v>0</v>
      </c>
      <c r="BF34" s="2636">
        <f t="shared" si="15"/>
        <v>0</v>
      </c>
      <c r="BG34" s="2636">
        <f t="shared" si="15"/>
        <v>0</v>
      </c>
      <c r="BH34" s="2636">
        <f t="shared" si="15"/>
        <v>0</v>
      </c>
      <c r="BI34" s="2636">
        <f t="shared" si="15"/>
        <v>0</v>
      </c>
      <c r="BJ34" s="2636">
        <f t="shared" si="15"/>
        <v>0</v>
      </c>
      <c r="BK34" s="2636">
        <f t="shared" si="15"/>
        <v>0</v>
      </c>
      <c r="BL34" s="2636">
        <f t="shared" si="15"/>
        <v>0</v>
      </c>
      <c r="BM34" s="2636">
        <v>0</v>
      </c>
      <c r="BN34" s="2636">
        <f>SUM(BN22:BN32)</f>
        <v>0</v>
      </c>
      <c r="BO34" s="2636">
        <f>SUM(BO22:BO32)</f>
        <v>0</v>
      </c>
      <c r="BP34" s="2636">
        <f>SUM(BP22:BP32)</f>
        <v>0</v>
      </c>
      <c r="BQ34" s="2636">
        <f>SUM(BQ22:BQ32)</f>
        <v>0</v>
      </c>
    </row>
    <row r="35" spans="1:69">
      <c r="A35" s="2187"/>
      <c r="B35" s="2187"/>
      <c r="C35" s="2187"/>
      <c r="D35" s="2187"/>
      <c r="E35" s="2187"/>
      <c r="F35" s="2187"/>
      <c r="G35" s="2187"/>
      <c r="H35" s="2187"/>
      <c r="I35" s="2187"/>
      <c r="J35" s="2187"/>
      <c r="K35" s="2187"/>
      <c r="L35" s="2187"/>
      <c r="M35" s="2187"/>
      <c r="N35" s="2187"/>
      <c r="O35" s="2187"/>
      <c r="P35" s="2187"/>
      <c r="Q35" s="2187"/>
      <c r="R35" s="2187"/>
      <c r="S35" s="2187"/>
      <c r="T35" s="2187"/>
      <c r="U35" s="2187"/>
      <c r="V35" s="2187"/>
      <c r="W35" s="2187"/>
      <c r="X35" s="2187"/>
      <c r="Y35" s="2187"/>
      <c r="Z35" s="2187"/>
      <c r="AA35" s="2187"/>
      <c r="AB35" s="2187"/>
      <c r="AC35" s="2187"/>
      <c r="AD35" s="2187"/>
      <c r="AE35" s="2187"/>
      <c r="AF35" s="2187"/>
      <c r="AG35" s="2187"/>
      <c r="AH35" s="2187"/>
      <c r="AJ35" s="2662"/>
      <c r="AK35" s="2662"/>
      <c r="AL35" s="2662"/>
      <c r="AM35" s="2630"/>
      <c r="AN35" s="2630"/>
      <c r="AO35" s="2630"/>
      <c r="AP35" s="2630"/>
      <c r="AQ35" s="2630"/>
      <c r="AR35" s="2630"/>
      <c r="AS35" s="2630"/>
      <c r="AT35" s="2630"/>
      <c r="AU35" s="2630"/>
      <c r="AV35" s="2630"/>
      <c r="AW35" s="2630"/>
      <c r="AX35" s="2630"/>
      <c r="AY35" s="2630"/>
      <c r="AZ35" s="2630"/>
      <c r="BA35" s="2630"/>
      <c r="BB35" s="2630"/>
      <c r="BC35" s="2630"/>
      <c r="BD35" s="2630"/>
      <c r="BE35" s="2630"/>
      <c r="BF35" s="2630"/>
      <c r="BG35" s="2630"/>
      <c r="BH35" s="2630"/>
      <c r="BI35" s="2630"/>
      <c r="BJ35" s="2630"/>
      <c r="BK35" s="2630"/>
      <c r="BL35" s="2630"/>
      <c r="BM35" s="2630"/>
      <c r="BN35" s="2630"/>
      <c r="BO35" s="2630"/>
      <c r="BP35" s="2630"/>
      <c r="BQ35" s="2630"/>
    </row>
    <row r="36" spans="1:69" ht="13.5" thickBot="1">
      <c r="A36" s="2187"/>
      <c r="B36" s="2187"/>
      <c r="C36" s="2187"/>
      <c r="D36" s="2187"/>
      <c r="E36" s="2187"/>
      <c r="F36" s="2187"/>
      <c r="G36" s="2187"/>
      <c r="H36" s="2187"/>
      <c r="I36" s="2187"/>
      <c r="J36" s="2187"/>
      <c r="K36" s="2187"/>
      <c r="L36" s="2187"/>
      <c r="M36" s="2187"/>
      <c r="N36" s="2187"/>
      <c r="O36" s="2187"/>
      <c r="P36" s="2187"/>
      <c r="Q36" s="2187"/>
      <c r="R36" s="2187"/>
      <c r="S36" s="2187"/>
      <c r="T36" s="2187"/>
      <c r="U36" s="2187"/>
      <c r="V36" s="2187"/>
      <c r="W36" s="2187"/>
      <c r="X36" s="2187"/>
      <c r="Y36" s="2187"/>
      <c r="Z36" s="2187"/>
      <c r="AA36" s="2187"/>
      <c r="AB36" s="2187"/>
      <c r="AC36" s="2187"/>
      <c r="AD36" s="2187"/>
      <c r="AE36" s="2187"/>
      <c r="AF36" s="2187"/>
      <c r="AG36" s="2187"/>
      <c r="AH36" s="2187"/>
      <c r="AJ36" s="2662"/>
      <c r="AK36" s="2662"/>
      <c r="AL36" s="2662"/>
      <c r="AM36" s="2630"/>
      <c r="AN36" s="2630"/>
      <c r="AO36" s="2630"/>
      <c r="AP36" s="2630"/>
      <c r="AQ36" s="2630"/>
      <c r="AR36" s="2630"/>
      <c r="AS36" s="2630"/>
      <c r="AT36" s="2630"/>
      <c r="AU36" s="2630"/>
      <c r="AV36" s="2630"/>
      <c r="AW36" s="2630"/>
      <c r="AX36" s="2630"/>
      <c r="AY36" s="2630"/>
      <c r="AZ36" s="2630"/>
      <c r="BA36" s="2630"/>
      <c r="BB36" s="2630"/>
      <c r="BC36" s="2630"/>
      <c r="BD36" s="2630"/>
      <c r="BE36" s="2630"/>
      <c r="BF36" s="2630"/>
      <c r="BG36" s="2630"/>
      <c r="BH36" s="2630"/>
      <c r="BI36" s="2630"/>
      <c r="BJ36" s="2630"/>
      <c r="BK36" s="2630"/>
      <c r="BL36" s="2630"/>
      <c r="BM36" s="2630"/>
      <c r="BN36" s="2630"/>
      <c r="BO36" s="2630"/>
      <c r="BP36" s="2630"/>
      <c r="BQ36" s="2630"/>
    </row>
    <row r="37" spans="1:69" ht="15.75" thickBot="1">
      <c r="A37" s="2187"/>
      <c r="B37" s="2187"/>
      <c r="C37" s="2187"/>
      <c r="D37" s="2187"/>
      <c r="E37" s="2187"/>
      <c r="F37" s="2187"/>
      <c r="G37" s="2187"/>
      <c r="H37" s="2187"/>
      <c r="I37" s="2187"/>
      <c r="J37" s="2187"/>
      <c r="K37" s="3249" t="s">
        <v>1143</v>
      </c>
      <c r="L37" s="2187"/>
      <c r="M37" s="2187"/>
      <c r="N37" s="2187"/>
      <c r="O37" s="2187"/>
      <c r="P37" s="2187"/>
      <c r="Q37" s="2187"/>
      <c r="R37" s="2187"/>
      <c r="S37" s="2187"/>
      <c r="T37" s="2187"/>
      <c r="U37" s="2187"/>
      <c r="V37" s="2187"/>
      <c r="W37" s="2187"/>
      <c r="X37" s="2187"/>
      <c r="Y37" s="2187"/>
      <c r="Z37" s="2187"/>
      <c r="AA37" s="2187"/>
      <c r="AB37" s="2187"/>
      <c r="AC37" s="2187"/>
      <c r="AD37" s="2187"/>
      <c r="AE37" s="2187"/>
      <c r="AF37" s="2187"/>
      <c r="AG37" s="2187"/>
      <c r="AH37" s="2187"/>
      <c r="AJ37" s="2663" t="s">
        <v>996</v>
      </c>
      <c r="AK37" s="2664"/>
      <c r="AL37" s="2664"/>
      <c r="AM37" s="2640"/>
      <c r="AN37" s="2640"/>
      <c r="AO37" s="3888" t="s">
        <v>155</v>
      </c>
      <c r="AP37" s="3889"/>
      <c r="AQ37" s="3890"/>
      <c r="AR37" s="3888" t="s">
        <v>156</v>
      </c>
      <c r="AS37" s="3891"/>
      <c r="AT37" s="3892" t="s">
        <v>912</v>
      </c>
      <c r="AU37" s="3892" t="s">
        <v>913</v>
      </c>
      <c r="AV37" s="2630"/>
      <c r="AW37" s="2630"/>
      <c r="AX37" s="2630"/>
      <c r="AY37" s="2630"/>
      <c r="AZ37" s="2630"/>
      <c r="BA37" s="2630"/>
      <c r="BB37" s="2630"/>
      <c r="BC37" s="2630"/>
      <c r="BD37" s="2630"/>
      <c r="BE37" s="2630"/>
      <c r="BF37" s="2630"/>
      <c r="BG37" s="2630"/>
      <c r="BH37" s="2630"/>
      <c r="BI37" s="2630"/>
      <c r="BJ37" s="2630"/>
      <c r="BK37" s="2630"/>
      <c r="BL37" s="2630"/>
      <c r="BM37" s="2630"/>
      <c r="BN37" s="2630"/>
      <c r="BO37" s="2630"/>
      <c r="BP37" s="2630"/>
      <c r="BQ37" s="2630"/>
    </row>
    <row r="38" spans="1:69" ht="15.75" thickBot="1">
      <c r="A38" s="2680"/>
      <c r="B38" s="2681"/>
      <c r="C38" s="2681"/>
      <c r="D38" s="2681"/>
      <c r="E38" s="2681"/>
      <c r="F38" s="3831" t="s">
        <v>155</v>
      </c>
      <c r="G38" s="3832"/>
      <c r="H38" s="3833"/>
      <c r="I38" s="3831" t="s">
        <v>156</v>
      </c>
      <c r="J38" s="3834"/>
      <c r="K38" s="3835" t="s">
        <v>912</v>
      </c>
      <c r="L38" s="3835" t="s">
        <v>913</v>
      </c>
      <c r="M38" s="2187"/>
      <c r="N38" s="2187"/>
      <c r="O38" s="2187"/>
      <c r="P38" s="2187"/>
      <c r="Q38" s="2187"/>
      <c r="R38" s="2187"/>
      <c r="S38" s="2187"/>
      <c r="T38" s="2187"/>
      <c r="U38" s="2187"/>
      <c r="V38" s="2187"/>
      <c r="W38" s="2187"/>
      <c r="X38" s="2187"/>
      <c r="Y38" s="2187"/>
      <c r="Z38" s="2187"/>
      <c r="AA38" s="2187"/>
      <c r="AB38" s="2187"/>
      <c r="AC38" s="2187"/>
      <c r="AD38" s="2187"/>
      <c r="AE38" s="2187"/>
      <c r="AF38" s="2187"/>
      <c r="AG38" s="2187"/>
      <c r="AH38" s="2187"/>
      <c r="AJ38" s="2665" t="s">
        <v>158</v>
      </c>
      <c r="AK38" s="2666" t="s">
        <v>159</v>
      </c>
      <c r="AL38" s="2667" t="s">
        <v>136</v>
      </c>
      <c r="AM38" s="2642" t="s">
        <v>134</v>
      </c>
      <c r="AN38" s="2641" t="s">
        <v>160</v>
      </c>
      <c r="AO38" s="2643" t="s">
        <v>8</v>
      </c>
      <c r="AP38" s="2644" t="s">
        <v>161</v>
      </c>
      <c r="AQ38" s="2645" t="s">
        <v>52</v>
      </c>
      <c r="AR38" s="2643" t="s">
        <v>8</v>
      </c>
      <c r="AS38" s="2646" t="s">
        <v>162</v>
      </c>
      <c r="AT38" s="3893"/>
      <c r="AU38" s="3893"/>
      <c r="AV38" s="2630"/>
      <c r="AW38" s="2630"/>
      <c r="AX38" s="2630"/>
      <c r="AY38" s="2630"/>
      <c r="AZ38" s="2630"/>
      <c r="BA38" s="2630"/>
      <c r="BB38" s="2630"/>
      <c r="BC38" s="2630"/>
      <c r="BD38" s="2630"/>
      <c r="BE38" s="2630"/>
      <c r="BF38" s="2630"/>
      <c r="BG38" s="2630"/>
      <c r="BH38" s="2630"/>
      <c r="BI38" s="2630"/>
      <c r="BJ38" s="2630"/>
      <c r="BK38" s="2630"/>
      <c r="BL38" s="2630"/>
      <c r="BM38" s="2630"/>
      <c r="BN38" s="2630"/>
      <c r="BO38" s="2630"/>
      <c r="BP38" s="2630"/>
      <c r="BQ38" s="2630"/>
    </row>
    <row r="39" spans="1:69" ht="18.75" thickBot="1">
      <c r="A39" s="2682" t="s">
        <v>158</v>
      </c>
      <c r="B39" s="2683" t="s">
        <v>159</v>
      </c>
      <c r="C39" s="2684" t="s">
        <v>136</v>
      </c>
      <c r="D39" s="2685" t="s">
        <v>134</v>
      </c>
      <c r="E39" s="2683" t="s">
        <v>160</v>
      </c>
      <c r="F39" s="2686" t="s">
        <v>8</v>
      </c>
      <c r="G39" s="2687" t="s">
        <v>161</v>
      </c>
      <c r="H39" s="2688" t="s">
        <v>52</v>
      </c>
      <c r="I39" s="2686" t="s">
        <v>8</v>
      </c>
      <c r="J39" s="2689" t="s">
        <v>162</v>
      </c>
      <c r="K39" s="3836"/>
      <c r="L39" s="3836"/>
      <c r="M39" s="3824" t="s">
        <v>956</v>
      </c>
      <c r="N39" s="3825"/>
      <c r="O39" s="3825"/>
      <c r="P39" s="3825"/>
      <c r="Q39" s="2187"/>
      <c r="R39" s="2187"/>
      <c r="S39" s="2187"/>
      <c r="T39" s="2187"/>
      <c r="U39" s="2187"/>
      <c r="V39" s="2187"/>
      <c r="W39" s="2187"/>
      <c r="X39" s="2187"/>
      <c r="Y39" s="2187"/>
      <c r="Z39" s="2187"/>
      <c r="AA39" s="2187"/>
      <c r="AB39" s="2187"/>
      <c r="AC39" s="2187"/>
      <c r="AD39" s="2187"/>
      <c r="AE39" s="2187"/>
      <c r="AF39" s="2187"/>
      <c r="AG39" s="2187"/>
      <c r="AH39" s="2187"/>
      <c r="AJ39" s="2668"/>
      <c r="AK39" s="2669"/>
      <c r="AL39" s="2670"/>
      <c r="AM39" s="2648" t="s">
        <v>1019</v>
      </c>
      <c r="AN39" s="2649"/>
      <c r="AO39" s="2650">
        <v>5</v>
      </c>
      <c r="AP39" s="2650">
        <v>595</v>
      </c>
      <c r="AQ39" s="2651">
        <f>SUM(AO39:AP39)</f>
        <v>600</v>
      </c>
      <c r="AR39" s="2637">
        <f>(AK17)</f>
        <v>0</v>
      </c>
      <c r="AS39" s="2637">
        <f>(AK34)</f>
        <v>0</v>
      </c>
      <c r="AT39" s="2652">
        <f>+AO39-AR39</f>
        <v>5</v>
      </c>
      <c r="AU39" s="2652">
        <f>+AP39-AS39</f>
        <v>595</v>
      </c>
      <c r="AV39" s="2630"/>
      <c r="AW39" s="2630"/>
      <c r="AX39" s="2630"/>
      <c r="AY39" s="2630"/>
      <c r="AZ39" s="2630"/>
      <c r="BA39" s="2630"/>
      <c r="BB39" s="2630"/>
      <c r="BC39" s="2630"/>
      <c r="BD39" s="2630"/>
      <c r="BE39" s="2630"/>
      <c r="BF39" s="2630"/>
      <c r="BG39" s="2630"/>
      <c r="BH39" s="2630"/>
      <c r="BI39" s="2630"/>
      <c r="BJ39" s="2630"/>
      <c r="BK39" s="2630"/>
      <c r="BL39" s="2630"/>
      <c r="BM39" s="2630"/>
      <c r="BN39" s="2630"/>
      <c r="BO39" s="2630"/>
      <c r="BP39" s="2630"/>
      <c r="BQ39" s="2630"/>
    </row>
    <row r="40" spans="1:69" ht="15.75" thickBot="1">
      <c r="A40" s="2690">
        <v>708</v>
      </c>
      <c r="B40" s="2691">
        <v>41348</v>
      </c>
      <c r="C40" s="2692">
        <v>957995</v>
      </c>
      <c r="D40" s="2693" t="s">
        <v>242</v>
      </c>
      <c r="E40" s="2694">
        <v>1930</v>
      </c>
      <c r="F40" s="2690">
        <v>80</v>
      </c>
      <c r="G40" s="2693">
        <v>720</v>
      </c>
      <c r="H40" s="2695">
        <f>SUM(F40:G40)</f>
        <v>800</v>
      </c>
      <c r="I40" s="2696">
        <f>(B34)</f>
        <v>284.66399999999999</v>
      </c>
      <c r="J40" s="2674">
        <f>(B17)</f>
        <v>412.38800000000003</v>
      </c>
      <c r="K40" s="2697">
        <f>+F40-I40</f>
        <v>-204.66399999999999</v>
      </c>
      <c r="L40" s="2698">
        <f>+G40-J40</f>
        <v>307.61199999999997</v>
      </c>
      <c r="M40" s="3826">
        <v>1.65</v>
      </c>
      <c r="N40" s="3827"/>
      <c r="O40" s="3827"/>
      <c r="P40" s="3827"/>
      <c r="Q40" s="2187"/>
      <c r="R40" s="2187"/>
      <c r="S40" s="2187"/>
      <c r="T40" s="2187"/>
      <c r="U40" s="2187"/>
      <c r="V40" s="2187"/>
      <c r="W40" s="2187"/>
      <c r="X40" s="2187"/>
      <c r="Y40" s="2187"/>
      <c r="Z40" s="2187"/>
      <c r="AA40" s="2187"/>
      <c r="AB40" s="2187"/>
      <c r="AC40" s="2187"/>
      <c r="AD40" s="2187"/>
      <c r="AE40" s="2187"/>
      <c r="AF40" s="2187"/>
      <c r="AG40" s="2187"/>
      <c r="AH40" s="2187"/>
      <c r="AJ40" s="2668"/>
      <c r="AK40" s="2669"/>
      <c r="AL40" s="2670"/>
      <c r="AM40" s="2650"/>
      <c r="AN40" s="2649"/>
      <c r="AO40" s="2647"/>
      <c r="AP40" s="2650"/>
      <c r="AQ40" s="2651">
        <f>SUM(AO40:AP40)</f>
        <v>0</v>
      </c>
      <c r="AR40" s="2653"/>
      <c r="AS40" s="2637"/>
      <c r="AT40" s="2652">
        <f>+AQ40-AR40-AS40</f>
        <v>0</v>
      </c>
      <c r="AU40" s="2652">
        <f>+AR40-AS40-AT40</f>
        <v>0</v>
      </c>
      <c r="AV40" s="2630"/>
      <c r="AW40" s="2630"/>
      <c r="AX40" s="2630"/>
      <c r="AY40" s="2630"/>
      <c r="AZ40" s="2630"/>
      <c r="BA40" s="2630"/>
      <c r="BB40" s="2630"/>
      <c r="BC40" s="2630"/>
      <c r="BD40" s="2630"/>
      <c r="BE40" s="2630"/>
      <c r="BF40" s="2630"/>
      <c r="BG40" s="2630"/>
      <c r="BH40" s="2630"/>
      <c r="BI40" s="2630"/>
      <c r="BJ40" s="2630"/>
      <c r="BK40" s="2630"/>
      <c r="BL40" s="2630"/>
      <c r="BM40" s="2630"/>
      <c r="BN40" s="2630"/>
      <c r="BO40" s="2630"/>
      <c r="BP40" s="2630"/>
      <c r="BQ40" s="2630"/>
    </row>
    <row r="41" spans="1:69" ht="15.75" thickBot="1">
      <c r="A41" s="2690"/>
      <c r="B41" s="2691"/>
      <c r="C41" s="2692"/>
      <c r="D41" s="2693"/>
      <c r="E41" s="2694"/>
      <c r="F41" s="2690"/>
      <c r="G41" s="2693"/>
      <c r="H41" s="2695">
        <f>SUM(F41:G41)</f>
        <v>0</v>
      </c>
      <c r="I41" s="2696"/>
      <c r="J41" s="2674"/>
      <c r="K41" s="2698">
        <f>+H41-I41-J41</f>
        <v>0</v>
      </c>
      <c r="L41" s="2698">
        <f>+I41-J41-K41</f>
        <v>0</v>
      </c>
      <c r="M41" s="3826"/>
      <c r="N41" s="3827"/>
      <c r="O41" s="3827"/>
      <c r="P41" s="3827"/>
      <c r="Q41" s="2187"/>
      <c r="R41" s="2187"/>
      <c r="S41" s="2187"/>
      <c r="T41" s="2187"/>
      <c r="U41" s="2187"/>
      <c r="V41" s="2187"/>
      <c r="W41" s="2187"/>
      <c r="X41" s="2187"/>
      <c r="Y41" s="2187"/>
      <c r="Z41" s="2187"/>
      <c r="AA41" s="2187"/>
      <c r="AB41" s="2187"/>
      <c r="AC41" s="2187"/>
      <c r="AD41" s="2187"/>
      <c r="AE41" s="2187"/>
      <c r="AF41" s="2187"/>
      <c r="AG41" s="2187"/>
      <c r="AH41" s="2187"/>
      <c r="AJ41" s="2630"/>
      <c r="AK41" s="2630"/>
      <c r="AL41" s="2630"/>
      <c r="AM41" s="2630"/>
      <c r="AN41" s="2630"/>
      <c r="AO41" s="2630"/>
      <c r="AP41" s="2630"/>
      <c r="AQ41" s="2630"/>
      <c r="AR41" s="2630"/>
      <c r="AS41" s="2630"/>
      <c r="AT41" s="2630"/>
      <c r="AU41" s="2630"/>
      <c r="AV41" s="2630"/>
      <c r="AW41" s="2630"/>
      <c r="AX41" s="2630"/>
      <c r="AY41" s="2630"/>
      <c r="AZ41" s="2630"/>
      <c r="BA41" s="2630"/>
      <c r="BB41" s="2630"/>
      <c r="BC41" s="2630"/>
      <c r="BD41" s="2630"/>
      <c r="BE41" s="2630"/>
      <c r="BF41" s="2630"/>
      <c r="BG41" s="2630"/>
      <c r="BH41" s="2630"/>
      <c r="BI41" s="2630"/>
      <c r="BJ41" s="2630"/>
      <c r="BK41" s="2630"/>
      <c r="BL41" s="2630"/>
      <c r="BM41" s="2630"/>
      <c r="BN41" s="2630"/>
      <c r="BO41" s="2630"/>
      <c r="BP41" s="2630"/>
      <c r="BQ41" s="2630"/>
    </row>
    <row r="42" spans="1:69">
      <c r="AJ42" s="2630"/>
      <c r="AK42" s="2630"/>
      <c r="AL42" s="2630"/>
      <c r="AM42" s="2630"/>
      <c r="AN42" s="2630"/>
      <c r="AO42" s="2630"/>
      <c r="AP42" s="2630"/>
      <c r="AQ42" s="2630"/>
      <c r="AR42" s="2630"/>
      <c r="AS42" s="2630"/>
      <c r="AT42" s="2630"/>
      <c r="AU42" s="2630"/>
      <c r="AV42" s="2630"/>
      <c r="AW42" s="2630"/>
      <c r="AX42" s="2630"/>
      <c r="AY42" s="2630"/>
      <c r="AZ42" s="2630"/>
      <c r="BA42" s="2630"/>
      <c r="BB42" s="2630"/>
      <c r="BC42" s="2630"/>
      <c r="BD42" s="2630"/>
      <c r="BE42" s="2630"/>
      <c r="BF42" s="2630"/>
      <c r="BG42" s="2630"/>
      <c r="BH42" s="2630"/>
      <c r="BI42" s="2630"/>
      <c r="BJ42" s="2630"/>
      <c r="BK42" s="2630"/>
      <c r="BL42" s="2630"/>
      <c r="BM42" s="2630"/>
      <c r="BN42" s="2630"/>
      <c r="BO42" s="2630"/>
      <c r="BP42" s="2630"/>
      <c r="BQ42" s="2630"/>
    </row>
    <row r="43" spans="1:69" s="2622" customFormat="1" ht="23.25">
      <c r="AJ43" s="3013" t="s">
        <v>266</v>
      </c>
      <c r="AK43" s="3013"/>
      <c r="AL43" s="3013"/>
      <c r="AM43" s="1415"/>
      <c r="AN43" s="3013" t="s">
        <v>1020</v>
      </c>
      <c r="AO43" s="1415"/>
      <c r="AP43" s="3080"/>
      <c r="AQ43" s="2629"/>
      <c r="AR43" s="2630"/>
      <c r="AS43" s="2630"/>
      <c r="AT43" s="2630"/>
      <c r="AU43" s="2630"/>
      <c r="AV43" s="2630"/>
      <c r="AW43" s="2630"/>
      <c r="AX43" s="2630"/>
      <c r="AY43" s="2630"/>
      <c r="AZ43" s="2630"/>
      <c r="BA43" s="2630"/>
      <c r="BB43" s="2630"/>
      <c r="BC43" s="2630"/>
      <c r="BD43" s="2630"/>
      <c r="BE43" s="2630"/>
      <c r="BF43" s="2630"/>
      <c r="BG43" s="2630"/>
      <c r="BH43" s="2630"/>
      <c r="BI43" s="2630"/>
      <c r="BJ43" s="2630"/>
      <c r="BK43" s="2630"/>
      <c r="BL43" s="2630"/>
      <c r="BM43" s="2630"/>
      <c r="BN43" s="2630"/>
      <c r="BO43" s="2630"/>
      <c r="BP43" s="2630"/>
      <c r="BQ43" s="2630"/>
    </row>
    <row r="44" spans="1:69" s="2622" customFormat="1" ht="15">
      <c r="AJ44" s="3885" t="s">
        <v>264</v>
      </c>
      <c r="AK44" s="3886"/>
      <c r="AL44" s="3887"/>
      <c r="AM44" s="2631"/>
      <c r="AN44" s="2631"/>
      <c r="AO44" s="2631"/>
      <c r="AP44" s="2631"/>
      <c r="AQ44" s="2631"/>
      <c r="AR44" s="2631"/>
      <c r="AS44" s="2631"/>
      <c r="AT44" s="2631"/>
      <c r="AU44" s="2631"/>
      <c r="AV44" s="2631"/>
      <c r="AW44" s="2631"/>
      <c r="AX44" s="2631"/>
      <c r="AY44" s="2631"/>
      <c r="AZ44" s="2631"/>
      <c r="BA44" s="2631"/>
      <c r="BB44" s="2632"/>
      <c r="BC44" s="2632"/>
      <c r="BD44" s="2632"/>
      <c r="BE44" s="2632"/>
      <c r="BF44" s="2632"/>
      <c r="BG44" s="2632"/>
      <c r="BH44" s="2632"/>
      <c r="BI44" s="2632"/>
      <c r="BJ44" s="2632"/>
      <c r="BK44" s="2632"/>
      <c r="BL44" s="2632"/>
      <c r="BM44" s="2632"/>
      <c r="BN44" s="2632"/>
      <c r="BO44" s="2632"/>
      <c r="BP44" s="2632"/>
      <c r="BQ44" s="2632"/>
    </row>
    <row r="45" spans="1:69" s="2622" customFormat="1" ht="33.75" customHeight="1">
      <c r="A45" s="2699" t="s">
        <v>907</v>
      </c>
      <c r="B45" s="2700"/>
      <c r="C45" s="2700"/>
      <c r="D45" s="2701"/>
      <c r="E45" s="2700" t="s">
        <v>1000</v>
      </c>
      <c r="F45" s="2701"/>
      <c r="G45" s="2701"/>
      <c r="H45" s="2701"/>
      <c r="I45" s="2700"/>
      <c r="J45" s="2701"/>
      <c r="K45" s="3016" t="s">
        <v>1052</v>
      </c>
      <c r="L45" s="1415"/>
      <c r="M45" s="1415"/>
      <c r="N45" s="1415"/>
      <c r="O45" s="3080"/>
      <c r="P45" s="2701"/>
      <c r="Q45" s="2701"/>
      <c r="R45" s="2701"/>
      <c r="S45" s="2701"/>
      <c r="T45" s="2701"/>
      <c r="U45" s="2701"/>
      <c r="V45" s="2701"/>
      <c r="W45" s="2701"/>
      <c r="X45" s="2701"/>
      <c r="Y45" s="2701"/>
      <c r="Z45" s="2701"/>
      <c r="AA45" s="2701"/>
      <c r="AB45" s="2701"/>
      <c r="AC45" s="2701"/>
      <c r="AD45" s="2701"/>
      <c r="AE45" s="2701"/>
      <c r="AF45" s="2701"/>
      <c r="AG45" s="2701"/>
      <c r="AH45" s="2701"/>
      <c r="AJ45" s="2655" t="s">
        <v>72</v>
      </c>
      <c r="AK45" s="2656" t="s">
        <v>73</v>
      </c>
      <c r="AL45" s="2657">
        <v>1</v>
      </c>
      <c r="AM45" s="2042">
        <v>2</v>
      </c>
      <c r="AN45" s="2042">
        <v>3</v>
      </c>
      <c r="AO45" s="2042">
        <v>4</v>
      </c>
      <c r="AP45" s="2042">
        <v>5</v>
      </c>
      <c r="AQ45" s="2042">
        <v>6</v>
      </c>
      <c r="AR45" s="2042">
        <v>7</v>
      </c>
      <c r="AS45" s="2042">
        <v>8</v>
      </c>
      <c r="AT45" s="2042">
        <v>9</v>
      </c>
      <c r="AU45" s="2042">
        <v>10</v>
      </c>
      <c r="AV45" s="2042">
        <v>11</v>
      </c>
      <c r="AW45" s="2042">
        <v>12</v>
      </c>
      <c r="AX45" s="2042">
        <v>13</v>
      </c>
      <c r="AY45" s="2042">
        <v>14</v>
      </c>
      <c r="AZ45" s="2042">
        <v>15</v>
      </c>
      <c r="BA45" s="2042">
        <v>16</v>
      </c>
      <c r="BB45" s="1841">
        <v>17</v>
      </c>
      <c r="BC45" s="1841">
        <v>18</v>
      </c>
      <c r="BD45" s="1841">
        <v>19</v>
      </c>
      <c r="BE45" s="1841">
        <v>20</v>
      </c>
      <c r="BF45" s="1841">
        <v>21</v>
      </c>
      <c r="BG45" s="1841">
        <v>22</v>
      </c>
      <c r="BH45" s="1841">
        <v>23</v>
      </c>
      <c r="BI45" s="1841">
        <v>24</v>
      </c>
      <c r="BJ45" s="1841">
        <v>25</v>
      </c>
      <c r="BK45" s="1841">
        <v>26</v>
      </c>
      <c r="BL45" s="1841">
        <v>27</v>
      </c>
      <c r="BM45" s="1841">
        <v>28</v>
      </c>
      <c r="BN45" s="1841">
        <v>29</v>
      </c>
      <c r="BO45" s="1841">
        <v>30</v>
      </c>
      <c r="BP45" s="1841">
        <v>31</v>
      </c>
      <c r="BQ45" s="2634" t="s">
        <v>74</v>
      </c>
    </row>
    <row r="46" spans="1:69" s="2622" customFormat="1" ht="15">
      <c r="A46" s="3849" t="s">
        <v>271</v>
      </c>
      <c r="B46" s="3850"/>
      <c r="C46" s="3851"/>
      <c r="D46" s="2702"/>
      <c r="E46" s="2702"/>
      <c r="F46" s="2702"/>
      <c r="G46" s="2702"/>
      <c r="H46" s="2702"/>
      <c r="I46" s="2702"/>
      <c r="J46" s="2702"/>
      <c r="K46" s="2702"/>
      <c r="L46" s="2702"/>
      <c r="M46" s="2702"/>
      <c r="N46" s="2702"/>
      <c r="O46" s="2702"/>
      <c r="P46" s="2702"/>
      <c r="Q46" s="2702"/>
      <c r="R46" s="2702"/>
      <c r="S46" s="2703"/>
      <c r="T46" s="2703"/>
      <c r="U46" s="2703"/>
      <c r="V46" s="2703"/>
      <c r="W46" s="2703"/>
      <c r="X46" s="2703"/>
      <c r="Y46" s="2703"/>
      <c r="Z46" s="2703"/>
      <c r="AA46" s="2703"/>
      <c r="AB46" s="2703"/>
      <c r="AC46" s="2703"/>
      <c r="AD46" s="2703"/>
      <c r="AE46" s="2703"/>
      <c r="AF46" s="2703"/>
      <c r="AG46" s="2703"/>
      <c r="AH46" s="2703"/>
      <c r="AJ46" s="2655" t="s">
        <v>75</v>
      </c>
      <c r="AK46" s="2656">
        <f t="shared" ref="AK46:AK57" si="16">+BQ46</f>
        <v>0</v>
      </c>
      <c r="AL46" s="2658"/>
      <c r="AM46" s="2635"/>
      <c r="AN46" s="2635"/>
      <c r="AO46" s="2635"/>
      <c r="AP46" s="2635"/>
      <c r="AQ46" s="2635"/>
      <c r="AR46" s="2635"/>
      <c r="AS46" s="2635"/>
      <c r="AT46" s="2635"/>
      <c r="AU46" s="2635"/>
      <c r="AV46" s="2635"/>
      <c r="AW46" s="2635"/>
      <c r="AX46" s="2635"/>
      <c r="AY46" s="2635"/>
      <c r="AZ46" s="2635"/>
      <c r="BA46" s="2635"/>
      <c r="BB46" s="2635"/>
      <c r="BC46" s="2635"/>
      <c r="BD46" s="2635"/>
      <c r="BE46" s="2635"/>
      <c r="BF46" s="2635"/>
      <c r="BG46" s="2635"/>
      <c r="BH46" s="2635"/>
      <c r="BI46" s="2635"/>
      <c r="BJ46" s="2635"/>
      <c r="BK46" s="2635"/>
      <c r="BL46" s="2635"/>
      <c r="BM46" s="2635"/>
      <c r="BN46" s="2635"/>
      <c r="BO46" s="2635"/>
      <c r="BP46" s="2635"/>
      <c r="BQ46" s="2636">
        <f>SUM(AL46:BP46)</f>
        <v>0</v>
      </c>
    </row>
    <row r="47" spans="1:69" s="2622" customFormat="1" ht="15.75" thickBot="1">
      <c r="A47" s="2704" t="s">
        <v>72</v>
      </c>
      <c r="B47" s="2705" t="s">
        <v>73</v>
      </c>
      <c r="C47" s="2706">
        <v>1</v>
      </c>
      <c r="D47" s="2706">
        <v>2</v>
      </c>
      <c r="E47" s="2706">
        <v>3</v>
      </c>
      <c r="F47" s="2706">
        <v>4</v>
      </c>
      <c r="G47" s="2706">
        <v>5</v>
      </c>
      <c r="H47" s="2706">
        <v>6</v>
      </c>
      <c r="I47" s="2706">
        <v>7</v>
      </c>
      <c r="J47" s="2706">
        <v>8</v>
      </c>
      <c r="K47" s="2706">
        <v>9</v>
      </c>
      <c r="L47" s="2706">
        <v>10</v>
      </c>
      <c r="M47" s="2706">
        <v>11</v>
      </c>
      <c r="N47" s="2706">
        <v>12</v>
      </c>
      <c r="O47" s="2706">
        <v>13</v>
      </c>
      <c r="P47" s="2706">
        <v>14</v>
      </c>
      <c r="Q47" s="2706">
        <v>15</v>
      </c>
      <c r="R47" s="2706">
        <v>16</v>
      </c>
      <c r="S47" s="2704">
        <v>17</v>
      </c>
      <c r="T47" s="2704">
        <v>18</v>
      </c>
      <c r="U47" s="2704">
        <v>19</v>
      </c>
      <c r="V47" s="2704">
        <v>20</v>
      </c>
      <c r="W47" s="2704">
        <v>21</v>
      </c>
      <c r="X47" s="2704">
        <v>22</v>
      </c>
      <c r="Y47" s="2704">
        <v>23</v>
      </c>
      <c r="Z47" s="2704">
        <v>24</v>
      </c>
      <c r="AA47" s="2704">
        <v>25</v>
      </c>
      <c r="AB47" s="2704">
        <v>26</v>
      </c>
      <c r="AC47" s="2704">
        <v>27</v>
      </c>
      <c r="AD47" s="2704">
        <v>28</v>
      </c>
      <c r="AE47" s="2704">
        <v>29</v>
      </c>
      <c r="AF47" s="2704">
        <v>30</v>
      </c>
      <c r="AG47" s="2704">
        <v>31</v>
      </c>
      <c r="AH47" s="2707" t="s">
        <v>74</v>
      </c>
      <c r="AJ47" s="2655" t="s">
        <v>76</v>
      </c>
      <c r="AK47" s="2656">
        <f t="shared" si="16"/>
        <v>0</v>
      </c>
      <c r="AL47" s="2658"/>
      <c r="AM47" s="2635"/>
      <c r="AN47" s="2635"/>
      <c r="AO47" s="2635"/>
      <c r="AP47" s="2635"/>
      <c r="AQ47" s="2635"/>
      <c r="AR47" s="2635"/>
      <c r="AS47" s="2635"/>
      <c r="AT47" s="2635"/>
      <c r="AU47" s="2635"/>
      <c r="AV47" s="2635"/>
      <c r="AW47" s="2635"/>
      <c r="AX47" s="2635"/>
      <c r="AY47" s="2635"/>
      <c r="AZ47" s="2635"/>
      <c r="BA47" s="2635"/>
      <c r="BB47" s="2635"/>
      <c r="BC47" s="2635"/>
      <c r="BD47" s="2635"/>
      <c r="BE47" s="2635"/>
      <c r="BF47" s="2635"/>
      <c r="BG47" s="2635"/>
      <c r="BH47" s="2635"/>
      <c r="BI47" s="2635"/>
      <c r="BJ47" s="2635"/>
      <c r="BK47" s="2635"/>
      <c r="BL47" s="2635"/>
      <c r="BM47" s="2635"/>
      <c r="BN47" s="2635"/>
      <c r="BO47" s="2635"/>
      <c r="BP47" s="2635"/>
      <c r="BQ47" s="2636">
        <f t="shared" ref="BQ47:BQ57" si="17">SUM(AL47:BP47)</f>
        <v>0</v>
      </c>
    </row>
    <row r="48" spans="1:69" s="2622" customFormat="1" ht="15.75" thickBot="1">
      <c r="A48" s="2704" t="s">
        <v>75</v>
      </c>
      <c r="B48" s="2705">
        <f t="shared" ref="B48:B59" si="18">+AH48</f>
        <v>0</v>
      </c>
      <c r="C48" s="2708"/>
      <c r="D48" s="2708"/>
      <c r="E48" s="2708"/>
      <c r="F48" s="2708"/>
      <c r="G48" s="2708"/>
      <c r="H48" s="2708"/>
      <c r="I48" s="2708"/>
      <c r="J48" s="2708"/>
      <c r="K48" s="2708"/>
      <c r="L48" s="2708"/>
      <c r="M48" s="2708"/>
      <c r="N48" s="2708"/>
      <c r="O48" s="2708"/>
      <c r="P48" s="2708"/>
      <c r="Q48" s="2708"/>
      <c r="R48" s="2708"/>
      <c r="S48" s="2708"/>
      <c r="T48" s="2708"/>
      <c r="U48" s="2708"/>
      <c r="V48" s="2708"/>
      <c r="W48" s="2708"/>
      <c r="X48" s="2708"/>
      <c r="Y48" s="2708"/>
      <c r="Z48" s="2708"/>
      <c r="AA48" s="2708"/>
      <c r="AB48" s="2708"/>
      <c r="AC48" s="2708"/>
      <c r="AD48" s="2708"/>
      <c r="AE48" s="2708"/>
      <c r="AF48" s="2708"/>
      <c r="AG48" s="2708"/>
      <c r="AH48" s="2709">
        <f>SUM(C48:AG48)</f>
        <v>0</v>
      </c>
      <c r="AJ48" s="2655" t="s">
        <v>77</v>
      </c>
      <c r="AK48" s="2656">
        <f t="shared" si="16"/>
        <v>0</v>
      </c>
      <c r="AL48" s="2658"/>
      <c r="AM48" s="2635"/>
      <c r="AN48" s="2635"/>
      <c r="AO48" s="2635"/>
      <c r="AP48" s="2635"/>
      <c r="AQ48" s="1842"/>
      <c r="AR48" s="1842"/>
      <c r="AS48" s="1842"/>
      <c r="AT48" s="1842"/>
      <c r="AU48" s="1842"/>
      <c r="AV48" s="1842"/>
      <c r="AW48" s="1842"/>
      <c r="AX48" s="1842"/>
      <c r="AY48" s="1842"/>
      <c r="AZ48" s="1842"/>
      <c r="BA48" s="2637"/>
      <c r="BB48" s="1842"/>
      <c r="BC48" s="1842"/>
      <c r="BD48" s="1842"/>
      <c r="BE48" s="1842"/>
      <c r="BF48" s="1842"/>
      <c r="BG48" s="1842"/>
      <c r="BH48" s="1842"/>
      <c r="BI48" s="1842"/>
      <c r="BJ48" s="1842"/>
      <c r="BK48" s="1842"/>
      <c r="BL48" s="2635"/>
      <c r="BM48" s="2635"/>
      <c r="BN48" s="2635"/>
      <c r="BO48" s="2635"/>
      <c r="BP48" s="2635"/>
      <c r="BQ48" s="2636">
        <f t="shared" si="17"/>
        <v>0</v>
      </c>
    </row>
    <row r="49" spans="1:69" s="2622" customFormat="1" ht="15.75" thickBot="1">
      <c r="A49" s="2704" t="s">
        <v>76</v>
      </c>
      <c r="B49" s="2705">
        <f t="shared" si="18"/>
        <v>0</v>
      </c>
      <c r="C49" s="2708"/>
      <c r="D49" s="2708"/>
      <c r="E49" s="2708"/>
      <c r="F49" s="2708"/>
      <c r="G49" s="2708"/>
      <c r="H49" s="2708"/>
      <c r="I49" s="2708"/>
      <c r="J49" s="2708"/>
      <c r="K49" s="2708"/>
      <c r="L49" s="2708"/>
      <c r="M49" s="2708"/>
      <c r="N49" s="2708"/>
      <c r="O49" s="2708"/>
      <c r="P49" s="2708"/>
      <c r="Q49" s="2708"/>
      <c r="R49" s="2708"/>
      <c r="S49" s="2708"/>
      <c r="T49" s="2708"/>
      <c r="U49" s="2708"/>
      <c r="V49" s="2708"/>
      <c r="W49" s="2708"/>
      <c r="X49" s="2708"/>
      <c r="Y49" s="2708"/>
      <c r="Z49" s="2708"/>
      <c r="AA49" s="2708"/>
      <c r="AB49" s="2708"/>
      <c r="AC49" s="2708"/>
      <c r="AD49" s="2708"/>
      <c r="AE49" s="2708"/>
      <c r="AF49" s="2708"/>
      <c r="AG49" s="2708"/>
      <c r="AH49" s="2709">
        <f t="shared" ref="AH49:AH59" si="19">SUM(C49:AG49)</f>
        <v>0</v>
      </c>
      <c r="AJ49" s="2655" t="s">
        <v>78</v>
      </c>
      <c r="AK49" s="2656">
        <f t="shared" si="16"/>
        <v>0</v>
      </c>
      <c r="AL49" s="2658"/>
      <c r="AM49" s="2635"/>
      <c r="AN49" s="2635"/>
      <c r="AO49" s="2635"/>
      <c r="AP49" s="2635"/>
      <c r="AQ49" s="2635"/>
      <c r="AR49" s="2635"/>
      <c r="AS49" s="2635"/>
      <c r="AT49" s="2635"/>
      <c r="AU49" s="2638"/>
      <c r="AV49" s="2638"/>
      <c r="AW49" s="2638"/>
      <c r="AX49" s="2638"/>
      <c r="AY49" s="2638"/>
      <c r="AZ49" s="2638"/>
      <c r="BA49" s="2638"/>
      <c r="BB49" s="2638"/>
      <c r="BC49" s="2638"/>
      <c r="BD49" s="2638"/>
      <c r="BE49" s="2638"/>
      <c r="BF49" s="2638"/>
      <c r="BG49" s="2638"/>
      <c r="BH49" s="2638"/>
      <c r="BI49" s="2638"/>
      <c r="BJ49" s="2638"/>
      <c r="BK49" s="2638"/>
      <c r="BL49" s="2638"/>
      <c r="BM49" s="2638"/>
      <c r="BN49" s="2638"/>
      <c r="BO49" s="2638"/>
      <c r="BP49" s="2638"/>
      <c r="BQ49" s="2636">
        <f t="shared" si="17"/>
        <v>0</v>
      </c>
    </row>
    <row r="50" spans="1:69" s="2622" customFormat="1" ht="15.75" thickBot="1">
      <c r="A50" s="2704" t="s">
        <v>77</v>
      </c>
      <c r="B50" s="2705">
        <f t="shared" si="18"/>
        <v>0</v>
      </c>
      <c r="C50" s="2708"/>
      <c r="D50" s="2708"/>
      <c r="E50" s="2708"/>
      <c r="F50" s="2708"/>
      <c r="G50" s="2708"/>
      <c r="H50" s="2710"/>
      <c r="I50" s="2710"/>
      <c r="J50" s="2710"/>
      <c r="K50" s="2710"/>
      <c r="L50" s="2710"/>
      <c r="M50" s="2710"/>
      <c r="N50" s="2710"/>
      <c r="O50" s="2710"/>
      <c r="P50" s="2710"/>
      <c r="Q50" s="2710"/>
      <c r="R50" s="2711"/>
      <c r="S50" s="2710"/>
      <c r="T50" s="2710"/>
      <c r="U50" s="2710"/>
      <c r="V50" s="2710"/>
      <c r="W50" s="2710"/>
      <c r="X50" s="2710"/>
      <c r="Y50" s="2710"/>
      <c r="Z50" s="2710"/>
      <c r="AA50" s="2710"/>
      <c r="AB50" s="2710"/>
      <c r="AC50" s="2708"/>
      <c r="AD50" s="2708"/>
      <c r="AE50" s="2708"/>
      <c r="AF50" s="2708"/>
      <c r="AG50" s="2708"/>
      <c r="AH50" s="2709">
        <f t="shared" si="19"/>
        <v>0</v>
      </c>
      <c r="AJ50" s="2655" t="s">
        <v>79</v>
      </c>
      <c r="AK50" s="2656">
        <f t="shared" si="16"/>
        <v>0</v>
      </c>
      <c r="AL50" s="2659"/>
      <c r="AM50" s="1842"/>
      <c r="AN50" s="1842"/>
      <c r="AO50" s="1842"/>
      <c r="AP50" s="1842"/>
      <c r="AQ50" s="1842"/>
      <c r="AR50" s="1842"/>
      <c r="AS50" s="1842"/>
      <c r="AT50" s="1842"/>
      <c r="AU50" s="1842"/>
      <c r="AV50" s="1842"/>
      <c r="AW50" s="1842"/>
      <c r="AX50" s="1842"/>
      <c r="AY50" s="1842"/>
      <c r="AZ50" s="1842"/>
      <c r="BA50" s="1842"/>
      <c r="BB50" s="1842"/>
      <c r="BC50" s="1842"/>
      <c r="BD50" s="1842"/>
      <c r="BE50" s="1842"/>
      <c r="BF50" s="1842"/>
      <c r="BG50" s="1842"/>
      <c r="BH50" s="1842"/>
      <c r="BI50" s="1842"/>
      <c r="BJ50" s="1842"/>
      <c r="BK50" s="1842"/>
      <c r="BL50" s="1842"/>
      <c r="BM50" s="1842"/>
      <c r="BN50" s="1842"/>
      <c r="BO50" s="1842"/>
      <c r="BP50" s="1842"/>
      <c r="BQ50" s="2636">
        <f t="shared" si="17"/>
        <v>0</v>
      </c>
    </row>
    <row r="51" spans="1:69" s="2622" customFormat="1" ht="15">
      <c r="A51" s="2704" t="s">
        <v>78</v>
      </c>
      <c r="B51" s="2705">
        <f t="shared" si="18"/>
        <v>0</v>
      </c>
      <c r="C51" s="2708"/>
      <c r="D51" s="2708"/>
      <c r="E51" s="2708"/>
      <c r="F51" s="2708"/>
      <c r="G51" s="2708"/>
      <c r="H51" s="2708"/>
      <c r="I51" s="2708"/>
      <c r="J51" s="2708"/>
      <c r="K51" s="2708"/>
      <c r="L51" s="2712"/>
      <c r="M51" s="2712"/>
      <c r="N51" s="2712"/>
      <c r="O51" s="2712"/>
      <c r="P51" s="2712"/>
      <c r="Q51" s="2712"/>
      <c r="R51" s="2712"/>
      <c r="S51" s="2712"/>
      <c r="T51" s="2712"/>
      <c r="U51" s="2712"/>
      <c r="V51" s="2712"/>
      <c r="W51" s="2712"/>
      <c r="X51" s="2712"/>
      <c r="Y51" s="2712"/>
      <c r="Z51" s="2712"/>
      <c r="AA51" s="2712"/>
      <c r="AB51" s="2712"/>
      <c r="AC51" s="2712"/>
      <c r="AD51" s="2712"/>
      <c r="AE51" s="2712"/>
      <c r="AF51" s="2712"/>
      <c r="AG51" s="2712"/>
      <c r="AH51" s="2709">
        <f t="shared" si="19"/>
        <v>0</v>
      </c>
      <c r="AJ51" s="2655" t="s">
        <v>80</v>
      </c>
      <c r="AK51" s="2656">
        <f t="shared" si="16"/>
        <v>0</v>
      </c>
      <c r="AL51" s="2659"/>
      <c r="AM51" s="1842"/>
      <c r="AN51" s="1842"/>
      <c r="AO51" s="1842"/>
      <c r="AP51" s="1842"/>
      <c r="AQ51" s="1842"/>
      <c r="AR51" s="1842"/>
      <c r="AS51" s="1842"/>
      <c r="AT51" s="1842"/>
      <c r="AU51" s="1842"/>
      <c r="AV51" s="1842"/>
      <c r="AW51" s="1842"/>
      <c r="AX51" s="1842"/>
      <c r="AY51" s="1842"/>
      <c r="AZ51" s="1842"/>
      <c r="BA51" s="1842"/>
      <c r="BB51" s="1842"/>
      <c r="BC51" s="1842"/>
      <c r="BD51" s="1842"/>
      <c r="BE51" s="1842"/>
      <c r="BF51" s="1842"/>
      <c r="BG51" s="1842"/>
      <c r="BH51" s="1842"/>
      <c r="BI51" s="1842"/>
      <c r="BJ51" s="1842"/>
      <c r="BK51" s="1842"/>
      <c r="BL51" s="1842"/>
      <c r="BM51" s="1842"/>
      <c r="BN51" s="1842"/>
      <c r="BO51" s="1842"/>
      <c r="BP51" s="1842"/>
      <c r="BQ51" s="2636">
        <f t="shared" si="17"/>
        <v>0</v>
      </c>
    </row>
    <row r="52" spans="1:69" s="2622" customFormat="1" ht="15">
      <c r="A52" s="2704" t="s">
        <v>79</v>
      </c>
      <c r="B52" s="2705">
        <f t="shared" si="18"/>
        <v>187.846</v>
      </c>
      <c r="C52" s="2710"/>
      <c r="D52" s="2710"/>
      <c r="E52" s="2710"/>
      <c r="F52" s="2710"/>
      <c r="G52" s="2710"/>
      <c r="H52" s="2710"/>
      <c r="I52" s="2710"/>
      <c r="J52" s="2710">
        <v>27.774999999999999</v>
      </c>
      <c r="K52" s="2710"/>
      <c r="L52" s="2710"/>
      <c r="M52" s="2710"/>
      <c r="N52" s="2710"/>
      <c r="O52" s="2710"/>
      <c r="P52" s="2710"/>
      <c r="Q52" s="2710"/>
      <c r="R52" s="2710"/>
      <c r="S52" s="2710">
        <v>30.837</v>
      </c>
      <c r="T52" s="2710"/>
      <c r="U52" s="2710">
        <v>59.713000000000001</v>
      </c>
      <c r="V52" s="2710"/>
      <c r="W52" s="2710">
        <v>13.363</v>
      </c>
      <c r="X52" s="2710"/>
      <c r="Y52" s="2710"/>
      <c r="Z52" s="2710"/>
      <c r="AA52" s="2710"/>
      <c r="AB52" s="2710">
        <v>56.158000000000001</v>
      </c>
      <c r="AC52" s="2710"/>
      <c r="AD52" s="2710"/>
      <c r="AE52" s="2710"/>
      <c r="AF52" s="2710"/>
      <c r="AG52" s="2710"/>
      <c r="AH52" s="2709">
        <f t="shared" si="19"/>
        <v>187.846</v>
      </c>
      <c r="AJ52" s="2655" t="s">
        <v>81</v>
      </c>
      <c r="AK52" s="2656">
        <f t="shared" si="16"/>
        <v>0</v>
      </c>
      <c r="AL52" s="2659"/>
      <c r="AM52" s="2636"/>
      <c r="AN52" s="2636"/>
      <c r="AO52" s="2636"/>
      <c r="AP52" s="1842"/>
      <c r="AQ52" s="1842"/>
      <c r="AR52" s="1842"/>
      <c r="AS52" s="1842"/>
      <c r="AT52" s="1842"/>
      <c r="AU52" s="1842"/>
      <c r="AV52" s="1842"/>
      <c r="AW52" s="1842"/>
      <c r="AX52" s="1842"/>
      <c r="AY52" s="1842"/>
      <c r="AZ52" s="1842"/>
      <c r="BA52" s="1842"/>
      <c r="BB52" s="1842"/>
      <c r="BC52" s="1842"/>
      <c r="BD52" s="1842"/>
      <c r="BE52" s="1842"/>
      <c r="BF52" s="1842"/>
      <c r="BG52" s="1842"/>
      <c r="BH52" s="1842"/>
      <c r="BI52" s="1842"/>
      <c r="BJ52" s="1842"/>
      <c r="BK52" s="1842"/>
      <c r="BL52" s="1842"/>
      <c r="BM52" s="1842"/>
      <c r="BN52" s="1842"/>
      <c r="BO52" s="1842"/>
      <c r="BP52" s="1842"/>
      <c r="BQ52" s="2636">
        <f t="shared" si="17"/>
        <v>0</v>
      </c>
    </row>
    <row r="53" spans="1:69" s="2622" customFormat="1" ht="15">
      <c r="A53" s="2704" t="s">
        <v>80</v>
      </c>
      <c r="B53" s="2705">
        <f t="shared" si="18"/>
        <v>116.67999999999999</v>
      </c>
      <c r="C53" s="2710"/>
      <c r="D53" s="2710"/>
      <c r="E53" s="2710"/>
      <c r="F53" s="2710"/>
      <c r="G53" s="2710"/>
      <c r="H53" s="2710"/>
      <c r="I53" s="2710"/>
      <c r="J53" s="2710"/>
      <c r="K53" s="2710"/>
      <c r="L53" s="2710"/>
      <c r="M53" s="2710"/>
      <c r="N53" s="2710"/>
      <c r="O53" s="2710"/>
      <c r="P53" s="2710"/>
      <c r="Q53" s="2710"/>
      <c r="R53" s="2710">
        <v>47.58</v>
      </c>
      <c r="S53" s="2710"/>
      <c r="T53" s="2710"/>
      <c r="U53" s="2710"/>
      <c r="V53" s="2710">
        <v>69.099999999999994</v>
      </c>
      <c r="W53" s="2710"/>
      <c r="X53" s="2710"/>
      <c r="Y53" s="2710"/>
      <c r="Z53" s="2710"/>
      <c r="AA53" s="2710"/>
      <c r="AB53" s="2710"/>
      <c r="AC53" s="2710"/>
      <c r="AD53" s="2710"/>
      <c r="AE53" s="2710"/>
      <c r="AF53" s="2710"/>
      <c r="AG53" s="2710"/>
      <c r="AH53" s="2709">
        <f t="shared" si="19"/>
        <v>116.67999999999999</v>
      </c>
      <c r="AJ53" s="2655" t="s">
        <v>82</v>
      </c>
      <c r="AK53" s="2656">
        <f t="shared" si="16"/>
        <v>0</v>
      </c>
      <c r="AL53" s="2659"/>
      <c r="AM53" s="1842"/>
      <c r="AN53" s="1842"/>
      <c r="AO53" s="1842"/>
      <c r="AP53" s="1842"/>
      <c r="AQ53" s="1842"/>
      <c r="AR53" s="1842"/>
      <c r="AS53" s="1842"/>
      <c r="AT53" s="1842"/>
      <c r="AU53" s="1842"/>
      <c r="AV53" s="1842"/>
      <c r="AW53" s="1842"/>
      <c r="AX53" s="1842"/>
      <c r="AY53" s="1842"/>
      <c r="AZ53" s="1842"/>
      <c r="BA53" s="1842"/>
      <c r="BB53" s="1842"/>
      <c r="BC53" s="1842"/>
      <c r="BD53" s="1842"/>
      <c r="BE53" s="1842"/>
      <c r="BF53" s="1842"/>
      <c r="BG53" s="1842"/>
      <c r="BH53" s="1842"/>
      <c r="BI53" s="1842"/>
      <c r="BJ53" s="1842"/>
      <c r="BK53" s="1842"/>
      <c r="BL53" s="1842"/>
      <c r="BM53" s="1842"/>
      <c r="BN53" s="1842"/>
      <c r="BO53" s="1842"/>
      <c r="BP53" s="1842"/>
      <c r="BQ53" s="2636">
        <f t="shared" si="17"/>
        <v>0</v>
      </c>
    </row>
    <row r="54" spans="1:69" s="2622" customFormat="1" ht="15">
      <c r="A54" s="2704" t="s">
        <v>81</v>
      </c>
      <c r="B54" s="2705">
        <f t="shared" si="18"/>
        <v>0</v>
      </c>
      <c r="C54" s="2710"/>
      <c r="D54" s="2709"/>
      <c r="E54" s="2709"/>
      <c r="F54" s="2709"/>
      <c r="G54" s="2710"/>
      <c r="H54" s="2710"/>
      <c r="I54" s="2710"/>
      <c r="J54" s="2710"/>
      <c r="K54" s="2710"/>
      <c r="L54" s="2710"/>
      <c r="M54" s="2710"/>
      <c r="N54" s="2710"/>
      <c r="O54" s="2710"/>
      <c r="P54" s="2710"/>
      <c r="Q54" s="2710"/>
      <c r="R54" s="2710"/>
      <c r="S54" s="2710"/>
      <c r="T54" s="2710"/>
      <c r="U54" s="2710"/>
      <c r="V54" s="2710"/>
      <c r="W54" s="2710"/>
      <c r="X54" s="2710"/>
      <c r="Y54" s="2710"/>
      <c r="Z54" s="2710"/>
      <c r="AA54" s="2710"/>
      <c r="AB54" s="2710"/>
      <c r="AC54" s="2710"/>
      <c r="AD54" s="2710"/>
      <c r="AE54" s="2710"/>
      <c r="AF54" s="2710"/>
      <c r="AG54" s="2710"/>
      <c r="AH54" s="2709">
        <f t="shared" si="19"/>
        <v>0</v>
      </c>
      <c r="AJ54" s="2655" t="s">
        <v>83</v>
      </c>
      <c r="AK54" s="2656">
        <f t="shared" si="16"/>
        <v>0</v>
      </c>
      <c r="AL54" s="2659"/>
      <c r="AM54" s="1842"/>
      <c r="AN54" s="1842"/>
      <c r="AO54" s="1842"/>
      <c r="AP54" s="1842"/>
      <c r="AQ54" s="1842"/>
      <c r="AR54" s="1842"/>
      <c r="AS54" s="1842"/>
      <c r="AT54" s="1842"/>
      <c r="AU54" s="1842"/>
      <c r="AV54" s="1842"/>
      <c r="AW54" s="1842"/>
      <c r="AX54" s="1842"/>
      <c r="AY54" s="1842"/>
      <c r="AZ54" s="1842"/>
      <c r="BA54" s="1842"/>
      <c r="BB54" s="1842"/>
      <c r="BC54" s="1842"/>
      <c r="BD54" s="1842"/>
      <c r="BE54" s="1842"/>
      <c r="BF54" s="1842"/>
      <c r="BG54" s="1842"/>
      <c r="BH54" s="1842"/>
      <c r="BI54" s="1842"/>
      <c r="BJ54" s="1842"/>
      <c r="BK54" s="1842"/>
      <c r="BL54" s="1842"/>
      <c r="BM54" s="1842"/>
      <c r="BN54" s="1842"/>
      <c r="BO54" s="1842"/>
      <c r="BP54" s="1842"/>
      <c r="BQ54" s="2636">
        <f t="shared" si="17"/>
        <v>0</v>
      </c>
    </row>
    <row r="55" spans="1:69" s="2622" customFormat="1" ht="15">
      <c r="A55" s="2704" t="s">
        <v>82</v>
      </c>
      <c r="B55" s="2705">
        <f t="shared" si="18"/>
        <v>0</v>
      </c>
      <c r="C55" s="2710"/>
      <c r="D55" s="2710"/>
      <c r="E55" s="2710"/>
      <c r="F55" s="2710"/>
      <c r="G55" s="2710"/>
      <c r="H55" s="2710"/>
      <c r="I55" s="2710"/>
      <c r="J55" s="2710"/>
      <c r="K55" s="2710"/>
      <c r="L55" s="2710"/>
      <c r="M55" s="2710"/>
      <c r="N55" s="2710"/>
      <c r="O55" s="2710"/>
      <c r="P55" s="2710"/>
      <c r="Q55" s="2710"/>
      <c r="R55" s="2710"/>
      <c r="S55" s="2710"/>
      <c r="T55" s="2710"/>
      <c r="U55" s="2710"/>
      <c r="V55" s="2710"/>
      <c r="W55" s="2710"/>
      <c r="X55" s="2710"/>
      <c r="Y55" s="2710"/>
      <c r="Z55" s="2710"/>
      <c r="AA55" s="2710"/>
      <c r="AB55" s="2710"/>
      <c r="AC55" s="2710"/>
      <c r="AD55" s="2710"/>
      <c r="AE55" s="2710"/>
      <c r="AF55" s="2710"/>
      <c r="AG55" s="2710"/>
      <c r="AH55" s="2709">
        <f t="shared" si="19"/>
        <v>0</v>
      </c>
      <c r="AJ55" s="2655" t="s">
        <v>84</v>
      </c>
      <c r="AK55" s="2656">
        <f t="shared" si="16"/>
        <v>0</v>
      </c>
      <c r="AL55" s="2659"/>
      <c r="AM55" s="1842"/>
      <c r="AN55" s="1842"/>
      <c r="AO55" s="1842"/>
      <c r="AP55" s="1842"/>
      <c r="AQ55" s="1842"/>
      <c r="AR55" s="1842"/>
      <c r="AS55" s="1842"/>
      <c r="AT55" s="1842"/>
      <c r="AU55" s="1842"/>
      <c r="AV55" s="1842"/>
      <c r="AW55" s="1842"/>
      <c r="AX55" s="1842"/>
      <c r="AY55" s="1842"/>
      <c r="AZ55" s="1842"/>
      <c r="BA55" s="1842"/>
      <c r="BB55" s="1842"/>
      <c r="BC55" s="1842"/>
      <c r="BD55" s="1842"/>
      <c r="BE55" s="1842"/>
      <c r="BF55" s="1842"/>
      <c r="BG55" s="1842"/>
      <c r="BH55" s="1842"/>
      <c r="BI55" s="1842"/>
      <c r="BJ55" s="1842"/>
      <c r="BK55" s="1842"/>
      <c r="BL55" s="1842"/>
      <c r="BM55" s="1842"/>
      <c r="BN55" s="2636"/>
      <c r="BO55" s="1842"/>
      <c r="BP55" s="2636"/>
      <c r="BQ55" s="2636">
        <f t="shared" si="17"/>
        <v>0</v>
      </c>
    </row>
    <row r="56" spans="1:69" s="2622" customFormat="1" ht="15">
      <c r="A56" s="2704" t="s">
        <v>83</v>
      </c>
      <c r="B56" s="2705">
        <f t="shared" si="18"/>
        <v>0</v>
      </c>
      <c r="C56" s="2710"/>
      <c r="D56" s="2710"/>
      <c r="E56" s="2710"/>
      <c r="F56" s="2710"/>
      <c r="G56" s="2710"/>
      <c r="H56" s="2710"/>
      <c r="I56" s="2710"/>
      <c r="J56" s="2710"/>
      <c r="K56" s="2710"/>
      <c r="L56" s="2710"/>
      <c r="M56" s="2710"/>
      <c r="N56" s="2710"/>
      <c r="O56" s="2710"/>
      <c r="P56" s="2710"/>
      <c r="Q56" s="2710"/>
      <c r="R56" s="2710"/>
      <c r="S56" s="2710"/>
      <c r="T56" s="2710"/>
      <c r="U56" s="2710"/>
      <c r="V56" s="2710"/>
      <c r="W56" s="2710"/>
      <c r="X56" s="2710"/>
      <c r="Y56" s="2710"/>
      <c r="Z56" s="2710"/>
      <c r="AA56" s="2710"/>
      <c r="AB56" s="2710"/>
      <c r="AC56" s="2710"/>
      <c r="AD56" s="2710"/>
      <c r="AE56" s="2710"/>
      <c r="AF56" s="2710"/>
      <c r="AG56" s="2710"/>
      <c r="AH56" s="2709">
        <f t="shared" si="19"/>
        <v>0</v>
      </c>
      <c r="AJ56" s="2655" t="s">
        <v>85</v>
      </c>
      <c r="AK56" s="2656">
        <f t="shared" si="16"/>
        <v>0</v>
      </c>
      <c r="AL56" s="2659"/>
      <c r="AM56" s="1842"/>
      <c r="AN56" s="1842"/>
      <c r="AO56" s="1842"/>
      <c r="AP56" s="2639"/>
      <c r="AQ56" s="1842"/>
      <c r="AR56" s="1842"/>
      <c r="AS56" s="1842"/>
      <c r="AT56" s="1842"/>
      <c r="AU56" s="1842"/>
      <c r="AV56" s="1842"/>
      <c r="AW56" s="1842"/>
      <c r="AX56" s="1842"/>
      <c r="AY56" s="1842"/>
      <c r="AZ56" s="1842"/>
      <c r="BA56" s="1842"/>
      <c r="BB56" s="1842"/>
      <c r="BC56" s="1842"/>
      <c r="BD56" s="1842"/>
      <c r="BE56" s="1842"/>
      <c r="BF56" s="1842"/>
      <c r="BG56" s="1842"/>
      <c r="BH56" s="1842"/>
      <c r="BI56" s="1842"/>
      <c r="BJ56" s="1842"/>
      <c r="BK56" s="1842"/>
      <c r="BL56" s="1842"/>
      <c r="BM56" s="1842"/>
      <c r="BN56" s="2636"/>
      <c r="BO56" s="1842"/>
      <c r="BP56" s="2636"/>
      <c r="BQ56" s="2636">
        <f t="shared" si="17"/>
        <v>0</v>
      </c>
    </row>
    <row r="57" spans="1:69" s="2622" customFormat="1" ht="15">
      <c r="A57" s="2704" t="s">
        <v>84</v>
      </c>
      <c r="B57" s="2705">
        <f t="shared" si="18"/>
        <v>2.35</v>
      </c>
      <c r="C57" s="2710"/>
      <c r="D57" s="2710"/>
      <c r="E57" s="2710"/>
      <c r="F57" s="2710"/>
      <c r="G57" s="2710"/>
      <c r="H57" s="2710"/>
      <c r="I57" s="2710"/>
      <c r="J57" s="2710"/>
      <c r="K57" s="2710"/>
      <c r="L57" s="2710"/>
      <c r="M57" s="2710"/>
      <c r="N57" s="2710"/>
      <c r="O57" s="2710"/>
      <c r="P57" s="2710"/>
      <c r="Q57" s="2710"/>
      <c r="R57" s="2710"/>
      <c r="S57" s="2710"/>
      <c r="T57" s="2710"/>
      <c r="U57" s="2710"/>
      <c r="V57" s="2710"/>
      <c r="W57" s="2710"/>
      <c r="X57" s="2710"/>
      <c r="Y57" s="2710">
        <v>2.35</v>
      </c>
      <c r="Z57" s="2710"/>
      <c r="AA57" s="2710"/>
      <c r="AB57" s="2710"/>
      <c r="AC57" s="2710"/>
      <c r="AD57" s="2710"/>
      <c r="AE57" s="2709"/>
      <c r="AF57" s="2710"/>
      <c r="AG57" s="2709"/>
      <c r="AH57" s="2709">
        <f t="shared" si="19"/>
        <v>2.35</v>
      </c>
      <c r="AJ57" s="2655" t="s">
        <v>86</v>
      </c>
      <c r="AK57" s="2656">
        <f t="shared" si="16"/>
        <v>0</v>
      </c>
      <c r="AL57" s="2659"/>
      <c r="AM57" s="1842"/>
      <c r="AN57" s="1842"/>
      <c r="AO57" s="1842"/>
      <c r="AP57" s="1842"/>
      <c r="AQ57" s="1842"/>
      <c r="AR57" s="1842"/>
      <c r="AS57" s="1842"/>
      <c r="AT57" s="1842"/>
      <c r="AU57" s="1842"/>
      <c r="AV57" s="1842"/>
      <c r="AW57" s="1842"/>
      <c r="AX57" s="1842"/>
      <c r="AY57" s="1842"/>
      <c r="AZ57" s="1842"/>
      <c r="BA57" s="1842"/>
      <c r="BB57" s="1842"/>
      <c r="BC57" s="1842"/>
      <c r="BD57" s="1842"/>
      <c r="BE57" s="1842"/>
      <c r="BF57" s="1842"/>
      <c r="BG57" s="1842"/>
      <c r="BH57" s="1842"/>
      <c r="BI57" s="1842"/>
      <c r="BJ57" s="1842"/>
      <c r="BK57" s="1842"/>
      <c r="BL57" s="1842"/>
      <c r="BM57" s="1842"/>
      <c r="BN57" s="1842"/>
      <c r="BO57" s="1842"/>
      <c r="BP57" s="1842"/>
      <c r="BQ57" s="2636">
        <f t="shared" si="17"/>
        <v>0</v>
      </c>
    </row>
    <row r="58" spans="1:69" s="2622" customFormat="1" ht="15">
      <c r="A58" s="2704" t="s">
        <v>85</v>
      </c>
      <c r="B58" s="2705">
        <f t="shared" si="18"/>
        <v>117.05699999999999</v>
      </c>
      <c r="C58" s="2710"/>
      <c r="D58" s="2710"/>
      <c r="E58" s="2710"/>
      <c r="F58" s="2710"/>
      <c r="G58" s="2713"/>
      <c r="H58" s="2710"/>
      <c r="I58" s="2710"/>
      <c r="J58" s="2710"/>
      <c r="K58" s="2710"/>
      <c r="L58" s="2710"/>
      <c r="M58" s="2710"/>
      <c r="N58" s="2710"/>
      <c r="O58" s="2710"/>
      <c r="P58" s="2710"/>
      <c r="Q58" s="2710"/>
      <c r="R58" s="2710"/>
      <c r="S58" s="2710"/>
      <c r="T58" s="2710"/>
      <c r="U58" s="2710"/>
      <c r="V58" s="2710">
        <v>78.819999999999993</v>
      </c>
      <c r="W58" s="2710">
        <v>38.237000000000002</v>
      </c>
      <c r="X58" s="2710"/>
      <c r="Y58" s="2710"/>
      <c r="Z58" s="2710"/>
      <c r="AA58" s="2710"/>
      <c r="AB58" s="2710"/>
      <c r="AC58" s="2710"/>
      <c r="AD58" s="2710"/>
      <c r="AE58" s="2709"/>
      <c r="AF58" s="2710"/>
      <c r="AG58" s="2709"/>
      <c r="AH58" s="2709">
        <f t="shared" si="19"/>
        <v>117.05699999999999</v>
      </c>
      <c r="AJ58" s="2660" t="s">
        <v>74</v>
      </c>
      <c r="AK58" s="2661">
        <f t="shared" ref="AK58:BA58" si="20">SUM(AK46:AK57)</f>
        <v>0</v>
      </c>
      <c r="AL58" s="2656">
        <f t="shared" si="20"/>
        <v>0</v>
      </c>
      <c r="AM58" s="2633">
        <f t="shared" si="20"/>
        <v>0</v>
      </c>
      <c r="AN58" s="2633">
        <f t="shared" si="20"/>
        <v>0</v>
      </c>
      <c r="AO58" s="2633">
        <f t="shared" si="20"/>
        <v>0</v>
      </c>
      <c r="AP58" s="2633">
        <f t="shared" si="20"/>
        <v>0</v>
      </c>
      <c r="AQ58" s="2633">
        <f t="shared" si="20"/>
        <v>0</v>
      </c>
      <c r="AR58" s="2633">
        <f t="shared" si="20"/>
        <v>0</v>
      </c>
      <c r="AS58" s="2633">
        <f t="shared" si="20"/>
        <v>0</v>
      </c>
      <c r="AT58" s="2633">
        <f t="shared" si="20"/>
        <v>0</v>
      </c>
      <c r="AU58" s="2633">
        <f t="shared" si="20"/>
        <v>0</v>
      </c>
      <c r="AV58" s="2633">
        <f t="shared" si="20"/>
        <v>0</v>
      </c>
      <c r="AW58" s="2633">
        <f t="shared" si="20"/>
        <v>0</v>
      </c>
      <c r="AX58" s="2633">
        <f t="shared" si="20"/>
        <v>0</v>
      </c>
      <c r="AY58" s="2633">
        <f t="shared" si="20"/>
        <v>0</v>
      </c>
      <c r="AZ58" s="2633">
        <f t="shared" si="20"/>
        <v>0</v>
      </c>
      <c r="BA58" s="2633">
        <f t="shared" si="20"/>
        <v>0</v>
      </c>
      <c r="BB58" s="2636">
        <f t="shared" ref="BB58:BL58" si="21">SUM(BB46:BB56)</f>
        <v>0</v>
      </c>
      <c r="BC58" s="2636">
        <f t="shared" si="21"/>
        <v>0</v>
      </c>
      <c r="BD58" s="2636">
        <f t="shared" si="21"/>
        <v>0</v>
      </c>
      <c r="BE58" s="2636">
        <f t="shared" si="21"/>
        <v>0</v>
      </c>
      <c r="BF58" s="2636">
        <f t="shared" si="21"/>
        <v>0</v>
      </c>
      <c r="BG58" s="2636">
        <f t="shared" si="21"/>
        <v>0</v>
      </c>
      <c r="BH58" s="2636">
        <f t="shared" si="21"/>
        <v>0</v>
      </c>
      <c r="BI58" s="2636">
        <f t="shared" si="21"/>
        <v>0</v>
      </c>
      <c r="BJ58" s="2636">
        <f t="shared" si="21"/>
        <v>0</v>
      </c>
      <c r="BK58" s="2636">
        <f t="shared" si="21"/>
        <v>0</v>
      </c>
      <c r="BL58" s="2636">
        <f t="shared" si="21"/>
        <v>0</v>
      </c>
      <c r="BM58" s="2636">
        <v>0</v>
      </c>
      <c r="BN58" s="2636">
        <f>SUM(BN46:BN56)</f>
        <v>0</v>
      </c>
      <c r="BO58" s="2636">
        <f>SUM(BO46:BO56)</f>
        <v>0</v>
      </c>
      <c r="BP58" s="2636">
        <f>SUM(BP46:BP56)</f>
        <v>0</v>
      </c>
      <c r="BQ58" s="2636">
        <f>SUM(BQ46:BQ56)</f>
        <v>0</v>
      </c>
    </row>
    <row r="59" spans="1:69" s="2622" customFormat="1" ht="15">
      <c r="A59" s="2704" t="s">
        <v>86</v>
      </c>
      <c r="B59" s="2705">
        <f t="shared" si="18"/>
        <v>0</v>
      </c>
      <c r="C59" s="2710"/>
      <c r="D59" s="2710"/>
      <c r="E59" s="2710"/>
      <c r="F59" s="2710"/>
      <c r="G59" s="2710"/>
      <c r="H59" s="2710"/>
      <c r="I59" s="2710"/>
      <c r="J59" s="2710"/>
      <c r="K59" s="2710"/>
      <c r="L59" s="2710"/>
      <c r="M59" s="2710"/>
      <c r="N59" s="2710"/>
      <c r="O59" s="2710"/>
      <c r="P59" s="2710"/>
      <c r="Q59" s="2710"/>
      <c r="R59" s="2710"/>
      <c r="S59" s="2710"/>
      <c r="T59" s="2710"/>
      <c r="U59" s="2710"/>
      <c r="V59" s="2710"/>
      <c r="W59" s="2710"/>
      <c r="X59" s="2710"/>
      <c r="Y59" s="2710"/>
      <c r="Z59" s="2710"/>
      <c r="AA59" s="2710"/>
      <c r="AB59" s="2710"/>
      <c r="AC59" s="2710"/>
      <c r="AD59" s="2710"/>
      <c r="AE59" s="2710"/>
      <c r="AF59" s="2710"/>
      <c r="AG59" s="2710"/>
      <c r="AH59" s="2709">
        <f t="shared" si="19"/>
        <v>0</v>
      </c>
      <c r="AJ59" s="2662"/>
      <c r="AK59" s="2662"/>
      <c r="AL59" s="2662"/>
      <c r="AM59" s="2630"/>
      <c r="AN59" s="2630"/>
      <c r="AO59" s="2630"/>
      <c r="AP59" s="2630"/>
      <c r="AQ59" s="2630"/>
      <c r="AR59" s="2630"/>
      <c r="AS59" s="2630"/>
      <c r="AT59" s="2630"/>
      <c r="AU59" s="2630"/>
      <c r="AV59" s="2630"/>
      <c r="AW59" s="2630"/>
      <c r="AX59" s="2630"/>
      <c r="AY59" s="2630"/>
      <c r="AZ59" s="2630"/>
      <c r="BA59" s="2630"/>
      <c r="BB59" s="2630"/>
      <c r="BC59" s="2630"/>
      <c r="BD59" s="2630"/>
      <c r="BE59" s="2630"/>
      <c r="BF59" s="2630"/>
      <c r="BG59" s="2630"/>
      <c r="BH59" s="2630"/>
      <c r="BI59" s="2630"/>
      <c r="BJ59" s="2630"/>
      <c r="BK59" s="2630"/>
      <c r="BL59" s="2630"/>
      <c r="BM59" s="2630"/>
      <c r="BN59" s="2630"/>
      <c r="BO59" s="2630"/>
      <c r="BP59" s="2630"/>
      <c r="BQ59" s="2630"/>
    </row>
    <row r="60" spans="1:69" s="2622" customFormat="1" ht="23.25">
      <c r="A60" s="2714" t="s">
        <v>74</v>
      </c>
      <c r="B60" s="3085">
        <f t="shared" ref="B60:R60" si="22">SUM(B48:B59)</f>
        <v>423.93299999999999</v>
      </c>
      <c r="C60" s="2705">
        <f t="shared" si="22"/>
        <v>0</v>
      </c>
      <c r="D60" s="2705">
        <f t="shared" si="22"/>
        <v>0</v>
      </c>
      <c r="E60" s="2705">
        <f t="shared" si="22"/>
        <v>0</v>
      </c>
      <c r="F60" s="2705">
        <f t="shared" si="22"/>
        <v>0</v>
      </c>
      <c r="G60" s="2705">
        <f t="shared" si="22"/>
        <v>0</v>
      </c>
      <c r="H60" s="2705">
        <f t="shared" si="22"/>
        <v>0</v>
      </c>
      <c r="I60" s="2705">
        <f t="shared" si="22"/>
        <v>0</v>
      </c>
      <c r="J60" s="2705">
        <f t="shared" si="22"/>
        <v>27.774999999999999</v>
      </c>
      <c r="K60" s="2705">
        <f t="shared" si="22"/>
        <v>0</v>
      </c>
      <c r="L60" s="2705">
        <f t="shared" si="22"/>
        <v>0</v>
      </c>
      <c r="M60" s="2705">
        <f t="shared" si="22"/>
        <v>0</v>
      </c>
      <c r="N60" s="2705">
        <f t="shared" si="22"/>
        <v>0</v>
      </c>
      <c r="O60" s="2705">
        <f t="shared" si="22"/>
        <v>0</v>
      </c>
      <c r="P60" s="2705">
        <f t="shared" si="22"/>
        <v>0</v>
      </c>
      <c r="Q60" s="2705">
        <f t="shared" si="22"/>
        <v>0</v>
      </c>
      <c r="R60" s="2705">
        <f t="shared" si="22"/>
        <v>47.58</v>
      </c>
      <c r="S60" s="2709">
        <f t="shared" ref="S60:AC60" si="23">SUM(S48:S58)</f>
        <v>30.837</v>
      </c>
      <c r="T60" s="2709">
        <f t="shared" si="23"/>
        <v>0</v>
      </c>
      <c r="U60" s="2709">
        <f t="shared" si="23"/>
        <v>59.713000000000001</v>
      </c>
      <c r="V60" s="2709">
        <f t="shared" si="23"/>
        <v>147.91999999999999</v>
      </c>
      <c r="W60" s="2709">
        <f t="shared" si="23"/>
        <v>51.6</v>
      </c>
      <c r="X60" s="2709">
        <f t="shared" si="23"/>
        <v>0</v>
      </c>
      <c r="Y60" s="2709">
        <f t="shared" si="23"/>
        <v>2.35</v>
      </c>
      <c r="Z60" s="2709">
        <f t="shared" si="23"/>
        <v>0</v>
      </c>
      <c r="AA60" s="2709">
        <f t="shared" si="23"/>
        <v>0</v>
      </c>
      <c r="AB60" s="2709">
        <f t="shared" si="23"/>
        <v>56.158000000000001</v>
      </c>
      <c r="AC60" s="2709">
        <f t="shared" si="23"/>
        <v>0</v>
      </c>
      <c r="AD60" s="2709">
        <v>0</v>
      </c>
      <c r="AE60" s="2709">
        <f>SUM(AE48:AE58)</f>
        <v>0</v>
      </c>
      <c r="AF60" s="2709">
        <f>SUM(AF48:AF58)</f>
        <v>0</v>
      </c>
      <c r="AG60" s="2709">
        <f>SUM(AG48:AG58)</f>
        <v>0</v>
      </c>
      <c r="AH60" s="2709">
        <f>SUM(AH48:AH58)</f>
        <v>423.93299999999999</v>
      </c>
      <c r="AJ60" s="3013" t="s">
        <v>266</v>
      </c>
      <c r="AK60" s="3013"/>
      <c r="AL60" s="3013"/>
      <c r="AM60" s="1415"/>
      <c r="AN60" s="3013" t="s">
        <v>1020</v>
      </c>
      <c r="AO60" s="3013"/>
      <c r="AP60" s="3080"/>
      <c r="AQ60" s="2629"/>
      <c r="AR60" s="2630"/>
      <c r="AS60" s="2630"/>
      <c r="AT60" s="2630"/>
      <c r="AU60" s="2630"/>
      <c r="AV60" s="2630"/>
      <c r="AW60" s="2630"/>
      <c r="AX60" s="2630"/>
      <c r="AY60" s="2630"/>
      <c r="AZ60" s="2630"/>
      <c r="BA60" s="2630"/>
      <c r="BB60" s="2630"/>
      <c r="BC60" s="2630"/>
      <c r="BD60" s="2630"/>
      <c r="BE60" s="2630"/>
      <c r="BF60" s="2630"/>
      <c r="BG60" s="2630"/>
      <c r="BH60" s="2630"/>
      <c r="BI60" s="2630"/>
      <c r="BJ60" s="2630"/>
      <c r="BK60" s="2630"/>
      <c r="BL60" s="2630"/>
      <c r="BM60" s="2630"/>
      <c r="BN60" s="2630"/>
      <c r="BO60" s="2630"/>
      <c r="BP60" s="2630"/>
      <c r="BQ60" s="2630"/>
    </row>
    <row r="61" spans="1:69" s="2622" customFormat="1" ht="15">
      <c r="A61" s="2701"/>
      <c r="B61" s="2701"/>
      <c r="C61" s="2701"/>
      <c r="D61" s="2701"/>
      <c r="E61" s="2701"/>
      <c r="F61" s="2701"/>
      <c r="G61" s="2701"/>
      <c r="H61" s="2701"/>
      <c r="I61" s="2701"/>
      <c r="J61" s="2701"/>
      <c r="K61" s="2701"/>
      <c r="L61" s="2701"/>
      <c r="M61" s="2701"/>
      <c r="N61" s="2701"/>
      <c r="O61" s="2701"/>
      <c r="P61" s="2701"/>
      <c r="Q61" s="2701"/>
      <c r="R61" s="2701"/>
      <c r="S61" s="2701"/>
      <c r="T61" s="2701"/>
      <c r="U61" s="2701"/>
      <c r="V61" s="2701"/>
      <c r="W61" s="2701"/>
      <c r="X61" s="2701"/>
      <c r="Y61" s="2701"/>
      <c r="Z61" s="2701"/>
      <c r="AA61" s="2701"/>
      <c r="AB61" s="2701"/>
      <c r="AC61" s="2701"/>
      <c r="AD61" s="2701"/>
      <c r="AE61" s="2701"/>
      <c r="AF61" s="2701"/>
      <c r="AG61" s="2701"/>
      <c r="AH61" s="2701"/>
      <c r="AJ61" s="3885" t="s">
        <v>271</v>
      </c>
      <c r="AK61" s="3886"/>
      <c r="AL61" s="3887"/>
      <c r="AM61" s="2631"/>
      <c r="AN61" s="2631"/>
      <c r="AO61" s="2631"/>
      <c r="AP61" s="2631"/>
      <c r="AQ61" s="2631"/>
      <c r="AR61" s="2631"/>
      <c r="AS61" s="2631"/>
      <c r="AT61" s="2631"/>
      <c r="AU61" s="2631"/>
      <c r="AV61" s="2631"/>
      <c r="AW61" s="2631"/>
      <c r="AX61" s="2631"/>
      <c r="AY61" s="2631"/>
      <c r="AZ61" s="2631"/>
      <c r="BA61" s="2631"/>
      <c r="BB61" s="2632"/>
      <c r="BC61" s="2632"/>
      <c r="BD61" s="2632"/>
      <c r="BE61" s="2632"/>
      <c r="BF61" s="2632"/>
      <c r="BG61" s="2632"/>
      <c r="BH61" s="2632"/>
      <c r="BI61" s="2632"/>
      <c r="BJ61" s="2632"/>
      <c r="BK61" s="2632"/>
      <c r="BL61" s="2632"/>
      <c r="BM61" s="2632"/>
      <c r="BN61" s="2632"/>
      <c r="BO61" s="2632"/>
      <c r="BP61" s="2632"/>
      <c r="BQ61" s="2632"/>
    </row>
    <row r="62" spans="1:69" s="2622" customFormat="1" ht="33">
      <c r="A62" s="2699" t="s">
        <v>907</v>
      </c>
      <c r="B62" s="2700"/>
      <c r="C62" s="2700"/>
      <c r="D62" s="2701"/>
      <c r="E62" s="2700" t="s">
        <v>1000</v>
      </c>
      <c r="F62" s="2701"/>
      <c r="G62" s="2701"/>
      <c r="H62" s="2701"/>
      <c r="I62" s="2700"/>
      <c r="J62" s="2701"/>
      <c r="K62" s="3016" t="s">
        <v>1052</v>
      </c>
      <c r="L62" s="1415"/>
      <c r="M62" s="1415"/>
      <c r="N62" s="1415"/>
      <c r="O62" s="3080"/>
      <c r="P62" s="2701"/>
      <c r="Q62" s="2701"/>
      <c r="R62" s="2701"/>
      <c r="S62" s="2701"/>
      <c r="T62" s="2701"/>
      <c r="U62" s="2701"/>
      <c r="V62" s="2701"/>
      <c r="W62" s="2701"/>
      <c r="X62" s="2701"/>
      <c r="Y62" s="2701"/>
      <c r="Z62" s="2701"/>
      <c r="AA62" s="2701"/>
      <c r="AB62" s="2701"/>
      <c r="AC62" s="2701"/>
      <c r="AD62" s="2701"/>
      <c r="AE62" s="2701"/>
      <c r="AF62" s="2701"/>
      <c r="AG62" s="2701"/>
      <c r="AH62" s="2701"/>
      <c r="AJ62" s="2655" t="s">
        <v>72</v>
      </c>
      <c r="AK62" s="2656" t="s">
        <v>73</v>
      </c>
      <c r="AL62" s="2657">
        <v>1</v>
      </c>
      <c r="AM62" s="2042">
        <v>2</v>
      </c>
      <c r="AN62" s="2042">
        <v>3</v>
      </c>
      <c r="AO62" s="2042">
        <v>4</v>
      </c>
      <c r="AP62" s="2042">
        <v>5</v>
      </c>
      <c r="AQ62" s="2042">
        <v>6</v>
      </c>
      <c r="AR62" s="2042">
        <v>7</v>
      </c>
      <c r="AS62" s="2042">
        <v>8</v>
      </c>
      <c r="AT62" s="2042">
        <v>9</v>
      </c>
      <c r="AU62" s="2042">
        <v>10</v>
      </c>
      <c r="AV62" s="2042">
        <v>11</v>
      </c>
      <c r="AW62" s="2042">
        <v>12</v>
      </c>
      <c r="AX62" s="2042">
        <v>13</v>
      </c>
      <c r="AY62" s="2042">
        <v>14</v>
      </c>
      <c r="AZ62" s="2042">
        <v>15</v>
      </c>
      <c r="BA62" s="2042">
        <v>16</v>
      </c>
      <c r="BB62" s="1841">
        <v>17</v>
      </c>
      <c r="BC62" s="1841">
        <v>18</v>
      </c>
      <c r="BD62" s="1841">
        <v>19</v>
      </c>
      <c r="BE62" s="1841">
        <v>20</v>
      </c>
      <c r="BF62" s="1841">
        <v>21</v>
      </c>
      <c r="BG62" s="1841">
        <v>22</v>
      </c>
      <c r="BH62" s="1841">
        <v>23</v>
      </c>
      <c r="BI62" s="1841">
        <v>24</v>
      </c>
      <c r="BJ62" s="1841">
        <v>25</v>
      </c>
      <c r="BK62" s="1841">
        <v>26</v>
      </c>
      <c r="BL62" s="1841">
        <v>27</v>
      </c>
      <c r="BM62" s="1841">
        <v>28</v>
      </c>
      <c r="BN62" s="1841">
        <v>29</v>
      </c>
      <c r="BO62" s="1841">
        <v>30</v>
      </c>
      <c r="BP62" s="1841">
        <v>31</v>
      </c>
      <c r="BQ62" s="2634" t="s">
        <v>74</v>
      </c>
    </row>
    <row r="63" spans="1:69" s="2622" customFormat="1" ht="15">
      <c r="A63" s="3849" t="s">
        <v>264</v>
      </c>
      <c r="B63" s="3850"/>
      <c r="C63" s="3851"/>
      <c r="D63" s="2702"/>
      <c r="E63" s="2702"/>
      <c r="F63" s="2702"/>
      <c r="G63" s="2702"/>
      <c r="H63" s="2702"/>
      <c r="I63" s="2702"/>
      <c r="J63" s="2702"/>
      <c r="K63" s="2702"/>
      <c r="L63" s="2702"/>
      <c r="M63" s="2702"/>
      <c r="N63" s="2702"/>
      <c r="O63" s="2702"/>
      <c r="P63" s="2702"/>
      <c r="Q63" s="2702"/>
      <c r="R63" s="2702"/>
      <c r="S63" s="2703"/>
      <c r="T63" s="2703"/>
      <c r="U63" s="2703"/>
      <c r="V63" s="2703"/>
      <c r="W63" s="2703"/>
      <c r="X63" s="2703"/>
      <c r="Y63" s="2703"/>
      <c r="Z63" s="2703"/>
      <c r="AA63" s="2703"/>
      <c r="AB63" s="2703"/>
      <c r="AC63" s="2703"/>
      <c r="AD63" s="2703"/>
      <c r="AE63" s="2703"/>
      <c r="AF63" s="2703"/>
      <c r="AG63" s="2703"/>
      <c r="AH63" s="2703"/>
      <c r="AJ63" s="2655" t="s">
        <v>75</v>
      </c>
      <c r="AK63" s="2656">
        <f t="shared" ref="AK63:AK74" si="24">+BQ63</f>
        <v>0</v>
      </c>
      <c r="AL63" s="2658"/>
      <c r="AM63" s="2635"/>
      <c r="AN63" s="2635"/>
      <c r="AO63" s="2635"/>
      <c r="AP63" s="2635"/>
      <c r="AQ63" s="2635"/>
      <c r="AR63" s="2635"/>
      <c r="AS63" s="2635"/>
      <c r="AT63" s="2635"/>
      <c r="AU63" s="2635"/>
      <c r="AV63" s="2635"/>
      <c r="AW63" s="2635"/>
      <c r="AX63" s="2635"/>
      <c r="AY63" s="2635"/>
      <c r="AZ63" s="2635"/>
      <c r="BA63" s="2635"/>
      <c r="BB63" s="2635"/>
      <c r="BC63" s="2635"/>
      <c r="BD63" s="2635"/>
      <c r="BE63" s="2635"/>
      <c r="BF63" s="2635"/>
      <c r="BG63" s="2635"/>
      <c r="BH63" s="2635"/>
      <c r="BI63" s="2635"/>
      <c r="BJ63" s="2635"/>
      <c r="BK63" s="2635"/>
      <c r="BL63" s="2635"/>
      <c r="BM63" s="2635"/>
      <c r="BN63" s="2635"/>
      <c r="BO63" s="2635"/>
      <c r="BP63" s="2635"/>
      <c r="BQ63" s="2636">
        <f>SUM(AL63:BP63)</f>
        <v>0</v>
      </c>
    </row>
    <row r="64" spans="1:69" s="2622" customFormat="1" ht="15.75" thickBot="1">
      <c r="A64" s="2704" t="s">
        <v>72</v>
      </c>
      <c r="B64" s="2705" t="s">
        <v>73</v>
      </c>
      <c r="C64" s="2706">
        <v>1</v>
      </c>
      <c r="D64" s="2706">
        <v>2</v>
      </c>
      <c r="E64" s="2706">
        <v>3</v>
      </c>
      <c r="F64" s="2706">
        <v>4</v>
      </c>
      <c r="G64" s="2706">
        <v>5</v>
      </c>
      <c r="H64" s="2706">
        <v>6</v>
      </c>
      <c r="I64" s="2706">
        <v>7</v>
      </c>
      <c r="J64" s="2706">
        <v>8</v>
      </c>
      <c r="K64" s="2706">
        <v>9</v>
      </c>
      <c r="L64" s="2706">
        <v>10</v>
      </c>
      <c r="M64" s="2706">
        <v>11</v>
      </c>
      <c r="N64" s="2706">
        <v>12</v>
      </c>
      <c r="O64" s="2706">
        <v>13</v>
      </c>
      <c r="P64" s="2706">
        <v>14</v>
      </c>
      <c r="Q64" s="2706">
        <v>15</v>
      </c>
      <c r="R64" s="2706">
        <v>16</v>
      </c>
      <c r="S64" s="2704">
        <v>17</v>
      </c>
      <c r="T64" s="2704">
        <v>18</v>
      </c>
      <c r="U64" s="2704">
        <v>19</v>
      </c>
      <c r="V64" s="2704">
        <v>20</v>
      </c>
      <c r="W64" s="2704">
        <v>21</v>
      </c>
      <c r="X64" s="2704">
        <v>22</v>
      </c>
      <c r="Y64" s="2704">
        <v>23</v>
      </c>
      <c r="Z64" s="2704">
        <v>24</v>
      </c>
      <c r="AA64" s="2704">
        <v>25</v>
      </c>
      <c r="AB64" s="2704">
        <v>26</v>
      </c>
      <c r="AC64" s="2704">
        <v>27</v>
      </c>
      <c r="AD64" s="2704">
        <v>28</v>
      </c>
      <c r="AE64" s="2704">
        <v>29</v>
      </c>
      <c r="AF64" s="2704">
        <v>30</v>
      </c>
      <c r="AG64" s="2704">
        <v>31</v>
      </c>
      <c r="AH64" s="2707" t="s">
        <v>74</v>
      </c>
      <c r="AJ64" s="2655" t="s">
        <v>76</v>
      </c>
      <c r="AK64" s="2656">
        <f t="shared" si="24"/>
        <v>0</v>
      </c>
      <c r="AL64" s="2658"/>
      <c r="AM64" s="2635"/>
      <c r="AN64" s="2635"/>
      <c r="AO64" s="2635"/>
      <c r="AP64" s="2635"/>
      <c r="AQ64" s="2635"/>
      <c r="AR64" s="2635"/>
      <c r="AS64" s="2635"/>
      <c r="AT64" s="2635"/>
      <c r="AU64" s="2635"/>
      <c r="AV64" s="2635"/>
      <c r="AW64" s="2635"/>
      <c r="AX64" s="2635"/>
      <c r="AY64" s="2635"/>
      <c r="AZ64" s="2635"/>
      <c r="BA64" s="2635"/>
      <c r="BB64" s="2635"/>
      <c r="BC64" s="2635"/>
      <c r="BD64" s="2635"/>
      <c r="BE64" s="2635"/>
      <c r="BF64" s="2635"/>
      <c r="BG64" s="2635"/>
      <c r="BH64" s="2635"/>
      <c r="BI64" s="2635"/>
      <c r="BJ64" s="2635"/>
      <c r="BK64" s="2635"/>
      <c r="BL64" s="2635"/>
      <c r="BM64" s="2635"/>
      <c r="BN64" s="2635"/>
      <c r="BO64" s="2635"/>
      <c r="BP64" s="2635"/>
      <c r="BQ64" s="2636">
        <f t="shared" ref="BQ64:BQ74" si="25">SUM(AL64:BP64)</f>
        <v>0</v>
      </c>
    </row>
    <row r="65" spans="1:69" s="2622" customFormat="1" ht="15.75" thickBot="1">
      <c r="A65" s="2704" t="s">
        <v>75</v>
      </c>
      <c r="B65" s="2705">
        <f t="shared" ref="B65:B76" si="26">+AH65</f>
        <v>0</v>
      </c>
      <c r="C65" s="2708"/>
      <c r="D65" s="2708"/>
      <c r="E65" s="2708"/>
      <c r="F65" s="2708"/>
      <c r="G65" s="2708"/>
      <c r="H65" s="2708"/>
      <c r="I65" s="2708"/>
      <c r="J65" s="2708"/>
      <c r="K65" s="2708"/>
      <c r="L65" s="2708"/>
      <c r="M65" s="2708"/>
      <c r="N65" s="2708"/>
      <c r="O65" s="2708"/>
      <c r="P65" s="2708"/>
      <c r="Q65" s="2708"/>
      <c r="R65" s="2708"/>
      <c r="S65" s="2708"/>
      <c r="T65" s="2708"/>
      <c r="U65" s="2708"/>
      <c r="V65" s="2708"/>
      <c r="W65" s="2708"/>
      <c r="X65" s="2708"/>
      <c r="Y65" s="2708"/>
      <c r="Z65" s="2708"/>
      <c r="AA65" s="2708"/>
      <c r="AB65" s="2708"/>
      <c r="AC65" s="2708"/>
      <c r="AD65" s="2708"/>
      <c r="AE65" s="2708"/>
      <c r="AF65" s="2708"/>
      <c r="AG65" s="2708"/>
      <c r="AH65" s="2709">
        <f>SUM(C65:AG65)</f>
        <v>0</v>
      </c>
      <c r="AJ65" s="2655" t="s">
        <v>77</v>
      </c>
      <c r="AK65" s="2656">
        <f t="shared" si="24"/>
        <v>0</v>
      </c>
      <c r="AL65" s="2658"/>
      <c r="AM65" s="2635"/>
      <c r="AN65" s="2635"/>
      <c r="AO65" s="2635"/>
      <c r="AP65" s="2635"/>
      <c r="AQ65" s="1842"/>
      <c r="AR65" s="1842"/>
      <c r="AS65" s="1842"/>
      <c r="AT65" s="1842"/>
      <c r="AU65" s="1842"/>
      <c r="AV65" s="1842"/>
      <c r="AW65" s="1842"/>
      <c r="AX65" s="1842"/>
      <c r="AY65" s="1842"/>
      <c r="AZ65" s="1842"/>
      <c r="BA65" s="2637"/>
      <c r="BB65" s="1842"/>
      <c r="BC65" s="1842"/>
      <c r="BD65" s="1842"/>
      <c r="BE65" s="1842"/>
      <c r="BF65" s="1842"/>
      <c r="BG65" s="1842"/>
      <c r="BH65" s="1842"/>
      <c r="BI65" s="1842"/>
      <c r="BJ65" s="1842"/>
      <c r="BK65" s="1842"/>
      <c r="BL65" s="2635"/>
      <c r="BM65" s="2635"/>
      <c r="BN65" s="2635"/>
      <c r="BO65" s="2635"/>
      <c r="BP65" s="2635"/>
      <c r="BQ65" s="2636">
        <f t="shared" si="25"/>
        <v>0</v>
      </c>
    </row>
    <row r="66" spans="1:69" s="2622" customFormat="1" ht="15">
      <c r="A66" s="2704" t="s">
        <v>76</v>
      </c>
      <c r="B66" s="2705">
        <f t="shared" si="26"/>
        <v>0</v>
      </c>
      <c r="C66" s="2708"/>
      <c r="D66" s="2708"/>
      <c r="E66" s="2708"/>
      <c r="F66" s="2708"/>
      <c r="G66" s="2708"/>
      <c r="H66" s="2708"/>
      <c r="I66" s="2708"/>
      <c r="J66" s="2708"/>
      <c r="K66" s="2708"/>
      <c r="L66" s="2708"/>
      <c r="M66" s="2708"/>
      <c r="N66" s="2708"/>
      <c r="O66" s="2708"/>
      <c r="P66" s="2708"/>
      <c r="Q66" s="2708"/>
      <c r="R66" s="2708"/>
      <c r="S66" s="2708"/>
      <c r="T66" s="2708"/>
      <c r="U66" s="2708"/>
      <c r="V66" s="2708"/>
      <c r="W66" s="2708"/>
      <c r="X66" s="2708"/>
      <c r="Y66" s="2708"/>
      <c r="Z66" s="2708"/>
      <c r="AA66" s="2708"/>
      <c r="AB66" s="2708"/>
      <c r="AC66" s="2708"/>
      <c r="AD66" s="2708"/>
      <c r="AE66" s="2708"/>
      <c r="AF66" s="2708"/>
      <c r="AG66" s="2708"/>
      <c r="AH66" s="2709">
        <f t="shared" ref="AH66:AH76" si="27">SUM(C66:AG66)</f>
        <v>0</v>
      </c>
      <c r="AJ66" s="2655" t="s">
        <v>78</v>
      </c>
      <c r="AK66" s="2656">
        <f t="shared" si="24"/>
        <v>0</v>
      </c>
      <c r="AL66" s="2658"/>
      <c r="AM66" s="2635"/>
      <c r="AN66" s="2635"/>
      <c r="AO66" s="2635"/>
      <c r="AP66" s="2635"/>
      <c r="AQ66" s="2635"/>
      <c r="AR66" s="2635"/>
      <c r="AS66" s="2635"/>
      <c r="AT66" s="2635"/>
      <c r="AU66" s="2638"/>
      <c r="AV66" s="2638"/>
      <c r="AW66" s="2638"/>
      <c r="AX66" s="2638"/>
      <c r="AY66" s="2638"/>
      <c r="AZ66" s="2638"/>
      <c r="BA66" s="2638"/>
      <c r="BB66" s="2638"/>
      <c r="BC66" s="2638"/>
      <c r="BD66" s="2638"/>
      <c r="BE66" s="2638"/>
      <c r="BF66" s="2638"/>
      <c r="BG66" s="2638"/>
      <c r="BH66" s="2638"/>
      <c r="BI66" s="2638"/>
      <c r="BJ66" s="2638"/>
      <c r="BK66" s="2638"/>
      <c r="BL66" s="2638"/>
      <c r="BM66" s="2638"/>
      <c r="BN66" s="2638"/>
      <c r="BO66" s="2638"/>
      <c r="BP66" s="2638"/>
      <c r="BQ66" s="2636">
        <f t="shared" si="25"/>
        <v>0</v>
      </c>
    </row>
    <row r="67" spans="1:69" s="2622" customFormat="1" ht="15">
      <c r="A67" s="2704" t="s">
        <v>77</v>
      </c>
      <c r="B67" s="2716">
        <f t="shared" si="26"/>
        <v>0</v>
      </c>
      <c r="C67" s="2708"/>
      <c r="D67" s="2708"/>
      <c r="E67" s="2708"/>
      <c r="F67" s="2708"/>
      <c r="G67" s="2708"/>
      <c r="H67" s="2710"/>
      <c r="I67" s="2710"/>
      <c r="J67" s="2710"/>
      <c r="K67" s="2710"/>
      <c r="L67" s="2710"/>
      <c r="M67" s="2710"/>
      <c r="N67" s="2710"/>
      <c r="O67" s="2710"/>
      <c r="P67" s="2710"/>
      <c r="Q67" s="2710"/>
      <c r="R67" s="2710"/>
      <c r="S67" s="2710"/>
      <c r="T67" s="2710"/>
      <c r="U67" s="2710"/>
      <c r="V67" s="2710"/>
      <c r="W67" s="2710"/>
      <c r="X67" s="2710"/>
      <c r="Y67" s="2710"/>
      <c r="Z67" s="2710"/>
      <c r="AA67" s="2710"/>
      <c r="AB67" s="2717"/>
      <c r="AC67" s="2708"/>
      <c r="AD67" s="2710"/>
      <c r="AE67" s="2708"/>
      <c r="AF67" s="2708"/>
      <c r="AG67" s="2708"/>
      <c r="AH67" s="2709">
        <f t="shared" si="27"/>
        <v>0</v>
      </c>
      <c r="AJ67" s="2655" t="s">
        <v>79</v>
      </c>
      <c r="AK67" s="2656">
        <f t="shared" si="24"/>
        <v>0</v>
      </c>
      <c r="AL67" s="2659"/>
      <c r="AM67" s="1842"/>
      <c r="AN67" s="1842"/>
      <c r="AO67" s="1842"/>
      <c r="AP67" s="1842"/>
      <c r="AQ67" s="1842"/>
      <c r="AR67" s="1842"/>
      <c r="AS67" s="1842"/>
      <c r="AT67" s="1842"/>
      <c r="AU67" s="1842"/>
      <c r="AV67" s="1842"/>
      <c r="AW67" s="1842"/>
      <c r="AX67" s="1842"/>
      <c r="AY67" s="1842"/>
      <c r="AZ67" s="1842"/>
      <c r="BA67" s="1842"/>
      <c r="BB67" s="1842"/>
      <c r="BC67" s="1842"/>
      <c r="BD67" s="1842"/>
      <c r="BE67" s="1842"/>
      <c r="BF67" s="1842"/>
      <c r="BG67" s="1842"/>
      <c r="BH67" s="1842"/>
      <c r="BI67" s="1842"/>
      <c r="BJ67" s="1842"/>
      <c r="BK67" s="1842"/>
      <c r="BL67" s="1842"/>
      <c r="BM67" s="1842"/>
      <c r="BN67" s="1842"/>
      <c r="BO67" s="1842"/>
      <c r="BP67" s="1842"/>
      <c r="BQ67" s="2636">
        <f t="shared" si="25"/>
        <v>0</v>
      </c>
    </row>
    <row r="68" spans="1:69" s="2622" customFormat="1" ht="15">
      <c r="A68" s="2704" t="s">
        <v>78</v>
      </c>
      <c r="B68" s="2705">
        <f t="shared" si="26"/>
        <v>0</v>
      </c>
      <c r="C68" s="2708"/>
      <c r="D68" s="2708"/>
      <c r="E68" s="2708"/>
      <c r="F68" s="2708"/>
      <c r="G68" s="2708"/>
      <c r="H68" s="2708"/>
      <c r="I68" s="2708"/>
      <c r="J68" s="2708"/>
      <c r="K68" s="2708"/>
      <c r="L68" s="2712"/>
      <c r="M68" s="2712"/>
      <c r="N68" s="2718"/>
      <c r="O68" s="2712"/>
      <c r="P68" s="2712"/>
      <c r="Q68" s="2712"/>
      <c r="R68" s="2712"/>
      <c r="S68" s="2712"/>
      <c r="T68" s="2712"/>
      <c r="U68" s="2712"/>
      <c r="V68" s="2712"/>
      <c r="W68" s="2712"/>
      <c r="X68" s="2712"/>
      <c r="Y68" s="2712"/>
      <c r="Z68" s="2712"/>
      <c r="AA68" s="2712"/>
      <c r="AB68" s="2712"/>
      <c r="AC68" s="2712"/>
      <c r="AD68" s="2712"/>
      <c r="AE68" s="2712"/>
      <c r="AF68" s="2712"/>
      <c r="AG68" s="2712"/>
      <c r="AH68" s="2709">
        <f t="shared" si="27"/>
        <v>0</v>
      </c>
      <c r="AJ68" s="2655" t="s">
        <v>80</v>
      </c>
      <c r="AK68" s="2656">
        <f t="shared" si="24"/>
        <v>0</v>
      </c>
      <c r="AL68" s="2659"/>
      <c r="AM68" s="1842"/>
      <c r="AN68" s="1842"/>
      <c r="AO68" s="1842"/>
      <c r="AP68" s="1842"/>
      <c r="AQ68" s="1842"/>
      <c r="AR68" s="1842"/>
      <c r="AS68" s="1842"/>
      <c r="AT68" s="1842"/>
      <c r="AU68" s="1842"/>
      <c r="AV68" s="1842"/>
      <c r="AW68" s="1842"/>
      <c r="AX68" s="1842"/>
      <c r="AY68" s="1842"/>
      <c r="AZ68" s="1842"/>
      <c r="BA68" s="1842"/>
      <c r="BB68" s="1842"/>
      <c r="BC68" s="1842"/>
      <c r="BD68" s="1842"/>
      <c r="BE68" s="1842"/>
      <c r="BF68" s="1842"/>
      <c r="BG68" s="1842"/>
      <c r="BH68" s="1842"/>
      <c r="BI68" s="1842"/>
      <c r="BJ68" s="1842"/>
      <c r="BK68" s="1842"/>
      <c r="BL68" s="1842"/>
      <c r="BM68" s="1842"/>
      <c r="BN68" s="1842"/>
      <c r="BO68" s="1842"/>
      <c r="BP68" s="1842"/>
      <c r="BQ68" s="2636">
        <f t="shared" si="25"/>
        <v>0</v>
      </c>
    </row>
    <row r="69" spans="1:69" s="2622" customFormat="1" ht="15">
      <c r="A69" s="2704" t="s">
        <v>79</v>
      </c>
      <c r="B69" s="2705">
        <f t="shared" si="26"/>
        <v>169.036</v>
      </c>
      <c r="C69" s="2710"/>
      <c r="D69" s="2710"/>
      <c r="E69" s="2710"/>
      <c r="F69" s="2710"/>
      <c r="G69" s="2710"/>
      <c r="H69" s="2710"/>
      <c r="I69" s="2710"/>
      <c r="J69" s="2710"/>
      <c r="K69" s="2710"/>
      <c r="L69" s="2710"/>
      <c r="M69" s="2710"/>
      <c r="N69" s="2710"/>
      <c r="O69" s="2710"/>
      <c r="P69" s="2710"/>
      <c r="Q69" s="2710"/>
      <c r="R69" s="2710"/>
      <c r="S69" s="2710"/>
      <c r="T69" s="2710">
        <v>38.354999999999997</v>
      </c>
      <c r="U69" s="2710"/>
      <c r="V69" s="2710"/>
      <c r="W69" s="2710"/>
      <c r="X69" s="2710">
        <v>94.355000000000004</v>
      </c>
      <c r="Y69" s="2710"/>
      <c r="Z69" s="2710">
        <v>24.821999999999999</v>
      </c>
      <c r="AA69" s="2710"/>
      <c r="AB69" s="2710"/>
      <c r="AC69" s="2710"/>
      <c r="AD69" s="2710"/>
      <c r="AE69" s="2710">
        <v>11.504</v>
      </c>
      <c r="AF69" s="2710"/>
      <c r="AG69" s="2710"/>
      <c r="AH69" s="2709">
        <f t="shared" si="27"/>
        <v>169.036</v>
      </c>
      <c r="AJ69" s="2655" t="s">
        <v>81</v>
      </c>
      <c r="AK69" s="2656">
        <f t="shared" si="24"/>
        <v>0</v>
      </c>
      <c r="AL69" s="2659"/>
      <c r="AM69" s="2636"/>
      <c r="AN69" s="2636"/>
      <c r="AO69" s="2636"/>
      <c r="AP69" s="1842"/>
      <c r="AQ69" s="1842"/>
      <c r="AR69" s="1842"/>
      <c r="AS69" s="1842"/>
      <c r="AT69" s="1842"/>
      <c r="AU69" s="1842"/>
      <c r="AV69" s="1842"/>
      <c r="AW69" s="1842"/>
      <c r="AX69" s="1842"/>
      <c r="AY69" s="1842"/>
      <c r="AZ69" s="1842"/>
      <c r="BA69" s="1842"/>
      <c r="BB69" s="1842"/>
      <c r="BC69" s="1842"/>
      <c r="BD69" s="1842"/>
      <c r="BE69" s="1842"/>
      <c r="BF69" s="1842"/>
      <c r="BG69" s="1842"/>
      <c r="BH69" s="1842"/>
      <c r="BI69" s="1842"/>
      <c r="BJ69" s="1842"/>
      <c r="BK69" s="1842"/>
      <c r="BL69" s="1842"/>
      <c r="BM69" s="1842"/>
      <c r="BN69" s="1842"/>
      <c r="BO69" s="1842"/>
      <c r="BP69" s="1842"/>
      <c r="BQ69" s="2636">
        <f t="shared" si="25"/>
        <v>0</v>
      </c>
    </row>
    <row r="70" spans="1:69" s="2622" customFormat="1" ht="15">
      <c r="A70" s="2704" t="s">
        <v>80</v>
      </c>
      <c r="B70" s="2705">
        <f t="shared" si="26"/>
        <v>0</v>
      </c>
      <c r="C70" s="2710"/>
      <c r="D70" s="2710"/>
      <c r="E70" s="2710"/>
      <c r="F70" s="2710"/>
      <c r="G70" s="2710"/>
      <c r="H70" s="2710"/>
      <c r="I70" s="2710"/>
      <c r="J70" s="2710"/>
      <c r="K70" s="2710"/>
      <c r="L70" s="2710"/>
      <c r="M70" s="2710"/>
      <c r="N70" s="2710"/>
      <c r="O70" s="2710"/>
      <c r="P70" s="2710"/>
      <c r="Q70" s="2710"/>
      <c r="R70" s="2710"/>
      <c r="S70" s="2710"/>
      <c r="T70" s="2710"/>
      <c r="U70" s="2710"/>
      <c r="V70" s="2710"/>
      <c r="W70" s="2710"/>
      <c r="X70" s="2710"/>
      <c r="Y70" s="2710"/>
      <c r="Z70" s="2710"/>
      <c r="AA70" s="2710"/>
      <c r="AB70" s="2710"/>
      <c r="AC70" s="2710"/>
      <c r="AD70" s="2710"/>
      <c r="AE70" s="2710"/>
      <c r="AF70" s="2710"/>
      <c r="AG70" s="2710"/>
      <c r="AH70" s="2709">
        <f t="shared" si="27"/>
        <v>0</v>
      </c>
      <c r="AJ70" s="2655" t="s">
        <v>82</v>
      </c>
      <c r="AK70" s="2656">
        <f t="shared" si="24"/>
        <v>0</v>
      </c>
      <c r="AL70" s="2659"/>
      <c r="AM70" s="1842"/>
      <c r="AN70" s="1842"/>
      <c r="AO70" s="1842"/>
      <c r="AP70" s="1842"/>
      <c r="AQ70" s="1842"/>
      <c r="AR70" s="1842"/>
      <c r="AS70" s="1842"/>
      <c r="AT70" s="1842"/>
      <c r="AU70" s="1842"/>
      <c r="AV70" s="1842"/>
      <c r="AW70" s="1842"/>
      <c r="AX70" s="1842"/>
      <c r="AY70" s="1842"/>
      <c r="AZ70" s="1842"/>
      <c r="BA70" s="1842"/>
      <c r="BB70" s="1842"/>
      <c r="BC70" s="1842"/>
      <c r="BD70" s="1842"/>
      <c r="BE70" s="1842"/>
      <c r="BF70" s="1842"/>
      <c r="BG70" s="1842"/>
      <c r="BH70" s="1842"/>
      <c r="BI70" s="1842"/>
      <c r="BJ70" s="1842"/>
      <c r="BK70" s="1842"/>
      <c r="BL70" s="1842"/>
      <c r="BM70" s="1842"/>
      <c r="BN70" s="1842"/>
      <c r="BO70" s="1842"/>
      <c r="BP70" s="1842"/>
      <c r="BQ70" s="2636">
        <f t="shared" si="25"/>
        <v>0</v>
      </c>
    </row>
    <row r="71" spans="1:69" s="2622" customFormat="1" ht="15">
      <c r="A71" s="2704" t="s">
        <v>81</v>
      </c>
      <c r="B71" s="2705">
        <f t="shared" si="26"/>
        <v>0</v>
      </c>
      <c r="C71" s="2710"/>
      <c r="D71" s="2709"/>
      <c r="E71" s="2709"/>
      <c r="F71" s="2709"/>
      <c r="G71" s="2710"/>
      <c r="H71" s="2710"/>
      <c r="I71" s="2710"/>
      <c r="J71" s="2710"/>
      <c r="K71" s="2710"/>
      <c r="L71" s="2710"/>
      <c r="M71" s="2710"/>
      <c r="N71" s="2710"/>
      <c r="O71" s="2710"/>
      <c r="P71" s="2710"/>
      <c r="Q71" s="2710"/>
      <c r="R71" s="2710"/>
      <c r="S71" s="2710"/>
      <c r="T71" s="2710"/>
      <c r="U71" s="2710"/>
      <c r="V71" s="2710"/>
      <c r="W71" s="2710"/>
      <c r="X71" s="2710"/>
      <c r="Y71" s="2710"/>
      <c r="Z71" s="2710"/>
      <c r="AA71" s="2710"/>
      <c r="AB71" s="2710"/>
      <c r="AC71" s="2710"/>
      <c r="AD71" s="2710"/>
      <c r="AE71" s="2710"/>
      <c r="AF71" s="2710"/>
      <c r="AG71" s="2710"/>
      <c r="AH71" s="2709">
        <f t="shared" si="27"/>
        <v>0</v>
      </c>
      <c r="AJ71" s="2655" t="s">
        <v>83</v>
      </c>
      <c r="AK71" s="2656">
        <f t="shared" si="24"/>
        <v>0</v>
      </c>
      <c r="AL71" s="2659"/>
      <c r="AM71" s="1842"/>
      <c r="AN71" s="1842"/>
      <c r="AO71" s="1842"/>
      <c r="AP71" s="1842"/>
      <c r="AQ71" s="1842"/>
      <c r="AR71" s="1842"/>
      <c r="AS71" s="1842"/>
      <c r="AT71" s="1842"/>
      <c r="AU71" s="1842"/>
      <c r="AV71" s="1842"/>
      <c r="AW71" s="1842"/>
      <c r="AX71" s="1842"/>
      <c r="AY71" s="1842"/>
      <c r="AZ71" s="1842"/>
      <c r="BA71" s="1842"/>
      <c r="BB71" s="1842"/>
      <c r="BC71" s="1842"/>
      <c r="BD71" s="1842"/>
      <c r="BE71" s="1842"/>
      <c r="BF71" s="1842"/>
      <c r="BG71" s="1842"/>
      <c r="BH71" s="1842"/>
      <c r="BI71" s="1842"/>
      <c r="BJ71" s="1842"/>
      <c r="BK71" s="1842"/>
      <c r="BL71" s="1842"/>
      <c r="BM71" s="1842"/>
      <c r="BN71" s="1842"/>
      <c r="BO71" s="1842"/>
      <c r="BP71" s="1842"/>
      <c r="BQ71" s="2636">
        <f t="shared" si="25"/>
        <v>0</v>
      </c>
    </row>
    <row r="72" spans="1:69" s="2622" customFormat="1" ht="15">
      <c r="A72" s="2704" t="s">
        <v>82</v>
      </c>
      <c r="B72" s="2705">
        <f t="shared" si="26"/>
        <v>0</v>
      </c>
      <c r="C72" s="2710"/>
      <c r="D72" s="2710"/>
      <c r="E72" s="2710"/>
      <c r="F72" s="2710"/>
      <c r="G72" s="2710"/>
      <c r="H72" s="2710"/>
      <c r="I72" s="2710"/>
      <c r="J72" s="2710"/>
      <c r="K72" s="2710"/>
      <c r="L72" s="2710"/>
      <c r="M72" s="2710"/>
      <c r="N72" s="2710"/>
      <c r="O72" s="2710"/>
      <c r="P72" s="2710"/>
      <c r="Q72" s="2710"/>
      <c r="R72" s="2710"/>
      <c r="S72" s="2710"/>
      <c r="T72" s="2710"/>
      <c r="U72" s="2710"/>
      <c r="V72" s="2710"/>
      <c r="W72" s="2710"/>
      <c r="X72" s="2710"/>
      <c r="Y72" s="2710"/>
      <c r="Z72" s="2710"/>
      <c r="AA72" s="2710"/>
      <c r="AB72" s="2710"/>
      <c r="AC72" s="2710"/>
      <c r="AD72" s="2710"/>
      <c r="AE72" s="2710"/>
      <c r="AF72" s="2710"/>
      <c r="AG72" s="2710"/>
      <c r="AH72" s="2709">
        <f t="shared" si="27"/>
        <v>0</v>
      </c>
      <c r="AJ72" s="2655" t="s">
        <v>84</v>
      </c>
      <c r="AK72" s="2656">
        <f t="shared" si="24"/>
        <v>0</v>
      </c>
      <c r="AL72" s="2659"/>
      <c r="AM72" s="1842"/>
      <c r="AN72" s="1842"/>
      <c r="AO72" s="1842"/>
      <c r="AP72" s="1842"/>
      <c r="AQ72" s="1842"/>
      <c r="AR72" s="1842"/>
      <c r="AS72" s="1842"/>
      <c r="AT72" s="1842"/>
      <c r="AU72" s="1842"/>
      <c r="AV72" s="1842"/>
      <c r="AW72" s="1842"/>
      <c r="AX72" s="1842"/>
      <c r="AY72" s="1842"/>
      <c r="AZ72" s="1842"/>
      <c r="BA72" s="1842"/>
      <c r="BB72" s="1842"/>
      <c r="BC72" s="1842"/>
      <c r="BD72" s="1842"/>
      <c r="BE72" s="1842"/>
      <c r="BF72" s="1842"/>
      <c r="BG72" s="1842"/>
      <c r="BH72" s="1842"/>
      <c r="BI72" s="1842"/>
      <c r="BJ72" s="1842"/>
      <c r="BK72" s="1842"/>
      <c r="BL72" s="1842"/>
      <c r="BM72" s="1842"/>
      <c r="BN72" s="2636"/>
      <c r="BO72" s="1842"/>
      <c r="BP72" s="2636"/>
      <c r="BQ72" s="2636">
        <f t="shared" si="25"/>
        <v>0</v>
      </c>
    </row>
    <row r="73" spans="1:69" s="2622" customFormat="1" ht="15">
      <c r="A73" s="2704" t="s">
        <v>83</v>
      </c>
      <c r="B73" s="2705">
        <f t="shared" si="26"/>
        <v>0</v>
      </c>
      <c r="C73" s="2710"/>
      <c r="D73" s="2710"/>
      <c r="E73" s="2710"/>
      <c r="F73" s="2710"/>
      <c r="G73" s="2710"/>
      <c r="H73" s="2710"/>
      <c r="I73" s="2710"/>
      <c r="J73" s="2710"/>
      <c r="K73" s="2710"/>
      <c r="L73" s="2710"/>
      <c r="M73" s="2710"/>
      <c r="N73" s="2710"/>
      <c r="O73" s="2710"/>
      <c r="P73" s="2710"/>
      <c r="Q73" s="2710"/>
      <c r="R73" s="2710"/>
      <c r="S73" s="2710"/>
      <c r="T73" s="2710"/>
      <c r="U73" s="2710"/>
      <c r="V73" s="2710"/>
      <c r="W73" s="2710"/>
      <c r="X73" s="2710"/>
      <c r="Y73" s="2710"/>
      <c r="Z73" s="2710"/>
      <c r="AA73" s="2710"/>
      <c r="AB73" s="2710"/>
      <c r="AC73" s="2710"/>
      <c r="AD73" s="2710"/>
      <c r="AE73" s="2710"/>
      <c r="AF73" s="2710"/>
      <c r="AG73" s="2710"/>
      <c r="AH73" s="2709">
        <f t="shared" si="27"/>
        <v>0</v>
      </c>
      <c r="AJ73" s="2655" t="s">
        <v>85</v>
      </c>
      <c r="AK73" s="2656">
        <f t="shared" si="24"/>
        <v>0</v>
      </c>
      <c r="AL73" s="2659"/>
      <c r="AM73" s="1842"/>
      <c r="AN73" s="1842"/>
      <c r="AO73" s="1842"/>
      <c r="AP73" s="2639"/>
      <c r="AQ73" s="1842"/>
      <c r="AR73" s="1842"/>
      <c r="AS73" s="1842"/>
      <c r="AT73" s="1842"/>
      <c r="AU73" s="1842"/>
      <c r="AV73" s="1842"/>
      <c r="AW73" s="1842"/>
      <c r="AX73" s="1842"/>
      <c r="AY73" s="1842"/>
      <c r="AZ73" s="1842"/>
      <c r="BA73" s="1842"/>
      <c r="BB73" s="1842"/>
      <c r="BC73" s="1842"/>
      <c r="BD73" s="1842"/>
      <c r="BE73" s="1842"/>
      <c r="BF73" s="1842"/>
      <c r="BG73" s="1842"/>
      <c r="BH73" s="1842"/>
      <c r="BI73" s="1842"/>
      <c r="BJ73" s="1842"/>
      <c r="BK73" s="1842"/>
      <c r="BL73" s="1842"/>
      <c r="BM73" s="1842"/>
      <c r="BN73" s="2636"/>
      <c r="BO73" s="1842"/>
      <c r="BP73" s="2636"/>
      <c r="BQ73" s="2636">
        <f t="shared" si="25"/>
        <v>0</v>
      </c>
    </row>
    <row r="74" spans="1:69" s="2622" customFormat="1" ht="15">
      <c r="A74" s="2704" t="s">
        <v>84</v>
      </c>
      <c r="B74" s="2705">
        <f t="shared" si="26"/>
        <v>1.44</v>
      </c>
      <c r="C74" s="2710"/>
      <c r="D74" s="2710"/>
      <c r="E74" s="2710"/>
      <c r="F74" s="2710"/>
      <c r="G74" s="2710"/>
      <c r="H74" s="2710"/>
      <c r="I74" s="2710"/>
      <c r="J74" s="2710"/>
      <c r="K74" s="2710"/>
      <c r="L74" s="2710"/>
      <c r="M74" s="2710"/>
      <c r="N74" s="2710"/>
      <c r="O74" s="2710"/>
      <c r="P74" s="2710"/>
      <c r="Q74" s="2710"/>
      <c r="R74" s="2710"/>
      <c r="S74" s="2710"/>
      <c r="T74" s="2710"/>
      <c r="U74" s="2710"/>
      <c r="V74" s="2710"/>
      <c r="W74" s="2710"/>
      <c r="X74" s="2710"/>
      <c r="Y74" s="2710">
        <v>1.44</v>
      </c>
      <c r="Z74" s="2710"/>
      <c r="AA74" s="2710"/>
      <c r="AB74" s="2710"/>
      <c r="AC74" s="2710"/>
      <c r="AD74" s="2710"/>
      <c r="AE74" s="2709"/>
      <c r="AF74" s="2710"/>
      <c r="AG74" s="2709"/>
      <c r="AH74" s="2709">
        <f t="shared" si="27"/>
        <v>1.44</v>
      </c>
      <c r="AJ74" s="2655" t="s">
        <v>86</v>
      </c>
      <c r="AK74" s="2656">
        <f t="shared" si="24"/>
        <v>0</v>
      </c>
      <c r="AL74" s="2659"/>
      <c r="AM74" s="1842"/>
      <c r="AN74" s="1842"/>
      <c r="AO74" s="1842"/>
      <c r="AP74" s="1842"/>
      <c r="AQ74" s="1842"/>
      <c r="AR74" s="1842"/>
      <c r="AS74" s="1842"/>
      <c r="AT74" s="1842"/>
      <c r="AU74" s="1842"/>
      <c r="AV74" s="1842"/>
      <c r="AW74" s="1842"/>
      <c r="AX74" s="1842"/>
      <c r="AY74" s="1842"/>
      <c r="AZ74" s="1842"/>
      <c r="BA74" s="1842"/>
      <c r="BB74" s="1842"/>
      <c r="BC74" s="1842"/>
      <c r="BD74" s="1842"/>
      <c r="BE74" s="1842"/>
      <c r="BF74" s="1842"/>
      <c r="BG74" s="1842"/>
      <c r="BH74" s="1842"/>
      <c r="BI74" s="1842"/>
      <c r="BJ74" s="1842"/>
      <c r="BK74" s="1842"/>
      <c r="BL74" s="1842"/>
      <c r="BM74" s="1842"/>
      <c r="BN74" s="1842"/>
      <c r="BO74" s="1842"/>
      <c r="BP74" s="1842"/>
      <c r="BQ74" s="2636">
        <f t="shared" si="25"/>
        <v>0</v>
      </c>
    </row>
    <row r="75" spans="1:69" s="2622" customFormat="1" ht="15">
      <c r="A75" s="2704" t="s">
        <v>85</v>
      </c>
      <c r="B75" s="2705">
        <f t="shared" si="26"/>
        <v>7.2830000000000004</v>
      </c>
      <c r="C75" s="2710"/>
      <c r="D75" s="2710"/>
      <c r="E75" s="2710"/>
      <c r="F75" s="2710"/>
      <c r="G75" s="2713"/>
      <c r="H75" s="2710"/>
      <c r="I75" s="2710"/>
      <c r="J75" s="2710"/>
      <c r="K75" s="2710"/>
      <c r="L75" s="2710"/>
      <c r="M75" s="2710">
        <v>7.2830000000000004</v>
      </c>
      <c r="N75" s="2710"/>
      <c r="O75" s="2710"/>
      <c r="P75" s="2710"/>
      <c r="Q75" s="2710"/>
      <c r="R75" s="2710"/>
      <c r="S75" s="2710"/>
      <c r="T75" s="2710"/>
      <c r="U75" s="2710"/>
      <c r="V75" s="2710"/>
      <c r="W75" s="2710"/>
      <c r="X75" s="2710"/>
      <c r="Y75" s="2710"/>
      <c r="Z75" s="2710"/>
      <c r="AA75" s="2710"/>
      <c r="AB75" s="2710"/>
      <c r="AC75" s="2710"/>
      <c r="AD75" s="2710"/>
      <c r="AE75" s="2709"/>
      <c r="AF75" s="2710"/>
      <c r="AG75" s="2709"/>
      <c r="AH75" s="2709">
        <f t="shared" si="27"/>
        <v>7.2830000000000004</v>
      </c>
      <c r="AJ75" s="2660" t="s">
        <v>74</v>
      </c>
      <c r="AK75" s="2661">
        <f t="shared" ref="AK75:BA75" si="28">SUM(AK63:AK74)</f>
        <v>0</v>
      </c>
      <c r="AL75" s="2656">
        <f t="shared" si="28"/>
        <v>0</v>
      </c>
      <c r="AM75" s="2633">
        <f t="shared" si="28"/>
        <v>0</v>
      </c>
      <c r="AN75" s="2633">
        <f t="shared" si="28"/>
        <v>0</v>
      </c>
      <c r="AO75" s="2633">
        <f t="shared" si="28"/>
        <v>0</v>
      </c>
      <c r="AP75" s="2633">
        <f t="shared" si="28"/>
        <v>0</v>
      </c>
      <c r="AQ75" s="2633">
        <f t="shared" si="28"/>
        <v>0</v>
      </c>
      <c r="AR75" s="2633">
        <f t="shared" si="28"/>
        <v>0</v>
      </c>
      <c r="AS75" s="2633">
        <f t="shared" si="28"/>
        <v>0</v>
      </c>
      <c r="AT75" s="2633">
        <f t="shared" si="28"/>
        <v>0</v>
      </c>
      <c r="AU75" s="2633">
        <f t="shared" si="28"/>
        <v>0</v>
      </c>
      <c r="AV75" s="2633">
        <f t="shared" si="28"/>
        <v>0</v>
      </c>
      <c r="AW75" s="2633">
        <f t="shared" si="28"/>
        <v>0</v>
      </c>
      <c r="AX75" s="2633">
        <f t="shared" si="28"/>
        <v>0</v>
      </c>
      <c r="AY75" s="2633">
        <f t="shared" si="28"/>
        <v>0</v>
      </c>
      <c r="AZ75" s="2633">
        <f t="shared" si="28"/>
        <v>0</v>
      </c>
      <c r="BA75" s="2633">
        <f t="shared" si="28"/>
        <v>0</v>
      </c>
      <c r="BB75" s="2636">
        <f t="shared" ref="BB75:BL75" si="29">SUM(BB63:BB73)</f>
        <v>0</v>
      </c>
      <c r="BC75" s="2636">
        <f t="shared" si="29"/>
        <v>0</v>
      </c>
      <c r="BD75" s="2636">
        <f t="shared" si="29"/>
        <v>0</v>
      </c>
      <c r="BE75" s="2636">
        <f t="shared" si="29"/>
        <v>0</v>
      </c>
      <c r="BF75" s="2636">
        <f t="shared" si="29"/>
        <v>0</v>
      </c>
      <c r="BG75" s="2636">
        <f t="shared" si="29"/>
        <v>0</v>
      </c>
      <c r="BH75" s="2636">
        <f t="shared" si="29"/>
        <v>0</v>
      </c>
      <c r="BI75" s="2636">
        <f t="shared" si="29"/>
        <v>0</v>
      </c>
      <c r="BJ75" s="2636">
        <f t="shared" si="29"/>
        <v>0</v>
      </c>
      <c r="BK75" s="2636">
        <f t="shared" si="29"/>
        <v>0</v>
      </c>
      <c r="BL75" s="2636">
        <f t="shared" si="29"/>
        <v>0</v>
      </c>
      <c r="BM75" s="2636">
        <v>0</v>
      </c>
      <c r="BN75" s="2636">
        <f>SUM(BN63:BN73)</f>
        <v>0</v>
      </c>
      <c r="BO75" s="2636">
        <f>SUM(BO63:BO73)</f>
        <v>0</v>
      </c>
      <c r="BP75" s="2636">
        <f>SUM(BP63:BP73)</f>
        <v>0</v>
      </c>
      <c r="BQ75" s="2636">
        <f>SUM(BQ63:BQ73)</f>
        <v>0</v>
      </c>
    </row>
    <row r="76" spans="1:69" s="2622" customFormat="1" ht="16.5" customHeight="1">
      <c r="A76" s="2704" t="s">
        <v>86</v>
      </c>
      <c r="B76" s="2705">
        <f t="shared" si="26"/>
        <v>0</v>
      </c>
      <c r="C76" s="2710"/>
      <c r="D76" s="2710"/>
      <c r="E76" s="2710"/>
      <c r="F76" s="2710"/>
      <c r="G76" s="2710"/>
      <c r="H76" s="2710"/>
      <c r="I76" s="2710"/>
      <c r="J76" s="2710"/>
      <c r="K76" s="2710"/>
      <c r="L76" s="2710"/>
      <c r="M76" s="2710"/>
      <c r="N76" s="2710"/>
      <c r="O76" s="2710"/>
      <c r="P76" s="2710"/>
      <c r="Q76" s="2710"/>
      <c r="R76" s="2710"/>
      <c r="S76" s="2710"/>
      <c r="T76" s="2710"/>
      <c r="U76" s="2710"/>
      <c r="V76" s="2710"/>
      <c r="W76" s="2710"/>
      <c r="X76" s="2710"/>
      <c r="Y76" s="2710"/>
      <c r="Z76" s="2710"/>
      <c r="AA76" s="2710"/>
      <c r="AB76" s="2710"/>
      <c r="AC76" s="2710"/>
      <c r="AD76" s="2710"/>
      <c r="AE76" s="2710"/>
      <c r="AF76" s="2710"/>
      <c r="AG76" s="2710"/>
      <c r="AH76" s="2709">
        <f t="shared" si="27"/>
        <v>0</v>
      </c>
      <c r="AJ76" s="2662"/>
      <c r="AK76" s="2662"/>
      <c r="AL76" s="2662"/>
      <c r="AM76" s="2630"/>
      <c r="AN76" s="2630"/>
      <c r="AO76" s="2630"/>
      <c r="AP76" s="2630"/>
      <c r="AQ76" s="2630"/>
      <c r="AR76" s="2630"/>
      <c r="AS76" s="2630"/>
      <c r="AT76" s="2630"/>
      <c r="AU76" s="2630"/>
      <c r="AV76" s="2630"/>
      <c r="AW76" s="2630"/>
      <c r="AX76" s="2630"/>
      <c r="AY76" s="2630"/>
      <c r="AZ76" s="2630"/>
      <c r="BA76" s="2630"/>
      <c r="BB76" s="2630"/>
      <c r="BC76" s="2630"/>
      <c r="BD76" s="2630"/>
      <c r="BE76" s="2630"/>
      <c r="BF76" s="2630"/>
      <c r="BG76" s="2630"/>
      <c r="BH76" s="2630"/>
      <c r="BI76" s="2630"/>
      <c r="BJ76" s="2630"/>
      <c r="BK76" s="2630"/>
      <c r="BL76" s="2630"/>
      <c r="BM76" s="2630"/>
      <c r="BN76" s="2630"/>
      <c r="BO76" s="2630"/>
      <c r="BP76" s="2630"/>
      <c r="BQ76" s="2630"/>
    </row>
    <row r="77" spans="1:69" s="2622" customFormat="1" ht="15.75" thickBot="1">
      <c r="A77" s="2714" t="s">
        <v>74</v>
      </c>
      <c r="B77" s="2715">
        <f t="shared" ref="B77:R77" si="30">SUM(B65:B76)</f>
        <v>177.75899999999999</v>
      </c>
      <c r="C77" s="2705">
        <f t="shared" si="30"/>
        <v>0</v>
      </c>
      <c r="D77" s="2705">
        <f t="shared" si="30"/>
        <v>0</v>
      </c>
      <c r="E77" s="2705">
        <f t="shared" si="30"/>
        <v>0</v>
      </c>
      <c r="F77" s="2705">
        <f t="shared" si="30"/>
        <v>0</v>
      </c>
      <c r="G77" s="2705">
        <f t="shared" si="30"/>
        <v>0</v>
      </c>
      <c r="H77" s="2705">
        <f t="shared" si="30"/>
        <v>0</v>
      </c>
      <c r="I77" s="2705">
        <f t="shared" si="30"/>
        <v>0</v>
      </c>
      <c r="J77" s="2705">
        <f t="shared" si="30"/>
        <v>0</v>
      </c>
      <c r="K77" s="2705">
        <f t="shared" si="30"/>
        <v>0</v>
      </c>
      <c r="L77" s="2705">
        <f t="shared" si="30"/>
        <v>0</v>
      </c>
      <c r="M77" s="2705">
        <f t="shared" si="30"/>
        <v>7.2830000000000004</v>
      </c>
      <c r="N77" s="2705">
        <f t="shared" si="30"/>
        <v>0</v>
      </c>
      <c r="O77" s="2705">
        <f t="shared" si="30"/>
        <v>0</v>
      </c>
      <c r="P77" s="2705">
        <f t="shared" si="30"/>
        <v>0</v>
      </c>
      <c r="Q77" s="2705">
        <f t="shared" si="30"/>
        <v>0</v>
      </c>
      <c r="R77" s="2705">
        <f t="shared" si="30"/>
        <v>0</v>
      </c>
      <c r="S77" s="2709">
        <f t="shared" ref="S77:AC77" si="31">SUM(S65:S75)</f>
        <v>0</v>
      </c>
      <c r="T77" s="2709">
        <f t="shared" si="31"/>
        <v>38.354999999999997</v>
      </c>
      <c r="U77" s="2709">
        <f t="shared" si="31"/>
        <v>0</v>
      </c>
      <c r="V77" s="2709">
        <f t="shared" si="31"/>
        <v>0</v>
      </c>
      <c r="W77" s="2709">
        <f t="shared" si="31"/>
        <v>0</v>
      </c>
      <c r="X77" s="2709">
        <f t="shared" si="31"/>
        <v>94.355000000000004</v>
      </c>
      <c r="Y77" s="2709">
        <f t="shared" si="31"/>
        <v>1.44</v>
      </c>
      <c r="Z77" s="2709">
        <f t="shared" si="31"/>
        <v>24.821999999999999</v>
      </c>
      <c r="AA77" s="2709">
        <f t="shared" si="31"/>
        <v>0</v>
      </c>
      <c r="AB77" s="2709">
        <f t="shared" si="31"/>
        <v>0</v>
      </c>
      <c r="AC77" s="2709">
        <f t="shared" si="31"/>
        <v>0</v>
      </c>
      <c r="AD77" s="2709">
        <v>0</v>
      </c>
      <c r="AE77" s="2709">
        <f>SUM(AE65:AE75)</f>
        <v>11.504</v>
      </c>
      <c r="AF77" s="2709">
        <f>SUM(AF65:AF75)</f>
        <v>0</v>
      </c>
      <c r="AG77" s="2709">
        <f>SUM(AG65:AG75)</f>
        <v>0</v>
      </c>
      <c r="AH77" s="2709">
        <f>SUM(AH65:AH75)</f>
        <v>177.75899999999999</v>
      </c>
      <c r="AJ77" s="2662"/>
      <c r="AK77" s="2662"/>
      <c r="AL77" s="2662"/>
      <c r="AM77" s="2630"/>
      <c r="AN77" s="2630"/>
      <c r="AO77" s="2630"/>
      <c r="AP77" s="2630"/>
      <c r="AQ77" s="2630"/>
      <c r="AR77" s="2630"/>
      <c r="AS77" s="2630"/>
      <c r="AT77" s="2630"/>
      <c r="AU77" s="2630"/>
      <c r="AV77" s="2630"/>
      <c r="AW77" s="2630"/>
      <c r="AX77" s="2630"/>
      <c r="AY77" s="2630"/>
      <c r="AZ77" s="2630"/>
      <c r="BA77" s="2630"/>
      <c r="BB77" s="2630"/>
      <c r="BC77" s="2630"/>
      <c r="BD77" s="2630"/>
      <c r="BE77" s="2630"/>
      <c r="BF77" s="2630"/>
      <c r="BG77" s="2630"/>
      <c r="BH77" s="2630"/>
      <c r="BI77" s="2630"/>
      <c r="BJ77" s="2630"/>
      <c r="BK77" s="2630"/>
      <c r="BL77" s="2630"/>
      <c r="BM77" s="2630"/>
      <c r="BN77" s="2630"/>
      <c r="BO77" s="2630"/>
      <c r="BP77" s="2630"/>
      <c r="BQ77" s="2630"/>
    </row>
    <row r="78" spans="1:69" s="2622" customFormat="1" ht="15.75" thickBot="1">
      <c r="A78" s="2701"/>
      <c r="B78" s="2701"/>
      <c r="C78" s="2701"/>
      <c r="D78" s="2701"/>
      <c r="E78" s="2701"/>
      <c r="F78" s="2701"/>
      <c r="G78" s="2701"/>
      <c r="H78" s="2701"/>
      <c r="I78" s="2701"/>
      <c r="J78" s="2701"/>
      <c r="K78" s="2701"/>
      <c r="L78" s="2701"/>
      <c r="M78" s="2701"/>
      <c r="N78" s="2701"/>
      <c r="O78" s="2701"/>
      <c r="P78" s="2701"/>
      <c r="Q78" s="2701"/>
      <c r="R78" s="2701"/>
      <c r="S78" s="2701"/>
      <c r="T78" s="2701"/>
      <c r="U78" s="2701"/>
      <c r="V78" s="2701"/>
      <c r="W78" s="2701"/>
      <c r="X78" s="2701"/>
      <c r="Y78" s="2701"/>
      <c r="Z78" s="2701"/>
      <c r="AA78" s="2701"/>
      <c r="AB78" s="2701"/>
      <c r="AC78" s="2701"/>
      <c r="AD78" s="2701"/>
      <c r="AE78" s="2701"/>
      <c r="AF78" s="2701"/>
      <c r="AG78" s="2701"/>
      <c r="AH78" s="2701"/>
      <c r="AJ78" s="2663" t="s">
        <v>996</v>
      </c>
      <c r="AK78" s="2664"/>
      <c r="AL78" s="2664"/>
      <c r="AM78" s="2640"/>
      <c r="AN78" s="2640"/>
      <c r="AO78" s="3888" t="s">
        <v>155</v>
      </c>
      <c r="AP78" s="3889"/>
      <c r="AQ78" s="3890"/>
      <c r="AR78" s="3888" t="s">
        <v>156</v>
      </c>
      <c r="AS78" s="3891"/>
      <c r="AT78" s="3892" t="s">
        <v>912</v>
      </c>
      <c r="AU78" s="3892" t="s">
        <v>913</v>
      </c>
      <c r="AV78" s="2630"/>
      <c r="AW78" s="2630"/>
      <c r="AX78" s="2630"/>
      <c r="AY78" s="2630"/>
      <c r="AZ78" s="2630"/>
      <c r="BA78" s="2630"/>
      <c r="BB78" s="2630"/>
      <c r="BC78" s="2630"/>
      <c r="BD78" s="2630"/>
      <c r="BE78" s="2630"/>
      <c r="BF78" s="2630"/>
      <c r="BG78" s="2630"/>
      <c r="BH78" s="2630"/>
      <c r="BI78" s="2630"/>
      <c r="BJ78" s="2630"/>
      <c r="BK78" s="2630"/>
      <c r="BL78" s="2630"/>
      <c r="BM78" s="2630"/>
      <c r="BN78" s="2630"/>
      <c r="BO78" s="2630"/>
      <c r="BP78" s="2630"/>
      <c r="BQ78" s="2630"/>
    </row>
    <row r="79" spans="1:69" s="2622" customFormat="1" ht="13.5" thickBot="1">
      <c r="A79" s="2701"/>
      <c r="B79" s="2701"/>
      <c r="C79" s="2701"/>
      <c r="D79" s="2701"/>
      <c r="E79" s="2701"/>
      <c r="F79" s="2701"/>
      <c r="G79" s="2701"/>
      <c r="H79" s="2701"/>
      <c r="I79" s="2701"/>
      <c r="J79" s="2701"/>
      <c r="K79" s="2701"/>
      <c r="L79" s="2701"/>
      <c r="M79" s="2701"/>
      <c r="N79" s="2701"/>
      <c r="O79" s="2701"/>
      <c r="P79" s="2701"/>
      <c r="Q79" s="2701"/>
      <c r="R79" s="2701"/>
      <c r="S79" s="2701"/>
      <c r="T79" s="2701"/>
      <c r="U79" s="2701"/>
      <c r="V79" s="2701"/>
      <c r="W79" s="2701"/>
      <c r="X79" s="2701"/>
      <c r="Y79" s="2701"/>
      <c r="Z79" s="2701"/>
      <c r="AA79" s="2701"/>
      <c r="AB79" s="2701"/>
      <c r="AC79" s="2701"/>
      <c r="AD79" s="2701"/>
      <c r="AE79" s="2701"/>
      <c r="AF79" s="2701"/>
      <c r="AG79" s="2701"/>
      <c r="AH79" s="2701"/>
      <c r="AJ79" s="2665" t="s">
        <v>158</v>
      </c>
      <c r="AK79" s="2666" t="s">
        <v>159</v>
      </c>
      <c r="AL79" s="2667" t="s">
        <v>136</v>
      </c>
      <c r="AM79" s="2642" t="s">
        <v>134</v>
      </c>
      <c r="AN79" s="2641" t="s">
        <v>160</v>
      </c>
      <c r="AO79" s="2643" t="s">
        <v>8</v>
      </c>
      <c r="AP79" s="2644" t="s">
        <v>161</v>
      </c>
      <c r="AQ79" s="2645" t="s">
        <v>52</v>
      </c>
      <c r="AR79" s="2643" t="s">
        <v>8</v>
      </c>
      <c r="AS79" s="2646" t="s">
        <v>162</v>
      </c>
      <c r="AT79" s="3893"/>
      <c r="AU79" s="3893"/>
      <c r="AV79" s="2630"/>
      <c r="AW79" s="2630"/>
      <c r="AX79" s="2630"/>
      <c r="AY79" s="2630"/>
      <c r="AZ79" s="2630"/>
      <c r="BA79" s="2630"/>
      <c r="BB79" s="2630"/>
      <c r="BC79" s="2630"/>
      <c r="BD79" s="2630"/>
      <c r="BE79" s="2630"/>
      <c r="BF79" s="2630"/>
      <c r="BG79" s="2630"/>
      <c r="BH79" s="2630"/>
      <c r="BI79" s="2630"/>
      <c r="BJ79" s="2630"/>
      <c r="BK79" s="2630"/>
      <c r="BL79" s="2630"/>
      <c r="BM79" s="2630"/>
      <c r="BN79" s="2630"/>
      <c r="BO79" s="2630"/>
      <c r="BP79" s="2630"/>
      <c r="BQ79" s="2630"/>
    </row>
    <row r="80" spans="1:69" s="2622" customFormat="1" ht="24" thickBot="1">
      <c r="A80" s="2701"/>
      <c r="B80" s="2701"/>
      <c r="C80" s="2701"/>
      <c r="D80" s="2701"/>
      <c r="E80" s="2701"/>
      <c r="F80" s="2701"/>
      <c r="G80" s="2701"/>
      <c r="H80" s="2701"/>
      <c r="I80" s="2701"/>
      <c r="J80" s="2701"/>
      <c r="K80" s="2701"/>
      <c r="L80" s="2701"/>
      <c r="M80" s="2701"/>
      <c r="N80" s="2701"/>
      <c r="O80" s="2701"/>
      <c r="P80" s="2701"/>
      <c r="Q80" s="2701"/>
      <c r="R80" s="2701"/>
      <c r="S80" s="2701"/>
      <c r="T80" s="2701"/>
      <c r="U80" s="2701"/>
      <c r="V80" s="2701"/>
      <c r="W80" s="2701"/>
      <c r="X80" s="2701"/>
      <c r="Y80" s="2701"/>
      <c r="Z80" s="2701"/>
      <c r="AA80" s="2701"/>
      <c r="AB80" s="2701"/>
      <c r="AC80" s="2701"/>
      <c r="AD80" s="2701"/>
      <c r="AE80" s="2701"/>
      <c r="AF80" s="2701"/>
      <c r="AG80" s="2701"/>
      <c r="AH80" s="2701"/>
      <c r="AJ80" s="2668"/>
      <c r="AK80" s="2669"/>
      <c r="AL80" s="2670"/>
      <c r="AM80" s="2654" t="s">
        <v>266</v>
      </c>
      <c r="AN80" s="2649"/>
      <c r="AO80" s="2650">
        <v>5</v>
      </c>
      <c r="AP80" s="2650">
        <v>495</v>
      </c>
      <c r="AQ80" s="2651">
        <f>SUM(AO80:AP80)</f>
        <v>500</v>
      </c>
      <c r="AR80" s="2637">
        <f>(AK58)</f>
        <v>0</v>
      </c>
      <c r="AS80" s="2637">
        <f>(AK75)</f>
        <v>0</v>
      </c>
      <c r="AT80" s="2652">
        <f>+AO80-AR80</f>
        <v>5</v>
      </c>
      <c r="AU80" s="2652">
        <f>+AP80-AS80</f>
        <v>495</v>
      </c>
      <c r="AV80" s="2630"/>
      <c r="AW80" s="2630"/>
      <c r="AX80" s="2630"/>
      <c r="AY80" s="2630"/>
      <c r="AZ80" s="2630"/>
      <c r="BA80" s="2630"/>
      <c r="BB80" s="2630"/>
      <c r="BC80" s="2630"/>
      <c r="BD80" s="2630"/>
      <c r="BE80" s="2630"/>
      <c r="BF80" s="2630"/>
      <c r="BG80" s="2630"/>
      <c r="BH80" s="2630"/>
      <c r="BI80" s="2630"/>
      <c r="BJ80" s="2630"/>
      <c r="BK80" s="2630"/>
      <c r="BL80" s="2630"/>
      <c r="BM80" s="2630"/>
      <c r="BN80" s="2630"/>
      <c r="BO80" s="2630"/>
      <c r="BP80" s="2630"/>
      <c r="BQ80" s="2630"/>
    </row>
    <row r="81" spans="1:69" s="2622" customFormat="1" ht="15.75" thickBot="1">
      <c r="A81" s="2719"/>
      <c r="B81" s="2720"/>
      <c r="C81" s="2720"/>
      <c r="D81" s="2720"/>
      <c r="E81" s="2720"/>
      <c r="F81" s="3847" t="s">
        <v>155</v>
      </c>
      <c r="G81" s="3852"/>
      <c r="H81" s="3853"/>
      <c r="I81" s="3847" t="s">
        <v>156</v>
      </c>
      <c r="J81" s="3848"/>
      <c r="K81" s="3841" t="s">
        <v>912</v>
      </c>
      <c r="L81" s="3841" t="s">
        <v>913</v>
      </c>
      <c r="M81" s="2701"/>
      <c r="N81" s="2701"/>
      <c r="O81" s="2701"/>
      <c r="P81" s="2701"/>
      <c r="Q81" s="2701"/>
      <c r="R81" s="2701"/>
      <c r="S81" s="2701"/>
      <c r="T81" s="2701"/>
      <c r="U81" s="2701"/>
      <c r="V81" s="2701"/>
      <c r="W81" s="2701"/>
      <c r="X81" s="2701"/>
      <c r="Y81" s="2701"/>
      <c r="Z81" s="2701"/>
      <c r="AA81" s="2701"/>
      <c r="AB81" s="2701"/>
      <c r="AC81" s="2701"/>
      <c r="AD81" s="2701"/>
      <c r="AE81" s="2701"/>
      <c r="AF81" s="2701"/>
      <c r="AG81" s="2701"/>
      <c r="AH81" s="2701"/>
      <c r="AJ81" s="2668"/>
      <c r="AK81" s="2669"/>
      <c r="AL81" s="2670"/>
      <c r="AM81" s="2650"/>
      <c r="AN81" s="2649"/>
      <c r="AO81" s="2647"/>
      <c r="AP81" s="2650"/>
      <c r="AQ81" s="2651">
        <f>SUM(AO81:AP81)</f>
        <v>0</v>
      </c>
      <c r="AR81" s="2653"/>
      <c r="AS81" s="2637"/>
      <c r="AT81" s="2652">
        <f>+AQ81-AR81-AS81</f>
        <v>0</v>
      </c>
      <c r="AU81" s="2652">
        <f>+AR81-AS81-AT81</f>
        <v>0</v>
      </c>
      <c r="AV81" s="2630"/>
      <c r="AW81" s="2630"/>
      <c r="AX81" s="2630"/>
      <c r="AY81" s="2630"/>
      <c r="AZ81" s="2630"/>
      <c r="BA81" s="2630"/>
      <c r="BB81" s="2630"/>
      <c r="BC81" s="2630"/>
      <c r="BD81" s="2630"/>
      <c r="BE81" s="2630"/>
      <c r="BF81" s="2630"/>
      <c r="BG81" s="2630"/>
      <c r="BH81" s="2630"/>
      <c r="BI81" s="2630"/>
      <c r="BJ81" s="2630"/>
      <c r="BK81" s="2630"/>
      <c r="BL81" s="2630"/>
      <c r="BM81" s="2630"/>
      <c r="BN81" s="2630"/>
      <c r="BO81" s="2630"/>
      <c r="BP81" s="2630"/>
      <c r="BQ81" s="2630"/>
    </row>
    <row r="82" spans="1:69" s="2622" customFormat="1" ht="13.5" thickBot="1">
      <c r="A82" s="2721" t="s">
        <v>158</v>
      </c>
      <c r="B82" s="2722" t="s">
        <v>159</v>
      </c>
      <c r="C82" s="2723" t="s">
        <v>136</v>
      </c>
      <c r="D82" s="2724" t="s">
        <v>134</v>
      </c>
      <c r="E82" s="2722" t="s">
        <v>160</v>
      </c>
      <c r="F82" s="2725" t="s">
        <v>8</v>
      </c>
      <c r="G82" s="2726" t="s">
        <v>161</v>
      </c>
      <c r="H82" s="2727" t="s">
        <v>52</v>
      </c>
      <c r="I82" s="2725" t="s">
        <v>8</v>
      </c>
      <c r="J82" s="2728" t="s">
        <v>162</v>
      </c>
      <c r="K82" s="3842"/>
      <c r="L82" s="3842"/>
      <c r="M82" s="3843" t="s">
        <v>956</v>
      </c>
      <c r="N82" s="3844"/>
      <c r="O82" s="3844"/>
      <c r="P82" s="3844"/>
      <c r="Q82" s="2701"/>
      <c r="R82" s="2701"/>
      <c r="S82" s="2701"/>
      <c r="T82" s="2701"/>
      <c r="U82" s="2701"/>
      <c r="V82" s="2701"/>
      <c r="W82" s="2701"/>
      <c r="X82" s="2701"/>
      <c r="Y82" s="2701"/>
      <c r="Z82" s="2701"/>
      <c r="AA82" s="2701"/>
      <c r="AB82" s="2701"/>
      <c r="AC82" s="2701"/>
      <c r="AD82" s="2701"/>
      <c r="AE82" s="2701"/>
      <c r="AF82" s="2701"/>
      <c r="AG82" s="2701"/>
      <c r="AH82" s="2701"/>
      <c r="AJ82" s="2630"/>
      <c r="AK82" s="2630"/>
      <c r="AL82" s="2630"/>
      <c r="AM82" s="2630"/>
      <c r="AN82" s="2630"/>
      <c r="AO82" s="2630"/>
      <c r="AP82" s="2630"/>
      <c r="AQ82" s="2630"/>
      <c r="AR82" s="2630"/>
      <c r="AS82" s="2630"/>
      <c r="AT82" s="2630"/>
      <c r="AU82" s="2630"/>
      <c r="AV82" s="2630"/>
      <c r="AW82" s="2630"/>
      <c r="AX82" s="2630"/>
      <c r="AY82" s="2630"/>
      <c r="AZ82" s="2630"/>
      <c r="BA82" s="2630"/>
      <c r="BB82" s="2630"/>
      <c r="BC82" s="2630"/>
      <c r="BD82" s="2630"/>
      <c r="BE82" s="2630"/>
      <c r="BF82" s="2630"/>
      <c r="BG82" s="2630"/>
      <c r="BH82" s="2630"/>
      <c r="BI82" s="2630"/>
      <c r="BJ82" s="2630"/>
      <c r="BK82" s="2630"/>
      <c r="BL82" s="2630"/>
      <c r="BM82" s="2630"/>
      <c r="BN82" s="2630"/>
      <c r="BO82" s="2630"/>
      <c r="BP82" s="2630"/>
      <c r="BQ82" s="2630"/>
    </row>
    <row r="83" spans="1:69" s="2622" customFormat="1" ht="15.75" thickBot="1">
      <c r="A83" s="2729"/>
      <c r="B83" s="2730"/>
      <c r="C83" s="2731">
        <v>957995</v>
      </c>
      <c r="D83" s="2732" t="s">
        <v>242</v>
      </c>
      <c r="E83" s="2733">
        <v>1930</v>
      </c>
      <c r="F83" s="2729">
        <v>200</v>
      </c>
      <c r="G83" s="2732">
        <v>800</v>
      </c>
      <c r="H83" s="2734">
        <f>SUM(F83:G83)</f>
        <v>1000</v>
      </c>
      <c r="I83" s="2735">
        <f>(B77)</f>
        <v>177.75899999999999</v>
      </c>
      <c r="J83" s="2711">
        <f>(B60)</f>
        <v>423.93299999999999</v>
      </c>
      <c r="K83" s="2936">
        <f>+F83-I83</f>
        <v>22.241000000000014</v>
      </c>
      <c r="L83" s="2736">
        <f>+G83-J83</f>
        <v>376.06700000000001</v>
      </c>
      <c r="M83" s="3845">
        <v>1.65</v>
      </c>
      <c r="N83" s="3846"/>
      <c r="O83" s="3846"/>
      <c r="P83" s="3846"/>
      <c r="Q83" s="2701"/>
      <c r="R83" s="2701"/>
      <c r="S83" s="2701"/>
      <c r="T83" s="2701"/>
      <c r="U83" s="2701"/>
      <c r="V83" s="2701"/>
      <c r="W83" s="2701"/>
      <c r="X83" s="2701"/>
      <c r="Y83" s="2701"/>
      <c r="Z83" s="2701"/>
      <c r="AA83" s="2701"/>
      <c r="AB83" s="2701"/>
      <c r="AC83" s="2701"/>
      <c r="AD83" s="2701"/>
      <c r="AE83" s="2701"/>
      <c r="AF83" s="2701"/>
      <c r="AG83" s="2701"/>
      <c r="AH83" s="2701"/>
      <c r="AJ83" s="2630"/>
      <c r="AK83" s="2630"/>
      <c r="AL83" s="2630"/>
      <c r="AM83" s="2630"/>
      <c r="AN83" s="2630"/>
      <c r="AO83" s="2630"/>
      <c r="AP83" s="2630"/>
      <c r="AQ83" s="2630"/>
      <c r="AR83" s="2630"/>
      <c r="AS83" s="2630"/>
      <c r="AT83" s="2630"/>
      <c r="AU83" s="2630"/>
      <c r="AV83" s="2630"/>
      <c r="AW83" s="2630"/>
      <c r="AX83" s="2630"/>
      <c r="AY83" s="2630"/>
      <c r="AZ83" s="2630"/>
      <c r="BA83" s="2630"/>
      <c r="BB83" s="2630"/>
      <c r="BC83" s="2630"/>
      <c r="BD83" s="2630"/>
      <c r="BE83" s="2630"/>
      <c r="BF83" s="2630"/>
      <c r="BG83" s="2630"/>
      <c r="BH83" s="2630"/>
      <c r="BI83" s="2630"/>
      <c r="BJ83" s="2630"/>
      <c r="BK83" s="2630"/>
      <c r="BL83" s="2630"/>
      <c r="BM83" s="2630"/>
      <c r="BN83" s="2630"/>
      <c r="BO83" s="2630"/>
      <c r="BP83" s="2630"/>
      <c r="BQ83" s="2630"/>
    </row>
    <row r="84" spans="1:69" s="2622" customFormat="1" ht="24" thickBot="1">
      <c r="A84" s="2729"/>
      <c r="B84" s="2730"/>
      <c r="C84" s="2731"/>
      <c r="D84" s="2732"/>
      <c r="E84" s="2733"/>
      <c r="F84" s="2729"/>
      <c r="G84" s="2732"/>
      <c r="H84" s="2734">
        <f>SUM(F84:G84)</f>
        <v>0</v>
      </c>
      <c r="I84" s="2737"/>
      <c r="J84" s="2711"/>
      <c r="K84" s="2736">
        <f>+H84-I84-J84</f>
        <v>0</v>
      </c>
      <c r="L84" s="2736">
        <f>+I84-J84-K84</f>
        <v>0</v>
      </c>
      <c r="M84" s="3845"/>
      <c r="N84" s="3846"/>
      <c r="O84" s="3846"/>
      <c r="P84" s="3846"/>
      <c r="Q84" s="2701"/>
      <c r="R84" s="2701"/>
      <c r="S84" s="2701"/>
      <c r="T84" s="2701"/>
      <c r="U84" s="2701"/>
      <c r="V84" s="2701"/>
      <c r="W84" s="2701"/>
      <c r="X84" s="2701"/>
      <c r="Y84" s="2701"/>
      <c r="Z84" s="2701"/>
      <c r="AA84" s="2701"/>
      <c r="AB84" s="2701"/>
      <c r="AC84" s="2701"/>
      <c r="AD84" s="2701"/>
      <c r="AE84" s="2701"/>
      <c r="AF84" s="2701"/>
      <c r="AG84" s="2701"/>
      <c r="AH84" s="2701"/>
      <c r="AJ84" s="3013" t="s">
        <v>267</v>
      </c>
      <c r="AK84" s="3013"/>
      <c r="AL84" s="3013"/>
      <c r="AM84" s="1415"/>
      <c r="AN84" s="3013" t="s">
        <v>1020</v>
      </c>
      <c r="AO84" s="1415"/>
      <c r="AP84" s="3080"/>
      <c r="AQ84" s="2629"/>
      <c r="AR84" s="2630"/>
      <c r="AS84" s="2630"/>
      <c r="AT84" s="2630"/>
      <c r="AU84" s="2630"/>
      <c r="AV84" s="2630"/>
      <c r="AW84" s="2630"/>
      <c r="AX84" s="2630"/>
      <c r="AY84" s="2630"/>
      <c r="AZ84" s="2630"/>
      <c r="BA84" s="2630"/>
      <c r="BB84" s="2630"/>
      <c r="BC84" s="2630"/>
      <c r="BD84" s="2630"/>
      <c r="BE84" s="2630"/>
      <c r="BF84" s="2630"/>
      <c r="BG84" s="2630"/>
      <c r="BH84" s="2630"/>
      <c r="BI84" s="2630"/>
      <c r="BJ84" s="2630"/>
      <c r="BK84" s="2630"/>
      <c r="BL84" s="2630"/>
      <c r="BM84" s="2630"/>
      <c r="BN84" s="2630"/>
      <c r="BO84" s="2630"/>
      <c r="BP84" s="2630"/>
      <c r="BQ84" s="2630"/>
    </row>
    <row r="85" spans="1:69" s="2622" customFormat="1" ht="15">
      <c r="AJ85" s="3885" t="s">
        <v>264</v>
      </c>
      <c r="AK85" s="3886"/>
      <c r="AL85" s="3887"/>
      <c r="AM85" s="2631"/>
      <c r="AN85" s="2631"/>
      <c r="AO85" s="2631"/>
      <c r="AP85" s="2631"/>
      <c r="AQ85" s="2631"/>
      <c r="AR85" s="2631"/>
      <c r="AS85" s="2631"/>
      <c r="AT85" s="2631"/>
      <c r="AU85" s="2631"/>
      <c r="AV85" s="2631"/>
      <c r="AW85" s="2631"/>
      <c r="AX85" s="2631"/>
      <c r="AY85" s="2631"/>
      <c r="AZ85" s="2631"/>
      <c r="BA85" s="2631"/>
      <c r="BB85" s="2632"/>
      <c r="BC85" s="2632"/>
      <c r="BD85" s="2632"/>
      <c r="BE85" s="2632"/>
      <c r="BF85" s="2632"/>
      <c r="BG85" s="2632"/>
      <c r="BH85" s="2632"/>
      <c r="BI85" s="2632"/>
      <c r="BJ85" s="2632"/>
      <c r="BK85" s="2632"/>
      <c r="BL85" s="2632"/>
      <c r="BM85" s="2632"/>
      <c r="BN85" s="2632"/>
      <c r="BO85" s="2632"/>
      <c r="BP85" s="2632"/>
      <c r="BQ85" s="2632"/>
    </row>
    <row r="86" spans="1:69" s="2622" customFormat="1" ht="15">
      <c r="AJ86" s="2655" t="s">
        <v>72</v>
      </c>
      <c r="AK86" s="2656" t="s">
        <v>73</v>
      </c>
      <c r="AL86" s="2657">
        <v>1</v>
      </c>
      <c r="AM86" s="2042">
        <v>2</v>
      </c>
      <c r="AN86" s="2042">
        <v>3</v>
      </c>
      <c r="AO86" s="2042">
        <v>4</v>
      </c>
      <c r="AP86" s="2042">
        <v>5</v>
      </c>
      <c r="AQ86" s="2042">
        <v>6</v>
      </c>
      <c r="AR86" s="2042">
        <v>7</v>
      </c>
      <c r="AS86" s="2042">
        <v>8</v>
      </c>
      <c r="AT86" s="2042">
        <v>9</v>
      </c>
      <c r="AU86" s="2042">
        <v>10</v>
      </c>
      <c r="AV86" s="2042">
        <v>11</v>
      </c>
      <c r="AW86" s="2042">
        <v>12</v>
      </c>
      <c r="AX86" s="2042">
        <v>13</v>
      </c>
      <c r="AY86" s="2042">
        <v>14</v>
      </c>
      <c r="AZ86" s="2042">
        <v>15</v>
      </c>
      <c r="BA86" s="2042">
        <v>16</v>
      </c>
      <c r="BB86" s="1841">
        <v>17</v>
      </c>
      <c r="BC86" s="1841">
        <v>18</v>
      </c>
      <c r="BD86" s="1841">
        <v>19</v>
      </c>
      <c r="BE86" s="1841">
        <v>20</v>
      </c>
      <c r="BF86" s="1841">
        <v>21</v>
      </c>
      <c r="BG86" s="1841">
        <v>22</v>
      </c>
      <c r="BH86" s="1841">
        <v>23</v>
      </c>
      <c r="BI86" s="1841">
        <v>24</v>
      </c>
      <c r="BJ86" s="1841">
        <v>25</v>
      </c>
      <c r="BK86" s="1841">
        <v>26</v>
      </c>
      <c r="BL86" s="1841">
        <v>27</v>
      </c>
      <c r="BM86" s="1841">
        <v>28</v>
      </c>
      <c r="BN86" s="1841">
        <v>29</v>
      </c>
      <c r="BO86" s="1841">
        <v>30</v>
      </c>
      <c r="BP86" s="1841">
        <v>31</v>
      </c>
      <c r="BQ86" s="2634" t="s">
        <v>74</v>
      </c>
    </row>
    <row r="87" spans="1:69" ht="15">
      <c r="A87" s="2738"/>
      <c r="B87" s="2738"/>
      <c r="C87" s="2738"/>
      <c r="D87" s="2738"/>
      <c r="E87" s="2738"/>
      <c r="F87" s="2738"/>
      <c r="G87" s="2738"/>
      <c r="H87" s="2738"/>
      <c r="I87" s="2738"/>
      <c r="J87" s="2738"/>
      <c r="K87" s="2738"/>
      <c r="L87" s="2738"/>
      <c r="M87" s="2738"/>
      <c r="N87" s="2738"/>
      <c r="O87" s="2738"/>
      <c r="P87" s="2738"/>
      <c r="Q87" s="2738"/>
      <c r="R87" s="2738"/>
      <c r="S87" s="2738"/>
      <c r="T87" s="2738"/>
      <c r="U87" s="2738"/>
      <c r="V87" s="2738"/>
      <c r="W87" s="2738"/>
      <c r="X87" s="2738"/>
      <c r="Y87" s="2738"/>
      <c r="Z87" s="2738"/>
      <c r="AA87" s="2738"/>
      <c r="AB87" s="2738"/>
      <c r="AC87" s="2738"/>
      <c r="AD87" s="2738"/>
      <c r="AE87" s="2738"/>
      <c r="AF87" s="2738"/>
      <c r="AG87" s="2738"/>
      <c r="AH87" s="2738"/>
      <c r="AJ87" s="2655" t="s">
        <v>75</v>
      </c>
      <c r="AK87" s="2656">
        <f t="shared" ref="AK87:AK98" si="32">+BQ87</f>
        <v>0</v>
      </c>
      <c r="AL87" s="2658"/>
      <c r="AM87" s="2635"/>
      <c r="AN87" s="2635"/>
      <c r="AO87" s="2635"/>
      <c r="AP87" s="2635"/>
      <c r="AQ87" s="2635"/>
      <c r="AR87" s="2635"/>
      <c r="AS87" s="2635"/>
      <c r="AT87" s="2635"/>
      <c r="AU87" s="2635"/>
      <c r="AV87" s="2635"/>
      <c r="AW87" s="2635"/>
      <c r="AX87" s="2635"/>
      <c r="AY87" s="2635"/>
      <c r="AZ87" s="2635"/>
      <c r="BA87" s="2635"/>
      <c r="BB87" s="2635"/>
      <c r="BC87" s="2635"/>
      <c r="BD87" s="2635"/>
      <c r="BE87" s="2635"/>
      <c r="BF87" s="2635"/>
      <c r="BG87" s="2635"/>
      <c r="BH87" s="2635"/>
      <c r="BI87" s="2635"/>
      <c r="BJ87" s="2635"/>
      <c r="BK87" s="2635"/>
      <c r="BL87" s="2635"/>
      <c r="BM87" s="2635"/>
      <c r="BN87" s="2635"/>
      <c r="BO87" s="2635"/>
      <c r="BP87" s="2635"/>
      <c r="BQ87" s="2636">
        <f>SUM(AL87:BP87)</f>
        <v>0</v>
      </c>
    </row>
    <row r="88" spans="1:69" ht="15.75" thickBot="1">
      <c r="A88" s="2738"/>
      <c r="B88" s="2738"/>
      <c r="C88" s="2738"/>
      <c r="D88" s="2738"/>
      <c r="E88" s="2738"/>
      <c r="F88" s="2738"/>
      <c r="G88" s="2738"/>
      <c r="H88" s="2738"/>
      <c r="I88" s="2738"/>
      <c r="J88" s="2738"/>
      <c r="K88" s="2738"/>
      <c r="L88" s="2738"/>
      <c r="M88" s="2738"/>
      <c r="N88" s="2738"/>
      <c r="O88" s="2738"/>
      <c r="P88" s="2738"/>
      <c r="Q88" s="2738"/>
      <c r="R88" s="2738"/>
      <c r="S88" s="2738"/>
      <c r="T88" s="2738"/>
      <c r="U88" s="2738"/>
      <c r="V88" s="2738"/>
      <c r="W88" s="2738"/>
      <c r="X88" s="2738"/>
      <c r="Y88" s="2738"/>
      <c r="Z88" s="2738"/>
      <c r="AA88" s="2738"/>
      <c r="AB88" s="2738"/>
      <c r="AC88" s="2738"/>
      <c r="AD88" s="2738"/>
      <c r="AE88" s="2738"/>
      <c r="AF88" s="2738"/>
      <c r="AG88" s="2738"/>
      <c r="AH88" s="2738"/>
      <c r="AJ88" s="2655" t="s">
        <v>76</v>
      </c>
      <c r="AK88" s="2656">
        <f t="shared" si="32"/>
        <v>0</v>
      </c>
      <c r="AL88" s="2658"/>
      <c r="AM88" s="2635"/>
      <c r="AN88" s="2635"/>
      <c r="AO88" s="2635"/>
      <c r="AP88" s="2635"/>
      <c r="AQ88" s="2635"/>
      <c r="AR88" s="2635"/>
      <c r="AS88" s="2635"/>
      <c r="AT88" s="2635"/>
      <c r="AU88" s="2635"/>
      <c r="AV88" s="2635"/>
      <c r="AW88" s="2635"/>
      <c r="AX88" s="2635"/>
      <c r="AY88" s="2635"/>
      <c r="AZ88" s="2635"/>
      <c r="BA88" s="2635"/>
      <c r="BB88" s="2635"/>
      <c r="BC88" s="2635"/>
      <c r="BD88" s="2635"/>
      <c r="BE88" s="2635"/>
      <c r="BF88" s="2635"/>
      <c r="BG88" s="2635"/>
      <c r="BH88" s="2635"/>
      <c r="BI88" s="2635"/>
      <c r="BJ88" s="2635"/>
      <c r="BK88" s="2635"/>
      <c r="BL88" s="2635"/>
      <c r="BM88" s="2635"/>
      <c r="BN88" s="2635"/>
      <c r="BO88" s="2635"/>
      <c r="BP88" s="2635"/>
      <c r="BQ88" s="2636">
        <f t="shared" ref="BQ88:BQ98" si="33">SUM(AL88:BP88)</f>
        <v>0</v>
      </c>
    </row>
    <row r="89" spans="1:69" s="2545" customFormat="1" ht="26.25" thickBot="1">
      <c r="A89" s="2739" t="s">
        <v>928</v>
      </c>
      <c r="B89" s="2740"/>
      <c r="C89" s="2740" t="s">
        <v>929</v>
      </c>
      <c r="D89" s="2738"/>
      <c r="E89" s="2738"/>
      <c r="F89" s="2738"/>
      <c r="G89" s="2738"/>
      <c r="H89" s="3014" t="s">
        <v>1057</v>
      </c>
      <c r="I89" s="3014"/>
      <c r="J89" s="3014"/>
      <c r="K89" s="3014"/>
      <c r="L89" s="1415"/>
      <c r="M89" s="3080"/>
      <c r="N89" s="2738"/>
      <c r="O89" s="2738"/>
      <c r="P89" s="2738"/>
      <c r="Q89" s="2738"/>
      <c r="R89" s="2738"/>
      <c r="S89" s="2738"/>
      <c r="T89" s="2738"/>
      <c r="U89" s="2738"/>
      <c r="V89" s="2738"/>
      <c r="W89" s="2738"/>
      <c r="X89" s="2738"/>
      <c r="Y89" s="2738"/>
      <c r="Z89" s="2738"/>
      <c r="AA89" s="2738"/>
      <c r="AB89" s="2738"/>
      <c r="AC89" s="2738"/>
      <c r="AD89" s="2738"/>
      <c r="AE89" s="2738"/>
      <c r="AF89" s="2738"/>
      <c r="AG89" s="2738"/>
      <c r="AH89" s="2738"/>
      <c r="AJ89" s="2655" t="s">
        <v>77</v>
      </c>
      <c r="AK89" s="2656">
        <f t="shared" si="32"/>
        <v>0</v>
      </c>
      <c r="AL89" s="2658"/>
      <c r="AM89" s="2635"/>
      <c r="AN89" s="2635"/>
      <c r="AO89" s="2635"/>
      <c r="AP89" s="2635"/>
      <c r="AQ89" s="1842"/>
      <c r="AR89" s="1842"/>
      <c r="AS89" s="1842"/>
      <c r="AT89" s="1842"/>
      <c r="AU89" s="1842"/>
      <c r="AV89" s="1842"/>
      <c r="AW89" s="1842"/>
      <c r="AX89" s="1842"/>
      <c r="AY89" s="1842"/>
      <c r="AZ89" s="1842"/>
      <c r="BA89" s="2637"/>
      <c r="BB89" s="1842"/>
      <c r="BC89" s="1842"/>
      <c r="BD89" s="1842"/>
      <c r="BE89" s="1842"/>
      <c r="BF89" s="1842"/>
      <c r="BG89" s="1842"/>
      <c r="BH89" s="1842"/>
      <c r="BI89" s="1842"/>
      <c r="BJ89" s="1842"/>
      <c r="BK89" s="1842"/>
      <c r="BL89" s="2635"/>
      <c r="BM89" s="2635"/>
      <c r="BN89" s="2635"/>
      <c r="BO89" s="2635"/>
      <c r="BP89" s="2635"/>
      <c r="BQ89" s="2636">
        <f t="shared" si="33"/>
        <v>0</v>
      </c>
    </row>
    <row r="90" spans="1:69" s="2545" customFormat="1" ht="15">
      <c r="A90" s="3857" t="s">
        <v>271</v>
      </c>
      <c r="B90" s="3858"/>
      <c r="C90" s="3859"/>
      <c r="D90" s="2741"/>
      <c r="E90" s="2741"/>
      <c r="F90" s="2741"/>
      <c r="G90" s="2741"/>
      <c r="H90" s="2741"/>
      <c r="I90" s="2741"/>
      <c r="J90" s="2741"/>
      <c r="K90" s="2741"/>
      <c r="L90" s="2741"/>
      <c r="M90" s="2741"/>
      <c r="N90" s="2741"/>
      <c r="O90" s="2741"/>
      <c r="P90" s="2741"/>
      <c r="Q90" s="2741"/>
      <c r="R90" s="2741"/>
      <c r="S90" s="2742"/>
      <c r="T90" s="2742"/>
      <c r="U90" s="2742"/>
      <c r="V90" s="2742"/>
      <c r="W90" s="2742"/>
      <c r="X90" s="2742"/>
      <c r="Y90" s="2742"/>
      <c r="Z90" s="2742"/>
      <c r="AA90" s="2742"/>
      <c r="AB90" s="2742"/>
      <c r="AC90" s="2742"/>
      <c r="AD90" s="2742"/>
      <c r="AE90" s="2742"/>
      <c r="AF90" s="2742"/>
      <c r="AG90" s="2742"/>
      <c r="AH90" s="2742"/>
      <c r="AJ90" s="2655" t="s">
        <v>78</v>
      </c>
      <c r="AK90" s="2656">
        <f t="shared" si="32"/>
        <v>0</v>
      </c>
      <c r="AL90" s="2658"/>
      <c r="AM90" s="2635"/>
      <c r="AN90" s="2635"/>
      <c r="AO90" s="2635"/>
      <c r="AP90" s="2635"/>
      <c r="AQ90" s="2635"/>
      <c r="AR90" s="2635"/>
      <c r="AS90" s="2635"/>
      <c r="AT90" s="2635"/>
      <c r="AU90" s="2638"/>
      <c r="AV90" s="2638"/>
      <c r="AW90" s="2638"/>
      <c r="AX90" s="2638"/>
      <c r="AY90" s="2638"/>
      <c r="AZ90" s="2638"/>
      <c r="BA90" s="2638"/>
      <c r="BB90" s="2638"/>
      <c r="BC90" s="2638"/>
      <c r="BD90" s="2638"/>
      <c r="BE90" s="2638"/>
      <c r="BF90" s="2638"/>
      <c r="BG90" s="2638"/>
      <c r="BH90" s="2638"/>
      <c r="BI90" s="2638"/>
      <c r="BJ90" s="2638"/>
      <c r="BK90" s="2638"/>
      <c r="BL90" s="2638"/>
      <c r="BM90" s="2638"/>
      <c r="BN90" s="2638"/>
      <c r="BO90" s="2638"/>
      <c r="BP90" s="2638"/>
      <c r="BQ90" s="2636">
        <f t="shared" si="33"/>
        <v>0</v>
      </c>
    </row>
    <row r="91" spans="1:69" s="2545" customFormat="1" ht="15">
      <c r="A91" s="2743" t="s">
        <v>72</v>
      </c>
      <c r="B91" s="2744" t="s">
        <v>73</v>
      </c>
      <c r="C91" s="2745">
        <v>1</v>
      </c>
      <c r="D91" s="2745">
        <v>2</v>
      </c>
      <c r="E91" s="2745">
        <v>3</v>
      </c>
      <c r="F91" s="2745">
        <v>4</v>
      </c>
      <c r="G91" s="2745">
        <v>5</v>
      </c>
      <c r="H91" s="2745">
        <v>6</v>
      </c>
      <c r="I91" s="2745">
        <v>7</v>
      </c>
      <c r="J91" s="2745">
        <v>8</v>
      </c>
      <c r="K91" s="2745">
        <v>9</v>
      </c>
      <c r="L91" s="2745">
        <v>10</v>
      </c>
      <c r="M91" s="2745">
        <v>11</v>
      </c>
      <c r="N91" s="2745">
        <v>12</v>
      </c>
      <c r="O91" s="2745">
        <v>13</v>
      </c>
      <c r="P91" s="2745">
        <v>14</v>
      </c>
      <c r="Q91" s="2745">
        <v>15</v>
      </c>
      <c r="R91" s="2745">
        <v>16</v>
      </c>
      <c r="S91" s="2743">
        <v>17</v>
      </c>
      <c r="T91" s="2743">
        <v>18</v>
      </c>
      <c r="U91" s="2743">
        <v>19</v>
      </c>
      <c r="V91" s="2743">
        <v>20</v>
      </c>
      <c r="W91" s="2743">
        <v>21</v>
      </c>
      <c r="X91" s="2743">
        <v>22</v>
      </c>
      <c r="Y91" s="2743">
        <v>23</v>
      </c>
      <c r="Z91" s="2743">
        <v>24</v>
      </c>
      <c r="AA91" s="2743">
        <v>25</v>
      </c>
      <c r="AB91" s="2743">
        <v>26</v>
      </c>
      <c r="AC91" s="2743">
        <v>27</v>
      </c>
      <c r="AD91" s="2743">
        <v>28</v>
      </c>
      <c r="AE91" s="2743">
        <v>29</v>
      </c>
      <c r="AF91" s="2743">
        <v>30</v>
      </c>
      <c r="AG91" s="2743">
        <v>31</v>
      </c>
      <c r="AH91" s="2746" t="s">
        <v>74</v>
      </c>
      <c r="AJ91" s="2655" t="s">
        <v>79</v>
      </c>
      <c r="AK91" s="2656">
        <f t="shared" si="32"/>
        <v>0</v>
      </c>
      <c r="AL91" s="2659"/>
      <c r="AM91" s="1842"/>
      <c r="AN91" s="1842"/>
      <c r="AO91" s="1842"/>
      <c r="AP91" s="1842"/>
      <c r="AQ91" s="1842"/>
      <c r="AR91" s="1842"/>
      <c r="AS91" s="1842"/>
      <c r="AT91" s="1842"/>
      <c r="AU91" s="1842"/>
      <c r="AV91" s="1842"/>
      <c r="AW91" s="1842"/>
      <c r="AX91" s="1842"/>
      <c r="AY91" s="1842"/>
      <c r="AZ91" s="1842"/>
      <c r="BA91" s="1842"/>
      <c r="BB91" s="1842"/>
      <c r="BC91" s="1842"/>
      <c r="BD91" s="1842"/>
      <c r="BE91" s="1842"/>
      <c r="BF91" s="1842"/>
      <c r="BG91" s="1842"/>
      <c r="BH91" s="1842"/>
      <c r="BI91" s="1842"/>
      <c r="BJ91" s="1842"/>
      <c r="BK91" s="1842"/>
      <c r="BL91" s="1842"/>
      <c r="BM91" s="1842"/>
      <c r="BN91" s="1842"/>
      <c r="BO91" s="1842"/>
      <c r="BP91" s="1842"/>
      <c r="BQ91" s="2636">
        <f t="shared" si="33"/>
        <v>0</v>
      </c>
    </row>
    <row r="92" spans="1:69" s="2545" customFormat="1" ht="15">
      <c r="A92" s="2743" t="s">
        <v>75</v>
      </c>
      <c r="B92" s="2744">
        <f t="shared" ref="B92:B103" si="34">+AH92</f>
        <v>0</v>
      </c>
      <c r="C92" s="2747"/>
      <c r="D92" s="2747"/>
      <c r="E92" s="2747"/>
      <c r="F92" s="2747"/>
      <c r="G92" s="2747"/>
      <c r="H92" s="2747"/>
      <c r="I92" s="2747"/>
      <c r="J92" s="2747"/>
      <c r="K92" s="2747"/>
      <c r="L92" s="2747"/>
      <c r="M92" s="2747"/>
      <c r="N92" s="2747"/>
      <c r="O92" s="2747"/>
      <c r="P92" s="2747"/>
      <c r="Q92" s="2747"/>
      <c r="R92" s="2747"/>
      <c r="S92" s="2747"/>
      <c r="T92" s="2747"/>
      <c r="U92" s="2747"/>
      <c r="V92" s="2747"/>
      <c r="W92" s="2747"/>
      <c r="X92" s="2747"/>
      <c r="Y92" s="2747"/>
      <c r="Z92" s="2747"/>
      <c r="AA92" s="2747"/>
      <c r="AB92" s="2747"/>
      <c r="AC92" s="2747"/>
      <c r="AD92" s="2747"/>
      <c r="AE92" s="2747"/>
      <c r="AF92" s="2747"/>
      <c r="AG92" s="2747"/>
      <c r="AH92" s="2748">
        <f>SUM(C92:AG92)</f>
        <v>0</v>
      </c>
      <c r="AJ92" s="2655" t="s">
        <v>80</v>
      </c>
      <c r="AK92" s="2656">
        <f t="shared" si="32"/>
        <v>0</v>
      </c>
      <c r="AL92" s="2659"/>
      <c r="AM92" s="1842"/>
      <c r="AN92" s="1842"/>
      <c r="AO92" s="1842"/>
      <c r="AP92" s="1842"/>
      <c r="AQ92" s="1842"/>
      <c r="AR92" s="1842"/>
      <c r="AS92" s="1842"/>
      <c r="AT92" s="1842"/>
      <c r="AU92" s="1842"/>
      <c r="AV92" s="1842"/>
      <c r="AW92" s="1842"/>
      <c r="AX92" s="1842"/>
      <c r="AY92" s="1842"/>
      <c r="AZ92" s="1842"/>
      <c r="BA92" s="1842"/>
      <c r="BB92" s="1842"/>
      <c r="BC92" s="1842"/>
      <c r="BD92" s="1842"/>
      <c r="BE92" s="1842"/>
      <c r="BF92" s="1842"/>
      <c r="BG92" s="1842"/>
      <c r="BH92" s="1842"/>
      <c r="BI92" s="1842"/>
      <c r="BJ92" s="1842"/>
      <c r="BK92" s="1842"/>
      <c r="BL92" s="1842"/>
      <c r="BM92" s="1842"/>
      <c r="BN92" s="1842"/>
      <c r="BO92" s="1842"/>
      <c r="BP92" s="1842"/>
      <c r="BQ92" s="2636">
        <f t="shared" si="33"/>
        <v>0</v>
      </c>
    </row>
    <row r="93" spans="1:69" s="2545" customFormat="1" ht="15.75" thickBot="1">
      <c r="A93" s="2743" t="s">
        <v>76</v>
      </c>
      <c r="B93" s="2744">
        <f t="shared" si="34"/>
        <v>0</v>
      </c>
      <c r="C93" s="2747"/>
      <c r="D93" s="2747"/>
      <c r="E93" s="2747"/>
      <c r="F93" s="2747"/>
      <c r="G93" s="2747"/>
      <c r="H93" s="2747"/>
      <c r="I93" s="2747"/>
      <c r="J93" s="2747"/>
      <c r="K93" s="2747"/>
      <c r="L93" s="2747"/>
      <c r="M93" s="2747"/>
      <c r="N93" s="2747"/>
      <c r="O93" s="2747"/>
      <c r="P93" s="2747"/>
      <c r="Q93" s="2747"/>
      <c r="R93" s="2747"/>
      <c r="S93" s="2747"/>
      <c r="T93" s="2747"/>
      <c r="U93" s="2747"/>
      <c r="V93" s="2747"/>
      <c r="W93" s="2747"/>
      <c r="X93" s="2747"/>
      <c r="Y93" s="2747"/>
      <c r="Z93" s="2747"/>
      <c r="AA93" s="2747"/>
      <c r="AB93" s="2747"/>
      <c r="AC93" s="2747"/>
      <c r="AD93" s="2747"/>
      <c r="AE93" s="2747"/>
      <c r="AF93" s="2747"/>
      <c r="AG93" s="2747"/>
      <c r="AH93" s="2748">
        <f t="shared" ref="AH93:AH103" si="35">SUM(C93:AG93)</f>
        <v>0</v>
      </c>
      <c r="AJ93" s="2655" t="s">
        <v>81</v>
      </c>
      <c r="AK93" s="2656">
        <f t="shared" si="32"/>
        <v>0</v>
      </c>
      <c r="AL93" s="2659"/>
      <c r="AM93" s="2636"/>
      <c r="AN93" s="2636"/>
      <c r="AO93" s="2636"/>
      <c r="AP93" s="1842"/>
      <c r="AQ93" s="1842"/>
      <c r="AR93" s="1842"/>
      <c r="AS93" s="1842"/>
      <c r="AT93" s="1842"/>
      <c r="AU93" s="1842"/>
      <c r="AV93" s="1842"/>
      <c r="AW93" s="1842"/>
      <c r="AX93" s="1842"/>
      <c r="AY93" s="1842"/>
      <c r="AZ93" s="1842"/>
      <c r="BA93" s="1842"/>
      <c r="BB93" s="1842"/>
      <c r="BC93" s="1842"/>
      <c r="BD93" s="1842"/>
      <c r="BE93" s="1842"/>
      <c r="BF93" s="1842"/>
      <c r="BG93" s="1842"/>
      <c r="BH93" s="1842"/>
      <c r="BI93" s="1842"/>
      <c r="BJ93" s="1842"/>
      <c r="BK93" s="1842"/>
      <c r="BL93" s="1842"/>
      <c r="BM93" s="1842"/>
      <c r="BN93" s="1842"/>
      <c r="BO93" s="1842"/>
      <c r="BP93" s="1842"/>
      <c r="BQ93" s="2636">
        <f t="shared" si="33"/>
        <v>0</v>
      </c>
    </row>
    <row r="94" spans="1:69" s="2545" customFormat="1" ht="15.75" thickBot="1">
      <c r="A94" s="2743" t="s">
        <v>77</v>
      </c>
      <c r="B94" s="2744">
        <f t="shared" si="34"/>
        <v>0</v>
      </c>
      <c r="C94" s="2747"/>
      <c r="D94" s="2747"/>
      <c r="E94" s="2747"/>
      <c r="F94" s="2747"/>
      <c r="G94" s="2747"/>
      <c r="H94" s="2749"/>
      <c r="I94" s="2749"/>
      <c r="J94" s="2749"/>
      <c r="K94" s="2749"/>
      <c r="L94" s="2749"/>
      <c r="M94" s="2749"/>
      <c r="N94" s="2749"/>
      <c r="O94" s="2749"/>
      <c r="P94" s="2749"/>
      <c r="Q94" s="2749"/>
      <c r="R94" s="2750"/>
      <c r="S94" s="2749"/>
      <c r="T94" s="2749"/>
      <c r="U94" s="2749"/>
      <c r="V94" s="2749"/>
      <c r="W94" s="2749"/>
      <c r="X94" s="2749"/>
      <c r="Y94" s="2749"/>
      <c r="Z94" s="2749"/>
      <c r="AA94" s="2749"/>
      <c r="AB94" s="2749"/>
      <c r="AC94" s="2747"/>
      <c r="AD94" s="2747"/>
      <c r="AE94" s="2747"/>
      <c r="AF94" s="2747"/>
      <c r="AG94" s="2747"/>
      <c r="AH94" s="2748">
        <f t="shared" si="35"/>
        <v>0</v>
      </c>
      <c r="AJ94" s="2655" t="s">
        <v>82</v>
      </c>
      <c r="AK94" s="2656">
        <f t="shared" si="32"/>
        <v>0</v>
      </c>
      <c r="AL94" s="2659"/>
      <c r="AM94" s="1842"/>
      <c r="AN94" s="1842"/>
      <c r="AO94" s="1842"/>
      <c r="AP94" s="1842"/>
      <c r="AQ94" s="1842"/>
      <c r="AR94" s="1842"/>
      <c r="AS94" s="1842"/>
      <c r="AT94" s="1842"/>
      <c r="AU94" s="1842"/>
      <c r="AV94" s="1842"/>
      <c r="AW94" s="1842"/>
      <c r="AX94" s="1842"/>
      <c r="AY94" s="1842"/>
      <c r="AZ94" s="1842"/>
      <c r="BA94" s="1842"/>
      <c r="BB94" s="1842"/>
      <c r="BC94" s="1842"/>
      <c r="BD94" s="1842"/>
      <c r="BE94" s="1842"/>
      <c r="BF94" s="1842"/>
      <c r="BG94" s="1842"/>
      <c r="BH94" s="1842"/>
      <c r="BI94" s="1842"/>
      <c r="BJ94" s="1842"/>
      <c r="BK94" s="1842"/>
      <c r="BL94" s="1842"/>
      <c r="BM94" s="1842"/>
      <c r="BN94" s="1842"/>
      <c r="BO94" s="1842"/>
      <c r="BP94" s="1842"/>
      <c r="BQ94" s="2636">
        <f t="shared" si="33"/>
        <v>0</v>
      </c>
    </row>
    <row r="95" spans="1:69" s="2545" customFormat="1" ht="15">
      <c r="A95" s="2743" t="s">
        <v>78</v>
      </c>
      <c r="B95" s="2744">
        <f t="shared" si="34"/>
        <v>0</v>
      </c>
      <c r="C95" s="2747"/>
      <c r="D95" s="2747"/>
      <c r="E95" s="2747"/>
      <c r="F95" s="2747"/>
      <c r="G95" s="2747"/>
      <c r="H95" s="2747"/>
      <c r="I95" s="2747"/>
      <c r="J95" s="2747"/>
      <c r="K95" s="2747"/>
      <c r="L95" s="2751"/>
      <c r="M95" s="2751"/>
      <c r="N95" s="2751"/>
      <c r="O95" s="2751"/>
      <c r="P95" s="2751"/>
      <c r="Q95" s="2751"/>
      <c r="R95" s="2751"/>
      <c r="S95" s="2751"/>
      <c r="T95" s="2751"/>
      <c r="U95" s="2751"/>
      <c r="V95" s="2751"/>
      <c r="W95" s="2751"/>
      <c r="X95" s="2751"/>
      <c r="Y95" s="2751"/>
      <c r="Z95" s="2751"/>
      <c r="AA95" s="2751"/>
      <c r="AB95" s="2751"/>
      <c r="AC95" s="2751"/>
      <c r="AD95" s="2751"/>
      <c r="AE95" s="2751"/>
      <c r="AF95" s="2751"/>
      <c r="AG95" s="2751"/>
      <c r="AH95" s="2748">
        <f t="shared" si="35"/>
        <v>0</v>
      </c>
      <c r="AJ95" s="2655" t="s">
        <v>83</v>
      </c>
      <c r="AK95" s="2656">
        <f t="shared" si="32"/>
        <v>0</v>
      </c>
      <c r="AL95" s="2659"/>
      <c r="AM95" s="1842"/>
      <c r="AN95" s="1842"/>
      <c r="AO95" s="1842"/>
      <c r="AP95" s="1842"/>
      <c r="AQ95" s="1842"/>
      <c r="AR95" s="1842"/>
      <c r="AS95" s="1842"/>
      <c r="AT95" s="1842"/>
      <c r="AU95" s="1842"/>
      <c r="AV95" s="1842"/>
      <c r="AW95" s="1842"/>
      <c r="AX95" s="1842"/>
      <c r="AY95" s="1842"/>
      <c r="AZ95" s="1842"/>
      <c r="BA95" s="1842"/>
      <c r="BB95" s="1842"/>
      <c r="BC95" s="1842"/>
      <c r="BD95" s="1842"/>
      <c r="BE95" s="1842"/>
      <c r="BF95" s="1842"/>
      <c r="BG95" s="1842"/>
      <c r="BH95" s="1842"/>
      <c r="BI95" s="1842"/>
      <c r="BJ95" s="1842"/>
      <c r="BK95" s="1842"/>
      <c r="BL95" s="1842"/>
      <c r="BM95" s="1842"/>
      <c r="BN95" s="1842"/>
      <c r="BO95" s="1842"/>
      <c r="BP95" s="1842"/>
      <c r="BQ95" s="2636">
        <f t="shared" si="33"/>
        <v>0</v>
      </c>
    </row>
    <row r="96" spans="1:69" s="2545" customFormat="1" ht="15">
      <c r="A96" s="2743" t="s">
        <v>79</v>
      </c>
      <c r="B96" s="2744">
        <f t="shared" si="34"/>
        <v>0</v>
      </c>
      <c r="C96" s="2749"/>
      <c r="D96" s="2749"/>
      <c r="E96" s="2749"/>
      <c r="F96" s="2749"/>
      <c r="G96" s="2749"/>
      <c r="H96" s="2749"/>
      <c r="I96" s="2749"/>
      <c r="J96" s="2749"/>
      <c r="K96" s="2749"/>
      <c r="L96" s="2749"/>
      <c r="M96" s="2749"/>
      <c r="N96" s="2749"/>
      <c r="O96" s="2749"/>
      <c r="P96" s="2749"/>
      <c r="Q96" s="2749"/>
      <c r="R96" s="2749"/>
      <c r="S96" s="2749"/>
      <c r="T96" s="2749"/>
      <c r="U96" s="2749"/>
      <c r="V96" s="2749"/>
      <c r="W96" s="2749"/>
      <c r="X96" s="2749"/>
      <c r="Y96" s="2749"/>
      <c r="Z96" s="2749"/>
      <c r="AA96" s="2749"/>
      <c r="AB96" s="2749"/>
      <c r="AC96" s="2749"/>
      <c r="AD96" s="2749"/>
      <c r="AE96" s="2749"/>
      <c r="AF96" s="2749"/>
      <c r="AG96" s="2749"/>
      <c r="AH96" s="2748">
        <f t="shared" si="35"/>
        <v>0</v>
      </c>
      <c r="AJ96" s="2655" t="s">
        <v>84</v>
      </c>
      <c r="AK96" s="2656">
        <f t="shared" si="32"/>
        <v>0</v>
      </c>
      <c r="AL96" s="2659"/>
      <c r="AM96" s="1842"/>
      <c r="AN96" s="1842"/>
      <c r="AO96" s="1842"/>
      <c r="AP96" s="1842"/>
      <c r="AQ96" s="1842"/>
      <c r="AR96" s="1842"/>
      <c r="AS96" s="1842"/>
      <c r="AT96" s="1842"/>
      <c r="AU96" s="1842"/>
      <c r="AV96" s="1842"/>
      <c r="AW96" s="1842"/>
      <c r="AX96" s="1842"/>
      <c r="AY96" s="1842"/>
      <c r="AZ96" s="1842"/>
      <c r="BA96" s="1842"/>
      <c r="BB96" s="1842"/>
      <c r="BC96" s="1842"/>
      <c r="BD96" s="1842"/>
      <c r="BE96" s="1842"/>
      <c r="BF96" s="1842"/>
      <c r="BG96" s="1842"/>
      <c r="BH96" s="1842"/>
      <c r="BI96" s="1842"/>
      <c r="BJ96" s="1842"/>
      <c r="BK96" s="1842"/>
      <c r="BL96" s="1842"/>
      <c r="BM96" s="1842"/>
      <c r="BN96" s="2636"/>
      <c r="BO96" s="1842"/>
      <c r="BP96" s="2636"/>
      <c r="BQ96" s="2636">
        <f t="shared" si="33"/>
        <v>0</v>
      </c>
    </row>
    <row r="97" spans="1:69" s="2545" customFormat="1" ht="15">
      <c r="A97" s="2743" t="s">
        <v>80</v>
      </c>
      <c r="B97" s="2744">
        <f t="shared" si="34"/>
        <v>0</v>
      </c>
      <c r="C97" s="2749"/>
      <c r="D97" s="2749"/>
      <c r="E97" s="2749"/>
      <c r="F97" s="2749"/>
      <c r="G97" s="2749"/>
      <c r="H97" s="2749"/>
      <c r="I97" s="2749"/>
      <c r="J97" s="2749"/>
      <c r="K97" s="2749"/>
      <c r="L97" s="2749"/>
      <c r="M97" s="2749"/>
      <c r="N97" s="2749"/>
      <c r="O97" s="2749"/>
      <c r="P97" s="2749"/>
      <c r="Q97" s="2749"/>
      <c r="R97" s="2749"/>
      <c r="S97" s="2749"/>
      <c r="T97" s="2749"/>
      <c r="U97" s="2749"/>
      <c r="V97" s="2749"/>
      <c r="W97" s="2749"/>
      <c r="X97" s="2749"/>
      <c r="Y97" s="2749"/>
      <c r="Z97" s="2749"/>
      <c r="AA97" s="2749"/>
      <c r="AB97" s="2749"/>
      <c r="AC97" s="2749"/>
      <c r="AD97" s="2749"/>
      <c r="AE97" s="2749"/>
      <c r="AF97" s="2749"/>
      <c r="AG97" s="2749"/>
      <c r="AH97" s="2748">
        <f t="shared" si="35"/>
        <v>0</v>
      </c>
      <c r="AJ97" s="2655" t="s">
        <v>85</v>
      </c>
      <c r="AK97" s="2656">
        <f t="shared" si="32"/>
        <v>0</v>
      </c>
      <c r="AL97" s="2659"/>
      <c r="AM97" s="1842"/>
      <c r="AN97" s="1842"/>
      <c r="AO97" s="1842"/>
      <c r="AP97" s="2639"/>
      <c r="AQ97" s="1842"/>
      <c r="AR97" s="1842"/>
      <c r="AS97" s="1842"/>
      <c r="AT97" s="1842"/>
      <c r="AU97" s="1842"/>
      <c r="AV97" s="1842"/>
      <c r="AW97" s="1842"/>
      <c r="AX97" s="1842"/>
      <c r="AY97" s="1842"/>
      <c r="AZ97" s="1842"/>
      <c r="BA97" s="1842"/>
      <c r="BB97" s="1842"/>
      <c r="BC97" s="1842"/>
      <c r="BD97" s="1842"/>
      <c r="BE97" s="1842"/>
      <c r="BF97" s="1842"/>
      <c r="BG97" s="1842"/>
      <c r="BH97" s="1842"/>
      <c r="BI97" s="1842"/>
      <c r="BJ97" s="1842"/>
      <c r="BK97" s="1842"/>
      <c r="BL97" s="1842"/>
      <c r="BM97" s="1842"/>
      <c r="BN97" s="2636"/>
      <c r="BO97" s="1842"/>
      <c r="BP97" s="2636"/>
      <c r="BQ97" s="2636">
        <f t="shared" si="33"/>
        <v>0</v>
      </c>
    </row>
    <row r="98" spans="1:69" s="2545" customFormat="1" ht="15">
      <c r="A98" s="2743" t="s">
        <v>81</v>
      </c>
      <c r="B98" s="2744">
        <f t="shared" si="34"/>
        <v>0</v>
      </c>
      <c r="C98" s="2749"/>
      <c r="D98" s="2748"/>
      <c r="E98" s="2748"/>
      <c r="F98" s="2748"/>
      <c r="G98" s="2749"/>
      <c r="H98" s="2749"/>
      <c r="I98" s="2749"/>
      <c r="J98" s="2749"/>
      <c r="K98" s="2749"/>
      <c r="L98" s="2749"/>
      <c r="M98" s="2749"/>
      <c r="N98" s="2749"/>
      <c r="O98" s="2749"/>
      <c r="P98" s="2749"/>
      <c r="Q98" s="2749"/>
      <c r="R98" s="2749"/>
      <c r="S98" s="2749"/>
      <c r="T98" s="2749"/>
      <c r="U98" s="2749"/>
      <c r="V98" s="2749"/>
      <c r="W98" s="2749"/>
      <c r="X98" s="2749"/>
      <c r="Y98" s="2749"/>
      <c r="Z98" s="2749"/>
      <c r="AA98" s="2749"/>
      <c r="AB98" s="2749"/>
      <c r="AC98" s="2749"/>
      <c r="AD98" s="2749"/>
      <c r="AE98" s="2749"/>
      <c r="AF98" s="2749"/>
      <c r="AG98" s="2749"/>
      <c r="AH98" s="2748">
        <f t="shared" si="35"/>
        <v>0</v>
      </c>
      <c r="AJ98" s="2655" t="s">
        <v>86</v>
      </c>
      <c r="AK98" s="2656">
        <f t="shared" si="32"/>
        <v>0</v>
      </c>
      <c r="AL98" s="2659"/>
      <c r="AM98" s="1842"/>
      <c r="AN98" s="1842"/>
      <c r="AO98" s="1842"/>
      <c r="AP98" s="1842"/>
      <c r="AQ98" s="1842"/>
      <c r="AR98" s="1842"/>
      <c r="AS98" s="1842"/>
      <c r="AT98" s="1842"/>
      <c r="AU98" s="1842"/>
      <c r="AV98" s="1842"/>
      <c r="AW98" s="1842"/>
      <c r="AX98" s="1842"/>
      <c r="AY98" s="1842"/>
      <c r="AZ98" s="1842"/>
      <c r="BA98" s="1842"/>
      <c r="BB98" s="1842"/>
      <c r="BC98" s="1842"/>
      <c r="BD98" s="1842"/>
      <c r="BE98" s="1842"/>
      <c r="BF98" s="1842"/>
      <c r="BG98" s="1842"/>
      <c r="BH98" s="1842"/>
      <c r="BI98" s="1842"/>
      <c r="BJ98" s="1842"/>
      <c r="BK98" s="1842"/>
      <c r="BL98" s="1842"/>
      <c r="BM98" s="1842"/>
      <c r="BN98" s="1842"/>
      <c r="BO98" s="1842"/>
      <c r="BP98" s="1842"/>
      <c r="BQ98" s="2636">
        <f t="shared" si="33"/>
        <v>0</v>
      </c>
    </row>
    <row r="99" spans="1:69" s="2545" customFormat="1" ht="15">
      <c r="A99" s="2743" t="s">
        <v>82</v>
      </c>
      <c r="B99" s="2744">
        <f t="shared" si="34"/>
        <v>0</v>
      </c>
      <c r="C99" s="2749"/>
      <c r="D99" s="2749"/>
      <c r="E99" s="2749"/>
      <c r="F99" s="2749"/>
      <c r="G99" s="2749"/>
      <c r="H99" s="2749"/>
      <c r="I99" s="2749"/>
      <c r="J99" s="2749"/>
      <c r="K99" s="2749"/>
      <c r="L99" s="2749"/>
      <c r="M99" s="2749"/>
      <c r="N99" s="2749"/>
      <c r="O99" s="2749"/>
      <c r="P99" s="2749"/>
      <c r="Q99" s="2749"/>
      <c r="R99" s="2749"/>
      <c r="S99" s="2749"/>
      <c r="T99" s="2749"/>
      <c r="U99" s="2749"/>
      <c r="V99" s="2749"/>
      <c r="W99" s="2749"/>
      <c r="X99" s="2749"/>
      <c r="Y99" s="2749"/>
      <c r="Z99" s="2749"/>
      <c r="AA99" s="2749"/>
      <c r="AB99" s="2749"/>
      <c r="AC99" s="2749"/>
      <c r="AD99" s="2749"/>
      <c r="AE99" s="2749"/>
      <c r="AF99" s="2749"/>
      <c r="AG99" s="2749"/>
      <c r="AH99" s="2748">
        <f t="shared" si="35"/>
        <v>0</v>
      </c>
      <c r="AJ99" s="2660" t="s">
        <v>74</v>
      </c>
      <c r="AK99" s="2661">
        <f t="shared" ref="AK99:BA99" si="36">SUM(AK87:AK98)</f>
        <v>0</v>
      </c>
      <c r="AL99" s="2656">
        <f t="shared" si="36"/>
        <v>0</v>
      </c>
      <c r="AM99" s="2633">
        <f t="shared" si="36"/>
        <v>0</v>
      </c>
      <c r="AN99" s="2633">
        <f t="shared" si="36"/>
        <v>0</v>
      </c>
      <c r="AO99" s="2633">
        <f t="shared" si="36"/>
        <v>0</v>
      </c>
      <c r="AP99" s="2633">
        <f t="shared" si="36"/>
        <v>0</v>
      </c>
      <c r="AQ99" s="2633">
        <f t="shared" si="36"/>
        <v>0</v>
      </c>
      <c r="AR99" s="2633">
        <f t="shared" si="36"/>
        <v>0</v>
      </c>
      <c r="AS99" s="2633">
        <f t="shared" si="36"/>
        <v>0</v>
      </c>
      <c r="AT99" s="2633">
        <f t="shared" si="36"/>
        <v>0</v>
      </c>
      <c r="AU99" s="2633">
        <f t="shared" si="36"/>
        <v>0</v>
      </c>
      <c r="AV99" s="2633">
        <f t="shared" si="36"/>
        <v>0</v>
      </c>
      <c r="AW99" s="2633">
        <f t="shared" si="36"/>
        <v>0</v>
      </c>
      <c r="AX99" s="2633">
        <f t="shared" si="36"/>
        <v>0</v>
      </c>
      <c r="AY99" s="2633">
        <f t="shared" si="36"/>
        <v>0</v>
      </c>
      <c r="AZ99" s="2633">
        <f t="shared" si="36"/>
        <v>0</v>
      </c>
      <c r="BA99" s="2633">
        <f t="shared" si="36"/>
        <v>0</v>
      </c>
      <c r="BB99" s="2636">
        <f t="shared" ref="BB99:BL99" si="37">SUM(BB87:BB97)</f>
        <v>0</v>
      </c>
      <c r="BC99" s="2636">
        <f t="shared" si="37"/>
        <v>0</v>
      </c>
      <c r="BD99" s="2636">
        <f t="shared" si="37"/>
        <v>0</v>
      </c>
      <c r="BE99" s="2636">
        <f t="shared" si="37"/>
        <v>0</v>
      </c>
      <c r="BF99" s="2636">
        <f t="shared" si="37"/>
        <v>0</v>
      </c>
      <c r="BG99" s="2636">
        <f t="shared" si="37"/>
        <v>0</v>
      </c>
      <c r="BH99" s="2636">
        <f t="shared" si="37"/>
        <v>0</v>
      </c>
      <c r="BI99" s="2636">
        <f t="shared" si="37"/>
        <v>0</v>
      </c>
      <c r="BJ99" s="2636">
        <f t="shared" si="37"/>
        <v>0</v>
      </c>
      <c r="BK99" s="2636">
        <f t="shared" si="37"/>
        <v>0</v>
      </c>
      <c r="BL99" s="2636">
        <f t="shared" si="37"/>
        <v>0</v>
      </c>
      <c r="BM99" s="2636">
        <v>0</v>
      </c>
      <c r="BN99" s="2636">
        <f>SUM(BN87:BN97)</f>
        <v>0</v>
      </c>
      <c r="BO99" s="2636">
        <f>SUM(BO87:BO97)</f>
        <v>0</v>
      </c>
      <c r="BP99" s="2636">
        <f>SUM(BP87:BP97)</f>
        <v>0</v>
      </c>
      <c r="BQ99" s="2636">
        <f>SUM(BQ87:BQ97)</f>
        <v>0</v>
      </c>
    </row>
    <row r="100" spans="1:69" s="2545" customFormat="1" ht="15">
      <c r="A100" s="2743" t="s">
        <v>83</v>
      </c>
      <c r="B100" s="2744">
        <f t="shared" si="34"/>
        <v>0</v>
      </c>
      <c r="C100" s="2749"/>
      <c r="D100" s="2749"/>
      <c r="E100" s="2749"/>
      <c r="F100" s="2749"/>
      <c r="G100" s="2749"/>
      <c r="H100" s="2749"/>
      <c r="I100" s="2749"/>
      <c r="J100" s="2749"/>
      <c r="K100" s="2749"/>
      <c r="L100" s="2749"/>
      <c r="M100" s="2749"/>
      <c r="N100" s="2749"/>
      <c r="O100" s="2749"/>
      <c r="P100" s="2749"/>
      <c r="Q100" s="2749"/>
      <c r="R100" s="2749"/>
      <c r="S100" s="2749"/>
      <c r="T100" s="2749"/>
      <c r="U100" s="2749"/>
      <c r="V100" s="2749"/>
      <c r="W100" s="2749"/>
      <c r="X100" s="2749"/>
      <c r="Y100" s="2749"/>
      <c r="Z100" s="2749"/>
      <c r="AA100" s="2749"/>
      <c r="AB100" s="2749"/>
      <c r="AC100" s="2749"/>
      <c r="AD100" s="2749"/>
      <c r="AE100" s="2749"/>
      <c r="AF100" s="2749"/>
      <c r="AG100" s="2749"/>
      <c r="AH100" s="2748">
        <f t="shared" si="35"/>
        <v>0</v>
      </c>
      <c r="AJ100" s="2662"/>
      <c r="AK100" s="2662"/>
      <c r="AL100" s="2662"/>
      <c r="AM100" s="2630"/>
      <c r="AN100" s="2630"/>
      <c r="AO100" s="2630"/>
      <c r="AP100" s="2630"/>
      <c r="AQ100" s="2630"/>
      <c r="AR100" s="2630"/>
      <c r="AS100" s="2630"/>
      <c r="AT100" s="2630"/>
      <c r="AU100" s="2630"/>
      <c r="AV100" s="2630"/>
      <c r="AW100" s="2630"/>
      <c r="AX100" s="2630"/>
      <c r="AY100" s="2630"/>
      <c r="AZ100" s="2630"/>
      <c r="BA100" s="2630"/>
      <c r="BB100" s="2630"/>
      <c r="BC100" s="2630"/>
      <c r="BD100" s="2630"/>
      <c r="BE100" s="2630"/>
      <c r="BF100" s="2630"/>
      <c r="BG100" s="2630"/>
      <c r="BH100" s="2630"/>
      <c r="BI100" s="2630"/>
      <c r="BJ100" s="2630"/>
      <c r="BK100" s="2630"/>
      <c r="BL100" s="2630"/>
      <c r="BM100" s="2630"/>
      <c r="BN100" s="2630"/>
      <c r="BO100" s="2630"/>
      <c r="BP100" s="2630"/>
      <c r="BQ100" s="2630"/>
    </row>
    <row r="101" spans="1:69" s="2545" customFormat="1" ht="23.25">
      <c r="A101" s="2743" t="s">
        <v>84</v>
      </c>
      <c r="B101" s="2744">
        <f t="shared" si="34"/>
        <v>0</v>
      </c>
      <c r="C101" s="2749"/>
      <c r="D101" s="2749"/>
      <c r="E101" s="2749"/>
      <c r="F101" s="2749"/>
      <c r="G101" s="2749"/>
      <c r="H101" s="2749"/>
      <c r="I101" s="2749"/>
      <c r="J101" s="2749"/>
      <c r="K101" s="2749"/>
      <c r="L101" s="2749"/>
      <c r="M101" s="2749"/>
      <c r="N101" s="2749"/>
      <c r="O101" s="2749"/>
      <c r="P101" s="2749"/>
      <c r="Q101" s="2749"/>
      <c r="R101" s="2749"/>
      <c r="S101" s="2749"/>
      <c r="T101" s="2749"/>
      <c r="U101" s="2749"/>
      <c r="V101" s="2749"/>
      <c r="W101" s="2749"/>
      <c r="X101" s="2749"/>
      <c r="Y101" s="2749"/>
      <c r="Z101" s="2749"/>
      <c r="AA101" s="2749"/>
      <c r="AB101" s="2749"/>
      <c r="AC101" s="2749"/>
      <c r="AD101" s="2749"/>
      <c r="AE101" s="2748"/>
      <c r="AF101" s="2749"/>
      <c r="AG101" s="2748"/>
      <c r="AH101" s="2748">
        <f t="shared" si="35"/>
        <v>0</v>
      </c>
      <c r="AJ101" s="3013" t="s">
        <v>267</v>
      </c>
      <c r="AK101" s="3013"/>
      <c r="AL101" s="3013"/>
      <c r="AM101" s="1415"/>
      <c r="AN101" s="3013" t="s">
        <v>1020</v>
      </c>
      <c r="AO101" s="3013"/>
      <c r="AP101" s="3080"/>
      <c r="AQ101" s="2629"/>
      <c r="AR101" s="2630"/>
      <c r="AS101" s="2630"/>
      <c r="AT101" s="2630"/>
      <c r="AU101" s="2630"/>
      <c r="AV101" s="2630"/>
      <c r="AW101" s="2630"/>
      <c r="AX101" s="2630"/>
      <c r="AY101" s="2630"/>
      <c r="AZ101" s="2630"/>
      <c r="BA101" s="2630"/>
      <c r="BB101" s="2630"/>
      <c r="BC101" s="2630"/>
      <c r="BD101" s="2630"/>
      <c r="BE101" s="2630"/>
      <c r="BF101" s="2630"/>
      <c r="BG101" s="2630"/>
      <c r="BH101" s="2630"/>
      <c r="BI101" s="2630"/>
      <c r="BJ101" s="2630"/>
      <c r="BK101" s="2630"/>
      <c r="BL101" s="2630"/>
      <c r="BM101" s="2630"/>
      <c r="BN101" s="2630"/>
      <c r="BO101" s="2630"/>
      <c r="BP101" s="2630"/>
      <c r="BQ101" s="2630"/>
    </row>
    <row r="102" spans="1:69" s="2545" customFormat="1" ht="15">
      <c r="A102" s="2743" t="s">
        <v>85</v>
      </c>
      <c r="B102" s="2744">
        <f t="shared" si="34"/>
        <v>0</v>
      </c>
      <c r="C102" s="2749"/>
      <c r="D102" s="2749"/>
      <c r="E102" s="2749"/>
      <c r="F102" s="2749"/>
      <c r="G102" s="2752"/>
      <c r="H102" s="2749"/>
      <c r="I102" s="2749"/>
      <c r="J102" s="2749"/>
      <c r="K102" s="2749"/>
      <c r="L102" s="2749"/>
      <c r="M102" s="2749"/>
      <c r="N102" s="2749"/>
      <c r="O102" s="2749"/>
      <c r="P102" s="2749"/>
      <c r="Q102" s="2749"/>
      <c r="R102" s="2749"/>
      <c r="S102" s="2749"/>
      <c r="T102" s="2749"/>
      <c r="U102" s="2749"/>
      <c r="V102" s="2749"/>
      <c r="W102" s="2749"/>
      <c r="X102" s="2749"/>
      <c r="Y102" s="2749"/>
      <c r="Z102" s="2749"/>
      <c r="AA102" s="2749"/>
      <c r="AB102" s="2749"/>
      <c r="AC102" s="2749"/>
      <c r="AD102" s="2749"/>
      <c r="AE102" s="2748"/>
      <c r="AF102" s="2749"/>
      <c r="AG102" s="2748"/>
      <c r="AH102" s="2748">
        <f t="shared" si="35"/>
        <v>0</v>
      </c>
      <c r="AJ102" s="3885" t="s">
        <v>271</v>
      </c>
      <c r="AK102" s="3886"/>
      <c r="AL102" s="3887"/>
      <c r="AM102" s="2631"/>
      <c r="AN102" s="2631"/>
      <c r="AO102" s="2631"/>
      <c r="AP102" s="2631"/>
      <c r="AQ102" s="2631"/>
      <c r="AR102" s="2631"/>
      <c r="AS102" s="2631"/>
      <c r="AT102" s="2631"/>
      <c r="AU102" s="2631"/>
      <c r="AV102" s="2631"/>
      <c r="AW102" s="2631"/>
      <c r="AX102" s="2631"/>
      <c r="AY102" s="2631"/>
      <c r="AZ102" s="2631"/>
      <c r="BA102" s="2631"/>
      <c r="BB102" s="2632"/>
      <c r="BC102" s="2632"/>
      <c r="BD102" s="2632"/>
      <c r="BE102" s="2632"/>
      <c r="BF102" s="2632"/>
      <c r="BG102" s="2632"/>
      <c r="BH102" s="2632"/>
      <c r="BI102" s="2632"/>
      <c r="BJ102" s="2632"/>
      <c r="BK102" s="2632"/>
      <c r="BL102" s="2632"/>
      <c r="BM102" s="2632"/>
      <c r="BN102" s="2632"/>
      <c r="BO102" s="2632"/>
      <c r="BP102" s="2632"/>
      <c r="BQ102" s="2632"/>
    </row>
    <row r="103" spans="1:69" s="2545" customFormat="1" ht="15">
      <c r="A103" s="2743" t="s">
        <v>86</v>
      </c>
      <c r="B103" s="2744">
        <f t="shared" si="34"/>
        <v>0</v>
      </c>
      <c r="C103" s="2749"/>
      <c r="D103" s="2749"/>
      <c r="E103" s="2749"/>
      <c r="F103" s="2749"/>
      <c r="G103" s="2749"/>
      <c r="H103" s="2749"/>
      <c r="I103" s="2749"/>
      <c r="J103" s="2749"/>
      <c r="K103" s="2749"/>
      <c r="L103" s="2749"/>
      <c r="M103" s="2749"/>
      <c r="N103" s="2749"/>
      <c r="O103" s="2749"/>
      <c r="P103" s="2749"/>
      <c r="Q103" s="2749"/>
      <c r="R103" s="2749"/>
      <c r="S103" s="2749"/>
      <c r="T103" s="2749"/>
      <c r="U103" s="2749"/>
      <c r="V103" s="2749"/>
      <c r="W103" s="2749"/>
      <c r="X103" s="2749"/>
      <c r="Y103" s="2749"/>
      <c r="Z103" s="2749"/>
      <c r="AA103" s="2749"/>
      <c r="AB103" s="2749"/>
      <c r="AC103" s="2749"/>
      <c r="AD103" s="2749"/>
      <c r="AE103" s="2749"/>
      <c r="AF103" s="2749"/>
      <c r="AG103" s="2749"/>
      <c r="AH103" s="2748">
        <f t="shared" si="35"/>
        <v>0</v>
      </c>
      <c r="AJ103" s="2655" t="s">
        <v>72</v>
      </c>
      <c r="AK103" s="2656" t="s">
        <v>73</v>
      </c>
      <c r="AL103" s="2657">
        <v>1</v>
      </c>
      <c r="AM103" s="2042">
        <v>2</v>
      </c>
      <c r="AN103" s="2042">
        <v>3</v>
      </c>
      <c r="AO103" s="2042">
        <v>4</v>
      </c>
      <c r="AP103" s="2042">
        <v>5</v>
      </c>
      <c r="AQ103" s="2042">
        <v>6</v>
      </c>
      <c r="AR103" s="2042">
        <v>7</v>
      </c>
      <c r="AS103" s="2042">
        <v>8</v>
      </c>
      <c r="AT103" s="2042">
        <v>9</v>
      </c>
      <c r="AU103" s="2042">
        <v>10</v>
      </c>
      <c r="AV103" s="2042">
        <v>11</v>
      </c>
      <c r="AW103" s="2042">
        <v>12</v>
      </c>
      <c r="AX103" s="2042">
        <v>13</v>
      </c>
      <c r="AY103" s="2042">
        <v>14</v>
      </c>
      <c r="AZ103" s="2042">
        <v>15</v>
      </c>
      <c r="BA103" s="2042">
        <v>16</v>
      </c>
      <c r="BB103" s="1841">
        <v>17</v>
      </c>
      <c r="BC103" s="1841">
        <v>18</v>
      </c>
      <c r="BD103" s="1841">
        <v>19</v>
      </c>
      <c r="BE103" s="1841">
        <v>20</v>
      </c>
      <c r="BF103" s="1841">
        <v>21</v>
      </c>
      <c r="BG103" s="1841">
        <v>22</v>
      </c>
      <c r="BH103" s="1841">
        <v>23</v>
      </c>
      <c r="BI103" s="1841">
        <v>24</v>
      </c>
      <c r="BJ103" s="1841">
        <v>25</v>
      </c>
      <c r="BK103" s="1841">
        <v>26</v>
      </c>
      <c r="BL103" s="1841">
        <v>27</v>
      </c>
      <c r="BM103" s="1841">
        <v>28</v>
      </c>
      <c r="BN103" s="1841">
        <v>29</v>
      </c>
      <c r="BO103" s="1841">
        <v>30</v>
      </c>
      <c r="BP103" s="1841">
        <v>31</v>
      </c>
      <c r="BQ103" s="2634" t="s">
        <v>74</v>
      </c>
    </row>
    <row r="104" spans="1:69" s="2545" customFormat="1" ht="15">
      <c r="A104" s="2753" t="s">
        <v>74</v>
      </c>
      <c r="B104" s="2754">
        <f t="shared" ref="B104:R104" si="38">SUM(B92:B103)</f>
        <v>0</v>
      </c>
      <c r="C104" s="2744">
        <f t="shared" si="38"/>
        <v>0</v>
      </c>
      <c r="D104" s="2744">
        <f t="shared" si="38"/>
        <v>0</v>
      </c>
      <c r="E104" s="2744">
        <f t="shared" si="38"/>
        <v>0</v>
      </c>
      <c r="F104" s="2744">
        <f t="shared" si="38"/>
        <v>0</v>
      </c>
      <c r="G104" s="2744">
        <f t="shared" si="38"/>
        <v>0</v>
      </c>
      <c r="H104" s="2744">
        <f t="shared" si="38"/>
        <v>0</v>
      </c>
      <c r="I104" s="2744">
        <f t="shared" si="38"/>
        <v>0</v>
      </c>
      <c r="J104" s="2744">
        <f t="shared" si="38"/>
        <v>0</v>
      </c>
      <c r="K104" s="2744">
        <f t="shared" si="38"/>
        <v>0</v>
      </c>
      <c r="L104" s="2744">
        <f t="shared" si="38"/>
        <v>0</v>
      </c>
      <c r="M104" s="2744">
        <f t="shared" si="38"/>
        <v>0</v>
      </c>
      <c r="N104" s="2744">
        <f t="shared" si="38"/>
        <v>0</v>
      </c>
      <c r="O104" s="2744">
        <f t="shared" si="38"/>
        <v>0</v>
      </c>
      <c r="P104" s="2744">
        <f t="shared" si="38"/>
        <v>0</v>
      </c>
      <c r="Q104" s="2744">
        <f t="shared" si="38"/>
        <v>0</v>
      </c>
      <c r="R104" s="2744">
        <f t="shared" si="38"/>
        <v>0</v>
      </c>
      <c r="S104" s="2748">
        <f t="shared" ref="S104:AC104" si="39">SUM(S92:S102)</f>
        <v>0</v>
      </c>
      <c r="T104" s="2748">
        <f t="shared" si="39"/>
        <v>0</v>
      </c>
      <c r="U104" s="2748">
        <f t="shared" si="39"/>
        <v>0</v>
      </c>
      <c r="V104" s="2748">
        <f t="shared" si="39"/>
        <v>0</v>
      </c>
      <c r="W104" s="2748">
        <f t="shared" si="39"/>
        <v>0</v>
      </c>
      <c r="X104" s="2748">
        <f t="shared" si="39"/>
        <v>0</v>
      </c>
      <c r="Y104" s="2748">
        <f t="shared" si="39"/>
        <v>0</v>
      </c>
      <c r="Z104" s="2748">
        <f t="shared" si="39"/>
        <v>0</v>
      </c>
      <c r="AA104" s="2748">
        <f t="shared" si="39"/>
        <v>0</v>
      </c>
      <c r="AB104" s="2748">
        <f t="shared" si="39"/>
        <v>0</v>
      </c>
      <c r="AC104" s="2748">
        <f t="shared" si="39"/>
        <v>0</v>
      </c>
      <c r="AD104" s="2748">
        <v>0</v>
      </c>
      <c r="AE104" s="2748">
        <f>SUM(AE92:AE102)</f>
        <v>0</v>
      </c>
      <c r="AF104" s="2748">
        <f>SUM(AF92:AF102)</f>
        <v>0</v>
      </c>
      <c r="AG104" s="2748">
        <f>SUM(AG92:AG102)</f>
        <v>0</v>
      </c>
      <c r="AH104" s="2748">
        <f>SUM(AH92:AH102)</f>
        <v>0</v>
      </c>
      <c r="AJ104" s="2655" t="s">
        <v>75</v>
      </c>
      <c r="AK104" s="2656">
        <f t="shared" ref="AK104:AK115" si="40">+BQ104</f>
        <v>0</v>
      </c>
      <c r="AL104" s="2658"/>
      <c r="AM104" s="2635"/>
      <c r="AN104" s="2635"/>
      <c r="AO104" s="2635"/>
      <c r="AP104" s="2635"/>
      <c r="AQ104" s="2635"/>
      <c r="AR104" s="2635"/>
      <c r="AS104" s="2635"/>
      <c r="AT104" s="2635"/>
      <c r="AU104" s="2635"/>
      <c r="AV104" s="2635"/>
      <c r="AW104" s="2635"/>
      <c r="AX104" s="2635"/>
      <c r="AY104" s="2635"/>
      <c r="AZ104" s="2635"/>
      <c r="BA104" s="2635"/>
      <c r="BB104" s="2635"/>
      <c r="BC104" s="2635"/>
      <c r="BD104" s="2635"/>
      <c r="BE104" s="2635"/>
      <c r="BF104" s="2635"/>
      <c r="BG104" s="2635"/>
      <c r="BH104" s="2635"/>
      <c r="BI104" s="2635"/>
      <c r="BJ104" s="2635"/>
      <c r="BK104" s="2635"/>
      <c r="BL104" s="2635"/>
      <c r="BM104" s="2635"/>
      <c r="BN104" s="2635"/>
      <c r="BO104" s="2635"/>
      <c r="BP104" s="2635"/>
      <c r="BQ104" s="2636">
        <f>SUM(AL104:BP104)</f>
        <v>0</v>
      </c>
    </row>
    <row r="105" spans="1:69" s="2545" customFormat="1" ht="15.75" thickBot="1">
      <c r="A105" s="2738"/>
      <c r="B105" s="2738"/>
      <c r="C105" s="2738"/>
      <c r="D105" s="2738"/>
      <c r="E105" s="2738"/>
      <c r="F105" s="2738"/>
      <c r="G105" s="2738"/>
      <c r="H105" s="2738"/>
      <c r="I105" s="2738"/>
      <c r="J105" s="2738"/>
      <c r="K105" s="2738"/>
      <c r="L105" s="2738"/>
      <c r="M105" s="2738"/>
      <c r="N105" s="2738"/>
      <c r="O105" s="2738"/>
      <c r="P105" s="2738"/>
      <c r="Q105" s="2738"/>
      <c r="R105" s="2738"/>
      <c r="S105" s="2738"/>
      <c r="T105" s="2738"/>
      <c r="U105" s="2738"/>
      <c r="V105" s="2738"/>
      <c r="W105" s="2738"/>
      <c r="X105" s="2738"/>
      <c r="Y105" s="2738"/>
      <c r="Z105" s="2738"/>
      <c r="AA105" s="2738"/>
      <c r="AB105" s="2738"/>
      <c r="AC105" s="2738"/>
      <c r="AD105" s="2738"/>
      <c r="AE105" s="2738"/>
      <c r="AF105" s="2738"/>
      <c r="AG105" s="2738"/>
      <c r="AH105" s="2738"/>
      <c r="AJ105" s="2655" t="s">
        <v>76</v>
      </c>
      <c r="AK105" s="2656">
        <f t="shared" si="40"/>
        <v>0</v>
      </c>
      <c r="AL105" s="2658"/>
      <c r="AM105" s="2635"/>
      <c r="AN105" s="2635"/>
      <c r="AO105" s="2635"/>
      <c r="AP105" s="2635"/>
      <c r="AQ105" s="2635"/>
      <c r="AR105" s="2635"/>
      <c r="AS105" s="2635"/>
      <c r="AT105" s="2635"/>
      <c r="AU105" s="2635"/>
      <c r="AV105" s="2635"/>
      <c r="AW105" s="2635"/>
      <c r="AX105" s="2635"/>
      <c r="AY105" s="2635"/>
      <c r="AZ105" s="2635"/>
      <c r="BA105" s="2635"/>
      <c r="BB105" s="2635"/>
      <c r="BC105" s="2635"/>
      <c r="BD105" s="2635"/>
      <c r="BE105" s="2635"/>
      <c r="BF105" s="2635"/>
      <c r="BG105" s="2635"/>
      <c r="BH105" s="2635"/>
      <c r="BI105" s="2635"/>
      <c r="BJ105" s="2635"/>
      <c r="BK105" s="2635"/>
      <c r="BL105" s="2635"/>
      <c r="BM105" s="2635"/>
      <c r="BN105" s="2635"/>
      <c r="BO105" s="2635"/>
      <c r="BP105" s="2635"/>
      <c r="BQ105" s="2636">
        <f t="shared" ref="BQ105:BQ115" si="41">SUM(AL105:BP105)</f>
        <v>0</v>
      </c>
    </row>
    <row r="106" spans="1:69" s="2545" customFormat="1" ht="26.25" thickBot="1">
      <c r="A106" s="2739" t="s">
        <v>928</v>
      </c>
      <c r="B106" s="2740"/>
      <c r="C106" s="2740" t="s">
        <v>929</v>
      </c>
      <c r="D106" s="2738"/>
      <c r="E106" s="2738"/>
      <c r="F106" s="2738"/>
      <c r="G106" s="2738"/>
      <c r="H106" s="3014" t="s">
        <v>1057</v>
      </c>
      <c r="I106" s="3014"/>
      <c r="J106" s="3014"/>
      <c r="K106" s="3014"/>
      <c r="L106" s="1415"/>
      <c r="M106" s="3080"/>
      <c r="N106" s="2738"/>
      <c r="O106" s="2738"/>
      <c r="P106" s="2738"/>
      <c r="Q106" s="2738"/>
      <c r="R106" s="2738"/>
      <c r="S106" s="2738"/>
      <c r="T106" s="2738"/>
      <c r="U106" s="2738"/>
      <c r="V106" s="2738"/>
      <c r="W106" s="2738"/>
      <c r="X106" s="2738"/>
      <c r="Y106" s="2738"/>
      <c r="Z106" s="2738"/>
      <c r="AA106" s="2738"/>
      <c r="AB106" s="2738"/>
      <c r="AC106" s="2738"/>
      <c r="AD106" s="2738"/>
      <c r="AE106" s="2738"/>
      <c r="AF106" s="2738"/>
      <c r="AG106" s="2738"/>
      <c r="AH106" s="2738"/>
      <c r="AJ106" s="2655" t="s">
        <v>77</v>
      </c>
      <c r="AK106" s="2656">
        <f t="shared" si="40"/>
        <v>0</v>
      </c>
      <c r="AL106" s="2658"/>
      <c r="AM106" s="2635"/>
      <c r="AN106" s="2635"/>
      <c r="AO106" s="2635"/>
      <c r="AP106" s="2635"/>
      <c r="AQ106" s="1842"/>
      <c r="AR106" s="1842"/>
      <c r="AS106" s="1842"/>
      <c r="AT106" s="1842"/>
      <c r="AU106" s="1842"/>
      <c r="AV106" s="1842"/>
      <c r="AW106" s="1842"/>
      <c r="AX106" s="1842"/>
      <c r="AY106" s="1842"/>
      <c r="AZ106" s="1842"/>
      <c r="BA106" s="2637"/>
      <c r="BB106" s="1842"/>
      <c r="BC106" s="1842"/>
      <c r="BD106" s="1842"/>
      <c r="BE106" s="1842"/>
      <c r="BF106" s="1842"/>
      <c r="BG106" s="1842"/>
      <c r="BH106" s="1842"/>
      <c r="BI106" s="1842"/>
      <c r="BJ106" s="1842"/>
      <c r="BK106" s="1842"/>
      <c r="BL106" s="2635"/>
      <c r="BM106" s="2635"/>
      <c r="BN106" s="2635"/>
      <c r="BO106" s="2635"/>
      <c r="BP106" s="2635"/>
      <c r="BQ106" s="2636">
        <f t="shared" si="41"/>
        <v>0</v>
      </c>
    </row>
    <row r="107" spans="1:69" s="2545" customFormat="1" ht="15">
      <c r="A107" s="3857" t="s">
        <v>264</v>
      </c>
      <c r="B107" s="3858"/>
      <c r="C107" s="3859"/>
      <c r="D107" s="2741"/>
      <c r="E107" s="2741"/>
      <c r="F107" s="2741"/>
      <c r="G107" s="2741"/>
      <c r="H107" s="2741"/>
      <c r="I107" s="2741"/>
      <c r="J107" s="2741"/>
      <c r="K107" s="2741"/>
      <c r="L107" s="2741"/>
      <c r="M107" s="2741"/>
      <c r="N107" s="2741"/>
      <c r="O107" s="2741"/>
      <c r="P107" s="2741"/>
      <c r="Q107" s="2741"/>
      <c r="R107" s="2741"/>
      <c r="S107" s="2742"/>
      <c r="T107" s="2742"/>
      <c r="U107" s="2742"/>
      <c r="V107" s="2742"/>
      <c r="W107" s="2742"/>
      <c r="X107" s="2742"/>
      <c r="Y107" s="2742"/>
      <c r="Z107" s="2742"/>
      <c r="AA107" s="2742"/>
      <c r="AB107" s="2742"/>
      <c r="AC107" s="2742"/>
      <c r="AD107" s="2742"/>
      <c r="AE107" s="2742"/>
      <c r="AF107" s="2742"/>
      <c r="AG107" s="2742"/>
      <c r="AH107" s="2742"/>
      <c r="AJ107" s="2655" t="s">
        <v>78</v>
      </c>
      <c r="AK107" s="2656">
        <f t="shared" si="40"/>
        <v>0</v>
      </c>
      <c r="AL107" s="2658"/>
      <c r="AM107" s="2635"/>
      <c r="AN107" s="2635"/>
      <c r="AO107" s="2635"/>
      <c r="AP107" s="2635"/>
      <c r="AQ107" s="2635"/>
      <c r="AR107" s="2635"/>
      <c r="AS107" s="2635"/>
      <c r="AT107" s="2635"/>
      <c r="AU107" s="2638"/>
      <c r="AV107" s="2638"/>
      <c r="AW107" s="2638"/>
      <c r="AX107" s="2638"/>
      <c r="AY107" s="2638"/>
      <c r="AZ107" s="2638"/>
      <c r="BA107" s="2638"/>
      <c r="BB107" s="2638"/>
      <c r="BC107" s="2638"/>
      <c r="BD107" s="2638"/>
      <c r="BE107" s="2638"/>
      <c r="BF107" s="2638"/>
      <c r="BG107" s="2638"/>
      <c r="BH107" s="2638"/>
      <c r="BI107" s="2638"/>
      <c r="BJ107" s="2638"/>
      <c r="BK107" s="2638"/>
      <c r="BL107" s="2638"/>
      <c r="BM107" s="2638"/>
      <c r="BN107" s="2638"/>
      <c r="BO107" s="2638"/>
      <c r="BP107" s="2638"/>
      <c r="BQ107" s="2636">
        <f t="shared" si="41"/>
        <v>0</v>
      </c>
    </row>
    <row r="108" spans="1:69" s="2545" customFormat="1" ht="15">
      <c r="A108" s="2743" t="s">
        <v>72</v>
      </c>
      <c r="B108" s="2744" t="s">
        <v>73</v>
      </c>
      <c r="C108" s="2745">
        <v>1</v>
      </c>
      <c r="D108" s="2745">
        <v>2</v>
      </c>
      <c r="E108" s="2745">
        <v>3</v>
      </c>
      <c r="F108" s="2745">
        <v>4</v>
      </c>
      <c r="G108" s="2745">
        <v>5</v>
      </c>
      <c r="H108" s="2745">
        <v>6</v>
      </c>
      <c r="I108" s="2745">
        <v>7</v>
      </c>
      <c r="J108" s="2745">
        <v>8</v>
      </c>
      <c r="K108" s="2745">
        <v>9</v>
      </c>
      <c r="L108" s="2745">
        <v>10</v>
      </c>
      <c r="M108" s="2745">
        <v>11</v>
      </c>
      <c r="N108" s="2745">
        <v>12</v>
      </c>
      <c r="O108" s="2745">
        <v>13</v>
      </c>
      <c r="P108" s="2745">
        <v>14</v>
      </c>
      <c r="Q108" s="2745">
        <v>15</v>
      </c>
      <c r="R108" s="2745">
        <v>16</v>
      </c>
      <c r="S108" s="2743">
        <v>17</v>
      </c>
      <c r="T108" s="2743">
        <v>18</v>
      </c>
      <c r="U108" s="2743">
        <v>19</v>
      </c>
      <c r="V108" s="2743">
        <v>20</v>
      </c>
      <c r="W108" s="2743">
        <v>21</v>
      </c>
      <c r="X108" s="2743">
        <v>22</v>
      </c>
      <c r="Y108" s="2743">
        <v>23</v>
      </c>
      <c r="Z108" s="2743">
        <v>24</v>
      </c>
      <c r="AA108" s="2743">
        <v>25</v>
      </c>
      <c r="AB108" s="2743">
        <v>26</v>
      </c>
      <c r="AC108" s="2743">
        <v>27</v>
      </c>
      <c r="AD108" s="2743">
        <v>28</v>
      </c>
      <c r="AE108" s="2743">
        <v>29</v>
      </c>
      <c r="AF108" s="2743">
        <v>30</v>
      </c>
      <c r="AG108" s="2743">
        <v>31</v>
      </c>
      <c r="AH108" s="2746" t="s">
        <v>74</v>
      </c>
      <c r="AJ108" s="2655" t="s">
        <v>79</v>
      </c>
      <c r="AK108" s="2656">
        <f t="shared" si="40"/>
        <v>0</v>
      </c>
      <c r="AL108" s="2659"/>
      <c r="AM108" s="1842"/>
      <c r="AN108" s="1842"/>
      <c r="AO108" s="1842"/>
      <c r="AP108" s="1842"/>
      <c r="AQ108" s="1842"/>
      <c r="AR108" s="1842"/>
      <c r="AS108" s="1842"/>
      <c r="AT108" s="1842"/>
      <c r="AU108" s="1842"/>
      <c r="AV108" s="1842"/>
      <c r="AW108" s="1842"/>
      <c r="AX108" s="1842"/>
      <c r="AY108" s="1842"/>
      <c r="AZ108" s="1842"/>
      <c r="BA108" s="1842"/>
      <c r="BB108" s="1842"/>
      <c r="BC108" s="1842"/>
      <c r="BD108" s="1842"/>
      <c r="BE108" s="1842"/>
      <c r="BF108" s="1842"/>
      <c r="BG108" s="1842"/>
      <c r="BH108" s="1842"/>
      <c r="BI108" s="1842"/>
      <c r="BJ108" s="1842"/>
      <c r="BK108" s="1842"/>
      <c r="BL108" s="1842"/>
      <c r="BM108" s="1842"/>
      <c r="BN108" s="1842"/>
      <c r="BO108" s="1842"/>
      <c r="BP108" s="1842"/>
      <c r="BQ108" s="2636">
        <f t="shared" si="41"/>
        <v>0</v>
      </c>
    </row>
    <row r="109" spans="1:69" s="2545" customFormat="1" ht="15">
      <c r="A109" s="2743" t="s">
        <v>75</v>
      </c>
      <c r="B109" s="2744">
        <f t="shared" ref="B109:B120" si="42">+AH109</f>
        <v>0</v>
      </c>
      <c r="C109" s="2747"/>
      <c r="D109" s="2747"/>
      <c r="E109" s="2747"/>
      <c r="F109" s="2747"/>
      <c r="G109" s="2747"/>
      <c r="H109" s="2747"/>
      <c r="I109" s="2747"/>
      <c r="J109" s="2747"/>
      <c r="K109" s="2747"/>
      <c r="L109" s="2747"/>
      <c r="M109" s="2747"/>
      <c r="N109" s="2747"/>
      <c r="O109" s="2747"/>
      <c r="P109" s="2747"/>
      <c r="Q109" s="2747"/>
      <c r="R109" s="2747"/>
      <c r="S109" s="2747"/>
      <c r="T109" s="2747"/>
      <c r="U109" s="2747"/>
      <c r="V109" s="2747"/>
      <c r="W109" s="2747"/>
      <c r="X109" s="2747"/>
      <c r="Y109" s="2747"/>
      <c r="Z109" s="2747"/>
      <c r="AA109" s="2747"/>
      <c r="AB109" s="2747"/>
      <c r="AC109" s="2747"/>
      <c r="AD109" s="2747"/>
      <c r="AE109" s="2747"/>
      <c r="AF109" s="2747"/>
      <c r="AG109" s="2747"/>
      <c r="AH109" s="2748">
        <f>SUM(C109:AG109)</f>
        <v>0</v>
      </c>
      <c r="AJ109" s="2655" t="s">
        <v>80</v>
      </c>
      <c r="AK109" s="2656">
        <f t="shared" si="40"/>
        <v>0</v>
      </c>
      <c r="AL109" s="2659"/>
      <c r="AM109" s="1842"/>
      <c r="AN109" s="1842"/>
      <c r="AO109" s="1842"/>
      <c r="AP109" s="1842"/>
      <c r="AQ109" s="1842"/>
      <c r="AR109" s="1842"/>
      <c r="AS109" s="1842"/>
      <c r="AT109" s="1842"/>
      <c r="AU109" s="1842"/>
      <c r="AV109" s="1842"/>
      <c r="AW109" s="1842"/>
      <c r="AX109" s="1842"/>
      <c r="AY109" s="1842"/>
      <c r="AZ109" s="1842"/>
      <c r="BA109" s="1842"/>
      <c r="BB109" s="1842"/>
      <c r="BC109" s="1842"/>
      <c r="BD109" s="1842"/>
      <c r="BE109" s="1842"/>
      <c r="BF109" s="1842"/>
      <c r="BG109" s="1842"/>
      <c r="BH109" s="1842"/>
      <c r="BI109" s="1842"/>
      <c r="BJ109" s="1842"/>
      <c r="BK109" s="1842"/>
      <c r="BL109" s="1842"/>
      <c r="BM109" s="1842"/>
      <c r="BN109" s="1842"/>
      <c r="BO109" s="1842"/>
      <c r="BP109" s="1842"/>
      <c r="BQ109" s="2636">
        <f t="shared" si="41"/>
        <v>0</v>
      </c>
    </row>
    <row r="110" spans="1:69" s="2545" customFormat="1" ht="15">
      <c r="A110" s="2743" t="s">
        <v>76</v>
      </c>
      <c r="B110" s="2744">
        <f t="shared" si="42"/>
        <v>0</v>
      </c>
      <c r="C110" s="2747"/>
      <c r="D110" s="2747"/>
      <c r="E110" s="2747"/>
      <c r="F110" s="2747"/>
      <c r="G110" s="2747"/>
      <c r="H110" s="2747"/>
      <c r="I110" s="2747"/>
      <c r="J110" s="2747"/>
      <c r="K110" s="2747"/>
      <c r="L110" s="2747"/>
      <c r="M110" s="2747"/>
      <c r="N110" s="2747"/>
      <c r="O110" s="2747"/>
      <c r="P110" s="2747"/>
      <c r="Q110" s="2747"/>
      <c r="R110" s="2747"/>
      <c r="S110" s="2747"/>
      <c r="T110" s="2747"/>
      <c r="U110" s="2747"/>
      <c r="V110" s="2747"/>
      <c r="W110" s="2747"/>
      <c r="X110" s="2747"/>
      <c r="Y110" s="2747"/>
      <c r="Z110" s="2747"/>
      <c r="AA110" s="2747"/>
      <c r="AB110" s="2747"/>
      <c r="AC110" s="2747"/>
      <c r="AD110" s="2747"/>
      <c r="AE110" s="2747"/>
      <c r="AF110" s="2747"/>
      <c r="AG110" s="2747"/>
      <c r="AH110" s="2748">
        <f t="shared" ref="AH110:AH120" si="43">SUM(C110:AG110)</f>
        <v>0</v>
      </c>
      <c r="AJ110" s="2655" t="s">
        <v>81</v>
      </c>
      <c r="AK110" s="2656">
        <f t="shared" si="40"/>
        <v>0</v>
      </c>
      <c r="AL110" s="2659"/>
      <c r="AM110" s="2636"/>
      <c r="AN110" s="2636"/>
      <c r="AO110" s="2636"/>
      <c r="AP110" s="1842"/>
      <c r="AQ110" s="1842"/>
      <c r="AR110" s="1842"/>
      <c r="AS110" s="1842"/>
      <c r="AT110" s="1842"/>
      <c r="AU110" s="1842"/>
      <c r="AV110" s="1842"/>
      <c r="AW110" s="1842"/>
      <c r="AX110" s="1842"/>
      <c r="AY110" s="1842"/>
      <c r="AZ110" s="1842"/>
      <c r="BA110" s="1842"/>
      <c r="BB110" s="1842"/>
      <c r="BC110" s="1842"/>
      <c r="BD110" s="1842"/>
      <c r="BE110" s="1842"/>
      <c r="BF110" s="1842"/>
      <c r="BG110" s="1842"/>
      <c r="BH110" s="1842"/>
      <c r="BI110" s="1842"/>
      <c r="BJ110" s="1842"/>
      <c r="BK110" s="1842"/>
      <c r="BL110" s="1842"/>
      <c r="BM110" s="1842"/>
      <c r="BN110" s="1842"/>
      <c r="BO110" s="1842"/>
      <c r="BP110" s="1842"/>
      <c r="BQ110" s="2636">
        <f t="shared" si="41"/>
        <v>0</v>
      </c>
    </row>
    <row r="111" spans="1:69" s="2545" customFormat="1" ht="15">
      <c r="A111" s="2743" t="s">
        <v>77</v>
      </c>
      <c r="B111" s="2744">
        <f t="shared" si="42"/>
        <v>0</v>
      </c>
      <c r="C111" s="2747"/>
      <c r="D111" s="2747"/>
      <c r="E111" s="2747"/>
      <c r="F111" s="2747"/>
      <c r="G111" s="2747"/>
      <c r="H111" s="2749"/>
      <c r="I111" s="2749"/>
      <c r="J111" s="2749"/>
      <c r="K111" s="2749"/>
      <c r="L111" s="2749"/>
      <c r="M111" s="2749"/>
      <c r="N111" s="2749"/>
      <c r="O111" s="2749"/>
      <c r="P111" s="2749"/>
      <c r="Q111" s="2749"/>
      <c r="R111" s="2749"/>
      <c r="S111" s="2749"/>
      <c r="T111" s="2749"/>
      <c r="U111" s="2749"/>
      <c r="V111" s="2749"/>
      <c r="W111" s="2749"/>
      <c r="X111" s="2749"/>
      <c r="Y111" s="2749"/>
      <c r="Z111" s="2749"/>
      <c r="AA111" s="2749"/>
      <c r="AB111" s="2749"/>
      <c r="AC111" s="2747"/>
      <c r="AD111" s="2747"/>
      <c r="AE111" s="2747"/>
      <c r="AF111" s="2747"/>
      <c r="AG111" s="2747"/>
      <c r="AH111" s="2748">
        <f t="shared" si="43"/>
        <v>0</v>
      </c>
      <c r="AJ111" s="2655" t="s">
        <v>82</v>
      </c>
      <c r="AK111" s="2656">
        <f t="shared" si="40"/>
        <v>0</v>
      </c>
      <c r="AL111" s="2659"/>
      <c r="AM111" s="1842"/>
      <c r="AN111" s="1842"/>
      <c r="AO111" s="1842"/>
      <c r="AP111" s="1842"/>
      <c r="AQ111" s="1842"/>
      <c r="AR111" s="1842"/>
      <c r="AS111" s="1842"/>
      <c r="AT111" s="1842"/>
      <c r="AU111" s="1842"/>
      <c r="AV111" s="1842"/>
      <c r="AW111" s="1842"/>
      <c r="AX111" s="1842"/>
      <c r="AY111" s="1842"/>
      <c r="AZ111" s="1842"/>
      <c r="BA111" s="1842"/>
      <c r="BB111" s="1842"/>
      <c r="BC111" s="1842"/>
      <c r="BD111" s="1842"/>
      <c r="BE111" s="1842"/>
      <c r="BF111" s="1842"/>
      <c r="BG111" s="1842"/>
      <c r="BH111" s="1842"/>
      <c r="BI111" s="1842"/>
      <c r="BJ111" s="1842"/>
      <c r="BK111" s="1842"/>
      <c r="BL111" s="1842"/>
      <c r="BM111" s="1842"/>
      <c r="BN111" s="1842"/>
      <c r="BO111" s="1842"/>
      <c r="BP111" s="1842"/>
      <c r="BQ111" s="2636">
        <f t="shared" si="41"/>
        <v>0</v>
      </c>
    </row>
    <row r="112" spans="1:69" s="2545" customFormat="1" ht="15">
      <c r="A112" s="2743" t="s">
        <v>78</v>
      </c>
      <c r="B112" s="2744">
        <f t="shared" si="42"/>
        <v>0</v>
      </c>
      <c r="C112" s="2747"/>
      <c r="D112" s="2747"/>
      <c r="E112" s="2747"/>
      <c r="F112" s="2747"/>
      <c r="G112" s="2747"/>
      <c r="H112" s="2747"/>
      <c r="I112" s="2747"/>
      <c r="J112" s="2747"/>
      <c r="K112" s="2747"/>
      <c r="L112" s="2751"/>
      <c r="M112" s="2751"/>
      <c r="N112" s="2751"/>
      <c r="O112" s="2751"/>
      <c r="P112" s="2751"/>
      <c r="Q112" s="2751"/>
      <c r="R112" s="2751"/>
      <c r="S112" s="2751"/>
      <c r="T112" s="2751"/>
      <c r="U112" s="2751"/>
      <c r="V112" s="2751"/>
      <c r="W112" s="2751"/>
      <c r="X112" s="2751"/>
      <c r="Y112" s="2751"/>
      <c r="Z112" s="2751"/>
      <c r="AA112" s="2751"/>
      <c r="AB112" s="2751"/>
      <c r="AC112" s="2751"/>
      <c r="AD112" s="2751"/>
      <c r="AE112" s="2751"/>
      <c r="AF112" s="2751"/>
      <c r="AG112" s="2751"/>
      <c r="AH112" s="2748">
        <f t="shared" si="43"/>
        <v>0</v>
      </c>
      <c r="AJ112" s="2655" t="s">
        <v>83</v>
      </c>
      <c r="AK112" s="2656">
        <f t="shared" si="40"/>
        <v>0</v>
      </c>
      <c r="AL112" s="2659"/>
      <c r="AM112" s="1842"/>
      <c r="AN112" s="1842"/>
      <c r="AO112" s="1842"/>
      <c r="AP112" s="1842"/>
      <c r="AQ112" s="1842"/>
      <c r="AR112" s="1842"/>
      <c r="AS112" s="1842"/>
      <c r="AT112" s="1842"/>
      <c r="AU112" s="1842"/>
      <c r="AV112" s="1842"/>
      <c r="AW112" s="1842"/>
      <c r="AX112" s="1842"/>
      <c r="AY112" s="1842"/>
      <c r="AZ112" s="1842"/>
      <c r="BA112" s="1842"/>
      <c r="BB112" s="1842"/>
      <c r="BC112" s="1842"/>
      <c r="BD112" s="1842"/>
      <c r="BE112" s="1842"/>
      <c r="BF112" s="1842"/>
      <c r="BG112" s="1842"/>
      <c r="BH112" s="1842"/>
      <c r="BI112" s="1842"/>
      <c r="BJ112" s="1842"/>
      <c r="BK112" s="1842"/>
      <c r="BL112" s="1842"/>
      <c r="BM112" s="1842"/>
      <c r="BN112" s="1842"/>
      <c r="BO112" s="1842"/>
      <c r="BP112" s="1842"/>
      <c r="BQ112" s="2636">
        <f t="shared" si="41"/>
        <v>0</v>
      </c>
    </row>
    <row r="113" spans="1:69" s="2545" customFormat="1" ht="15">
      <c r="A113" s="2743" t="s">
        <v>79</v>
      </c>
      <c r="B113" s="2744">
        <f t="shared" si="42"/>
        <v>0</v>
      </c>
      <c r="C113" s="2749"/>
      <c r="D113" s="2749"/>
      <c r="E113" s="2749"/>
      <c r="F113" s="2749"/>
      <c r="G113" s="2749"/>
      <c r="H113" s="2749"/>
      <c r="I113" s="2749"/>
      <c r="J113" s="2749"/>
      <c r="K113" s="2749"/>
      <c r="L113" s="2749"/>
      <c r="M113" s="2749"/>
      <c r="N113" s="2749"/>
      <c r="O113" s="2749"/>
      <c r="P113" s="2749"/>
      <c r="Q113" s="2749"/>
      <c r="R113" s="2749"/>
      <c r="S113" s="2749"/>
      <c r="T113" s="2749"/>
      <c r="U113" s="2749"/>
      <c r="V113" s="2749"/>
      <c r="W113" s="2749"/>
      <c r="X113" s="2749"/>
      <c r="Y113" s="2749"/>
      <c r="Z113" s="2749"/>
      <c r="AA113" s="2749"/>
      <c r="AB113" s="2749"/>
      <c r="AC113" s="2749"/>
      <c r="AD113" s="2749"/>
      <c r="AE113" s="2749"/>
      <c r="AF113" s="2749"/>
      <c r="AG113" s="2749"/>
      <c r="AH113" s="2748">
        <f t="shared" si="43"/>
        <v>0</v>
      </c>
      <c r="AJ113" s="2655" t="s">
        <v>84</v>
      </c>
      <c r="AK113" s="2656">
        <f t="shared" si="40"/>
        <v>0</v>
      </c>
      <c r="AL113" s="2659"/>
      <c r="AM113" s="1842"/>
      <c r="AN113" s="1842"/>
      <c r="AO113" s="1842"/>
      <c r="AP113" s="1842"/>
      <c r="AQ113" s="1842"/>
      <c r="AR113" s="1842"/>
      <c r="AS113" s="1842"/>
      <c r="AT113" s="1842"/>
      <c r="AU113" s="1842"/>
      <c r="AV113" s="1842"/>
      <c r="AW113" s="1842"/>
      <c r="AX113" s="1842"/>
      <c r="AY113" s="1842"/>
      <c r="AZ113" s="1842"/>
      <c r="BA113" s="1842"/>
      <c r="BB113" s="1842"/>
      <c r="BC113" s="1842"/>
      <c r="BD113" s="1842"/>
      <c r="BE113" s="1842"/>
      <c r="BF113" s="1842"/>
      <c r="BG113" s="1842"/>
      <c r="BH113" s="1842"/>
      <c r="BI113" s="1842"/>
      <c r="BJ113" s="1842"/>
      <c r="BK113" s="1842"/>
      <c r="BL113" s="1842"/>
      <c r="BM113" s="1842"/>
      <c r="BN113" s="2636"/>
      <c r="BO113" s="1842"/>
      <c r="BP113" s="2636"/>
      <c r="BQ113" s="2636">
        <f t="shared" si="41"/>
        <v>0</v>
      </c>
    </row>
    <row r="114" spans="1:69" s="2545" customFormat="1" ht="15">
      <c r="A114" s="2743" t="s">
        <v>80</v>
      </c>
      <c r="B114" s="2744">
        <f t="shared" si="42"/>
        <v>0</v>
      </c>
      <c r="C114" s="2749"/>
      <c r="D114" s="2749"/>
      <c r="E114" s="2749"/>
      <c r="F114" s="2749"/>
      <c r="G114" s="2749"/>
      <c r="H114" s="2749"/>
      <c r="I114" s="2749"/>
      <c r="J114" s="2749"/>
      <c r="K114" s="2749"/>
      <c r="L114" s="2749"/>
      <c r="M114" s="2749"/>
      <c r="N114" s="2749"/>
      <c r="O114" s="2749"/>
      <c r="P114" s="2749"/>
      <c r="Q114" s="2749"/>
      <c r="R114" s="2749"/>
      <c r="S114" s="2749"/>
      <c r="T114" s="2749"/>
      <c r="U114" s="2749"/>
      <c r="V114" s="2749"/>
      <c r="W114" s="2749"/>
      <c r="X114" s="2749"/>
      <c r="Y114" s="2749"/>
      <c r="Z114" s="2749"/>
      <c r="AA114" s="2749"/>
      <c r="AB114" s="2749"/>
      <c r="AC114" s="2749"/>
      <c r="AD114" s="2749"/>
      <c r="AE114" s="2749"/>
      <c r="AF114" s="2749"/>
      <c r="AG114" s="2749"/>
      <c r="AH114" s="2748">
        <f t="shared" si="43"/>
        <v>0</v>
      </c>
      <c r="AJ114" s="2655" t="s">
        <v>85</v>
      </c>
      <c r="AK114" s="2656">
        <f t="shared" si="40"/>
        <v>0</v>
      </c>
      <c r="AL114" s="2659"/>
      <c r="AM114" s="1842"/>
      <c r="AN114" s="1842"/>
      <c r="AO114" s="1842"/>
      <c r="AP114" s="2639"/>
      <c r="AQ114" s="1842"/>
      <c r="AR114" s="1842"/>
      <c r="AS114" s="1842"/>
      <c r="AT114" s="1842"/>
      <c r="AU114" s="1842"/>
      <c r="AV114" s="1842"/>
      <c r="AW114" s="1842"/>
      <c r="AX114" s="1842"/>
      <c r="AY114" s="1842"/>
      <c r="AZ114" s="1842"/>
      <c r="BA114" s="1842"/>
      <c r="BB114" s="1842"/>
      <c r="BC114" s="1842"/>
      <c r="BD114" s="1842"/>
      <c r="BE114" s="1842"/>
      <c r="BF114" s="1842"/>
      <c r="BG114" s="1842"/>
      <c r="BH114" s="1842"/>
      <c r="BI114" s="1842"/>
      <c r="BJ114" s="1842"/>
      <c r="BK114" s="1842"/>
      <c r="BL114" s="1842"/>
      <c r="BM114" s="1842"/>
      <c r="BN114" s="2636"/>
      <c r="BO114" s="1842"/>
      <c r="BP114" s="2636"/>
      <c r="BQ114" s="2636">
        <f t="shared" si="41"/>
        <v>0</v>
      </c>
    </row>
    <row r="115" spans="1:69" s="2545" customFormat="1" ht="16.5" customHeight="1">
      <c r="A115" s="2743" t="s">
        <v>81</v>
      </c>
      <c r="B115" s="2744">
        <f t="shared" si="42"/>
        <v>0</v>
      </c>
      <c r="C115" s="2749"/>
      <c r="D115" s="2748"/>
      <c r="E115" s="2748"/>
      <c r="F115" s="2748"/>
      <c r="G115" s="2749"/>
      <c r="H115" s="2749"/>
      <c r="I115" s="2749"/>
      <c r="J115" s="2749"/>
      <c r="K115" s="2749"/>
      <c r="L115" s="2749"/>
      <c r="M115" s="2749"/>
      <c r="N115" s="2749"/>
      <c r="O115" s="2749"/>
      <c r="P115" s="2749"/>
      <c r="Q115" s="2749"/>
      <c r="R115" s="2749"/>
      <c r="S115" s="2749"/>
      <c r="T115" s="2749"/>
      <c r="U115" s="2749"/>
      <c r="V115" s="2749"/>
      <c r="W115" s="2749"/>
      <c r="X115" s="2749"/>
      <c r="Y115" s="2749"/>
      <c r="Z115" s="2749"/>
      <c r="AA115" s="2749"/>
      <c r="AB115" s="2749"/>
      <c r="AC115" s="2749"/>
      <c r="AD115" s="2749"/>
      <c r="AE115" s="2749"/>
      <c r="AF115" s="2749"/>
      <c r="AG115" s="2749"/>
      <c r="AH115" s="2748">
        <f t="shared" si="43"/>
        <v>0</v>
      </c>
      <c r="AJ115" s="2655" t="s">
        <v>86</v>
      </c>
      <c r="AK115" s="2656">
        <f t="shared" si="40"/>
        <v>0</v>
      </c>
      <c r="AL115" s="2659"/>
      <c r="AM115" s="1842"/>
      <c r="AN115" s="1842"/>
      <c r="AO115" s="1842"/>
      <c r="AP115" s="1842"/>
      <c r="AQ115" s="1842"/>
      <c r="AR115" s="1842"/>
      <c r="AS115" s="1842"/>
      <c r="AT115" s="1842"/>
      <c r="AU115" s="1842"/>
      <c r="AV115" s="1842"/>
      <c r="AW115" s="1842"/>
      <c r="AX115" s="1842"/>
      <c r="AY115" s="1842"/>
      <c r="AZ115" s="1842"/>
      <c r="BA115" s="1842"/>
      <c r="BB115" s="1842"/>
      <c r="BC115" s="1842"/>
      <c r="BD115" s="1842"/>
      <c r="BE115" s="1842"/>
      <c r="BF115" s="1842"/>
      <c r="BG115" s="1842"/>
      <c r="BH115" s="1842"/>
      <c r="BI115" s="1842"/>
      <c r="BJ115" s="1842"/>
      <c r="BK115" s="1842"/>
      <c r="BL115" s="1842"/>
      <c r="BM115" s="1842"/>
      <c r="BN115" s="1842"/>
      <c r="BO115" s="1842"/>
      <c r="BP115" s="1842"/>
      <c r="BQ115" s="2636">
        <f t="shared" si="41"/>
        <v>0</v>
      </c>
    </row>
    <row r="116" spans="1:69" s="2545" customFormat="1" ht="15">
      <c r="A116" s="2743" t="s">
        <v>82</v>
      </c>
      <c r="B116" s="2744">
        <f t="shared" si="42"/>
        <v>0</v>
      </c>
      <c r="C116" s="2749"/>
      <c r="D116" s="2749"/>
      <c r="E116" s="2749"/>
      <c r="F116" s="2749"/>
      <c r="G116" s="2749"/>
      <c r="H116" s="2749"/>
      <c r="I116" s="2749"/>
      <c r="J116" s="2749"/>
      <c r="K116" s="2749"/>
      <c r="L116" s="2749"/>
      <c r="M116" s="2749"/>
      <c r="N116" s="2749"/>
      <c r="O116" s="2749"/>
      <c r="P116" s="2749"/>
      <c r="Q116" s="2749"/>
      <c r="R116" s="2749"/>
      <c r="S116" s="2749"/>
      <c r="T116" s="2749"/>
      <c r="U116" s="2749"/>
      <c r="V116" s="2749"/>
      <c r="W116" s="2749"/>
      <c r="X116" s="2749"/>
      <c r="Y116" s="2749"/>
      <c r="Z116" s="2749"/>
      <c r="AA116" s="2749"/>
      <c r="AB116" s="2749"/>
      <c r="AC116" s="2749"/>
      <c r="AD116" s="2749"/>
      <c r="AE116" s="2749"/>
      <c r="AF116" s="2749"/>
      <c r="AG116" s="2749"/>
      <c r="AH116" s="2748">
        <f t="shared" si="43"/>
        <v>0</v>
      </c>
      <c r="AJ116" s="2660" t="s">
        <v>74</v>
      </c>
      <c r="AK116" s="2661">
        <f t="shared" ref="AK116:BA116" si="44">SUM(AK104:AK115)</f>
        <v>0</v>
      </c>
      <c r="AL116" s="2656">
        <f t="shared" si="44"/>
        <v>0</v>
      </c>
      <c r="AM116" s="2633">
        <f t="shared" si="44"/>
        <v>0</v>
      </c>
      <c r="AN116" s="2633">
        <f t="shared" si="44"/>
        <v>0</v>
      </c>
      <c r="AO116" s="2633">
        <f t="shared" si="44"/>
        <v>0</v>
      </c>
      <c r="AP116" s="2633">
        <f t="shared" si="44"/>
        <v>0</v>
      </c>
      <c r="AQ116" s="2633">
        <f t="shared" si="44"/>
        <v>0</v>
      </c>
      <c r="AR116" s="2633">
        <f t="shared" si="44"/>
        <v>0</v>
      </c>
      <c r="AS116" s="2633">
        <f t="shared" si="44"/>
        <v>0</v>
      </c>
      <c r="AT116" s="2633">
        <f t="shared" si="44"/>
        <v>0</v>
      </c>
      <c r="AU116" s="2633">
        <f t="shared" si="44"/>
        <v>0</v>
      </c>
      <c r="AV116" s="2633">
        <f t="shared" si="44"/>
        <v>0</v>
      </c>
      <c r="AW116" s="2633">
        <f t="shared" si="44"/>
        <v>0</v>
      </c>
      <c r="AX116" s="2633">
        <f t="shared" si="44"/>
        <v>0</v>
      </c>
      <c r="AY116" s="2633">
        <f t="shared" si="44"/>
        <v>0</v>
      </c>
      <c r="AZ116" s="2633">
        <f t="shared" si="44"/>
        <v>0</v>
      </c>
      <c r="BA116" s="2633">
        <f t="shared" si="44"/>
        <v>0</v>
      </c>
      <c r="BB116" s="2636">
        <f t="shared" ref="BB116:BL116" si="45">SUM(BB104:BB114)</f>
        <v>0</v>
      </c>
      <c r="BC116" s="2636">
        <f t="shared" si="45"/>
        <v>0</v>
      </c>
      <c r="BD116" s="2636">
        <f t="shared" si="45"/>
        <v>0</v>
      </c>
      <c r="BE116" s="2636">
        <f t="shared" si="45"/>
        <v>0</v>
      </c>
      <c r="BF116" s="2636">
        <f t="shared" si="45"/>
        <v>0</v>
      </c>
      <c r="BG116" s="2636">
        <f t="shared" si="45"/>
        <v>0</v>
      </c>
      <c r="BH116" s="2636">
        <f t="shared" si="45"/>
        <v>0</v>
      </c>
      <c r="BI116" s="2636">
        <f t="shared" si="45"/>
        <v>0</v>
      </c>
      <c r="BJ116" s="2636">
        <f t="shared" si="45"/>
        <v>0</v>
      </c>
      <c r="BK116" s="2636">
        <f t="shared" si="45"/>
        <v>0</v>
      </c>
      <c r="BL116" s="2636">
        <f t="shared" si="45"/>
        <v>0</v>
      </c>
      <c r="BM116" s="2636">
        <v>0</v>
      </c>
      <c r="BN116" s="2636">
        <f>SUM(BN104:BN114)</f>
        <v>0</v>
      </c>
      <c r="BO116" s="2636">
        <f>SUM(BO104:BO114)</f>
        <v>0</v>
      </c>
      <c r="BP116" s="2636">
        <f>SUM(BP104:BP114)</f>
        <v>0</v>
      </c>
      <c r="BQ116" s="2636">
        <f>SUM(BQ104:BQ114)</f>
        <v>0</v>
      </c>
    </row>
    <row r="117" spans="1:69" s="2545" customFormat="1" ht="15">
      <c r="A117" s="2743" t="s">
        <v>83</v>
      </c>
      <c r="B117" s="2744">
        <f t="shared" si="42"/>
        <v>0</v>
      </c>
      <c r="C117" s="2749"/>
      <c r="D117" s="2749"/>
      <c r="E117" s="2749"/>
      <c r="F117" s="2749"/>
      <c r="G117" s="2749"/>
      <c r="H117" s="2749"/>
      <c r="I117" s="2749"/>
      <c r="J117" s="2749"/>
      <c r="K117" s="2749"/>
      <c r="L117" s="2749"/>
      <c r="M117" s="2749"/>
      <c r="N117" s="2749"/>
      <c r="O117" s="2749"/>
      <c r="P117" s="2749"/>
      <c r="Q117" s="2749"/>
      <c r="R117" s="2749"/>
      <c r="S117" s="2749"/>
      <c r="T117" s="2749"/>
      <c r="U117" s="2749"/>
      <c r="V117" s="2749"/>
      <c r="W117" s="2749"/>
      <c r="X117" s="2749"/>
      <c r="Y117" s="2749"/>
      <c r="Z117" s="2749"/>
      <c r="AA117" s="2749"/>
      <c r="AB117" s="2749"/>
      <c r="AC117" s="2749"/>
      <c r="AD117" s="2749"/>
      <c r="AE117" s="2749"/>
      <c r="AF117" s="2749"/>
      <c r="AG117" s="2749"/>
      <c r="AH117" s="2748">
        <f t="shared" si="43"/>
        <v>0</v>
      </c>
      <c r="AJ117" s="2662"/>
      <c r="AK117" s="2662"/>
      <c r="AL117" s="2662"/>
      <c r="AM117" s="2630"/>
      <c r="AN117" s="2630"/>
      <c r="AO117" s="2630"/>
      <c r="AP117" s="2630"/>
      <c r="AQ117" s="2630"/>
      <c r="AR117" s="2630"/>
      <c r="AS117" s="2630"/>
      <c r="AT117" s="2630"/>
      <c r="AU117" s="2630"/>
      <c r="AV117" s="2630"/>
      <c r="AW117" s="2630"/>
      <c r="AX117" s="2630"/>
      <c r="AY117" s="2630"/>
      <c r="AZ117" s="2630"/>
      <c r="BA117" s="2630"/>
      <c r="BB117" s="2630"/>
      <c r="BC117" s="2630"/>
      <c r="BD117" s="2630"/>
      <c r="BE117" s="2630"/>
      <c r="BF117" s="2630"/>
      <c r="BG117" s="2630"/>
      <c r="BH117" s="2630"/>
      <c r="BI117" s="2630"/>
      <c r="BJ117" s="2630"/>
      <c r="BK117" s="2630"/>
      <c r="BL117" s="2630"/>
      <c r="BM117" s="2630"/>
      <c r="BN117" s="2630"/>
      <c r="BO117" s="2630"/>
      <c r="BP117" s="2630"/>
      <c r="BQ117" s="2630"/>
    </row>
    <row r="118" spans="1:69" s="2545" customFormat="1" ht="15.75" thickBot="1">
      <c r="A118" s="2743" t="s">
        <v>84</v>
      </c>
      <c r="B118" s="2744">
        <f t="shared" si="42"/>
        <v>0</v>
      </c>
      <c r="C118" s="2749"/>
      <c r="D118" s="2749"/>
      <c r="E118" s="2749"/>
      <c r="F118" s="2749"/>
      <c r="G118" s="2749"/>
      <c r="H118" s="2749"/>
      <c r="I118" s="2749"/>
      <c r="J118" s="2749"/>
      <c r="K118" s="2749"/>
      <c r="L118" s="2749"/>
      <c r="M118" s="2749"/>
      <c r="N118" s="2749"/>
      <c r="O118" s="2749"/>
      <c r="P118" s="2749"/>
      <c r="Q118" s="2749"/>
      <c r="R118" s="2749"/>
      <c r="S118" s="2749"/>
      <c r="T118" s="2749"/>
      <c r="U118" s="2749"/>
      <c r="V118" s="2749"/>
      <c r="W118" s="2749"/>
      <c r="X118" s="2749"/>
      <c r="Y118" s="2749"/>
      <c r="Z118" s="2749"/>
      <c r="AA118" s="2749"/>
      <c r="AB118" s="2749"/>
      <c r="AC118" s="2749"/>
      <c r="AD118" s="2749"/>
      <c r="AE118" s="2748"/>
      <c r="AF118" s="2749"/>
      <c r="AG118" s="2748"/>
      <c r="AH118" s="2748">
        <f t="shared" si="43"/>
        <v>0</v>
      </c>
      <c r="AJ118" s="2662"/>
      <c r="AK118" s="2662"/>
      <c r="AL118" s="2662"/>
      <c r="AM118" s="2630"/>
      <c r="AN118" s="2630"/>
      <c r="AO118" s="2630"/>
      <c r="AP118" s="2630"/>
      <c r="AQ118" s="2630"/>
      <c r="AR118" s="2630"/>
      <c r="AS118" s="2630"/>
      <c r="AT118" s="2630"/>
      <c r="AU118" s="2630"/>
      <c r="AV118" s="2630"/>
      <c r="AW118" s="2630"/>
      <c r="AX118" s="2630"/>
      <c r="AY118" s="2630"/>
      <c r="AZ118" s="2630"/>
      <c r="BA118" s="2630"/>
      <c r="BB118" s="2630"/>
      <c r="BC118" s="2630"/>
      <c r="BD118" s="2630"/>
      <c r="BE118" s="2630"/>
      <c r="BF118" s="2630"/>
      <c r="BG118" s="2630"/>
      <c r="BH118" s="2630"/>
      <c r="BI118" s="2630"/>
      <c r="BJ118" s="2630"/>
      <c r="BK118" s="2630"/>
      <c r="BL118" s="2630"/>
      <c r="BM118" s="2630"/>
      <c r="BN118" s="2630"/>
      <c r="BO118" s="2630"/>
      <c r="BP118" s="2630"/>
      <c r="BQ118" s="2630"/>
    </row>
    <row r="119" spans="1:69" s="2545" customFormat="1" ht="16.5" thickBot="1">
      <c r="A119" s="2743" t="s">
        <v>85</v>
      </c>
      <c r="B119" s="2744">
        <f t="shared" si="42"/>
        <v>0</v>
      </c>
      <c r="C119" s="2749"/>
      <c r="D119" s="2749"/>
      <c r="E119" s="2749"/>
      <c r="F119" s="2749"/>
      <c r="G119" s="2752"/>
      <c r="H119" s="2749"/>
      <c r="I119" s="2749"/>
      <c r="J119" s="2749"/>
      <c r="K119" s="2749"/>
      <c r="L119" s="2749"/>
      <c r="M119" s="2749"/>
      <c r="N119" s="2749"/>
      <c r="O119" s="2749"/>
      <c r="P119" s="2749"/>
      <c r="Q119" s="2749"/>
      <c r="R119" s="2749"/>
      <c r="S119" s="2749"/>
      <c r="T119" s="2749"/>
      <c r="U119" s="2749"/>
      <c r="V119" s="2749"/>
      <c r="W119" s="2749"/>
      <c r="X119" s="2749"/>
      <c r="Y119" s="2749"/>
      <c r="Z119" s="2749"/>
      <c r="AA119" s="2749"/>
      <c r="AB119" s="2749"/>
      <c r="AC119" s="2749"/>
      <c r="AD119" s="2749"/>
      <c r="AE119" s="2748"/>
      <c r="AF119" s="2749"/>
      <c r="AG119" s="2748"/>
      <c r="AH119" s="2748">
        <f t="shared" si="43"/>
        <v>0</v>
      </c>
      <c r="AJ119" s="2663" t="s">
        <v>996</v>
      </c>
      <c r="AK119" s="2664"/>
      <c r="AL119" s="2664"/>
      <c r="AM119" s="2640"/>
      <c r="AN119" s="2640"/>
      <c r="AO119" s="3888" t="s">
        <v>155</v>
      </c>
      <c r="AP119" s="3889"/>
      <c r="AQ119" s="3890"/>
      <c r="AR119" s="3888" t="s">
        <v>156</v>
      </c>
      <c r="AS119" s="3891"/>
      <c r="AT119" s="3892" t="s">
        <v>912</v>
      </c>
      <c r="AU119" s="3892" t="s">
        <v>913</v>
      </c>
      <c r="AV119" s="2630"/>
      <c r="AW119" s="2630"/>
      <c r="AX119" s="2630"/>
      <c r="AY119" s="2630"/>
      <c r="AZ119" s="2630"/>
      <c r="BA119" s="2630"/>
      <c r="BB119" s="2630"/>
      <c r="BC119" s="2630"/>
      <c r="BD119" s="2630"/>
      <c r="BE119" s="2630"/>
      <c r="BF119" s="2630"/>
      <c r="BG119" s="2630"/>
      <c r="BH119" s="2630"/>
      <c r="BI119" s="2630"/>
      <c r="BJ119" s="2630"/>
      <c r="BK119" s="2630"/>
      <c r="BL119" s="2630"/>
      <c r="BM119" s="2630"/>
      <c r="BN119" s="2630"/>
      <c r="BO119" s="2630"/>
      <c r="BP119" s="2630"/>
      <c r="BQ119" s="2630"/>
    </row>
    <row r="120" spans="1:69" s="2545" customFormat="1" ht="15.75" thickBot="1">
      <c r="A120" s="2743" t="s">
        <v>86</v>
      </c>
      <c r="B120" s="2744">
        <f t="shared" si="42"/>
        <v>0</v>
      </c>
      <c r="C120" s="2749"/>
      <c r="D120" s="2749"/>
      <c r="E120" s="2749"/>
      <c r="F120" s="2749"/>
      <c r="G120" s="2749"/>
      <c r="H120" s="2749"/>
      <c r="I120" s="2749"/>
      <c r="J120" s="2749"/>
      <c r="K120" s="2749"/>
      <c r="L120" s="2749"/>
      <c r="M120" s="2749"/>
      <c r="N120" s="2749"/>
      <c r="O120" s="2749"/>
      <c r="P120" s="2749"/>
      <c r="Q120" s="2749"/>
      <c r="R120" s="2749"/>
      <c r="S120" s="2749"/>
      <c r="T120" s="2749"/>
      <c r="U120" s="2749"/>
      <c r="V120" s="2749"/>
      <c r="W120" s="2749"/>
      <c r="X120" s="2749"/>
      <c r="Y120" s="2749"/>
      <c r="Z120" s="2749"/>
      <c r="AA120" s="2749"/>
      <c r="AB120" s="2749"/>
      <c r="AC120" s="2749"/>
      <c r="AD120" s="2749"/>
      <c r="AE120" s="2749"/>
      <c r="AF120" s="2749"/>
      <c r="AG120" s="2749"/>
      <c r="AH120" s="2748">
        <f t="shared" si="43"/>
        <v>0</v>
      </c>
      <c r="AJ120" s="2665" t="s">
        <v>158</v>
      </c>
      <c r="AK120" s="2666" t="s">
        <v>159</v>
      </c>
      <c r="AL120" s="2667" t="s">
        <v>136</v>
      </c>
      <c r="AM120" s="2642" t="s">
        <v>134</v>
      </c>
      <c r="AN120" s="2641" t="s">
        <v>160</v>
      </c>
      <c r="AO120" s="2643" t="s">
        <v>8</v>
      </c>
      <c r="AP120" s="2644" t="s">
        <v>161</v>
      </c>
      <c r="AQ120" s="2645" t="s">
        <v>52</v>
      </c>
      <c r="AR120" s="2643" t="s">
        <v>8</v>
      </c>
      <c r="AS120" s="2646" t="s">
        <v>162</v>
      </c>
      <c r="AT120" s="3893"/>
      <c r="AU120" s="3893"/>
      <c r="AV120" s="2630"/>
      <c r="AW120" s="2630"/>
      <c r="AX120" s="2630"/>
      <c r="AY120" s="2630"/>
      <c r="AZ120" s="2630"/>
      <c r="BA120" s="2630"/>
      <c r="BB120" s="2630"/>
      <c r="BC120" s="2630"/>
      <c r="BD120" s="2630"/>
      <c r="BE120" s="2630"/>
      <c r="BF120" s="2630"/>
      <c r="BG120" s="2630"/>
      <c r="BH120" s="2630"/>
      <c r="BI120" s="2630"/>
      <c r="BJ120" s="2630"/>
      <c r="BK120" s="2630"/>
      <c r="BL120" s="2630"/>
      <c r="BM120" s="2630"/>
      <c r="BN120" s="2630"/>
      <c r="BO120" s="2630"/>
      <c r="BP120" s="2630"/>
      <c r="BQ120" s="2630"/>
    </row>
    <row r="121" spans="1:69" s="2545" customFormat="1" ht="24" thickBot="1">
      <c r="A121" s="2753" t="s">
        <v>74</v>
      </c>
      <c r="B121" s="2754">
        <f t="shared" ref="B121:R121" si="46">SUM(B109:B120)</f>
        <v>0</v>
      </c>
      <c r="C121" s="2744">
        <f t="shared" si="46"/>
        <v>0</v>
      </c>
      <c r="D121" s="2744">
        <f t="shared" si="46"/>
        <v>0</v>
      </c>
      <c r="E121" s="2744">
        <f t="shared" si="46"/>
        <v>0</v>
      </c>
      <c r="F121" s="2744">
        <f t="shared" si="46"/>
        <v>0</v>
      </c>
      <c r="G121" s="2744">
        <f t="shared" si="46"/>
        <v>0</v>
      </c>
      <c r="H121" s="2744">
        <f t="shared" si="46"/>
        <v>0</v>
      </c>
      <c r="I121" s="2744">
        <f t="shared" si="46"/>
        <v>0</v>
      </c>
      <c r="J121" s="2744">
        <f t="shared" si="46"/>
        <v>0</v>
      </c>
      <c r="K121" s="2744">
        <f t="shared" si="46"/>
        <v>0</v>
      </c>
      <c r="L121" s="2744">
        <f t="shared" si="46"/>
        <v>0</v>
      </c>
      <c r="M121" s="2744">
        <f t="shared" si="46"/>
        <v>0</v>
      </c>
      <c r="N121" s="2744">
        <f t="shared" si="46"/>
        <v>0</v>
      </c>
      <c r="O121" s="2744">
        <f t="shared" si="46"/>
        <v>0</v>
      </c>
      <c r="P121" s="2744">
        <f t="shared" si="46"/>
        <v>0</v>
      </c>
      <c r="Q121" s="2744">
        <f t="shared" si="46"/>
        <v>0</v>
      </c>
      <c r="R121" s="2744">
        <f t="shared" si="46"/>
        <v>0</v>
      </c>
      <c r="S121" s="2748">
        <f t="shared" ref="S121:AC121" si="47">SUM(S109:S119)</f>
        <v>0</v>
      </c>
      <c r="T121" s="2748">
        <f t="shared" si="47"/>
        <v>0</v>
      </c>
      <c r="U121" s="2748">
        <f t="shared" si="47"/>
        <v>0</v>
      </c>
      <c r="V121" s="2748">
        <f t="shared" si="47"/>
        <v>0</v>
      </c>
      <c r="W121" s="2748">
        <f t="shared" si="47"/>
        <v>0</v>
      </c>
      <c r="X121" s="2748">
        <f t="shared" si="47"/>
        <v>0</v>
      </c>
      <c r="Y121" s="2748">
        <f t="shared" si="47"/>
        <v>0</v>
      </c>
      <c r="Z121" s="2748">
        <f t="shared" si="47"/>
        <v>0</v>
      </c>
      <c r="AA121" s="2748">
        <f t="shared" si="47"/>
        <v>0</v>
      </c>
      <c r="AB121" s="2748">
        <f t="shared" si="47"/>
        <v>0</v>
      </c>
      <c r="AC121" s="2748">
        <f t="shared" si="47"/>
        <v>0</v>
      </c>
      <c r="AD121" s="2748">
        <v>0</v>
      </c>
      <c r="AE121" s="2748">
        <f>SUM(AE109:AE119)</f>
        <v>0</v>
      </c>
      <c r="AF121" s="2748">
        <f>SUM(AF109:AF119)</f>
        <v>0</v>
      </c>
      <c r="AG121" s="2748">
        <f>SUM(AG109:AG119)</f>
        <v>0</v>
      </c>
      <c r="AH121" s="2748">
        <f>SUM(AH109:AH119)</f>
        <v>0</v>
      </c>
      <c r="AJ121" s="2668"/>
      <c r="AK121" s="2669"/>
      <c r="AL121" s="2670"/>
      <c r="AM121" s="2654" t="s">
        <v>267</v>
      </c>
      <c r="AN121" s="2649"/>
      <c r="AO121" s="2650">
        <v>5</v>
      </c>
      <c r="AP121" s="2650">
        <v>495</v>
      </c>
      <c r="AQ121" s="2651">
        <f>SUM(AO121:AP121)</f>
        <v>500</v>
      </c>
      <c r="AR121" s="2637">
        <f>(AK99)</f>
        <v>0</v>
      </c>
      <c r="AS121" s="2637">
        <f>(AK116)</f>
        <v>0</v>
      </c>
      <c r="AT121" s="2652">
        <f>+AO121-AR121</f>
        <v>5</v>
      </c>
      <c r="AU121" s="2652">
        <f>+AP121-AS121</f>
        <v>495</v>
      </c>
      <c r="AV121" s="2630"/>
      <c r="AW121" s="2630"/>
      <c r="AX121" s="2630"/>
      <c r="AY121" s="2630"/>
      <c r="AZ121" s="2630"/>
      <c r="BA121" s="2630"/>
      <c r="BB121" s="2630"/>
      <c r="BC121" s="2630"/>
      <c r="BD121" s="2630"/>
      <c r="BE121" s="2630"/>
      <c r="BF121" s="2630"/>
      <c r="BG121" s="2630"/>
      <c r="BH121" s="2630"/>
      <c r="BI121" s="2630"/>
      <c r="BJ121" s="2630"/>
      <c r="BK121" s="2630"/>
      <c r="BL121" s="2630"/>
      <c r="BM121" s="2630"/>
      <c r="BN121" s="2630"/>
      <c r="BO121" s="2630"/>
      <c r="BP121" s="2630"/>
      <c r="BQ121" s="2630"/>
    </row>
    <row r="122" spans="1:69" s="2545" customFormat="1" ht="15.75" thickBot="1">
      <c r="A122" s="2738"/>
      <c r="B122" s="2738"/>
      <c r="C122" s="2738"/>
      <c r="D122" s="2738"/>
      <c r="E122" s="2738"/>
      <c r="F122" s="2738"/>
      <c r="G122" s="2738"/>
      <c r="H122" s="2738"/>
      <c r="I122" s="2738"/>
      <c r="J122" s="2738"/>
      <c r="K122" s="2738"/>
      <c r="L122" s="2738"/>
      <c r="M122" s="2738"/>
      <c r="N122" s="2738"/>
      <c r="O122" s="2738"/>
      <c r="P122" s="2738"/>
      <c r="Q122" s="2738"/>
      <c r="R122" s="2738"/>
      <c r="S122" s="2738"/>
      <c r="T122" s="2738"/>
      <c r="U122" s="2738"/>
      <c r="V122" s="2738"/>
      <c r="W122" s="2738"/>
      <c r="X122" s="2738"/>
      <c r="Y122" s="2738"/>
      <c r="Z122" s="2738"/>
      <c r="AA122" s="2738"/>
      <c r="AB122" s="2738"/>
      <c r="AC122" s="2738"/>
      <c r="AD122" s="2738"/>
      <c r="AE122" s="2738"/>
      <c r="AF122" s="2738"/>
      <c r="AG122" s="2738"/>
      <c r="AH122" s="2738"/>
      <c r="AJ122" s="2668"/>
      <c r="AK122" s="2669"/>
      <c r="AL122" s="2670"/>
      <c r="AM122" s="2650"/>
      <c r="AN122" s="2649"/>
      <c r="AO122" s="2647"/>
      <c r="AP122" s="2650"/>
      <c r="AQ122" s="2651">
        <f>SUM(AO122:AP122)</f>
        <v>0</v>
      </c>
      <c r="AR122" s="2653"/>
      <c r="AS122" s="2637"/>
      <c r="AT122" s="2652">
        <f>+AQ122-AR122-AS122</f>
        <v>0</v>
      </c>
      <c r="AU122" s="2652">
        <f>+AR122-AS122-AT122</f>
        <v>0</v>
      </c>
      <c r="AV122" s="2630"/>
      <c r="AW122" s="2630"/>
      <c r="AX122" s="2630"/>
      <c r="AY122" s="2630"/>
      <c r="AZ122" s="2630"/>
      <c r="BA122" s="2630"/>
      <c r="BB122" s="2630"/>
      <c r="BC122" s="2630"/>
      <c r="BD122" s="2630"/>
      <c r="BE122" s="2630"/>
      <c r="BF122" s="2630"/>
      <c r="BG122" s="2630"/>
      <c r="BH122" s="2630"/>
      <c r="BI122" s="2630"/>
      <c r="BJ122" s="2630"/>
      <c r="BK122" s="2630"/>
      <c r="BL122" s="2630"/>
      <c r="BM122" s="2630"/>
      <c r="BN122" s="2630"/>
      <c r="BO122" s="2630"/>
      <c r="BP122" s="2630"/>
      <c r="BQ122" s="2630"/>
    </row>
    <row r="123" spans="1:69" s="2545" customFormat="1">
      <c r="A123" s="2738"/>
      <c r="B123" s="2738"/>
      <c r="C123" s="2738"/>
      <c r="D123" s="2738"/>
      <c r="E123" s="2738"/>
      <c r="F123" s="2738"/>
      <c r="G123" s="2738"/>
      <c r="H123" s="2738"/>
      <c r="I123" s="2738"/>
      <c r="J123" s="2738"/>
      <c r="K123" s="2738"/>
      <c r="L123" s="2738"/>
      <c r="M123" s="2738"/>
      <c r="N123" s="2738"/>
      <c r="O123" s="2738"/>
      <c r="P123" s="2738"/>
      <c r="Q123" s="2738"/>
      <c r="R123" s="2738"/>
      <c r="S123" s="2738"/>
      <c r="T123" s="2738"/>
      <c r="U123" s="2738"/>
      <c r="V123" s="2738"/>
      <c r="W123" s="2738"/>
      <c r="X123" s="2738"/>
      <c r="Y123" s="2738"/>
      <c r="Z123" s="2738"/>
      <c r="AA123" s="2738"/>
      <c r="AB123" s="2738"/>
      <c r="AC123" s="2738"/>
      <c r="AD123" s="2738"/>
      <c r="AE123" s="2738"/>
      <c r="AF123" s="2738"/>
      <c r="AG123" s="2738"/>
      <c r="AH123" s="2738"/>
      <c r="AJ123" s="2630"/>
      <c r="AK123" s="2630"/>
      <c r="AL123" s="2630"/>
      <c r="AM123" s="2630"/>
      <c r="AN123" s="2630"/>
      <c r="AO123" s="2630"/>
      <c r="AP123" s="2630"/>
      <c r="AQ123" s="2630"/>
      <c r="AR123" s="2630"/>
      <c r="AS123" s="2630"/>
      <c r="AT123" s="2630"/>
      <c r="AU123" s="2630"/>
      <c r="AV123" s="2630"/>
      <c r="AW123" s="2630"/>
      <c r="AX123" s="2630"/>
      <c r="AY123" s="2630"/>
      <c r="AZ123" s="2630"/>
      <c r="BA123" s="2630"/>
      <c r="BB123" s="2630"/>
      <c r="BC123" s="2630"/>
      <c r="BD123" s="2630"/>
      <c r="BE123" s="2630"/>
      <c r="BF123" s="2630"/>
      <c r="BG123" s="2630"/>
      <c r="BH123" s="2630"/>
      <c r="BI123" s="2630"/>
      <c r="BJ123" s="2630"/>
      <c r="BK123" s="2630"/>
      <c r="BL123" s="2630"/>
      <c r="BM123" s="2630"/>
      <c r="BN123" s="2630"/>
      <c r="BO123" s="2630"/>
      <c r="BP123" s="2630"/>
      <c r="BQ123" s="2630"/>
    </row>
    <row r="124" spans="1:69" s="2545" customFormat="1" ht="13.5" thickBot="1">
      <c r="A124" s="2738"/>
      <c r="B124" s="2738"/>
      <c r="C124" s="2738"/>
      <c r="D124" s="2738"/>
      <c r="E124" s="2738"/>
      <c r="F124" s="2738"/>
      <c r="G124" s="2738"/>
      <c r="H124" s="2738"/>
      <c r="I124" s="2738"/>
      <c r="J124" s="2738"/>
      <c r="K124" s="2738"/>
      <c r="L124" s="2738"/>
      <c r="M124" s="2738"/>
      <c r="N124" s="2738"/>
      <c r="O124" s="2738"/>
      <c r="P124" s="2738"/>
      <c r="Q124" s="2738"/>
      <c r="R124" s="2738"/>
      <c r="S124" s="2738"/>
      <c r="T124" s="2738"/>
      <c r="U124" s="2738"/>
      <c r="V124" s="2738"/>
      <c r="W124" s="2738"/>
      <c r="X124" s="2738"/>
      <c r="Y124" s="2738"/>
      <c r="Z124" s="2738"/>
      <c r="AA124" s="2738"/>
      <c r="AB124" s="2738"/>
      <c r="AC124" s="2738"/>
      <c r="AD124" s="2738"/>
      <c r="AE124" s="2738"/>
      <c r="AF124" s="2738"/>
      <c r="AG124" s="2738"/>
      <c r="AH124" s="2738"/>
      <c r="AJ124" s="2630"/>
      <c r="AK124" s="2630"/>
      <c r="AL124" s="2630"/>
      <c r="AM124" s="2630"/>
      <c r="AN124" s="2630"/>
      <c r="AO124" s="2630"/>
      <c r="AP124" s="2630"/>
      <c r="AQ124" s="2630"/>
      <c r="AR124" s="2630"/>
      <c r="AS124" s="2630"/>
      <c r="AT124" s="2630"/>
      <c r="AU124" s="2630"/>
      <c r="AV124" s="2630"/>
      <c r="AW124" s="2630"/>
      <c r="AX124" s="2630"/>
      <c r="AY124" s="2630"/>
      <c r="AZ124" s="2630"/>
      <c r="BA124" s="2630"/>
      <c r="BB124" s="2630"/>
      <c r="BC124" s="2630"/>
      <c r="BD124" s="2630"/>
      <c r="BE124" s="2630"/>
      <c r="BF124" s="2630"/>
      <c r="BG124" s="2630"/>
      <c r="BH124" s="2630"/>
      <c r="BI124" s="2630"/>
      <c r="BJ124" s="2630"/>
      <c r="BK124" s="2630"/>
      <c r="BL124" s="2630"/>
      <c r="BM124" s="2630"/>
      <c r="BN124" s="2630"/>
      <c r="BO124" s="2630"/>
      <c r="BP124" s="2630"/>
      <c r="BQ124" s="2630"/>
    </row>
    <row r="125" spans="1:69" s="2545" customFormat="1" ht="24" thickBot="1">
      <c r="A125" s="2755"/>
      <c r="B125" s="2756"/>
      <c r="C125" s="2756"/>
      <c r="D125" s="2756"/>
      <c r="E125" s="2756"/>
      <c r="F125" s="3837" t="s">
        <v>155</v>
      </c>
      <c r="G125" s="3860"/>
      <c r="H125" s="3861"/>
      <c r="I125" s="3837" t="s">
        <v>156</v>
      </c>
      <c r="J125" s="3838"/>
      <c r="K125" s="3839" t="s">
        <v>912</v>
      </c>
      <c r="L125" s="3839" t="s">
        <v>913</v>
      </c>
      <c r="M125" s="2738"/>
      <c r="N125" s="2738"/>
      <c r="O125" s="2738"/>
      <c r="P125" s="2738"/>
      <c r="Q125" s="2738"/>
      <c r="R125" s="2738"/>
      <c r="S125" s="2738"/>
      <c r="T125" s="2738"/>
      <c r="U125" s="2738"/>
      <c r="V125" s="2738"/>
      <c r="W125" s="2738"/>
      <c r="X125" s="2738"/>
      <c r="Y125" s="2738"/>
      <c r="Z125" s="2738"/>
      <c r="AA125" s="2738"/>
      <c r="AB125" s="2738"/>
      <c r="AC125" s="2738"/>
      <c r="AD125" s="2738"/>
      <c r="AE125" s="2738"/>
      <c r="AF125" s="2738"/>
      <c r="AG125" s="2738"/>
      <c r="AH125" s="2738"/>
      <c r="AJ125" s="3013" t="s">
        <v>242</v>
      </c>
      <c r="AK125" s="3013"/>
      <c r="AL125" s="3013"/>
      <c r="AM125" s="1415"/>
      <c r="AN125" s="3013" t="s">
        <v>1021</v>
      </c>
      <c r="AO125" s="1415"/>
      <c r="AP125" s="3080"/>
      <c r="AQ125" s="2629"/>
      <c r="AR125" s="2630"/>
      <c r="AS125" s="2630"/>
      <c r="AT125" s="2630"/>
      <c r="AU125" s="2630"/>
      <c r="AV125" s="2630"/>
      <c r="AW125" s="2630"/>
      <c r="AX125" s="2630"/>
      <c r="AY125" s="2630"/>
      <c r="AZ125" s="2630"/>
      <c r="BA125" s="2630"/>
      <c r="BB125" s="2630"/>
      <c r="BC125" s="2630"/>
      <c r="BD125" s="2630"/>
      <c r="BE125" s="2630"/>
      <c r="BF125" s="2630"/>
      <c r="BG125" s="2630"/>
      <c r="BH125" s="2630"/>
      <c r="BI125" s="2630"/>
      <c r="BJ125" s="2630"/>
      <c r="BK125" s="2630"/>
      <c r="BL125" s="2630"/>
      <c r="BM125" s="2630"/>
      <c r="BN125" s="2630"/>
      <c r="BO125" s="2630"/>
      <c r="BP125" s="2630"/>
      <c r="BQ125" s="2630"/>
    </row>
    <row r="126" spans="1:69" s="2545" customFormat="1" ht="15.75" thickBot="1">
      <c r="A126" s="2757" t="s">
        <v>158</v>
      </c>
      <c r="B126" s="2758" t="s">
        <v>159</v>
      </c>
      <c r="C126" s="2759" t="s">
        <v>136</v>
      </c>
      <c r="D126" s="2760" t="s">
        <v>134</v>
      </c>
      <c r="E126" s="2758" t="s">
        <v>160</v>
      </c>
      <c r="F126" s="2761" t="s">
        <v>8</v>
      </c>
      <c r="G126" s="2762" t="s">
        <v>161</v>
      </c>
      <c r="H126" s="2763" t="s">
        <v>52</v>
      </c>
      <c r="I126" s="2761" t="s">
        <v>8</v>
      </c>
      <c r="J126" s="2764" t="s">
        <v>162</v>
      </c>
      <c r="K126" s="3840"/>
      <c r="L126" s="3840"/>
      <c r="M126" s="2738"/>
      <c r="N126" s="2738"/>
      <c r="O126" s="2738"/>
      <c r="P126" s="2738"/>
      <c r="Q126" s="2738"/>
      <c r="R126" s="2738"/>
      <c r="S126" s="2738"/>
      <c r="T126" s="2738"/>
      <c r="U126" s="2738"/>
      <c r="V126" s="2738"/>
      <c r="W126" s="2738"/>
      <c r="X126" s="2738"/>
      <c r="Y126" s="2738"/>
      <c r="Z126" s="2738"/>
      <c r="AA126" s="2738"/>
      <c r="AB126" s="2738"/>
      <c r="AC126" s="2738"/>
      <c r="AD126" s="2738"/>
      <c r="AE126" s="2738"/>
      <c r="AF126" s="2738"/>
      <c r="AG126" s="2738"/>
      <c r="AH126" s="2738"/>
      <c r="AJ126" s="3885" t="s">
        <v>264</v>
      </c>
      <c r="AK126" s="3886"/>
      <c r="AL126" s="3887"/>
      <c r="AM126" s="2631"/>
      <c r="AN126" s="2631"/>
      <c r="AO126" s="2631"/>
      <c r="AP126" s="2631"/>
      <c r="AQ126" s="2631"/>
      <c r="AR126" s="2631"/>
      <c r="AS126" s="2631"/>
      <c r="AT126" s="2631"/>
      <c r="AU126" s="2631"/>
      <c r="AV126" s="2631"/>
      <c r="AW126" s="2631"/>
      <c r="AX126" s="2631"/>
      <c r="AY126" s="2631"/>
      <c r="AZ126" s="2631"/>
      <c r="BA126" s="2631"/>
      <c r="BB126" s="2632"/>
      <c r="BC126" s="2632"/>
      <c r="BD126" s="2632"/>
      <c r="BE126" s="2632"/>
      <c r="BF126" s="2632"/>
      <c r="BG126" s="2632"/>
      <c r="BH126" s="2632"/>
      <c r="BI126" s="2632"/>
      <c r="BJ126" s="2632"/>
      <c r="BK126" s="2632"/>
      <c r="BL126" s="2632"/>
      <c r="BM126" s="2632"/>
      <c r="BN126" s="2632"/>
      <c r="BO126" s="2632"/>
      <c r="BP126" s="2632"/>
      <c r="BQ126" s="2632"/>
    </row>
    <row r="127" spans="1:69" s="2545" customFormat="1" ht="15.75" thickBot="1">
      <c r="A127" s="2765"/>
      <c r="B127" s="2766">
        <v>41348</v>
      </c>
      <c r="C127" s="2767">
        <v>957995</v>
      </c>
      <c r="D127" s="2768"/>
      <c r="E127" s="2769">
        <v>1930</v>
      </c>
      <c r="F127" s="2765">
        <v>50</v>
      </c>
      <c r="G127" s="2768">
        <v>150</v>
      </c>
      <c r="H127" s="2770">
        <f>SUM(F127:G127)</f>
        <v>200</v>
      </c>
      <c r="I127" s="2771">
        <f>(B121)</f>
        <v>0</v>
      </c>
      <c r="J127" s="2750">
        <f>(B104)</f>
        <v>0</v>
      </c>
      <c r="K127" s="2772">
        <f>+F127-I127</f>
        <v>50</v>
      </c>
      <c r="L127" s="2772">
        <f>+G127-J127</f>
        <v>150</v>
      </c>
      <c r="M127" s="2738"/>
      <c r="N127" s="2738"/>
      <c r="O127" s="2738"/>
      <c r="P127" s="2738"/>
      <c r="Q127" s="2738"/>
      <c r="R127" s="2738"/>
      <c r="S127" s="2738"/>
      <c r="T127" s="2738"/>
      <c r="U127" s="2738"/>
      <c r="V127" s="2738"/>
      <c r="W127" s="2738"/>
      <c r="X127" s="2738"/>
      <c r="Y127" s="2738"/>
      <c r="Z127" s="2738"/>
      <c r="AA127" s="2738"/>
      <c r="AB127" s="2738"/>
      <c r="AC127" s="2738"/>
      <c r="AD127" s="2738"/>
      <c r="AE127" s="2738"/>
      <c r="AF127" s="2738"/>
      <c r="AG127" s="2738"/>
      <c r="AH127" s="2738"/>
      <c r="AJ127" s="2655" t="s">
        <v>72</v>
      </c>
      <c r="AK127" s="2656" t="s">
        <v>73</v>
      </c>
      <c r="AL127" s="2657">
        <v>1</v>
      </c>
      <c r="AM127" s="2042">
        <v>2</v>
      </c>
      <c r="AN127" s="2042">
        <v>3</v>
      </c>
      <c r="AO127" s="2042">
        <v>4</v>
      </c>
      <c r="AP127" s="2042">
        <v>5</v>
      </c>
      <c r="AQ127" s="2042">
        <v>6</v>
      </c>
      <c r="AR127" s="2042">
        <v>7</v>
      </c>
      <c r="AS127" s="2042">
        <v>8</v>
      </c>
      <c r="AT127" s="2042">
        <v>9</v>
      </c>
      <c r="AU127" s="2042">
        <v>10</v>
      </c>
      <c r="AV127" s="2042">
        <v>11</v>
      </c>
      <c r="AW127" s="2042">
        <v>12</v>
      </c>
      <c r="AX127" s="2042">
        <v>13</v>
      </c>
      <c r="AY127" s="2042">
        <v>14</v>
      </c>
      <c r="AZ127" s="2042">
        <v>15</v>
      </c>
      <c r="BA127" s="2042">
        <v>16</v>
      </c>
      <c r="BB127" s="1841">
        <v>17</v>
      </c>
      <c r="BC127" s="1841">
        <v>18</v>
      </c>
      <c r="BD127" s="1841">
        <v>19</v>
      </c>
      <c r="BE127" s="1841">
        <v>20</v>
      </c>
      <c r="BF127" s="1841">
        <v>21</v>
      </c>
      <c r="BG127" s="1841">
        <v>22</v>
      </c>
      <c r="BH127" s="1841">
        <v>23</v>
      </c>
      <c r="BI127" s="1841">
        <v>24</v>
      </c>
      <c r="BJ127" s="1841">
        <v>25</v>
      </c>
      <c r="BK127" s="1841">
        <v>26</v>
      </c>
      <c r="BL127" s="1841">
        <v>27</v>
      </c>
      <c r="BM127" s="1841">
        <v>28</v>
      </c>
      <c r="BN127" s="1841">
        <v>29</v>
      </c>
      <c r="BO127" s="1841">
        <v>30</v>
      </c>
      <c r="BP127" s="1841">
        <v>31</v>
      </c>
      <c r="BQ127" s="2634" t="s">
        <v>74</v>
      </c>
    </row>
    <row r="128" spans="1:69" s="2545" customFormat="1" ht="15.75" thickBot="1">
      <c r="A128" s="2765"/>
      <c r="B128" s="2766"/>
      <c r="C128" s="2767"/>
      <c r="D128" s="2768"/>
      <c r="E128" s="2769"/>
      <c r="F128" s="2765"/>
      <c r="G128" s="2768"/>
      <c r="H128" s="2770">
        <f>SUM(F128:G128)</f>
        <v>0</v>
      </c>
      <c r="I128" s="2771"/>
      <c r="J128" s="2750"/>
      <c r="K128" s="2772">
        <f>+H128-I128-J128</f>
        <v>0</v>
      </c>
      <c r="L128" s="2772">
        <f>+I128-J128-K128</f>
        <v>0</v>
      </c>
      <c r="M128" s="2738"/>
      <c r="N128" s="2738"/>
      <c r="O128" s="2738"/>
      <c r="P128" s="2738"/>
      <c r="Q128" s="2738"/>
      <c r="R128" s="2738"/>
      <c r="S128" s="2738"/>
      <c r="T128" s="2738"/>
      <c r="U128" s="2738"/>
      <c r="V128" s="2738"/>
      <c r="W128" s="2738"/>
      <c r="X128" s="2738"/>
      <c r="Y128" s="2738"/>
      <c r="Z128" s="2738"/>
      <c r="AA128" s="2738"/>
      <c r="AB128" s="2738"/>
      <c r="AC128" s="2738"/>
      <c r="AD128" s="2738"/>
      <c r="AE128" s="2738"/>
      <c r="AF128" s="2738"/>
      <c r="AG128" s="2738"/>
      <c r="AH128" s="2738"/>
      <c r="AJ128" s="2655" t="s">
        <v>75</v>
      </c>
      <c r="AK128" s="2656">
        <f t="shared" ref="AK128:AK139" si="48">+BQ128</f>
        <v>0</v>
      </c>
      <c r="AL128" s="2658"/>
      <c r="AM128" s="2635"/>
      <c r="AN128" s="2635"/>
      <c r="AO128" s="2635"/>
      <c r="AP128" s="2635"/>
      <c r="AQ128" s="2635"/>
      <c r="AR128" s="2635"/>
      <c r="AS128" s="2635"/>
      <c r="AT128" s="2635"/>
      <c r="AU128" s="2635"/>
      <c r="AV128" s="2635"/>
      <c r="AW128" s="2635"/>
      <c r="AX128" s="2635"/>
      <c r="AY128" s="2635"/>
      <c r="AZ128" s="2635"/>
      <c r="BA128" s="2635"/>
      <c r="BB128" s="2635"/>
      <c r="BC128" s="2635"/>
      <c r="BD128" s="2635"/>
      <c r="BE128" s="2635"/>
      <c r="BF128" s="2635"/>
      <c r="BG128" s="2635"/>
      <c r="BH128" s="2635"/>
      <c r="BI128" s="2635"/>
      <c r="BJ128" s="2635"/>
      <c r="BK128" s="2635"/>
      <c r="BL128" s="2635"/>
      <c r="BM128" s="2635"/>
      <c r="BN128" s="2635"/>
      <c r="BO128" s="2635"/>
      <c r="BP128" s="2635"/>
      <c r="BQ128" s="2636">
        <f>SUM(AL128:BP128)</f>
        <v>0</v>
      </c>
    </row>
    <row r="129" spans="1:69" ht="15.75" thickBot="1">
      <c r="A129" s="2738"/>
      <c r="B129" s="2738"/>
      <c r="C129" s="2738"/>
      <c r="D129" s="2738"/>
      <c r="E129" s="2738"/>
      <c r="F129" s="2738"/>
      <c r="G129" s="2738"/>
      <c r="H129" s="2738"/>
      <c r="I129" s="2738"/>
      <c r="J129" s="2738"/>
      <c r="K129" s="2738"/>
      <c r="L129" s="2738"/>
      <c r="M129" s="2738"/>
      <c r="N129" s="2738"/>
      <c r="O129" s="2738"/>
      <c r="P129" s="2738"/>
      <c r="Q129" s="2738"/>
      <c r="R129" s="2738"/>
      <c r="S129" s="2738"/>
      <c r="T129" s="2738"/>
      <c r="U129" s="2738"/>
      <c r="V129" s="2738"/>
      <c r="W129" s="2738"/>
      <c r="X129" s="2738"/>
      <c r="Y129" s="2738"/>
      <c r="Z129" s="2738"/>
      <c r="AA129" s="2738"/>
      <c r="AB129" s="2738"/>
      <c r="AC129" s="2738"/>
      <c r="AD129" s="2738"/>
      <c r="AE129" s="2738"/>
      <c r="AF129" s="2738"/>
      <c r="AG129" s="2738"/>
      <c r="AH129" s="2738"/>
      <c r="AJ129" s="2655" t="s">
        <v>76</v>
      </c>
      <c r="AK129" s="2656">
        <f t="shared" si="48"/>
        <v>0</v>
      </c>
      <c r="AL129" s="2658"/>
      <c r="AM129" s="2635"/>
      <c r="AN129" s="2635"/>
      <c r="AO129" s="2635"/>
      <c r="AP129" s="2635"/>
      <c r="AQ129" s="2635"/>
      <c r="AR129" s="2635"/>
      <c r="AS129" s="2635"/>
      <c r="AT129" s="2635"/>
      <c r="AU129" s="2635"/>
      <c r="AV129" s="2635"/>
      <c r="AW129" s="2635"/>
      <c r="AX129" s="2635"/>
      <c r="AY129" s="2635"/>
      <c r="AZ129" s="2635"/>
      <c r="BA129" s="2635"/>
      <c r="BB129" s="2635"/>
      <c r="BC129" s="2635"/>
      <c r="BD129" s="2635"/>
      <c r="BE129" s="2635"/>
      <c r="BF129" s="2635"/>
      <c r="BG129" s="2635"/>
      <c r="BH129" s="2635"/>
      <c r="BI129" s="2635"/>
      <c r="BJ129" s="2635"/>
      <c r="BK129" s="2635"/>
      <c r="BL129" s="2635"/>
      <c r="BM129" s="2635"/>
      <c r="BN129" s="2635"/>
      <c r="BO129" s="2635"/>
      <c r="BP129" s="2635"/>
      <c r="BQ129" s="2636">
        <f t="shared" ref="BQ129:BQ139" si="49">SUM(AL129:BP129)</f>
        <v>0</v>
      </c>
    </row>
    <row r="130" spans="1:69" ht="15.75" thickBot="1">
      <c r="A130" s="2738"/>
      <c r="B130" s="2738"/>
      <c r="C130" s="2738"/>
      <c r="D130" s="2738"/>
      <c r="E130" s="2738"/>
      <c r="F130" s="2738"/>
      <c r="G130" s="2738"/>
      <c r="H130" s="2738"/>
      <c r="I130" s="2738"/>
      <c r="J130" s="2738"/>
      <c r="K130" s="2738"/>
      <c r="L130" s="2738"/>
      <c r="M130" s="2738"/>
      <c r="N130" s="2738"/>
      <c r="O130" s="2738"/>
      <c r="P130" s="2738"/>
      <c r="Q130" s="2738"/>
      <c r="R130" s="2738"/>
      <c r="S130" s="2738"/>
      <c r="T130" s="2738"/>
      <c r="U130" s="2738"/>
      <c r="V130" s="2738"/>
      <c r="W130" s="2738"/>
      <c r="X130" s="2738"/>
      <c r="Y130" s="2738"/>
      <c r="Z130" s="2738"/>
      <c r="AA130" s="2738"/>
      <c r="AB130" s="2738"/>
      <c r="AC130" s="2738"/>
      <c r="AD130" s="2738"/>
      <c r="AE130" s="2738"/>
      <c r="AF130" s="2738"/>
      <c r="AG130" s="2738"/>
      <c r="AH130" s="2738"/>
      <c r="AJ130" s="2655" t="s">
        <v>77</v>
      </c>
      <c r="AK130" s="2656">
        <f t="shared" si="48"/>
        <v>0</v>
      </c>
      <c r="AL130" s="2658"/>
      <c r="AM130" s="2635"/>
      <c r="AN130" s="2635"/>
      <c r="AO130" s="2635"/>
      <c r="AP130" s="2635"/>
      <c r="AQ130" s="1842"/>
      <c r="AR130" s="1842"/>
      <c r="AS130" s="1842"/>
      <c r="AT130" s="1842"/>
      <c r="AU130" s="1842"/>
      <c r="AV130" s="1842"/>
      <c r="AW130" s="1842"/>
      <c r="AX130" s="1842"/>
      <c r="AY130" s="1842"/>
      <c r="AZ130" s="1842"/>
      <c r="BA130" s="2637"/>
      <c r="BB130" s="1842"/>
      <c r="BC130" s="1842"/>
      <c r="BD130" s="1842"/>
      <c r="BE130" s="1842"/>
      <c r="BF130" s="1842"/>
      <c r="BG130" s="1842"/>
      <c r="BH130" s="1842"/>
      <c r="BI130" s="1842"/>
      <c r="BJ130" s="1842"/>
      <c r="BK130" s="1842"/>
      <c r="BL130" s="2635"/>
      <c r="BM130" s="2635"/>
      <c r="BN130" s="2635"/>
      <c r="BO130" s="2635"/>
      <c r="BP130" s="2635"/>
      <c r="BQ130" s="2636">
        <f t="shared" si="49"/>
        <v>0</v>
      </c>
    </row>
    <row r="131" spans="1:69" ht="15.75">
      <c r="S131" s="2195"/>
      <c r="T131" s="3161"/>
      <c r="U131" s="3161"/>
      <c r="V131" s="3162" t="s">
        <v>324</v>
      </c>
      <c r="W131" s="3162"/>
      <c r="X131" s="3162"/>
      <c r="Y131" s="3162"/>
      <c r="Z131" s="3162"/>
      <c r="AA131" s="3162"/>
      <c r="AB131" s="3162"/>
      <c r="AC131" s="3162"/>
      <c r="AD131" s="3161"/>
      <c r="AE131" s="3161"/>
      <c r="AF131" s="2195"/>
      <c r="AG131" s="2195"/>
      <c r="AH131" s="2195"/>
      <c r="AJ131" s="2655" t="s">
        <v>78</v>
      </c>
      <c r="AK131" s="2656">
        <f t="shared" si="48"/>
        <v>0</v>
      </c>
      <c r="AL131" s="2658"/>
      <c r="AM131" s="2635"/>
      <c r="AN131" s="2635"/>
      <c r="AO131" s="2635"/>
      <c r="AP131" s="2635"/>
      <c r="AQ131" s="2635"/>
      <c r="AR131" s="2635"/>
      <c r="AS131" s="2635"/>
      <c r="AT131" s="2635"/>
      <c r="AU131" s="2638"/>
      <c r="AV131" s="2638"/>
      <c r="AW131" s="2638"/>
      <c r="AX131" s="2638"/>
      <c r="AY131" s="2638"/>
      <c r="AZ131" s="2638"/>
      <c r="BA131" s="2638"/>
      <c r="BB131" s="2638"/>
      <c r="BC131" s="2638"/>
      <c r="BD131" s="2638"/>
      <c r="BE131" s="2638"/>
      <c r="BF131" s="2638"/>
      <c r="BG131" s="2638"/>
      <c r="BH131" s="2638"/>
      <c r="BI131" s="2638"/>
      <c r="BJ131" s="2638"/>
      <c r="BK131" s="2638"/>
      <c r="BL131" s="2638"/>
      <c r="BM131" s="2638"/>
      <c r="BN131" s="2638"/>
      <c r="BO131" s="2638"/>
      <c r="BP131" s="2638"/>
      <c r="BQ131" s="2636">
        <f t="shared" si="49"/>
        <v>0</v>
      </c>
    </row>
    <row r="132" spans="1:69" ht="15">
      <c r="S132" s="2195"/>
      <c r="T132" s="3163"/>
      <c r="U132" s="3163"/>
      <c r="V132" s="3163"/>
      <c r="W132" s="3163"/>
      <c r="X132" s="3937" t="s">
        <v>920</v>
      </c>
      <c r="Y132" s="3937"/>
      <c r="Z132" s="3937"/>
      <c r="AA132" s="3938">
        <v>41581</v>
      </c>
      <c r="AB132" s="3938"/>
      <c r="AC132" s="3163"/>
      <c r="AD132" s="3163"/>
      <c r="AE132" s="3163"/>
      <c r="AF132" s="3163"/>
      <c r="AG132" s="3163"/>
      <c r="AH132" s="2195"/>
      <c r="AJ132" s="2655" t="s">
        <v>79</v>
      </c>
      <c r="AK132" s="2656">
        <f t="shared" si="48"/>
        <v>0</v>
      </c>
      <c r="AL132" s="2659"/>
      <c r="AM132" s="1842"/>
      <c r="AN132" s="1842"/>
      <c r="AO132" s="1842"/>
      <c r="AP132" s="1842"/>
      <c r="AQ132" s="1842"/>
      <c r="AR132" s="1842"/>
      <c r="AS132" s="1842"/>
      <c r="AT132" s="1842"/>
      <c r="AU132" s="1842"/>
      <c r="AV132" s="1842"/>
      <c r="AW132" s="1842"/>
      <c r="AX132" s="1842"/>
      <c r="AY132" s="1842"/>
      <c r="AZ132" s="1842"/>
      <c r="BA132" s="1842"/>
      <c r="BB132" s="1842"/>
      <c r="BC132" s="1842"/>
      <c r="BD132" s="1842"/>
      <c r="BE132" s="1842"/>
      <c r="BF132" s="1842"/>
      <c r="BG132" s="1842"/>
      <c r="BH132" s="1842"/>
      <c r="BI132" s="1842"/>
      <c r="BJ132" s="1842"/>
      <c r="BK132" s="1842"/>
      <c r="BL132" s="1842"/>
      <c r="BM132" s="1842"/>
      <c r="BN132" s="1842"/>
      <c r="BO132" s="1842"/>
      <c r="BP132" s="1842"/>
      <c r="BQ132" s="2636">
        <f t="shared" si="49"/>
        <v>0</v>
      </c>
    </row>
    <row r="133" spans="1:69" ht="15">
      <c r="S133" s="2195"/>
      <c r="T133" s="3161"/>
      <c r="U133" s="3161"/>
      <c r="V133" s="3161"/>
      <c r="W133" s="3161"/>
      <c r="X133" s="3161"/>
      <c r="Y133" s="3161"/>
      <c r="Z133" s="3161"/>
      <c r="AA133" s="3161"/>
      <c r="AB133" s="3161"/>
      <c r="AC133" s="3161"/>
      <c r="AD133" s="3161"/>
      <c r="AE133" s="3161"/>
      <c r="AF133" s="2195"/>
      <c r="AG133" s="2195"/>
      <c r="AH133" s="2195"/>
      <c r="AJ133" s="2655" t="s">
        <v>80</v>
      </c>
      <c r="AK133" s="2656">
        <f t="shared" si="48"/>
        <v>0</v>
      </c>
      <c r="AL133" s="2659"/>
      <c r="AM133" s="1842"/>
      <c r="AN133" s="1842"/>
      <c r="AO133" s="1842"/>
      <c r="AP133" s="1842"/>
      <c r="AQ133" s="1842"/>
      <c r="AR133" s="1842"/>
      <c r="AS133" s="1842"/>
      <c r="AT133" s="1842"/>
      <c r="AU133" s="1842"/>
      <c r="AV133" s="1842"/>
      <c r="AW133" s="1842"/>
      <c r="AX133" s="1842"/>
      <c r="AY133" s="1842"/>
      <c r="AZ133" s="1842"/>
      <c r="BA133" s="1842"/>
      <c r="BB133" s="1842"/>
      <c r="BC133" s="1842"/>
      <c r="BD133" s="1842"/>
      <c r="BE133" s="1842"/>
      <c r="BF133" s="1842"/>
      <c r="BG133" s="1842"/>
      <c r="BH133" s="1842"/>
      <c r="BI133" s="1842"/>
      <c r="BJ133" s="1842"/>
      <c r="BK133" s="1842"/>
      <c r="BL133" s="1842"/>
      <c r="BM133" s="1842"/>
      <c r="BN133" s="1842"/>
      <c r="BO133" s="1842"/>
      <c r="BP133" s="1842"/>
      <c r="BQ133" s="2636">
        <f t="shared" si="49"/>
        <v>0</v>
      </c>
    </row>
    <row r="134" spans="1:69" ht="15.75" thickBot="1">
      <c r="S134" s="2195"/>
      <c r="T134" s="3161"/>
      <c r="U134" s="3161"/>
      <c r="V134" s="3161"/>
      <c r="W134" s="3161"/>
      <c r="X134" s="3161"/>
      <c r="Y134" s="3161"/>
      <c r="Z134" s="3161"/>
      <c r="AA134" s="3161"/>
      <c r="AB134" s="3161"/>
      <c r="AC134" s="3161"/>
      <c r="AD134" s="3161"/>
      <c r="AE134" s="3161"/>
      <c r="AF134" s="2195"/>
      <c r="AG134" s="2195"/>
      <c r="AH134" s="2195"/>
      <c r="AJ134" s="2655" t="s">
        <v>81</v>
      </c>
      <c r="AK134" s="2656">
        <f t="shared" si="48"/>
        <v>0</v>
      </c>
      <c r="AL134" s="2659"/>
      <c r="AM134" s="2636"/>
      <c r="AN134" s="2636"/>
      <c r="AO134" s="2636"/>
      <c r="AP134" s="1842"/>
      <c r="AQ134" s="1842"/>
      <c r="AR134" s="1842"/>
      <c r="AS134" s="1842"/>
      <c r="AT134" s="1842"/>
      <c r="AU134" s="1842"/>
      <c r="AV134" s="1842"/>
      <c r="AW134" s="1842"/>
      <c r="AX134" s="1842"/>
      <c r="AY134" s="1842"/>
      <c r="AZ134" s="1842"/>
      <c r="BA134" s="1842"/>
      <c r="BB134" s="1842"/>
      <c r="BC134" s="1842"/>
      <c r="BD134" s="1842"/>
      <c r="BE134" s="1842"/>
      <c r="BF134" s="1842"/>
      <c r="BG134" s="1842"/>
      <c r="BH134" s="1842"/>
      <c r="BI134" s="1842"/>
      <c r="BJ134" s="1842"/>
      <c r="BK134" s="1842"/>
      <c r="BL134" s="1842"/>
      <c r="BM134" s="1842"/>
      <c r="BN134" s="1842"/>
      <c r="BO134" s="1842"/>
      <c r="BP134" s="1842"/>
      <c r="BQ134" s="2636">
        <f t="shared" si="49"/>
        <v>0</v>
      </c>
    </row>
    <row r="135" spans="1:69" ht="16.5" thickBot="1">
      <c r="A135" s="2552"/>
      <c r="B135" s="2552"/>
      <c r="C135" s="2552"/>
      <c r="D135" s="2552"/>
      <c r="E135" s="2552"/>
      <c r="F135" s="2552"/>
      <c r="G135" s="2552"/>
      <c r="H135" s="2552"/>
      <c r="I135" s="2552"/>
      <c r="J135" s="2552"/>
      <c r="K135" s="2552"/>
      <c r="L135" s="2552"/>
      <c r="M135" s="2552"/>
      <c r="N135" s="2552"/>
      <c r="O135" s="2552"/>
      <c r="P135" s="2552"/>
      <c r="S135" s="2195"/>
      <c r="T135" s="2477" t="s">
        <v>1096</v>
      </c>
      <c r="U135" s="2478"/>
      <c r="V135" s="2478"/>
      <c r="W135" s="2478"/>
      <c r="X135" s="2478"/>
      <c r="Y135" s="3810" t="s">
        <v>155</v>
      </c>
      <c r="Z135" s="3811"/>
      <c r="AA135" s="3812"/>
      <c r="AB135" s="3810" t="s">
        <v>156</v>
      </c>
      <c r="AC135" s="3813"/>
      <c r="AD135" s="3814" t="s">
        <v>912</v>
      </c>
      <c r="AE135" s="3814" t="s">
        <v>913</v>
      </c>
      <c r="AF135" s="3159"/>
      <c r="AG135" s="219"/>
      <c r="AJ135" s="2655" t="s">
        <v>82</v>
      </c>
      <c r="AK135" s="2656">
        <f t="shared" si="48"/>
        <v>0</v>
      </c>
      <c r="AL135" s="2659"/>
      <c r="AM135" s="1842"/>
      <c r="AN135" s="1842"/>
      <c r="AO135" s="1842"/>
      <c r="AP135" s="1842"/>
      <c r="AQ135" s="1842"/>
      <c r="AR135" s="1842"/>
      <c r="AS135" s="1842"/>
      <c r="AT135" s="1842"/>
      <c r="AU135" s="1842"/>
      <c r="AV135" s="1842"/>
      <c r="AW135" s="1842"/>
      <c r="AX135" s="1842"/>
      <c r="AY135" s="1842"/>
      <c r="AZ135" s="1842"/>
      <c r="BA135" s="1842"/>
      <c r="BB135" s="1842"/>
      <c r="BC135" s="1842"/>
      <c r="BD135" s="1842"/>
      <c r="BE135" s="1842"/>
      <c r="BF135" s="1842"/>
      <c r="BG135" s="1842"/>
      <c r="BH135" s="1842"/>
      <c r="BI135" s="1842"/>
      <c r="BJ135" s="1842"/>
      <c r="BK135" s="1842"/>
      <c r="BL135" s="1842"/>
      <c r="BM135" s="1842"/>
      <c r="BN135" s="1842"/>
      <c r="BO135" s="1842"/>
      <c r="BP135" s="1842"/>
      <c r="BQ135" s="2636">
        <f t="shared" si="49"/>
        <v>0</v>
      </c>
    </row>
    <row r="136" spans="1:69" ht="15.75" thickBot="1">
      <c r="A136" s="2552"/>
      <c r="B136" s="2552"/>
      <c r="C136" s="2552"/>
      <c r="D136" s="2552"/>
      <c r="E136" s="2552"/>
      <c r="F136" s="2552"/>
      <c r="G136" s="2552"/>
      <c r="H136" s="2552"/>
      <c r="I136" s="2552"/>
      <c r="J136" s="2552"/>
      <c r="K136" s="2552"/>
      <c r="L136" s="2552"/>
      <c r="M136" s="2552"/>
      <c r="N136" s="2552"/>
      <c r="O136" s="2552"/>
      <c r="P136" s="2552"/>
      <c r="S136" s="2195"/>
      <c r="T136" s="2479" t="s">
        <v>158</v>
      </c>
      <c r="U136" s="2480" t="s">
        <v>159</v>
      </c>
      <c r="V136" s="2481" t="s">
        <v>136</v>
      </c>
      <c r="W136" s="2482" t="s">
        <v>134</v>
      </c>
      <c r="X136" s="2480" t="s">
        <v>160</v>
      </c>
      <c r="Y136" s="2483" t="s">
        <v>8</v>
      </c>
      <c r="Z136" s="3155" t="s">
        <v>161</v>
      </c>
      <c r="AA136" s="2485" t="s">
        <v>52</v>
      </c>
      <c r="AB136" s="2483" t="s">
        <v>8</v>
      </c>
      <c r="AC136" s="2486" t="s">
        <v>162</v>
      </c>
      <c r="AD136" s="3815"/>
      <c r="AE136" s="3815"/>
      <c r="AF136" s="3159"/>
      <c r="AG136" s="219"/>
      <c r="AJ136" s="2655" t="s">
        <v>83</v>
      </c>
      <c r="AK136" s="2656">
        <f t="shared" si="48"/>
        <v>0</v>
      </c>
      <c r="AL136" s="2659"/>
      <c r="AM136" s="1842"/>
      <c r="AN136" s="1842"/>
      <c r="AO136" s="1842"/>
      <c r="AP136" s="1842"/>
      <c r="AQ136" s="1842"/>
      <c r="AR136" s="1842"/>
      <c r="AS136" s="1842"/>
      <c r="AT136" s="1842"/>
      <c r="AU136" s="1842"/>
      <c r="AV136" s="1842"/>
      <c r="AW136" s="1842"/>
      <c r="AX136" s="1842"/>
      <c r="AY136" s="1842"/>
      <c r="AZ136" s="1842"/>
      <c r="BA136" s="1842"/>
      <c r="BB136" s="1842"/>
      <c r="BC136" s="1842"/>
      <c r="BD136" s="1842"/>
      <c r="BE136" s="1842"/>
      <c r="BF136" s="1842"/>
      <c r="BG136" s="1842"/>
      <c r="BH136" s="1842"/>
      <c r="BI136" s="1842"/>
      <c r="BJ136" s="1842"/>
      <c r="BK136" s="1842"/>
      <c r="BL136" s="1842"/>
      <c r="BM136" s="1842"/>
      <c r="BN136" s="1842"/>
      <c r="BO136" s="1842"/>
      <c r="BP136" s="1842"/>
      <c r="BQ136" s="2636">
        <f t="shared" si="49"/>
        <v>0</v>
      </c>
    </row>
    <row r="137" spans="1:69" ht="16.5" thickBot="1">
      <c r="A137" s="3856" t="s">
        <v>919</v>
      </c>
      <c r="B137" s="3856"/>
      <c r="C137" s="3856"/>
      <c r="D137" s="3856"/>
      <c r="E137" s="3856"/>
      <c r="F137" s="3856"/>
      <c r="G137" s="3856"/>
      <c r="H137" s="3856"/>
      <c r="I137" s="3856"/>
      <c r="J137" s="3856"/>
      <c r="K137" s="3856"/>
      <c r="L137" s="3856"/>
      <c r="M137" s="2552"/>
      <c r="N137" s="2552"/>
      <c r="O137" s="2552"/>
      <c r="P137" s="2552"/>
      <c r="S137" s="2195"/>
      <c r="T137" s="1339">
        <v>708</v>
      </c>
      <c r="U137" s="1340">
        <v>41348</v>
      </c>
      <c r="V137" s="1341">
        <v>957995</v>
      </c>
      <c r="W137" s="1342" t="s">
        <v>242</v>
      </c>
      <c r="X137" s="1343">
        <v>1930</v>
      </c>
      <c r="Y137" s="1339">
        <v>80</v>
      </c>
      <c r="Z137" s="1342">
        <v>720</v>
      </c>
      <c r="AA137" s="1344">
        <f>SUM(Y137:Z137)</f>
        <v>800</v>
      </c>
      <c r="AB137" s="1345">
        <v>284.673</v>
      </c>
      <c r="AC137" s="1346">
        <v>412.38900000000001</v>
      </c>
      <c r="AD137" s="3156">
        <f t="shared" ref="AD137:AE144" si="50">+Y137-AB137</f>
        <v>-204.673</v>
      </c>
      <c r="AE137" s="1347">
        <f t="shared" si="50"/>
        <v>307.61099999999999</v>
      </c>
      <c r="AF137" s="3160" t="s">
        <v>18</v>
      </c>
      <c r="AG137" s="3226"/>
      <c r="AJ137" s="2655" t="s">
        <v>84</v>
      </c>
      <c r="AK137" s="2656">
        <f t="shared" si="48"/>
        <v>0</v>
      </c>
      <c r="AL137" s="2659"/>
      <c r="AM137" s="1842"/>
      <c r="AN137" s="1842"/>
      <c r="AO137" s="1842"/>
      <c r="AP137" s="1842"/>
      <c r="AQ137" s="1842"/>
      <c r="AR137" s="1842"/>
      <c r="AS137" s="1842"/>
      <c r="AT137" s="1842"/>
      <c r="AU137" s="1842"/>
      <c r="AV137" s="1842"/>
      <c r="AW137" s="1842"/>
      <c r="AX137" s="1842"/>
      <c r="AY137" s="1842"/>
      <c r="AZ137" s="1842"/>
      <c r="BA137" s="1842"/>
      <c r="BB137" s="1842"/>
      <c r="BC137" s="1842"/>
      <c r="BD137" s="1842"/>
      <c r="BE137" s="1842"/>
      <c r="BF137" s="1842"/>
      <c r="BG137" s="1842"/>
      <c r="BH137" s="1842"/>
      <c r="BI137" s="1842"/>
      <c r="BJ137" s="1842"/>
      <c r="BK137" s="1842"/>
      <c r="BL137" s="1842"/>
      <c r="BM137" s="1842"/>
      <c r="BN137" s="2636"/>
      <c r="BO137" s="1842"/>
      <c r="BP137" s="2636"/>
      <c r="BQ137" s="2636">
        <f t="shared" si="49"/>
        <v>0</v>
      </c>
    </row>
    <row r="138" spans="1:69" ht="16.5" thickBot="1">
      <c r="A138" s="2553"/>
      <c r="B138" s="2553"/>
      <c r="C138" s="2554"/>
      <c r="D138" s="3854" t="s">
        <v>920</v>
      </c>
      <c r="E138" s="3854"/>
      <c r="F138" s="3854"/>
      <c r="G138" s="3855"/>
      <c r="H138" s="3855"/>
      <c r="I138" s="2555"/>
      <c r="J138" s="2554"/>
      <c r="K138" s="2554"/>
      <c r="L138" s="2554"/>
      <c r="M138" s="2552"/>
      <c r="N138" s="2552"/>
      <c r="O138" s="2552"/>
      <c r="P138" s="2552"/>
      <c r="S138" s="2195"/>
      <c r="T138" s="1339">
        <v>1065</v>
      </c>
      <c r="U138" s="1340">
        <v>41387</v>
      </c>
      <c r="V138" s="1341">
        <v>902835</v>
      </c>
      <c r="W138" s="1342" t="s">
        <v>299</v>
      </c>
      <c r="X138" s="1343">
        <v>640</v>
      </c>
      <c r="Y138" s="1339">
        <v>0</v>
      </c>
      <c r="Z138" s="1342">
        <v>680</v>
      </c>
      <c r="AA138" s="1344">
        <f>SUM(Y138:Z138)</f>
        <v>680</v>
      </c>
      <c r="AB138" s="1345"/>
      <c r="AC138" s="1346"/>
      <c r="AD138" s="3157">
        <f t="shared" si="50"/>
        <v>0</v>
      </c>
      <c r="AE138" s="1347">
        <f t="shared" si="50"/>
        <v>680</v>
      </c>
      <c r="AF138" s="3160" t="s">
        <v>12</v>
      </c>
      <c r="AG138" s="3226"/>
      <c r="AJ138" s="2655" t="s">
        <v>85</v>
      </c>
      <c r="AK138" s="2656">
        <f t="shared" si="48"/>
        <v>0</v>
      </c>
      <c r="AL138" s="2659"/>
      <c r="AM138" s="1842"/>
      <c r="AN138" s="1842"/>
      <c r="AO138" s="1842"/>
      <c r="AP138" s="2639"/>
      <c r="AQ138" s="1842"/>
      <c r="AR138" s="1842"/>
      <c r="AS138" s="1842"/>
      <c r="AT138" s="1842"/>
      <c r="AU138" s="1842"/>
      <c r="AV138" s="1842"/>
      <c r="AW138" s="1842"/>
      <c r="AX138" s="1842"/>
      <c r="AY138" s="1842"/>
      <c r="AZ138" s="1842"/>
      <c r="BA138" s="1842"/>
      <c r="BB138" s="1842"/>
      <c r="BC138" s="1842"/>
      <c r="BD138" s="1842"/>
      <c r="BE138" s="1842"/>
      <c r="BF138" s="1842"/>
      <c r="BG138" s="1842"/>
      <c r="BH138" s="1842"/>
      <c r="BI138" s="1842"/>
      <c r="BJ138" s="1842"/>
      <c r="BK138" s="1842"/>
      <c r="BL138" s="1842"/>
      <c r="BM138" s="1842"/>
      <c r="BN138" s="2636"/>
      <c r="BO138" s="1842"/>
      <c r="BP138" s="2636"/>
      <c r="BQ138" s="2636">
        <f t="shared" si="49"/>
        <v>0</v>
      </c>
    </row>
    <row r="139" spans="1:69" ht="16.5" thickBot="1">
      <c r="A139" s="2553"/>
      <c r="B139" s="2553"/>
      <c r="C139" s="2553"/>
      <c r="D139" s="2553"/>
      <c r="E139" s="2553"/>
      <c r="F139" s="2553"/>
      <c r="G139" s="3323">
        <v>41569</v>
      </c>
      <c r="H139" s="2553"/>
      <c r="I139" s="2556"/>
      <c r="J139" s="2553"/>
      <c r="K139" s="2552"/>
      <c r="L139" s="2552"/>
      <c r="M139" s="2552"/>
      <c r="N139" s="2552"/>
      <c r="O139" s="2552"/>
      <c r="P139" s="2552"/>
      <c r="S139" s="2195"/>
      <c r="T139" s="1339">
        <v>1066</v>
      </c>
      <c r="U139" s="1340">
        <v>41387</v>
      </c>
      <c r="V139" s="1341">
        <v>957364</v>
      </c>
      <c r="W139" s="1342" t="s">
        <v>1001</v>
      </c>
      <c r="X139" s="1343"/>
      <c r="Y139" s="1339">
        <v>231</v>
      </c>
      <c r="Z139" s="1342"/>
      <c r="AA139" s="1344">
        <f>SUM(Y139:Z139)</f>
        <v>231</v>
      </c>
      <c r="AB139" s="1345">
        <v>91.765000000000001</v>
      </c>
      <c r="AC139" s="1346"/>
      <c r="AD139" s="3157">
        <f t="shared" si="50"/>
        <v>139.23500000000001</v>
      </c>
      <c r="AE139" s="1347">
        <f t="shared" si="50"/>
        <v>0</v>
      </c>
      <c r="AF139" s="3160" t="s">
        <v>18</v>
      </c>
      <c r="AG139" s="3226"/>
      <c r="AJ139" s="2655" t="s">
        <v>86</v>
      </c>
      <c r="AK139" s="2656">
        <f t="shared" si="48"/>
        <v>0</v>
      </c>
      <c r="AL139" s="2659"/>
      <c r="AM139" s="1842"/>
      <c r="AN139" s="1842"/>
      <c r="AO139" s="1842"/>
      <c r="AP139" s="1842"/>
      <c r="AQ139" s="1842"/>
      <c r="AR139" s="1842"/>
      <c r="AS139" s="1842"/>
      <c r="AT139" s="1842"/>
      <c r="AU139" s="1842"/>
      <c r="AV139" s="1842"/>
      <c r="AW139" s="1842"/>
      <c r="AX139" s="1842"/>
      <c r="AY139" s="1842"/>
      <c r="AZ139" s="1842"/>
      <c r="BA139" s="1842"/>
      <c r="BB139" s="1842"/>
      <c r="BC139" s="1842"/>
      <c r="BD139" s="1842"/>
      <c r="BE139" s="1842"/>
      <c r="BF139" s="1842"/>
      <c r="BG139" s="1842"/>
      <c r="BH139" s="1842"/>
      <c r="BI139" s="1842"/>
      <c r="BJ139" s="1842"/>
      <c r="BK139" s="1842"/>
      <c r="BL139" s="1842"/>
      <c r="BM139" s="1842"/>
      <c r="BN139" s="1842"/>
      <c r="BO139" s="1842"/>
      <c r="BP139" s="1842"/>
      <c r="BQ139" s="2636">
        <f t="shared" si="49"/>
        <v>0</v>
      </c>
    </row>
    <row r="140" spans="1:69" ht="16.5" thickBot="1">
      <c r="A140" s="2495" t="s">
        <v>225</v>
      </c>
      <c r="B140" s="2496"/>
      <c r="C140" s="2496"/>
      <c r="D140" s="2496"/>
      <c r="E140" s="3733" t="s">
        <v>155</v>
      </c>
      <c r="F140" s="3734"/>
      <c r="G140" s="3733" t="s">
        <v>156</v>
      </c>
      <c r="H140" s="3734"/>
      <c r="I140" s="3733" t="s">
        <v>157</v>
      </c>
      <c r="J140" s="3734"/>
      <c r="K140" s="2552"/>
      <c r="L140" s="2552"/>
      <c r="M140" s="2552"/>
      <c r="N140" s="2552"/>
      <c r="O140" s="2552"/>
      <c r="P140" s="2552"/>
      <c r="S140" s="2195"/>
      <c r="T140" s="1339">
        <v>1066</v>
      </c>
      <c r="U140" s="1340">
        <v>41387</v>
      </c>
      <c r="V140" s="1341">
        <v>902835</v>
      </c>
      <c r="W140" s="1342" t="s">
        <v>299</v>
      </c>
      <c r="X140" s="1343">
        <v>640</v>
      </c>
      <c r="Y140" s="1339"/>
      <c r="Z140" s="1342">
        <v>450</v>
      </c>
      <c r="AA140" s="1344">
        <f>SUM(Y140:Z140)</f>
        <v>450</v>
      </c>
      <c r="AB140" s="1345"/>
      <c r="AC140" s="1346"/>
      <c r="AD140" s="3157">
        <f t="shared" si="50"/>
        <v>0</v>
      </c>
      <c r="AE140" s="1347">
        <f t="shared" si="50"/>
        <v>450</v>
      </c>
      <c r="AF140" s="3160" t="s">
        <v>18</v>
      </c>
      <c r="AG140" s="3226"/>
      <c r="AJ140" s="2660" t="s">
        <v>74</v>
      </c>
      <c r="AK140" s="2661">
        <f t="shared" ref="AK140:BA140" si="51">SUM(AK128:AK139)</f>
        <v>0</v>
      </c>
      <c r="AL140" s="2656">
        <f t="shared" si="51"/>
        <v>0</v>
      </c>
      <c r="AM140" s="2633">
        <f t="shared" si="51"/>
        <v>0</v>
      </c>
      <c r="AN140" s="2633">
        <f t="shared" si="51"/>
        <v>0</v>
      </c>
      <c r="AO140" s="2633">
        <f t="shared" si="51"/>
        <v>0</v>
      </c>
      <c r="AP140" s="2633">
        <f t="shared" si="51"/>
        <v>0</v>
      </c>
      <c r="AQ140" s="2633">
        <f t="shared" si="51"/>
        <v>0</v>
      </c>
      <c r="AR140" s="2633">
        <f t="shared" si="51"/>
        <v>0</v>
      </c>
      <c r="AS140" s="2633">
        <f t="shared" si="51"/>
        <v>0</v>
      </c>
      <c r="AT140" s="2633">
        <f t="shared" si="51"/>
        <v>0</v>
      </c>
      <c r="AU140" s="2633">
        <f t="shared" si="51"/>
        <v>0</v>
      </c>
      <c r="AV140" s="2633">
        <f t="shared" si="51"/>
        <v>0</v>
      </c>
      <c r="AW140" s="2633">
        <f t="shared" si="51"/>
        <v>0</v>
      </c>
      <c r="AX140" s="2633">
        <f t="shared" si="51"/>
        <v>0</v>
      </c>
      <c r="AY140" s="2633">
        <f t="shared" si="51"/>
        <v>0</v>
      </c>
      <c r="AZ140" s="2633">
        <f t="shared" si="51"/>
        <v>0</v>
      </c>
      <c r="BA140" s="2633">
        <f t="shared" si="51"/>
        <v>0</v>
      </c>
      <c r="BB140" s="2636">
        <f t="shared" ref="BB140:BL140" si="52">SUM(BB128:BB138)</f>
        <v>0</v>
      </c>
      <c r="BC140" s="2636">
        <f t="shared" si="52"/>
        <v>0</v>
      </c>
      <c r="BD140" s="2636">
        <f t="shared" si="52"/>
        <v>0</v>
      </c>
      <c r="BE140" s="2636">
        <f t="shared" si="52"/>
        <v>0</v>
      </c>
      <c r="BF140" s="2636">
        <f t="shared" si="52"/>
        <v>0</v>
      </c>
      <c r="BG140" s="2636">
        <f t="shared" si="52"/>
        <v>0</v>
      </c>
      <c r="BH140" s="2636">
        <f t="shared" si="52"/>
        <v>0</v>
      </c>
      <c r="BI140" s="2636">
        <f t="shared" si="52"/>
        <v>0</v>
      </c>
      <c r="BJ140" s="2636">
        <f t="shared" si="52"/>
        <v>0</v>
      </c>
      <c r="BK140" s="2636">
        <f t="shared" si="52"/>
        <v>0</v>
      </c>
      <c r="BL140" s="2636">
        <f t="shared" si="52"/>
        <v>0</v>
      </c>
      <c r="BM140" s="2636">
        <v>0</v>
      </c>
      <c r="BN140" s="2636">
        <f>SUM(BN128:BN138)</f>
        <v>0</v>
      </c>
      <c r="BO140" s="2636">
        <f>SUM(BO128:BO138)</f>
        <v>0</v>
      </c>
      <c r="BP140" s="2636">
        <f>SUM(BP128:BP138)</f>
        <v>0</v>
      </c>
      <c r="BQ140" s="2636">
        <f>SUM(BQ128:BQ138)</f>
        <v>0</v>
      </c>
    </row>
    <row r="141" spans="1:69" ht="30.75" thickBot="1">
      <c r="A141" s="2497" t="s">
        <v>226</v>
      </c>
      <c r="B141" s="2498" t="s">
        <v>227</v>
      </c>
      <c r="C141" s="2499" t="s">
        <v>228</v>
      </c>
      <c r="D141" s="2500" t="s">
        <v>160</v>
      </c>
      <c r="E141" s="2501" t="s">
        <v>229</v>
      </c>
      <c r="F141" s="2502" t="s">
        <v>230</v>
      </c>
      <c r="G141" s="2498" t="s">
        <v>921</v>
      </c>
      <c r="H141" s="2500" t="s">
        <v>231</v>
      </c>
      <c r="I141" s="2503" t="s">
        <v>232</v>
      </c>
      <c r="J141" s="2500" t="s">
        <v>233</v>
      </c>
      <c r="K141" s="2557"/>
      <c r="L141" s="2557"/>
      <c r="M141" s="2552"/>
      <c r="N141" s="2552"/>
      <c r="O141" s="2552"/>
      <c r="P141" s="2552"/>
      <c r="S141" s="2195"/>
      <c r="T141" s="1339">
        <v>1067</v>
      </c>
      <c r="U141" s="1340">
        <v>41387</v>
      </c>
      <c r="V141" s="1341">
        <v>957995</v>
      </c>
      <c r="W141" s="1342" t="s">
        <v>242</v>
      </c>
      <c r="X141" s="1343">
        <v>1930</v>
      </c>
      <c r="Y141" s="1339">
        <v>200</v>
      </c>
      <c r="Z141" s="1342">
        <v>800</v>
      </c>
      <c r="AA141" s="1344">
        <f>SUM(Y141:Z141)</f>
        <v>1000</v>
      </c>
      <c r="AB141" s="1345">
        <v>177.75700000000001</v>
      </c>
      <c r="AC141" s="1346">
        <v>345.113</v>
      </c>
      <c r="AD141" s="3157">
        <f t="shared" si="50"/>
        <v>22.242999999999995</v>
      </c>
      <c r="AE141" s="1347">
        <f t="shared" si="50"/>
        <v>454.887</v>
      </c>
      <c r="AF141" s="3160" t="s">
        <v>18</v>
      </c>
      <c r="AG141" s="3226"/>
      <c r="AJ141" s="2662"/>
      <c r="AK141" s="2662"/>
      <c r="AL141" s="2662"/>
      <c r="AM141" s="2630"/>
      <c r="AN141" s="2630"/>
      <c r="AO141" s="2630"/>
      <c r="AP141" s="2630"/>
      <c r="AQ141" s="2630"/>
      <c r="AR141" s="2630"/>
      <c r="AS141" s="2630"/>
      <c r="AT141" s="2630"/>
      <c r="AU141" s="2630"/>
      <c r="AV141" s="2630"/>
      <c r="AW141" s="2630"/>
      <c r="AX141" s="2630"/>
      <c r="AY141" s="2630"/>
      <c r="AZ141" s="2630"/>
      <c r="BA141" s="2630"/>
      <c r="BB141" s="2630"/>
      <c r="BC141" s="2630"/>
      <c r="BD141" s="2630"/>
      <c r="BE141" s="2630"/>
      <c r="BF141" s="2630"/>
      <c r="BG141" s="2630"/>
      <c r="BH141" s="2630"/>
      <c r="BI141" s="2630"/>
      <c r="BJ141" s="2630"/>
      <c r="BK141" s="2630"/>
      <c r="BL141" s="2630"/>
      <c r="BM141" s="2630"/>
      <c r="BN141" s="2630"/>
      <c r="BO141" s="2630"/>
      <c r="BP141" s="2630"/>
      <c r="BQ141" s="2630"/>
    </row>
    <row r="142" spans="1:69" ht="24" thickBot="1">
      <c r="A142" s="2505">
        <v>729</v>
      </c>
      <c r="B142" s="2506">
        <v>959370</v>
      </c>
      <c r="C142" s="1354" t="s">
        <v>922</v>
      </c>
      <c r="D142" s="2507">
        <v>3002</v>
      </c>
      <c r="E142" s="2508">
        <v>5</v>
      </c>
      <c r="F142" s="2509">
        <v>245</v>
      </c>
      <c r="G142" s="2510">
        <v>0</v>
      </c>
      <c r="H142" s="2529">
        <v>0</v>
      </c>
      <c r="I142" s="2533">
        <f>(E142-G142)</f>
        <v>5</v>
      </c>
      <c r="J142" s="2534">
        <f>(F142-H142)</f>
        <v>245</v>
      </c>
      <c r="K142" s="2552"/>
      <c r="L142" s="2552"/>
      <c r="M142" s="2552"/>
      <c r="N142" s="2552"/>
      <c r="O142" s="2552"/>
      <c r="P142" s="2552"/>
      <c r="S142" s="2195"/>
      <c r="T142" s="1339">
        <v>1067</v>
      </c>
      <c r="U142" s="1340">
        <v>41387</v>
      </c>
      <c r="V142" s="1341">
        <v>957364</v>
      </c>
      <c r="W142" s="1342" t="s">
        <v>1001</v>
      </c>
      <c r="X142" s="1343"/>
      <c r="Y142" s="1339">
        <v>240</v>
      </c>
      <c r="Z142" s="1342"/>
      <c r="AA142" s="1344"/>
      <c r="AB142" s="1345"/>
      <c r="AC142" s="1346"/>
      <c r="AD142" s="3157">
        <f t="shared" si="50"/>
        <v>240</v>
      </c>
      <c r="AE142" s="1347">
        <f t="shared" si="50"/>
        <v>0</v>
      </c>
      <c r="AF142" s="3160" t="s">
        <v>18</v>
      </c>
      <c r="AG142" s="3226"/>
      <c r="AJ142" s="3013" t="s">
        <v>242</v>
      </c>
      <c r="AK142" s="3013"/>
      <c r="AL142" s="3013"/>
      <c r="AM142" s="1415"/>
      <c r="AN142" s="3013" t="s">
        <v>1021</v>
      </c>
      <c r="AO142" s="3013"/>
      <c r="AP142" s="3080"/>
      <c r="AQ142" s="2629"/>
      <c r="AR142" s="2630"/>
      <c r="AS142" s="2630"/>
      <c r="AT142" s="2630"/>
      <c r="AU142" s="2630"/>
      <c r="AV142" s="2630"/>
      <c r="AW142" s="2630"/>
      <c r="AX142" s="2630"/>
      <c r="AY142" s="2630"/>
      <c r="AZ142" s="2630"/>
      <c r="BA142" s="2630"/>
      <c r="BB142" s="2630"/>
      <c r="BC142" s="2630"/>
      <c r="BD142" s="2630"/>
      <c r="BE142" s="2630"/>
      <c r="BF142" s="2630"/>
      <c r="BG142" s="2630"/>
      <c r="BH142" s="2630"/>
      <c r="BI142" s="2630"/>
      <c r="BJ142" s="2630"/>
      <c r="BK142" s="2630"/>
      <c r="BL142" s="2630"/>
      <c r="BM142" s="2630"/>
      <c r="BN142" s="2630"/>
      <c r="BO142" s="2630"/>
      <c r="BP142" s="2630"/>
      <c r="BQ142" s="2630"/>
    </row>
    <row r="143" spans="1:69" ht="16.5" thickBot="1">
      <c r="A143" s="2511">
        <v>729</v>
      </c>
      <c r="B143" s="2512">
        <v>955514</v>
      </c>
      <c r="C143" s="1355" t="s">
        <v>165</v>
      </c>
      <c r="D143" s="2513">
        <v>2881</v>
      </c>
      <c r="E143" s="2514">
        <v>5</v>
      </c>
      <c r="F143" s="2515">
        <v>245</v>
      </c>
      <c r="G143" s="2516">
        <v>0</v>
      </c>
      <c r="H143" s="2530">
        <v>0</v>
      </c>
      <c r="I143" s="2535">
        <f t="shared" ref="I143:I152" si="53">(E143-G143)</f>
        <v>5</v>
      </c>
      <c r="J143" s="2536">
        <f t="shared" ref="J143:J152" si="54">(F143-H143)</f>
        <v>245</v>
      </c>
      <c r="K143" s="2552"/>
      <c r="L143" s="2552" t="s">
        <v>923</v>
      </c>
      <c r="M143" s="2552"/>
      <c r="N143" s="2552"/>
      <c r="O143" s="2552"/>
      <c r="P143" s="2552"/>
      <c r="S143" s="2195"/>
      <c r="T143" s="1339">
        <v>1067</v>
      </c>
      <c r="U143" s="1340">
        <v>41387</v>
      </c>
      <c r="V143" s="1341">
        <v>902835</v>
      </c>
      <c r="W143" s="1342" t="s">
        <v>299</v>
      </c>
      <c r="X143" s="1343">
        <v>640</v>
      </c>
      <c r="Y143" s="1339">
        <v>0</v>
      </c>
      <c r="Z143" s="1342">
        <v>1050</v>
      </c>
      <c r="AA143" s="1344">
        <f>SUM(Y143:Z143)</f>
        <v>1050</v>
      </c>
      <c r="AB143" s="1345"/>
      <c r="AC143" s="1346"/>
      <c r="AD143" s="3157">
        <f t="shared" si="50"/>
        <v>0</v>
      </c>
      <c r="AE143" s="1347">
        <f t="shared" si="50"/>
        <v>1050</v>
      </c>
      <c r="AF143" s="3160" t="s">
        <v>12</v>
      </c>
      <c r="AG143" s="3226"/>
      <c r="AJ143" s="3885" t="s">
        <v>271</v>
      </c>
      <c r="AK143" s="3886"/>
      <c r="AL143" s="3887"/>
      <c r="AM143" s="2631"/>
      <c r="AN143" s="2631"/>
      <c r="AO143" s="2631"/>
      <c r="AP143" s="2631"/>
      <c r="AQ143" s="2631"/>
      <c r="AR143" s="2631"/>
      <c r="AS143" s="2631"/>
      <c r="AT143" s="2631"/>
      <c r="AU143" s="2631"/>
      <c r="AV143" s="2631"/>
      <c r="AW143" s="2631"/>
      <c r="AX143" s="2631"/>
      <c r="AY143" s="2631"/>
      <c r="AZ143" s="2631"/>
      <c r="BA143" s="2631"/>
      <c r="BB143" s="2632"/>
      <c r="BC143" s="2632"/>
      <c r="BD143" s="2632"/>
      <c r="BE143" s="2632"/>
      <c r="BF143" s="2632"/>
      <c r="BG143" s="2632"/>
      <c r="BH143" s="2632"/>
      <c r="BI143" s="2632"/>
      <c r="BJ143" s="2632"/>
      <c r="BK143" s="2632"/>
      <c r="BL143" s="2632"/>
      <c r="BM143" s="2632"/>
      <c r="BN143" s="2632"/>
      <c r="BO143" s="2632"/>
      <c r="BP143" s="2632"/>
      <c r="BQ143" s="2632"/>
    </row>
    <row r="144" spans="1:69" ht="16.5" thickBot="1">
      <c r="A144" s="2511">
        <v>729</v>
      </c>
      <c r="B144" s="2512">
        <v>959391</v>
      </c>
      <c r="C144" s="1355" t="s">
        <v>449</v>
      </c>
      <c r="D144" s="2513">
        <v>2995</v>
      </c>
      <c r="E144" s="2514">
        <v>5</v>
      </c>
      <c r="F144" s="2515">
        <v>245</v>
      </c>
      <c r="G144" s="2516">
        <v>0</v>
      </c>
      <c r="H144" s="2530">
        <v>0</v>
      </c>
      <c r="I144" s="2535">
        <f t="shared" si="53"/>
        <v>5</v>
      </c>
      <c r="J144" s="2536">
        <f t="shared" si="54"/>
        <v>245</v>
      </c>
      <c r="K144" s="2552"/>
      <c r="L144" s="2552" t="s">
        <v>923</v>
      </c>
      <c r="M144" s="2552"/>
      <c r="N144" s="2552"/>
      <c r="O144" s="2552"/>
      <c r="P144" s="2552"/>
      <c r="S144" s="2195"/>
      <c r="T144" s="1339">
        <v>1215</v>
      </c>
      <c r="U144" s="1340">
        <v>41407</v>
      </c>
      <c r="V144" s="1341" t="s">
        <v>1097</v>
      </c>
      <c r="W144" s="1342" t="s">
        <v>1098</v>
      </c>
      <c r="X144" s="1343" t="s">
        <v>1099</v>
      </c>
      <c r="Y144" s="1339">
        <v>0</v>
      </c>
      <c r="Z144" s="1342">
        <v>1400</v>
      </c>
      <c r="AA144" s="1344">
        <f>SUM(Y144:Z144)</f>
        <v>1400</v>
      </c>
      <c r="AB144" s="1345"/>
      <c r="AC144" s="1346"/>
      <c r="AD144" s="3157">
        <f t="shared" si="50"/>
        <v>0</v>
      </c>
      <c r="AE144" s="1347">
        <f t="shared" si="50"/>
        <v>1400</v>
      </c>
      <c r="AF144" s="3160" t="s">
        <v>132</v>
      </c>
      <c r="AG144" s="3226"/>
      <c r="AJ144" s="2655" t="s">
        <v>72</v>
      </c>
      <c r="AK144" s="2656" t="s">
        <v>73</v>
      </c>
      <c r="AL144" s="2657">
        <v>1</v>
      </c>
      <c r="AM144" s="2042">
        <v>2</v>
      </c>
      <c r="AN144" s="2042">
        <v>3</v>
      </c>
      <c r="AO144" s="2042">
        <v>4</v>
      </c>
      <c r="AP144" s="2042">
        <v>5</v>
      </c>
      <c r="AQ144" s="2042">
        <v>6</v>
      </c>
      <c r="AR144" s="2042">
        <v>7</v>
      </c>
      <c r="AS144" s="2042">
        <v>8</v>
      </c>
      <c r="AT144" s="2042">
        <v>9</v>
      </c>
      <c r="AU144" s="2042">
        <v>10</v>
      </c>
      <c r="AV144" s="2042">
        <v>11</v>
      </c>
      <c r="AW144" s="2042">
        <v>12</v>
      </c>
      <c r="AX144" s="2042">
        <v>13</v>
      </c>
      <c r="AY144" s="2042">
        <v>14</v>
      </c>
      <c r="AZ144" s="2042">
        <v>15</v>
      </c>
      <c r="BA144" s="2042">
        <v>16</v>
      </c>
      <c r="BB144" s="1841">
        <v>17</v>
      </c>
      <c r="BC144" s="1841">
        <v>18</v>
      </c>
      <c r="BD144" s="1841">
        <v>19</v>
      </c>
      <c r="BE144" s="1841">
        <v>20</v>
      </c>
      <c r="BF144" s="1841">
        <v>21</v>
      </c>
      <c r="BG144" s="1841">
        <v>22</v>
      </c>
      <c r="BH144" s="1841">
        <v>23</v>
      </c>
      <c r="BI144" s="1841">
        <v>24</v>
      </c>
      <c r="BJ144" s="1841">
        <v>25</v>
      </c>
      <c r="BK144" s="1841">
        <v>26</v>
      </c>
      <c r="BL144" s="1841">
        <v>27</v>
      </c>
      <c r="BM144" s="1841">
        <v>28</v>
      </c>
      <c r="BN144" s="1841">
        <v>29</v>
      </c>
      <c r="BO144" s="1841">
        <v>30</v>
      </c>
      <c r="BP144" s="1841">
        <v>31</v>
      </c>
      <c r="BQ144" s="2634" t="s">
        <v>74</v>
      </c>
    </row>
    <row r="145" spans="1:69" ht="16.5" thickBot="1">
      <c r="A145" s="2511">
        <v>729</v>
      </c>
      <c r="B145" s="2512">
        <v>952314</v>
      </c>
      <c r="C145" s="1355" t="s">
        <v>169</v>
      </c>
      <c r="D145" s="2513">
        <v>2778</v>
      </c>
      <c r="E145" s="2514">
        <v>5</v>
      </c>
      <c r="F145" s="2515">
        <v>245</v>
      </c>
      <c r="G145" s="2516">
        <v>0</v>
      </c>
      <c r="H145" s="2530">
        <v>0</v>
      </c>
      <c r="I145" s="2535">
        <f t="shared" si="53"/>
        <v>5</v>
      </c>
      <c r="J145" s="2536">
        <f t="shared" si="54"/>
        <v>245</v>
      </c>
      <c r="K145" s="2552"/>
      <c r="L145" s="2552"/>
      <c r="M145" s="2552"/>
      <c r="N145" s="2552"/>
      <c r="O145" s="2552"/>
      <c r="P145" s="2552"/>
      <c r="S145" s="2195"/>
      <c r="T145" s="1339">
        <v>1324</v>
      </c>
      <c r="U145" s="1340">
        <v>41418</v>
      </c>
      <c r="V145" s="1341">
        <v>957364</v>
      </c>
      <c r="W145" s="1342" t="s">
        <v>1001</v>
      </c>
      <c r="X145" s="1343"/>
      <c r="Y145" s="1339"/>
      <c r="Z145" s="1342">
        <v>600</v>
      </c>
      <c r="AA145" s="1344">
        <f>SUM(Y145:Z145)</f>
        <v>600</v>
      </c>
      <c r="AB145" s="1345"/>
      <c r="AC145" s="1346"/>
      <c r="AD145" s="3157">
        <f>+Y145-AB145</f>
        <v>0</v>
      </c>
      <c r="AE145" s="1347">
        <f>+Z145-AC145</f>
        <v>600</v>
      </c>
      <c r="AF145" s="3160" t="s">
        <v>12</v>
      </c>
      <c r="AG145" s="3226"/>
      <c r="AJ145" s="2655" t="s">
        <v>75</v>
      </c>
      <c r="AK145" s="2656">
        <f t="shared" ref="AK145:AK156" si="55">+BQ145</f>
        <v>0</v>
      </c>
      <c r="AL145" s="2658"/>
      <c r="AM145" s="2635"/>
      <c r="AN145" s="2635"/>
      <c r="AO145" s="2635"/>
      <c r="AP145" s="2635"/>
      <c r="AQ145" s="2635"/>
      <c r="AR145" s="2635"/>
      <c r="AS145" s="2635"/>
      <c r="AT145" s="2635"/>
      <c r="AU145" s="2635"/>
      <c r="AV145" s="2635"/>
      <c r="AW145" s="2635"/>
      <c r="AX145" s="2635"/>
      <c r="AY145" s="2635"/>
      <c r="AZ145" s="2635"/>
      <c r="BA145" s="2635"/>
      <c r="BB145" s="2635"/>
      <c r="BC145" s="2635"/>
      <c r="BD145" s="2635"/>
      <c r="BE145" s="2635"/>
      <c r="BF145" s="2635"/>
      <c r="BG145" s="2635"/>
      <c r="BH145" s="2635"/>
      <c r="BI145" s="2635"/>
      <c r="BJ145" s="2635"/>
      <c r="BK145" s="2635"/>
      <c r="BL145" s="2635"/>
      <c r="BM145" s="2635"/>
      <c r="BN145" s="2635"/>
      <c r="BO145" s="2635"/>
      <c r="BP145" s="2635"/>
      <c r="BQ145" s="2636">
        <f>SUM(AL145:BP145)</f>
        <v>0</v>
      </c>
    </row>
    <row r="146" spans="1:69" ht="16.5" thickBot="1">
      <c r="A146" s="2511">
        <v>729</v>
      </c>
      <c r="B146" s="2512">
        <v>957800</v>
      </c>
      <c r="C146" s="1355" t="s">
        <v>170</v>
      </c>
      <c r="D146" s="2513">
        <v>2949</v>
      </c>
      <c r="E146" s="2514">
        <v>5</v>
      </c>
      <c r="F146" s="2515">
        <v>245</v>
      </c>
      <c r="G146" s="2516">
        <v>1.8380000000000001</v>
      </c>
      <c r="H146" s="2530">
        <v>42.034999999999997</v>
      </c>
      <c r="I146" s="2535">
        <f t="shared" si="53"/>
        <v>3.1619999999999999</v>
      </c>
      <c r="J146" s="2536">
        <f t="shared" si="54"/>
        <v>202.965</v>
      </c>
      <c r="K146" s="3080"/>
      <c r="L146" s="2552"/>
      <c r="M146" s="2552"/>
      <c r="N146" s="2552"/>
      <c r="O146" s="2552"/>
      <c r="P146" s="2552"/>
      <c r="S146" s="2195"/>
      <c r="T146" s="1339">
        <v>1897</v>
      </c>
      <c r="U146" s="1340">
        <v>41481</v>
      </c>
      <c r="V146" s="1341">
        <v>951254</v>
      </c>
      <c r="W146" s="1342" t="s">
        <v>288</v>
      </c>
      <c r="X146" s="1343"/>
      <c r="Y146" s="1339">
        <v>250</v>
      </c>
      <c r="Z146" s="1342"/>
      <c r="AA146" s="1344">
        <f t="shared" ref="AA146:AA149" si="56">SUM(Y146:Z146)</f>
        <v>250</v>
      </c>
      <c r="AB146" s="1345"/>
      <c r="AC146" s="1346"/>
      <c r="AD146" s="3157">
        <f t="shared" ref="AD146:AE149" si="57">+Y146-AB146</f>
        <v>250</v>
      </c>
      <c r="AE146" s="1347">
        <f t="shared" si="57"/>
        <v>0</v>
      </c>
      <c r="AF146" s="3319" t="s">
        <v>132</v>
      </c>
      <c r="AG146" s="3138"/>
      <c r="AJ146" s="2655" t="s">
        <v>76</v>
      </c>
      <c r="AK146" s="2656">
        <f t="shared" si="55"/>
        <v>0</v>
      </c>
      <c r="AL146" s="2658"/>
      <c r="AM146" s="2635"/>
      <c r="AN146" s="2635"/>
      <c r="AO146" s="2635"/>
      <c r="AP146" s="2635"/>
      <c r="AQ146" s="2635"/>
      <c r="AR146" s="2635"/>
      <c r="AS146" s="2635"/>
      <c r="AT146" s="2635"/>
      <c r="AU146" s="2635"/>
      <c r="AV146" s="2635"/>
      <c r="AW146" s="2635"/>
      <c r="AX146" s="2635"/>
      <c r="AY146" s="2635"/>
      <c r="AZ146" s="2635"/>
      <c r="BA146" s="2635"/>
      <c r="BB146" s="2635"/>
      <c r="BC146" s="2635"/>
      <c r="BD146" s="2635"/>
      <c r="BE146" s="2635"/>
      <c r="BF146" s="2635"/>
      <c r="BG146" s="2635"/>
      <c r="BH146" s="2635"/>
      <c r="BI146" s="2635"/>
      <c r="BJ146" s="2635"/>
      <c r="BK146" s="2635"/>
      <c r="BL146" s="2635"/>
      <c r="BM146" s="2635"/>
      <c r="BN146" s="2635"/>
      <c r="BO146" s="2635"/>
      <c r="BP146" s="2635"/>
      <c r="BQ146" s="2636">
        <f t="shared" ref="BQ146:BQ156" si="58">SUM(AL146:BP146)</f>
        <v>0</v>
      </c>
    </row>
    <row r="147" spans="1:69" ht="16.5" thickBot="1">
      <c r="A147" s="2511">
        <v>729</v>
      </c>
      <c r="B147" s="2512">
        <v>955250</v>
      </c>
      <c r="C147" s="1355" t="s">
        <v>924</v>
      </c>
      <c r="D147" s="2513">
        <v>2874</v>
      </c>
      <c r="E147" s="2514">
        <v>5</v>
      </c>
      <c r="F147" s="2515">
        <v>245</v>
      </c>
      <c r="G147" s="2516">
        <v>0</v>
      </c>
      <c r="H147" s="2530">
        <v>1.659</v>
      </c>
      <c r="I147" s="2535">
        <f t="shared" si="53"/>
        <v>5</v>
      </c>
      <c r="J147" s="2536">
        <f t="shared" si="54"/>
        <v>243.34100000000001</v>
      </c>
      <c r="K147" s="2552"/>
      <c r="L147" s="2552"/>
      <c r="M147" s="2552"/>
      <c r="N147" s="2552"/>
      <c r="O147" s="2552"/>
      <c r="P147" s="2552"/>
      <c r="S147" s="2195"/>
      <c r="T147" s="1339">
        <v>1897</v>
      </c>
      <c r="U147" s="1340">
        <v>41481</v>
      </c>
      <c r="V147" s="1341">
        <v>957995</v>
      </c>
      <c r="W147" s="1342" t="s">
        <v>1118</v>
      </c>
      <c r="X147" s="1343"/>
      <c r="Y147" s="1339">
        <v>250</v>
      </c>
      <c r="Z147" s="1342"/>
      <c r="AA147" s="1344">
        <f t="shared" si="56"/>
        <v>250</v>
      </c>
      <c r="AB147" s="1345"/>
      <c r="AC147" s="1346"/>
      <c r="AD147" s="3157">
        <f t="shared" si="57"/>
        <v>250</v>
      </c>
      <c r="AE147" s="1347">
        <f t="shared" si="57"/>
        <v>0</v>
      </c>
      <c r="AF147" s="3319" t="s">
        <v>132</v>
      </c>
      <c r="AG147" s="219"/>
      <c r="AJ147" s="2655" t="s">
        <v>77</v>
      </c>
      <c r="AK147" s="2656">
        <f t="shared" si="55"/>
        <v>0</v>
      </c>
      <c r="AL147" s="2658"/>
      <c r="AM147" s="2635"/>
      <c r="AN147" s="2635"/>
      <c r="AO147" s="2635"/>
      <c r="AP147" s="2635"/>
      <c r="AQ147" s="1842"/>
      <c r="AR147" s="1842"/>
      <c r="AS147" s="1842"/>
      <c r="AT147" s="1842"/>
      <c r="AU147" s="1842"/>
      <c r="AV147" s="1842"/>
      <c r="AW147" s="1842"/>
      <c r="AX147" s="1842"/>
      <c r="AY147" s="1842"/>
      <c r="AZ147" s="1842"/>
      <c r="BA147" s="2637"/>
      <c r="BB147" s="1842"/>
      <c r="BC147" s="1842"/>
      <c r="BD147" s="1842"/>
      <c r="BE147" s="1842"/>
      <c r="BF147" s="1842"/>
      <c r="BG147" s="1842"/>
      <c r="BH147" s="1842"/>
      <c r="BI147" s="1842"/>
      <c r="BJ147" s="1842"/>
      <c r="BK147" s="1842"/>
      <c r="BL147" s="2635"/>
      <c r="BM147" s="2635"/>
      <c r="BN147" s="2635"/>
      <c r="BO147" s="2635"/>
      <c r="BP147" s="2635"/>
      <c r="BQ147" s="2636">
        <f t="shared" si="58"/>
        <v>0</v>
      </c>
    </row>
    <row r="148" spans="1:69" ht="16.5" thickBot="1">
      <c r="A148" s="2511">
        <v>729</v>
      </c>
      <c r="B148" s="2512">
        <v>955486</v>
      </c>
      <c r="C148" s="1355" t="s">
        <v>175</v>
      </c>
      <c r="D148" s="2513">
        <v>2882</v>
      </c>
      <c r="E148" s="2514">
        <v>5</v>
      </c>
      <c r="F148" s="2515">
        <v>245</v>
      </c>
      <c r="G148" s="2516">
        <v>5</v>
      </c>
      <c r="H148" s="2530">
        <v>27.498000000000001</v>
      </c>
      <c r="I148" s="2535">
        <f t="shared" si="53"/>
        <v>0</v>
      </c>
      <c r="J148" s="2536">
        <f t="shared" si="54"/>
        <v>217.50200000000001</v>
      </c>
      <c r="K148" s="2552"/>
      <c r="L148" s="2552"/>
      <c r="M148" s="2552"/>
      <c r="N148" s="2552"/>
      <c r="O148" s="2552"/>
      <c r="P148" s="2552"/>
      <c r="S148" s="2195"/>
      <c r="T148" s="1339">
        <v>1898</v>
      </c>
      <c r="U148" s="1340">
        <v>41481</v>
      </c>
      <c r="V148" s="1341">
        <v>951254</v>
      </c>
      <c r="W148" s="1342" t="s">
        <v>288</v>
      </c>
      <c r="X148" s="1343"/>
      <c r="Y148" s="1339"/>
      <c r="Z148" s="1342">
        <v>600</v>
      </c>
      <c r="AA148" s="1344">
        <f t="shared" si="56"/>
        <v>600</v>
      </c>
      <c r="AB148" s="1345"/>
      <c r="AC148" s="1346"/>
      <c r="AD148" s="3157">
        <f t="shared" si="57"/>
        <v>0</v>
      </c>
      <c r="AE148" s="1347">
        <f t="shared" si="57"/>
        <v>600</v>
      </c>
      <c r="AF148" s="3319" t="s">
        <v>132</v>
      </c>
      <c r="AG148" s="219"/>
      <c r="AJ148" s="2655" t="s">
        <v>78</v>
      </c>
      <c r="AK148" s="2656">
        <f t="shared" si="55"/>
        <v>0</v>
      </c>
      <c r="AL148" s="2658"/>
      <c r="AM148" s="2635"/>
      <c r="AN148" s="2635"/>
      <c r="AO148" s="2635"/>
      <c r="AP148" s="2635"/>
      <c r="AQ148" s="2635"/>
      <c r="AR148" s="2635"/>
      <c r="AS148" s="2635"/>
      <c r="AT148" s="2635"/>
      <c r="AU148" s="2638"/>
      <c r="AV148" s="2638"/>
      <c r="AW148" s="2638"/>
      <c r="AX148" s="2638"/>
      <c r="AY148" s="2638"/>
      <c r="AZ148" s="2638"/>
      <c r="BA148" s="2638"/>
      <c r="BB148" s="2638"/>
      <c r="BC148" s="2638"/>
      <c r="BD148" s="2638"/>
      <c r="BE148" s="2638"/>
      <c r="BF148" s="2638"/>
      <c r="BG148" s="2638"/>
      <c r="BH148" s="2638"/>
      <c r="BI148" s="2638"/>
      <c r="BJ148" s="2638"/>
      <c r="BK148" s="2638"/>
      <c r="BL148" s="2638"/>
      <c r="BM148" s="2638"/>
      <c r="BN148" s="2638"/>
      <c r="BO148" s="2638"/>
      <c r="BP148" s="2638"/>
      <c r="BQ148" s="2636">
        <f t="shared" si="58"/>
        <v>0</v>
      </c>
    </row>
    <row r="149" spans="1:69" ht="16.5" thickBot="1">
      <c r="A149" s="2511">
        <v>729</v>
      </c>
      <c r="B149" s="2512">
        <v>953832</v>
      </c>
      <c r="C149" s="1355" t="s">
        <v>385</v>
      </c>
      <c r="D149" s="2513">
        <v>2819</v>
      </c>
      <c r="E149" s="2514">
        <v>5</v>
      </c>
      <c r="F149" s="2515">
        <v>245</v>
      </c>
      <c r="G149" s="2516">
        <v>0.29299999999999998</v>
      </c>
      <c r="H149" s="2530">
        <v>14.118</v>
      </c>
      <c r="I149" s="2535">
        <f t="shared" si="53"/>
        <v>4.7069999999999999</v>
      </c>
      <c r="J149" s="2536">
        <f t="shared" si="54"/>
        <v>230.88200000000001</v>
      </c>
      <c r="K149" s="2552"/>
      <c r="L149" s="2558"/>
      <c r="M149" s="2552"/>
      <c r="N149" s="2552"/>
      <c r="O149" s="2552"/>
      <c r="P149" s="2552"/>
      <c r="S149" s="2195"/>
      <c r="T149" s="1339">
        <v>1898</v>
      </c>
      <c r="U149" s="1340">
        <v>41481</v>
      </c>
      <c r="V149" s="1341">
        <v>957995</v>
      </c>
      <c r="W149" s="1342" t="s">
        <v>1118</v>
      </c>
      <c r="X149" s="1343"/>
      <c r="Y149" s="1339"/>
      <c r="Z149" s="1342">
        <v>600</v>
      </c>
      <c r="AA149" s="1344">
        <f t="shared" si="56"/>
        <v>600</v>
      </c>
      <c r="AB149" s="1345"/>
      <c r="AC149" s="1346"/>
      <c r="AD149" s="3157">
        <f t="shared" si="57"/>
        <v>0</v>
      </c>
      <c r="AE149" s="1347">
        <f t="shared" si="57"/>
        <v>600</v>
      </c>
      <c r="AF149" s="3319" t="s">
        <v>132</v>
      </c>
      <c r="AG149" s="219"/>
      <c r="AJ149" s="2655" t="s">
        <v>79</v>
      </c>
      <c r="AK149" s="2656">
        <f t="shared" si="55"/>
        <v>0</v>
      </c>
      <c r="AL149" s="2659"/>
      <c r="AM149" s="1842"/>
      <c r="AN149" s="1842"/>
      <c r="AO149" s="1842"/>
      <c r="AP149" s="1842"/>
      <c r="AQ149" s="1842"/>
      <c r="AR149" s="1842"/>
      <c r="AS149" s="1842"/>
      <c r="AT149" s="1842"/>
      <c r="AU149" s="1842"/>
      <c r="AV149" s="1842"/>
      <c r="AW149" s="1842"/>
      <c r="AX149" s="1842"/>
      <c r="AY149" s="1842"/>
      <c r="AZ149" s="1842"/>
      <c r="BA149" s="1842"/>
      <c r="BB149" s="1842"/>
      <c r="BC149" s="1842"/>
      <c r="BD149" s="1842"/>
      <c r="BE149" s="1842"/>
      <c r="BF149" s="1842"/>
      <c r="BG149" s="1842"/>
      <c r="BH149" s="1842"/>
      <c r="BI149" s="1842"/>
      <c r="BJ149" s="1842"/>
      <c r="BK149" s="1842"/>
      <c r="BL149" s="1842"/>
      <c r="BM149" s="1842"/>
      <c r="BN149" s="1842"/>
      <c r="BO149" s="1842"/>
      <c r="BP149" s="1842"/>
      <c r="BQ149" s="2636">
        <f t="shared" si="58"/>
        <v>0</v>
      </c>
    </row>
    <row r="150" spans="1:69" ht="16.5" thickBot="1">
      <c r="A150" s="2511">
        <v>729</v>
      </c>
      <c r="B150" s="2512">
        <v>960052</v>
      </c>
      <c r="C150" s="1355" t="s">
        <v>925</v>
      </c>
      <c r="D150" s="2513">
        <v>137</v>
      </c>
      <c r="E150" s="2514">
        <v>5</v>
      </c>
      <c r="F150" s="2515">
        <v>245</v>
      </c>
      <c r="G150" s="2516">
        <v>0</v>
      </c>
      <c r="H150" s="2530">
        <v>0</v>
      </c>
      <c r="I150" s="2535">
        <f t="shared" si="53"/>
        <v>5</v>
      </c>
      <c r="J150" s="2536">
        <f t="shared" si="54"/>
        <v>245</v>
      </c>
      <c r="K150" s="2552"/>
      <c r="L150" s="2552"/>
      <c r="M150" s="2552"/>
      <c r="N150" s="2552"/>
      <c r="O150" s="2552"/>
      <c r="P150" s="2552"/>
      <c r="S150" s="2195"/>
      <c r="T150" s="1339">
        <v>2533</v>
      </c>
      <c r="U150" s="1340">
        <v>41526</v>
      </c>
      <c r="V150" s="1341"/>
      <c r="W150" s="1342"/>
      <c r="X150" s="1343"/>
      <c r="Y150" s="1339">
        <v>600</v>
      </c>
      <c r="Z150" s="1342"/>
      <c r="AA150" s="1344">
        <f>SUM(Y150:Z150)</f>
        <v>600</v>
      </c>
      <c r="AB150" s="1345"/>
      <c r="AC150" s="1346"/>
      <c r="AD150" s="3157">
        <f>+Y150-AB150</f>
        <v>600</v>
      </c>
      <c r="AE150" s="1347">
        <f>+Z150-AC150</f>
        <v>0</v>
      </c>
      <c r="AF150" s="3319" t="s">
        <v>132</v>
      </c>
      <c r="AG150" s="219"/>
      <c r="AJ150" s="2655" t="s">
        <v>80</v>
      </c>
      <c r="AK150" s="2656">
        <f t="shared" si="55"/>
        <v>0</v>
      </c>
      <c r="AL150" s="2659"/>
      <c r="AM150" s="1842"/>
      <c r="AN150" s="1842"/>
      <c r="AO150" s="1842"/>
      <c r="AP150" s="1842"/>
      <c r="AQ150" s="1842"/>
      <c r="AR150" s="1842"/>
      <c r="AS150" s="1842"/>
      <c r="AT150" s="1842"/>
      <c r="AU150" s="1842"/>
      <c r="AV150" s="1842"/>
      <c r="AW150" s="1842"/>
      <c r="AX150" s="1842"/>
      <c r="AY150" s="1842"/>
      <c r="AZ150" s="1842"/>
      <c r="BA150" s="1842"/>
      <c r="BB150" s="1842"/>
      <c r="BC150" s="1842"/>
      <c r="BD150" s="1842"/>
      <c r="BE150" s="1842"/>
      <c r="BF150" s="1842"/>
      <c r="BG150" s="1842"/>
      <c r="BH150" s="1842"/>
      <c r="BI150" s="1842"/>
      <c r="BJ150" s="1842"/>
      <c r="BK150" s="1842"/>
      <c r="BL150" s="1842"/>
      <c r="BM150" s="1842"/>
      <c r="BN150" s="1842"/>
      <c r="BO150" s="1842"/>
      <c r="BP150" s="1842"/>
      <c r="BQ150" s="2636">
        <f t="shared" si="58"/>
        <v>0</v>
      </c>
    </row>
    <row r="151" spans="1:69" ht="16.5" thickBot="1">
      <c r="A151" s="2517">
        <v>729</v>
      </c>
      <c r="B151" s="2518">
        <v>951647</v>
      </c>
      <c r="C151" s="1356" t="s">
        <v>167</v>
      </c>
      <c r="D151" s="2519">
        <v>2240</v>
      </c>
      <c r="E151" s="2520">
        <v>3</v>
      </c>
      <c r="F151" s="2521">
        <v>147</v>
      </c>
      <c r="G151" s="2522">
        <v>0</v>
      </c>
      <c r="H151" s="2531">
        <v>0</v>
      </c>
      <c r="I151" s="2535">
        <f t="shared" si="53"/>
        <v>3</v>
      </c>
      <c r="J151" s="2536">
        <f t="shared" si="54"/>
        <v>147</v>
      </c>
      <c r="K151" s="2552"/>
      <c r="L151" s="2552"/>
      <c r="M151" s="2552"/>
      <c r="N151" s="2552"/>
      <c r="O151" s="2552"/>
      <c r="P151" s="2552"/>
      <c r="S151" s="2195"/>
      <c r="T151" s="3139"/>
      <c r="U151" s="3139"/>
      <c r="V151" s="3139"/>
      <c r="W151" s="3139"/>
      <c r="X151" s="3139"/>
      <c r="Y151" s="3139"/>
      <c r="Z151" s="3139"/>
      <c r="AA151" s="3139"/>
      <c r="AB151" s="3139"/>
      <c r="AC151" s="3139"/>
      <c r="AD151" s="3139"/>
      <c r="AE151" s="3139"/>
      <c r="AF151" s="3226"/>
      <c r="AG151" s="219"/>
      <c r="AJ151" s="2655" t="s">
        <v>81</v>
      </c>
      <c r="AK151" s="2656">
        <f t="shared" si="55"/>
        <v>0</v>
      </c>
      <c r="AL151" s="2659"/>
      <c r="AM151" s="2636"/>
      <c r="AN151" s="2636"/>
      <c r="AO151" s="2636"/>
      <c r="AP151" s="1842"/>
      <c r="AQ151" s="1842"/>
      <c r="AR151" s="1842"/>
      <c r="AS151" s="1842"/>
      <c r="AT151" s="1842"/>
      <c r="AU151" s="1842"/>
      <c r="AV151" s="1842"/>
      <c r="AW151" s="1842"/>
      <c r="AX151" s="1842"/>
      <c r="AY151" s="1842"/>
      <c r="AZ151" s="1842"/>
      <c r="BA151" s="1842"/>
      <c r="BB151" s="1842"/>
      <c r="BC151" s="1842"/>
      <c r="BD151" s="1842"/>
      <c r="BE151" s="1842"/>
      <c r="BF151" s="1842"/>
      <c r="BG151" s="1842"/>
      <c r="BH151" s="1842"/>
      <c r="BI151" s="1842"/>
      <c r="BJ151" s="1842"/>
      <c r="BK151" s="1842"/>
      <c r="BL151" s="1842"/>
      <c r="BM151" s="1842"/>
      <c r="BN151" s="1842"/>
      <c r="BO151" s="1842"/>
      <c r="BP151" s="1842"/>
      <c r="BQ151" s="2636">
        <f t="shared" si="58"/>
        <v>0</v>
      </c>
    </row>
    <row r="152" spans="1:69" ht="16.5" thickBot="1">
      <c r="A152" s="2523">
        <v>729</v>
      </c>
      <c r="B152" s="2524">
        <v>959387</v>
      </c>
      <c r="C152" s="1357" t="s">
        <v>733</v>
      </c>
      <c r="D152" s="2525">
        <v>1424</v>
      </c>
      <c r="E152" s="2526">
        <v>1.5</v>
      </c>
      <c r="F152" s="2527">
        <v>148.5</v>
      </c>
      <c r="G152" s="2528">
        <v>0</v>
      </c>
      <c r="H152" s="2532">
        <v>0</v>
      </c>
      <c r="I152" s="2537">
        <f t="shared" si="53"/>
        <v>1.5</v>
      </c>
      <c r="J152" s="2538">
        <f t="shared" si="54"/>
        <v>148.5</v>
      </c>
      <c r="K152" s="2552"/>
      <c r="L152" s="2558"/>
      <c r="M152" s="2552"/>
      <c r="N152" s="2552"/>
      <c r="O152" s="2552"/>
      <c r="P152" s="2552"/>
      <c r="S152" s="2195"/>
      <c r="T152" s="2477" t="s">
        <v>1100</v>
      </c>
      <c r="U152" s="2478"/>
      <c r="V152" s="2478"/>
      <c r="W152" s="2478"/>
      <c r="X152" s="2478"/>
      <c r="Y152" s="3810" t="s">
        <v>155</v>
      </c>
      <c r="Z152" s="3811"/>
      <c r="AA152" s="3812"/>
      <c r="AB152" s="3810" t="s">
        <v>156</v>
      </c>
      <c r="AC152" s="3813"/>
      <c r="AD152" s="3814" t="s">
        <v>912</v>
      </c>
      <c r="AE152" s="3814" t="s">
        <v>913</v>
      </c>
      <c r="AF152" s="3226"/>
      <c r="AG152" s="219"/>
      <c r="AJ152" s="2655" t="s">
        <v>82</v>
      </c>
      <c r="AK152" s="2656">
        <f t="shared" si="55"/>
        <v>0</v>
      </c>
      <c r="AL152" s="2659"/>
      <c r="AM152" s="1842"/>
      <c r="AN152" s="1842"/>
      <c r="AO152" s="1842"/>
      <c r="AP152" s="1842"/>
      <c r="AQ152" s="1842"/>
      <c r="AR152" s="1842"/>
      <c r="AS152" s="1842"/>
      <c r="AT152" s="1842"/>
      <c r="AU152" s="1842"/>
      <c r="AV152" s="1842"/>
      <c r="AW152" s="1842"/>
      <c r="AX152" s="1842"/>
      <c r="AY152" s="1842"/>
      <c r="AZ152" s="1842"/>
      <c r="BA152" s="1842"/>
      <c r="BB152" s="1842"/>
      <c r="BC152" s="1842"/>
      <c r="BD152" s="1842"/>
      <c r="BE152" s="1842"/>
      <c r="BF152" s="1842"/>
      <c r="BG152" s="1842"/>
      <c r="BH152" s="1842"/>
      <c r="BI152" s="1842"/>
      <c r="BJ152" s="1842"/>
      <c r="BK152" s="1842"/>
      <c r="BL152" s="1842"/>
      <c r="BM152" s="1842"/>
      <c r="BN152" s="1842"/>
      <c r="BO152" s="1842"/>
      <c r="BP152" s="1842"/>
      <c r="BQ152" s="2636">
        <f t="shared" si="58"/>
        <v>0</v>
      </c>
    </row>
    <row r="153" spans="1:69" ht="16.5" thickBot="1">
      <c r="A153" s="2505">
        <v>824</v>
      </c>
      <c r="B153" s="2506">
        <v>958905</v>
      </c>
      <c r="C153" s="1354" t="s">
        <v>930</v>
      </c>
      <c r="D153" s="2507">
        <v>2991</v>
      </c>
      <c r="E153" s="2508">
        <v>1</v>
      </c>
      <c r="F153" s="2509">
        <v>499</v>
      </c>
      <c r="G153" s="2510">
        <v>1</v>
      </c>
      <c r="H153" s="2529">
        <v>499</v>
      </c>
      <c r="I153" s="2617">
        <f t="shared" ref="I153:I160" si="59">(E153-G153)</f>
        <v>0</v>
      </c>
      <c r="J153" s="2534">
        <f t="shared" ref="J153:J166" si="60">(F153-H153)</f>
        <v>0</v>
      </c>
      <c r="K153" s="2588"/>
      <c r="L153" s="2552"/>
      <c r="M153" s="2552"/>
      <c r="N153" s="2552"/>
      <c r="O153" s="2552"/>
      <c r="P153" s="2552"/>
      <c r="S153" s="2195"/>
      <c r="T153" s="2479" t="s">
        <v>158</v>
      </c>
      <c r="U153" s="2480" t="s">
        <v>159</v>
      </c>
      <c r="V153" s="2481" t="s">
        <v>136</v>
      </c>
      <c r="W153" s="2482" t="s">
        <v>134</v>
      </c>
      <c r="X153" s="2480" t="s">
        <v>160</v>
      </c>
      <c r="Y153" s="2483" t="s">
        <v>8</v>
      </c>
      <c r="Z153" s="3155" t="s">
        <v>161</v>
      </c>
      <c r="AA153" s="2485" t="s">
        <v>52</v>
      </c>
      <c r="AB153" s="2483" t="s">
        <v>8</v>
      </c>
      <c r="AC153" s="2486" t="s">
        <v>162</v>
      </c>
      <c r="AD153" s="3815"/>
      <c r="AE153" s="3815"/>
      <c r="AF153" s="3080"/>
      <c r="AG153" s="3138"/>
      <c r="AJ153" s="2655" t="s">
        <v>83</v>
      </c>
      <c r="AK153" s="2656">
        <f t="shared" si="55"/>
        <v>0</v>
      </c>
      <c r="AL153" s="2659"/>
      <c r="AM153" s="1842"/>
      <c r="AN153" s="1842"/>
      <c r="AO153" s="1842"/>
      <c r="AP153" s="1842"/>
      <c r="AQ153" s="1842"/>
      <c r="AR153" s="1842"/>
      <c r="AS153" s="1842"/>
      <c r="AT153" s="1842"/>
      <c r="AU153" s="1842"/>
      <c r="AV153" s="1842"/>
      <c r="AW153" s="1842"/>
      <c r="AX153" s="1842"/>
      <c r="AY153" s="1842"/>
      <c r="AZ153" s="1842"/>
      <c r="BA153" s="1842"/>
      <c r="BB153" s="1842"/>
      <c r="BC153" s="1842"/>
      <c r="BD153" s="1842"/>
      <c r="BE153" s="1842"/>
      <c r="BF153" s="1842"/>
      <c r="BG153" s="1842"/>
      <c r="BH153" s="1842"/>
      <c r="BI153" s="1842"/>
      <c r="BJ153" s="1842"/>
      <c r="BK153" s="1842"/>
      <c r="BL153" s="1842"/>
      <c r="BM153" s="1842"/>
      <c r="BN153" s="1842"/>
      <c r="BO153" s="1842"/>
      <c r="BP153" s="1842"/>
      <c r="BQ153" s="2636">
        <f t="shared" si="58"/>
        <v>0</v>
      </c>
    </row>
    <row r="154" spans="1:69" ht="18" customHeight="1" thickBot="1">
      <c r="A154" s="2511">
        <v>824</v>
      </c>
      <c r="B154" s="2512">
        <v>923199</v>
      </c>
      <c r="C154" s="1355" t="s">
        <v>251</v>
      </c>
      <c r="D154" s="2513">
        <v>2602</v>
      </c>
      <c r="E154" s="2514">
        <v>1</v>
      </c>
      <c r="F154" s="2515">
        <v>499</v>
      </c>
      <c r="G154" s="2516">
        <v>1.002</v>
      </c>
      <c r="H154" s="2530">
        <v>461.03800000000001</v>
      </c>
      <c r="I154" s="2626">
        <f t="shared" si="59"/>
        <v>-2.0000000000000018E-3</v>
      </c>
      <c r="J154" s="2536">
        <f t="shared" si="60"/>
        <v>37.961999999999989</v>
      </c>
      <c r="K154" s="2589" t="s">
        <v>935</v>
      </c>
      <c r="L154" s="3017" t="s">
        <v>1058</v>
      </c>
      <c r="M154" s="1415"/>
      <c r="N154" s="1415"/>
      <c r="O154" s="1415"/>
      <c r="P154" s="1415"/>
      <c r="Q154" s="1415"/>
      <c r="R154" s="1415"/>
      <c r="S154" s="2195"/>
      <c r="T154" s="1339">
        <v>1</v>
      </c>
      <c r="U154" s="1340">
        <v>41361</v>
      </c>
      <c r="V154" s="1341">
        <v>4546</v>
      </c>
      <c r="W154" s="1342" t="s">
        <v>203</v>
      </c>
      <c r="X154" s="1343">
        <v>280</v>
      </c>
      <c r="Y154" s="1339">
        <v>50</v>
      </c>
      <c r="Z154" s="1342">
        <v>150</v>
      </c>
      <c r="AA154" s="1344">
        <f>SUM(Y154:Z154)</f>
        <v>200</v>
      </c>
      <c r="AB154" s="1345"/>
      <c r="AC154" s="1346"/>
      <c r="AD154" s="1347">
        <f t="shared" ref="AD154:AE159" si="61">+Y154-AB154</f>
        <v>50</v>
      </c>
      <c r="AE154" s="1347">
        <f t="shared" si="61"/>
        <v>150</v>
      </c>
      <c r="AF154" s="3229"/>
      <c r="AG154" s="3158"/>
      <c r="AJ154" s="2655" t="s">
        <v>84</v>
      </c>
      <c r="AK154" s="2656">
        <f t="shared" si="55"/>
        <v>0</v>
      </c>
      <c r="AL154" s="2659"/>
      <c r="AM154" s="1842"/>
      <c r="AN154" s="1842"/>
      <c r="AO154" s="1842"/>
      <c r="AP154" s="1842"/>
      <c r="AQ154" s="1842"/>
      <c r="AR154" s="1842"/>
      <c r="AS154" s="1842"/>
      <c r="AT154" s="1842"/>
      <c r="AU154" s="1842"/>
      <c r="AV154" s="1842"/>
      <c r="AW154" s="1842"/>
      <c r="AX154" s="1842"/>
      <c r="AY154" s="1842"/>
      <c r="AZ154" s="1842"/>
      <c r="BA154" s="1842"/>
      <c r="BB154" s="1842"/>
      <c r="BC154" s="1842"/>
      <c r="BD154" s="1842"/>
      <c r="BE154" s="1842"/>
      <c r="BF154" s="1842"/>
      <c r="BG154" s="1842"/>
      <c r="BH154" s="1842"/>
      <c r="BI154" s="1842"/>
      <c r="BJ154" s="1842"/>
      <c r="BK154" s="1842"/>
      <c r="BL154" s="1842"/>
      <c r="BM154" s="1842"/>
      <c r="BN154" s="2636"/>
      <c r="BO154" s="1842"/>
      <c r="BP154" s="2636"/>
      <c r="BQ154" s="2636">
        <f t="shared" si="58"/>
        <v>0</v>
      </c>
    </row>
    <row r="155" spans="1:69" ht="16.5" thickBot="1">
      <c r="A155" s="2511">
        <v>824</v>
      </c>
      <c r="B155" s="2512">
        <v>952407</v>
      </c>
      <c r="C155" s="1355" t="s">
        <v>179</v>
      </c>
      <c r="D155" s="2513">
        <v>2762</v>
      </c>
      <c r="E155" s="2514">
        <v>1</v>
      </c>
      <c r="F155" s="2515">
        <v>499</v>
      </c>
      <c r="G155" s="2516">
        <v>0.92500000000000004</v>
      </c>
      <c r="H155" s="2530">
        <v>251.6</v>
      </c>
      <c r="I155" s="2535">
        <f t="shared" si="59"/>
        <v>7.4999999999999956E-2</v>
      </c>
      <c r="J155" s="2536">
        <f t="shared" si="60"/>
        <v>247.4</v>
      </c>
      <c r="K155" s="2589"/>
      <c r="L155" s="3080"/>
      <c r="M155" s="2552"/>
      <c r="N155" s="2552"/>
      <c r="O155" s="2552"/>
      <c r="P155" s="2552"/>
      <c r="S155" s="2195"/>
      <c r="T155" s="1339">
        <v>2</v>
      </c>
      <c r="U155" s="1340">
        <v>41366</v>
      </c>
      <c r="V155" s="1341">
        <v>956410</v>
      </c>
      <c r="W155" s="1342" t="s">
        <v>193</v>
      </c>
      <c r="X155" s="1343"/>
      <c r="Y155" s="1339">
        <v>0</v>
      </c>
      <c r="Z155" s="1342">
        <v>400</v>
      </c>
      <c r="AA155" s="1344">
        <f>SUM(Y155:Z155)</f>
        <v>400</v>
      </c>
      <c r="AB155" s="1345"/>
      <c r="AC155" s="1346"/>
      <c r="AD155" s="1347">
        <f t="shared" si="61"/>
        <v>0</v>
      </c>
      <c r="AE155" s="1347">
        <f t="shared" si="61"/>
        <v>400</v>
      </c>
      <c r="AF155" s="3080"/>
      <c r="AJ155" s="2655" t="s">
        <v>85</v>
      </c>
      <c r="AK155" s="2656">
        <f t="shared" si="55"/>
        <v>0</v>
      </c>
      <c r="AL155" s="2659"/>
      <c r="AM155" s="1842"/>
      <c r="AN155" s="1842"/>
      <c r="AO155" s="1842"/>
      <c r="AP155" s="2639"/>
      <c r="AQ155" s="1842"/>
      <c r="AR155" s="1842"/>
      <c r="AS155" s="1842"/>
      <c r="AT155" s="1842"/>
      <c r="AU155" s="1842"/>
      <c r="AV155" s="1842"/>
      <c r="AW155" s="1842"/>
      <c r="AX155" s="1842"/>
      <c r="AY155" s="1842"/>
      <c r="AZ155" s="1842"/>
      <c r="BA155" s="1842"/>
      <c r="BB155" s="1842"/>
      <c r="BC155" s="1842"/>
      <c r="BD155" s="1842"/>
      <c r="BE155" s="1842"/>
      <c r="BF155" s="1842"/>
      <c r="BG155" s="1842"/>
      <c r="BH155" s="1842"/>
      <c r="BI155" s="1842"/>
      <c r="BJ155" s="1842"/>
      <c r="BK155" s="1842"/>
      <c r="BL155" s="1842"/>
      <c r="BM155" s="1842"/>
      <c r="BN155" s="2636"/>
      <c r="BO155" s="1842"/>
      <c r="BP155" s="2636"/>
      <c r="BQ155" s="2636">
        <f t="shared" si="58"/>
        <v>0</v>
      </c>
    </row>
    <row r="156" spans="1:69" ht="16.5" thickBot="1">
      <c r="A156" s="2511">
        <v>824</v>
      </c>
      <c r="B156" s="2512">
        <v>924702</v>
      </c>
      <c r="C156" s="1355" t="s">
        <v>931</v>
      </c>
      <c r="D156" s="2513">
        <v>2564</v>
      </c>
      <c r="E156" s="2514">
        <v>1</v>
      </c>
      <c r="F156" s="2515">
        <v>499</v>
      </c>
      <c r="G156" s="2516">
        <v>0</v>
      </c>
      <c r="H156" s="2530">
        <v>54.174999999999997</v>
      </c>
      <c r="I156" s="2535">
        <f t="shared" si="59"/>
        <v>1</v>
      </c>
      <c r="J156" s="2536">
        <f t="shared" si="60"/>
        <v>444.82499999999999</v>
      </c>
      <c r="K156" s="2589"/>
      <c r="L156" s="2552"/>
      <c r="M156" s="2552"/>
      <c r="N156" s="2552"/>
      <c r="O156" s="2552"/>
      <c r="P156" s="2552"/>
      <c r="T156" s="1339">
        <v>5</v>
      </c>
      <c r="U156" s="1340">
        <v>41388</v>
      </c>
      <c r="V156" s="1341">
        <v>956244</v>
      </c>
      <c r="W156" s="1342" t="s">
        <v>256</v>
      </c>
      <c r="X156" s="1343"/>
      <c r="Y156" s="1339">
        <v>2</v>
      </c>
      <c r="Z156" s="1342">
        <v>198</v>
      </c>
      <c r="AA156" s="1344">
        <f>SUM(Y156:Z156)</f>
        <v>200</v>
      </c>
      <c r="AB156" s="1345"/>
      <c r="AC156" s="1346"/>
      <c r="AD156" s="1347">
        <f>+Y156-AB156</f>
        <v>2</v>
      </c>
      <c r="AE156" s="1347">
        <f>+Z156-AC156</f>
        <v>198</v>
      </c>
      <c r="AJ156" s="2655" t="s">
        <v>86</v>
      </c>
      <c r="AK156" s="2656">
        <f t="shared" si="55"/>
        <v>0</v>
      </c>
      <c r="AL156" s="2659"/>
      <c r="AM156" s="1842"/>
      <c r="AN156" s="1842"/>
      <c r="AO156" s="1842"/>
      <c r="AP156" s="1842"/>
      <c r="AQ156" s="1842"/>
      <c r="AR156" s="1842"/>
      <c r="AS156" s="1842"/>
      <c r="AT156" s="1842"/>
      <c r="AU156" s="1842"/>
      <c r="AV156" s="1842"/>
      <c r="AW156" s="1842"/>
      <c r="AX156" s="1842"/>
      <c r="AY156" s="1842"/>
      <c r="AZ156" s="1842"/>
      <c r="BA156" s="1842"/>
      <c r="BB156" s="1842"/>
      <c r="BC156" s="1842"/>
      <c r="BD156" s="1842"/>
      <c r="BE156" s="1842"/>
      <c r="BF156" s="1842"/>
      <c r="BG156" s="1842"/>
      <c r="BH156" s="1842"/>
      <c r="BI156" s="1842"/>
      <c r="BJ156" s="1842"/>
      <c r="BK156" s="1842"/>
      <c r="BL156" s="1842"/>
      <c r="BM156" s="1842"/>
      <c r="BN156" s="1842"/>
      <c r="BO156" s="1842"/>
      <c r="BP156" s="1842"/>
      <c r="BQ156" s="2636">
        <f t="shared" si="58"/>
        <v>0</v>
      </c>
    </row>
    <row r="157" spans="1:69" ht="16.5" thickBot="1">
      <c r="A157" s="2511">
        <v>824</v>
      </c>
      <c r="B157" s="2512">
        <v>30826</v>
      </c>
      <c r="C157" s="1355" t="s">
        <v>932</v>
      </c>
      <c r="D157" s="2513">
        <v>2354</v>
      </c>
      <c r="E157" s="2514">
        <v>1</v>
      </c>
      <c r="F157" s="2515">
        <v>499</v>
      </c>
      <c r="G157" s="2516">
        <v>1</v>
      </c>
      <c r="H157" s="2530">
        <v>151.72200000000001</v>
      </c>
      <c r="I157" s="2535">
        <f t="shared" si="59"/>
        <v>0</v>
      </c>
      <c r="J157" s="2536">
        <f t="shared" si="60"/>
        <v>347.27800000000002</v>
      </c>
      <c r="K157" s="2589"/>
      <c r="L157" s="2552"/>
      <c r="M157" s="2552"/>
      <c r="N157" s="2552"/>
      <c r="O157" s="2552"/>
      <c r="P157" s="2552"/>
      <c r="T157" s="1339">
        <v>6</v>
      </c>
      <c r="U157" s="1340">
        <v>41460</v>
      </c>
      <c r="V157" s="1341">
        <v>923170</v>
      </c>
      <c r="W157" s="1342" t="s">
        <v>310</v>
      </c>
      <c r="X157" s="1343"/>
      <c r="Y157" s="1339">
        <v>50</v>
      </c>
      <c r="Z157" s="1342"/>
      <c r="AA157" s="1344">
        <f>SUM(Y157:Z157)</f>
        <v>50</v>
      </c>
      <c r="AB157" s="1345"/>
      <c r="AC157" s="1346"/>
      <c r="AD157" s="1347">
        <f t="shared" si="61"/>
        <v>50</v>
      </c>
      <c r="AE157" s="1347">
        <f t="shared" si="61"/>
        <v>0</v>
      </c>
      <c r="AJ157" s="2660" t="s">
        <v>74</v>
      </c>
      <c r="AK157" s="2661">
        <f t="shared" ref="AK157:BA157" si="62">SUM(AK145:AK156)</f>
        <v>0</v>
      </c>
      <c r="AL157" s="2656">
        <f t="shared" si="62"/>
        <v>0</v>
      </c>
      <c r="AM157" s="2633">
        <f t="shared" si="62"/>
        <v>0</v>
      </c>
      <c r="AN157" s="2633">
        <f t="shared" si="62"/>
        <v>0</v>
      </c>
      <c r="AO157" s="2633">
        <f t="shared" si="62"/>
        <v>0</v>
      </c>
      <c r="AP157" s="2633">
        <f t="shared" si="62"/>
        <v>0</v>
      </c>
      <c r="AQ157" s="2633">
        <f t="shared" si="62"/>
        <v>0</v>
      </c>
      <c r="AR157" s="2633">
        <f t="shared" si="62"/>
        <v>0</v>
      </c>
      <c r="AS157" s="2633">
        <f t="shared" si="62"/>
        <v>0</v>
      </c>
      <c r="AT157" s="2633">
        <f t="shared" si="62"/>
        <v>0</v>
      </c>
      <c r="AU157" s="2633">
        <f t="shared" si="62"/>
        <v>0</v>
      </c>
      <c r="AV157" s="2633">
        <f t="shared" si="62"/>
        <v>0</v>
      </c>
      <c r="AW157" s="2633">
        <f t="shared" si="62"/>
        <v>0</v>
      </c>
      <c r="AX157" s="2633">
        <f t="shared" si="62"/>
        <v>0</v>
      </c>
      <c r="AY157" s="2633">
        <f t="shared" si="62"/>
        <v>0</v>
      </c>
      <c r="AZ157" s="2633">
        <f t="shared" si="62"/>
        <v>0</v>
      </c>
      <c r="BA157" s="2633">
        <f t="shared" si="62"/>
        <v>0</v>
      </c>
      <c r="BB157" s="2636">
        <f t="shared" ref="BB157:BL157" si="63">SUM(BB145:BB155)</f>
        <v>0</v>
      </c>
      <c r="BC157" s="2636">
        <f t="shared" si="63"/>
        <v>0</v>
      </c>
      <c r="BD157" s="2636">
        <f t="shared" si="63"/>
        <v>0</v>
      </c>
      <c r="BE157" s="2636">
        <f t="shared" si="63"/>
        <v>0</v>
      </c>
      <c r="BF157" s="2636">
        <f t="shared" si="63"/>
        <v>0</v>
      </c>
      <c r="BG157" s="2636">
        <f t="shared" si="63"/>
        <v>0</v>
      </c>
      <c r="BH157" s="2636">
        <f t="shared" si="63"/>
        <v>0</v>
      </c>
      <c r="BI157" s="2636">
        <f t="shared" si="63"/>
        <v>0</v>
      </c>
      <c r="BJ157" s="2636">
        <f t="shared" si="63"/>
        <v>0</v>
      </c>
      <c r="BK157" s="2636">
        <f t="shared" si="63"/>
        <v>0</v>
      </c>
      <c r="BL157" s="2636">
        <f t="shared" si="63"/>
        <v>0</v>
      </c>
      <c r="BM157" s="2636">
        <v>0</v>
      </c>
      <c r="BN157" s="2636">
        <f>SUM(BN145:BN155)</f>
        <v>0</v>
      </c>
      <c r="BO157" s="2636">
        <f>SUM(BO145:BO155)</f>
        <v>0</v>
      </c>
      <c r="BP157" s="2636">
        <f>SUM(BP145:BP155)</f>
        <v>0</v>
      </c>
      <c r="BQ157" s="2636">
        <f>SUM(BQ145:BQ155)</f>
        <v>0</v>
      </c>
    </row>
    <row r="158" spans="1:69" ht="15.75" thickBot="1">
      <c r="A158" s="2523">
        <v>824</v>
      </c>
      <c r="B158" s="2524">
        <v>951136</v>
      </c>
      <c r="C158" s="1357" t="s">
        <v>191</v>
      </c>
      <c r="D158" s="2525">
        <v>314</v>
      </c>
      <c r="E158" s="2526">
        <v>1</v>
      </c>
      <c r="F158" s="2527">
        <v>499</v>
      </c>
      <c r="G158" s="2528">
        <v>0</v>
      </c>
      <c r="H158" s="2532">
        <v>0</v>
      </c>
      <c r="I158" s="2537">
        <f t="shared" si="59"/>
        <v>1</v>
      </c>
      <c r="J158" s="2538">
        <f t="shared" si="60"/>
        <v>499</v>
      </c>
      <c r="K158" s="2590"/>
      <c r="L158" s="2552"/>
      <c r="M158" s="2552"/>
      <c r="N158" s="2552"/>
      <c r="O158" s="2552"/>
      <c r="P158" s="2552"/>
      <c r="T158" s="1339">
        <v>7</v>
      </c>
      <c r="U158" s="1340">
        <v>41473</v>
      </c>
      <c r="V158" s="1341">
        <v>954241</v>
      </c>
      <c r="W158" s="1342" t="s">
        <v>1113</v>
      </c>
      <c r="X158" s="1343"/>
      <c r="Y158" s="1339">
        <v>25</v>
      </c>
      <c r="Z158" s="1342"/>
      <c r="AA158" s="1344">
        <f t="shared" ref="AA158:AA160" si="64">SUM(Y158:Z158)</f>
        <v>25</v>
      </c>
      <c r="AB158" s="1345">
        <v>1.236</v>
      </c>
      <c r="AC158" s="1346"/>
      <c r="AD158" s="1347">
        <f t="shared" si="61"/>
        <v>23.763999999999999</v>
      </c>
      <c r="AE158" s="1347">
        <f t="shared" si="61"/>
        <v>0</v>
      </c>
      <c r="AJ158" s="2662"/>
      <c r="AK158" s="2662"/>
      <c r="AL158" s="2662"/>
      <c r="AM158" s="2630"/>
      <c r="AN158" s="2630"/>
      <c r="AO158" s="2630"/>
      <c r="AP158" s="2630"/>
      <c r="AQ158" s="2630"/>
      <c r="AR158" s="2630"/>
      <c r="AS158" s="2630"/>
      <c r="AT158" s="2630"/>
      <c r="AU158" s="2630"/>
      <c r="AV158" s="2630"/>
      <c r="AW158" s="2630"/>
      <c r="AX158" s="2630"/>
      <c r="AY158" s="2630"/>
      <c r="AZ158" s="2630"/>
      <c r="BA158" s="2630"/>
      <c r="BB158" s="2630"/>
      <c r="BC158" s="2630"/>
      <c r="BD158" s="2630"/>
      <c r="BE158" s="2630"/>
      <c r="BF158" s="2630"/>
      <c r="BG158" s="2630"/>
      <c r="BH158" s="2630"/>
      <c r="BI158" s="2630"/>
      <c r="BJ158" s="2630"/>
      <c r="BK158" s="2630"/>
      <c r="BL158" s="2630"/>
      <c r="BM158" s="2630"/>
      <c r="BN158" s="2630"/>
      <c r="BO158" s="2630"/>
      <c r="BP158" s="2630"/>
      <c r="BQ158" s="2630"/>
    </row>
    <row r="159" spans="1:69" ht="24" thickBot="1">
      <c r="A159" s="2523">
        <v>830</v>
      </c>
      <c r="B159" s="2524">
        <v>958597</v>
      </c>
      <c r="C159" s="1357" t="s">
        <v>722</v>
      </c>
      <c r="D159" s="2525">
        <v>1972</v>
      </c>
      <c r="E159" s="2526">
        <v>1.5</v>
      </c>
      <c r="F159" s="2527">
        <v>148.5</v>
      </c>
      <c r="G159" s="2528">
        <v>0</v>
      </c>
      <c r="H159" s="2532">
        <v>0</v>
      </c>
      <c r="I159" s="2592">
        <f t="shared" si="59"/>
        <v>1.5</v>
      </c>
      <c r="J159" s="2593">
        <f t="shared" si="60"/>
        <v>148.5</v>
      </c>
      <c r="K159" s="2591" t="s">
        <v>934</v>
      </c>
      <c r="L159" s="3017" t="s">
        <v>1058</v>
      </c>
      <c r="M159" s="1415"/>
      <c r="N159" s="1415"/>
      <c r="O159" s="1415"/>
      <c r="P159" s="1415"/>
      <c r="Q159" s="1415"/>
      <c r="R159" s="1415"/>
      <c r="S159" s="3080"/>
      <c r="T159" s="1339">
        <v>7</v>
      </c>
      <c r="U159" s="1340">
        <v>41473</v>
      </c>
      <c r="V159" s="1341">
        <v>926460</v>
      </c>
      <c r="W159" s="1342" t="s">
        <v>363</v>
      </c>
      <c r="X159" s="1343"/>
      <c r="Y159" s="1339">
        <v>25</v>
      </c>
      <c r="Z159" s="1342"/>
      <c r="AA159" s="1344">
        <f t="shared" si="64"/>
        <v>25</v>
      </c>
      <c r="AB159" s="1345">
        <v>1.0609999999999999</v>
      </c>
      <c r="AC159" s="1346"/>
      <c r="AD159" s="1347">
        <f t="shared" si="61"/>
        <v>23.939</v>
      </c>
      <c r="AE159" s="3224">
        <f t="shared" si="61"/>
        <v>0</v>
      </c>
      <c r="AJ159" s="2662"/>
      <c r="AK159" s="2662"/>
      <c r="AL159" s="2662"/>
      <c r="AM159" s="2630"/>
      <c r="AN159" s="2630"/>
      <c r="AO159" s="2630"/>
      <c r="AP159" s="2630"/>
      <c r="AQ159" s="2630"/>
      <c r="AR159" s="2630"/>
      <c r="AS159" s="2630"/>
      <c r="AT159" s="2630"/>
      <c r="AU159" s="2630"/>
      <c r="AV159" s="2630"/>
      <c r="AW159" s="2630"/>
      <c r="AX159" s="2630"/>
      <c r="AY159" s="2630"/>
      <c r="AZ159" s="2630"/>
      <c r="BA159" s="2630"/>
      <c r="BB159" s="2630"/>
      <c r="BC159" s="2630"/>
      <c r="BD159" s="2630"/>
      <c r="BE159" s="2630"/>
      <c r="BF159" s="2630"/>
      <c r="BG159" s="2630"/>
      <c r="BH159" s="2630"/>
      <c r="BI159" s="2630"/>
      <c r="BJ159" s="2630"/>
      <c r="BK159" s="2630"/>
      <c r="BL159" s="2630"/>
      <c r="BM159" s="2630"/>
      <c r="BN159" s="2630"/>
      <c r="BO159" s="2630"/>
      <c r="BP159" s="2630"/>
      <c r="BQ159" s="2630"/>
    </row>
    <row r="160" spans="1:69" s="2595" customFormat="1" ht="15.75" thickBot="1">
      <c r="A160" s="2505">
        <v>941</v>
      </c>
      <c r="B160" s="2506">
        <v>4546</v>
      </c>
      <c r="C160" s="1354" t="s">
        <v>203</v>
      </c>
      <c r="D160" s="2507" t="s">
        <v>944</v>
      </c>
      <c r="E160" s="2508">
        <v>150</v>
      </c>
      <c r="F160" s="2509">
        <v>450</v>
      </c>
      <c r="G160" s="2510">
        <v>0</v>
      </c>
      <c r="H160" s="2602">
        <v>0</v>
      </c>
      <c r="I160" s="2618">
        <f t="shared" si="59"/>
        <v>150</v>
      </c>
      <c r="J160" s="2603">
        <f t="shared" si="60"/>
        <v>450</v>
      </c>
      <c r="K160" s="3939" t="s">
        <v>1055</v>
      </c>
      <c r="L160" s="2558"/>
      <c r="M160" s="2552"/>
      <c r="N160" s="2552"/>
      <c r="O160" s="2552"/>
      <c r="P160" s="2552"/>
      <c r="T160" s="1339">
        <v>7</v>
      </c>
      <c r="U160" s="1340">
        <v>41473</v>
      </c>
      <c r="V160" s="1341">
        <v>959995</v>
      </c>
      <c r="W160" s="1342" t="s">
        <v>1114</v>
      </c>
      <c r="X160" s="1343"/>
      <c r="Y160" s="1339">
        <v>25</v>
      </c>
      <c r="Z160" s="1342"/>
      <c r="AA160" s="1344">
        <f t="shared" si="64"/>
        <v>25</v>
      </c>
      <c r="AB160" s="1345"/>
      <c r="AC160" s="1346"/>
      <c r="AD160" s="1347">
        <f>+Y160-AB160</f>
        <v>25</v>
      </c>
      <c r="AE160" s="1347">
        <f>+Z160-AC160</f>
        <v>0</v>
      </c>
      <c r="AJ160" s="2663" t="s">
        <v>996</v>
      </c>
      <c r="AK160" s="2664"/>
      <c r="AL160" s="2664"/>
      <c r="AM160" s="2640"/>
      <c r="AN160" s="2640"/>
      <c r="AO160" s="3888" t="s">
        <v>155</v>
      </c>
      <c r="AP160" s="3889"/>
      <c r="AQ160" s="3890"/>
      <c r="AR160" s="3888" t="s">
        <v>156</v>
      </c>
      <c r="AS160" s="3891"/>
      <c r="AT160" s="3892" t="s">
        <v>912</v>
      </c>
      <c r="AU160" s="3892" t="s">
        <v>913</v>
      </c>
      <c r="AV160" s="2630"/>
      <c r="AW160" s="2630"/>
      <c r="AX160" s="2630"/>
      <c r="AY160" s="2630"/>
      <c r="AZ160" s="2630"/>
      <c r="BA160" s="2630"/>
      <c r="BB160" s="2630"/>
      <c r="BC160" s="2630"/>
      <c r="BD160" s="2630"/>
      <c r="BE160" s="2630"/>
      <c r="BF160" s="2630"/>
      <c r="BG160" s="2630"/>
      <c r="BH160" s="2630"/>
      <c r="BI160" s="2630"/>
      <c r="BJ160" s="2630"/>
      <c r="BK160" s="2630"/>
      <c r="BL160" s="2630"/>
      <c r="BM160" s="2630"/>
      <c r="BN160" s="2630"/>
      <c r="BO160" s="2630"/>
      <c r="BP160" s="2630"/>
      <c r="BQ160" s="2630"/>
    </row>
    <row r="161" spans="1:69" s="2595" customFormat="1" ht="15.75" thickBot="1">
      <c r="A161" s="2511">
        <v>941</v>
      </c>
      <c r="B161" s="2512">
        <v>960104</v>
      </c>
      <c r="C161" s="1355" t="s">
        <v>945</v>
      </c>
      <c r="D161" s="2513" t="s">
        <v>946</v>
      </c>
      <c r="E161" s="2514">
        <v>100</v>
      </c>
      <c r="F161" s="2515">
        <v>300</v>
      </c>
      <c r="G161" s="2516">
        <v>0</v>
      </c>
      <c r="H161" s="2604">
        <v>0</v>
      </c>
      <c r="I161" s="2605">
        <f t="shared" ref="I161:I166" si="65">(E161-G161)</f>
        <v>100</v>
      </c>
      <c r="J161" s="2606">
        <f t="shared" si="60"/>
        <v>300</v>
      </c>
      <c r="K161" s="3940"/>
      <c r="L161" s="2558"/>
      <c r="M161" s="2552"/>
      <c r="N161" s="2552"/>
      <c r="O161" s="2552"/>
      <c r="P161" s="2552"/>
      <c r="T161" s="1339">
        <v>10</v>
      </c>
      <c r="U161" s="1340">
        <v>41562</v>
      </c>
      <c r="V161" s="1341">
        <v>958676</v>
      </c>
      <c r="W161" s="1342" t="s">
        <v>326</v>
      </c>
      <c r="X161" s="1343"/>
      <c r="Y161" s="1339">
        <v>100</v>
      </c>
      <c r="Z161" s="1342">
        <v>200</v>
      </c>
      <c r="AA161" s="1344">
        <f>SUM(Y161:Z161)</f>
        <v>300</v>
      </c>
      <c r="AB161" s="1345"/>
      <c r="AC161" s="1346"/>
      <c r="AD161" s="1347">
        <f t="shared" ref="AD161:AE162" si="66">+Y161-AB161</f>
        <v>100</v>
      </c>
      <c r="AE161" s="1347">
        <f t="shared" si="66"/>
        <v>200</v>
      </c>
      <c r="AJ161" s="2665" t="s">
        <v>158</v>
      </c>
      <c r="AK161" s="2666" t="s">
        <v>159</v>
      </c>
      <c r="AL161" s="2667" t="s">
        <v>136</v>
      </c>
      <c r="AM161" s="2642" t="s">
        <v>134</v>
      </c>
      <c r="AN161" s="2641" t="s">
        <v>160</v>
      </c>
      <c r="AO161" s="2643" t="s">
        <v>8</v>
      </c>
      <c r="AP161" s="2644" t="s">
        <v>161</v>
      </c>
      <c r="AQ161" s="2645" t="s">
        <v>52</v>
      </c>
      <c r="AR161" s="2643" t="s">
        <v>8</v>
      </c>
      <c r="AS161" s="2646" t="s">
        <v>162</v>
      </c>
      <c r="AT161" s="3893"/>
      <c r="AU161" s="3893"/>
      <c r="AV161" s="2630"/>
      <c r="AW161" s="2630"/>
      <c r="AX161" s="2630"/>
      <c r="AY161" s="2630"/>
      <c r="AZ161" s="2630"/>
      <c r="BA161" s="2630"/>
      <c r="BB161" s="2630"/>
      <c r="BC161" s="2630"/>
      <c r="BD161" s="2630"/>
      <c r="BE161" s="2630"/>
      <c r="BF161" s="2630"/>
      <c r="BG161" s="2630"/>
      <c r="BH161" s="2630"/>
      <c r="BI161" s="2630"/>
      <c r="BJ161" s="2630"/>
      <c r="BK161" s="2630"/>
      <c r="BL161" s="2630"/>
      <c r="BM161" s="2630"/>
      <c r="BN161" s="2630"/>
      <c r="BO161" s="2630"/>
      <c r="BP161" s="2630"/>
      <c r="BQ161" s="2630"/>
    </row>
    <row r="162" spans="1:69" s="2595" customFormat="1" ht="24" thickBot="1">
      <c r="A162" s="2511">
        <v>941</v>
      </c>
      <c r="B162" s="2512">
        <v>955660</v>
      </c>
      <c r="C162" s="1355" t="s">
        <v>947</v>
      </c>
      <c r="D162" s="2513" t="s">
        <v>948</v>
      </c>
      <c r="E162" s="2514">
        <v>75</v>
      </c>
      <c r="F162" s="2515">
        <v>225</v>
      </c>
      <c r="G162" s="2516">
        <v>0</v>
      </c>
      <c r="H162" s="2604">
        <v>0</v>
      </c>
      <c r="I162" s="2605">
        <f t="shared" si="65"/>
        <v>75</v>
      </c>
      <c r="J162" s="2606">
        <f>(F162-H162)</f>
        <v>225</v>
      </c>
      <c r="K162" s="3940"/>
      <c r="L162" s="3227"/>
      <c r="M162" s="2552"/>
      <c r="N162" s="2552"/>
      <c r="O162" s="2552"/>
      <c r="P162" s="2552"/>
      <c r="T162" s="1339">
        <v>10</v>
      </c>
      <c r="U162" s="1340">
        <v>41562</v>
      </c>
      <c r="V162" s="1341">
        <v>924618</v>
      </c>
      <c r="W162" s="1342" t="s">
        <v>172</v>
      </c>
      <c r="X162" s="1343"/>
      <c r="Y162" s="1339">
        <v>50</v>
      </c>
      <c r="Z162" s="1342">
        <v>350</v>
      </c>
      <c r="AA162" s="1344">
        <f>SUM(Y162:Z162)</f>
        <v>400</v>
      </c>
      <c r="AB162" s="1345">
        <v>10.731999999999999</v>
      </c>
      <c r="AC162" s="1346">
        <v>143.74</v>
      </c>
      <c r="AD162" s="1347">
        <f t="shared" si="66"/>
        <v>39.268000000000001</v>
      </c>
      <c r="AE162" s="1347">
        <f t="shared" si="66"/>
        <v>206.26</v>
      </c>
      <c r="AJ162" s="2668"/>
      <c r="AK162" s="2669"/>
      <c r="AL162" s="2670"/>
      <c r="AM162" s="3316" t="s">
        <v>242</v>
      </c>
      <c r="AN162" s="3317"/>
      <c r="AO162" s="2650">
        <v>575</v>
      </c>
      <c r="AP162" s="2650">
        <v>925</v>
      </c>
      <c r="AQ162" s="2651">
        <f>SUM(AO162:AP162)</f>
        <v>1500</v>
      </c>
      <c r="AR162" s="2637">
        <f>(AK140)</f>
        <v>0</v>
      </c>
      <c r="AS162" s="2637">
        <f>(AK157)</f>
        <v>0</v>
      </c>
      <c r="AT162" s="2652">
        <f>+AO162-AR162</f>
        <v>575</v>
      </c>
      <c r="AU162" s="2652">
        <f>+AP162-AS162</f>
        <v>925</v>
      </c>
      <c r="AV162" s="2630"/>
      <c r="AW162" s="2630"/>
      <c r="AX162" s="2630"/>
      <c r="AY162" s="2630"/>
      <c r="AZ162" s="2630"/>
      <c r="BA162" s="2630"/>
      <c r="BB162" s="2630"/>
      <c r="BC162" s="2630"/>
      <c r="BD162" s="2630"/>
      <c r="BE162" s="2630"/>
      <c r="BF162" s="2630"/>
      <c r="BG162" s="2630"/>
      <c r="BH162" s="2630"/>
      <c r="BI162" s="2630"/>
      <c r="BJ162" s="2630"/>
      <c r="BK162" s="2630"/>
      <c r="BL162" s="2630"/>
      <c r="BM162" s="2630"/>
      <c r="BN162" s="2630"/>
      <c r="BO162" s="2630"/>
      <c r="BP162" s="2630"/>
      <c r="BQ162" s="2630"/>
    </row>
    <row r="163" spans="1:69" s="2595" customFormat="1" ht="15.75" thickBot="1">
      <c r="A163" s="2511">
        <v>941</v>
      </c>
      <c r="B163" s="2512">
        <v>956591</v>
      </c>
      <c r="C163" s="1355" t="s">
        <v>949</v>
      </c>
      <c r="D163" s="2513" t="s">
        <v>950</v>
      </c>
      <c r="E163" s="2514">
        <v>75</v>
      </c>
      <c r="F163" s="2515">
        <v>225</v>
      </c>
      <c r="G163" s="2516">
        <v>0</v>
      </c>
      <c r="H163" s="2604">
        <v>0</v>
      </c>
      <c r="I163" s="2605">
        <f t="shared" si="65"/>
        <v>75</v>
      </c>
      <c r="J163" s="2606">
        <f t="shared" si="60"/>
        <v>225</v>
      </c>
      <c r="K163" s="3940"/>
      <c r="L163" s="2558"/>
      <c r="M163" s="2558"/>
      <c r="N163" s="2558"/>
      <c r="O163" s="2558"/>
      <c r="P163" s="2558"/>
      <c r="T163"/>
      <c r="U163"/>
      <c r="V163"/>
      <c r="W163"/>
      <c r="X163"/>
      <c r="Y163"/>
      <c r="Z163"/>
      <c r="AA163"/>
      <c r="AB163" s="3312">
        <f>SUM(AB137:AB162)</f>
        <v>567.22399999999993</v>
      </c>
      <c r="AC163" s="3312">
        <f>SUM(AC137:AC162)</f>
        <v>901.24199999999996</v>
      </c>
      <c r="AD163"/>
      <c r="AE163"/>
      <c r="AJ163" s="2668"/>
      <c r="AK163" s="2669"/>
      <c r="AL163" s="2670"/>
      <c r="AM163" s="2650"/>
      <c r="AN163" s="2649"/>
      <c r="AO163" s="2647"/>
      <c r="AP163" s="2650"/>
      <c r="AQ163" s="2651">
        <f>SUM(AO163:AP163)</f>
        <v>0</v>
      </c>
      <c r="AR163" s="2653"/>
      <c r="AS163" s="2637"/>
      <c r="AT163" s="2652">
        <f>+AQ163-AR163-AS163</f>
        <v>0</v>
      </c>
      <c r="AU163" s="2652">
        <f>+AR163-AS163-AT163</f>
        <v>0</v>
      </c>
      <c r="AV163" s="2630"/>
      <c r="AW163" s="2630"/>
      <c r="AX163" s="2630"/>
      <c r="AY163" s="2630"/>
      <c r="AZ163" s="2630"/>
      <c r="BA163" s="2630"/>
      <c r="BB163" s="2630"/>
      <c r="BC163" s="2630"/>
      <c r="BD163" s="2630"/>
      <c r="BE163" s="2630"/>
      <c r="BF163" s="2630"/>
      <c r="BG163" s="2630"/>
      <c r="BH163" s="2630"/>
      <c r="BI163" s="2630"/>
      <c r="BJ163" s="2630"/>
      <c r="BK163" s="2630"/>
      <c r="BL163" s="2630"/>
      <c r="BM163" s="2630"/>
      <c r="BN163" s="2630"/>
      <c r="BO163" s="2630"/>
      <c r="BP163" s="2630"/>
      <c r="BQ163" s="2630"/>
    </row>
    <row r="164" spans="1:69" s="2595" customFormat="1" ht="15">
      <c r="A164" s="2511">
        <v>941</v>
      </c>
      <c r="B164" s="2512">
        <v>922513</v>
      </c>
      <c r="C164" s="1355" t="s">
        <v>208</v>
      </c>
      <c r="D164" s="2513" t="s">
        <v>951</v>
      </c>
      <c r="E164" s="2514">
        <v>75</v>
      </c>
      <c r="F164" s="2515">
        <v>225</v>
      </c>
      <c r="G164" s="2516">
        <v>0</v>
      </c>
      <c r="H164" s="2604">
        <v>0</v>
      </c>
      <c r="I164" s="2605">
        <f t="shared" si="65"/>
        <v>75</v>
      </c>
      <c r="J164" s="2606">
        <f t="shared" si="60"/>
        <v>225</v>
      </c>
      <c r="K164" s="3940"/>
      <c r="L164" s="2558"/>
      <c r="M164" s="2558"/>
      <c r="N164" s="2558"/>
      <c r="O164" s="2558"/>
      <c r="P164" s="2558"/>
      <c r="T164"/>
      <c r="U164"/>
      <c r="V164"/>
      <c r="W164"/>
      <c r="X164"/>
      <c r="Y164"/>
      <c r="Z164"/>
      <c r="AA164"/>
      <c r="AB164"/>
      <c r="AC164"/>
      <c r="AD164"/>
      <c r="AE164"/>
      <c r="AJ164" s="2630"/>
      <c r="AK164" s="2630"/>
      <c r="AL164" s="2630"/>
      <c r="AM164" s="2630"/>
      <c r="AN164" s="2630"/>
      <c r="AO164" s="2630"/>
      <c r="AP164" s="2630"/>
      <c r="AQ164" s="2630"/>
      <c r="AR164" s="2630"/>
      <c r="AS164" s="2630"/>
      <c r="AT164" s="2630"/>
      <c r="AU164" s="2630"/>
      <c r="AV164" s="2630"/>
      <c r="AW164" s="2630"/>
      <c r="AX164" s="2630"/>
      <c r="AY164" s="2630"/>
      <c r="AZ164" s="2630"/>
      <c r="BA164" s="2630"/>
      <c r="BB164" s="2630"/>
      <c r="BC164" s="2630"/>
      <c r="BD164" s="2630"/>
      <c r="BE164" s="2630"/>
      <c r="BF164" s="2630"/>
      <c r="BG164" s="2630"/>
      <c r="BH164" s="2630"/>
      <c r="BI164" s="2630"/>
      <c r="BJ164" s="2630"/>
      <c r="BK164" s="2630"/>
      <c r="BL164" s="2630"/>
      <c r="BM164" s="2630"/>
      <c r="BN164" s="2630"/>
      <c r="BO164" s="2630"/>
      <c r="BP164" s="2630"/>
      <c r="BQ164" s="2630"/>
    </row>
    <row r="165" spans="1:69" s="2595" customFormat="1" ht="24" thickBot="1">
      <c r="A165" s="2523">
        <v>941</v>
      </c>
      <c r="B165" s="2524">
        <v>951999</v>
      </c>
      <c r="C165" s="1357" t="s">
        <v>213</v>
      </c>
      <c r="D165" s="2525" t="s">
        <v>952</v>
      </c>
      <c r="E165" s="2526">
        <v>50</v>
      </c>
      <c r="F165" s="2527">
        <v>150</v>
      </c>
      <c r="G165" s="2528">
        <v>0</v>
      </c>
      <c r="H165" s="2607">
        <v>0</v>
      </c>
      <c r="I165" s="2608">
        <f t="shared" si="65"/>
        <v>50</v>
      </c>
      <c r="J165" s="2609">
        <f t="shared" si="60"/>
        <v>150</v>
      </c>
      <c r="K165" s="3941"/>
      <c r="L165" s="3017" t="s">
        <v>1056</v>
      </c>
      <c r="M165" s="1415"/>
      <c r="N165" s="1415"/>
      <c r="O165" s="1415"/>
      <c r="P165" s="1415"/>
      <c r="AJ165" s="2630"/>
      <c r="AK165" s="2630"/>
      <c r="AL165" s="2630"/>
      <c r="AM165" s="2630"/>
      <c r="AN165" s="2630"/>
      <c r="AO165" s="2630"/>
      <c r="AP165" s="2630"/>
      <c r="AQ165" s="2630"/>
      <c r="AR165" s="2630"/>
      <c r="AS165" s="2630"/>
      <c r="AT165" s="2630"/>
      <c r="AU165" s="2630"/>
      <c r="AV165" s="2630"/>
      <c r="AW165" s="2630"/>
      <c r="AX165" s="2630"/>
      <c r="AY165" s="2630"/>
      <c r="AZ165" s="2630"/>
      <c r="BA165" s="2630"/>
      <c r="BB165" s="2630"/>
      <c r="BC165" s="2630"/>
      <c r="BD165" s="2630"/>
      <c r="BE165" s="2630"/>
      <c r="BF165" s="2630"/>
      <c r="BG165" s="2630"/>
      <c r="BH165" s="2630"/>
      <c r="BI165" s="2630"/>
      <c r="BJ165" s="2630"/>
      <c r="BK165" s="2630"/>
      <c r="BL165" s="2630"/>
      <c r="BM165" s="2630"/>
      <c r="BN165" s="2630"/>
      <c r="BO165" s="2630"/>
      <c r="BP165" s="2630"/>
      <c r="BQ165" s="2630"/>
    </row>
    <row r="166" spans="1:69" s="2595" customFormat="1" ht="24" thickBot="1">
      <c r="A166" s="2523">
        <v>1803</v>
      </c>
      <c r="B166" s="2524">
        <v>958905</v>
      </c>
      <c r="C166" s="1357" t="s">
        <v>930</v>
      </c>
      <c r="D166" s="2525">
        <v>2991</v>
      </c>
      <c r="E166" s="2526">
        <v>1</v>
      </c>
      <c r="F166" s="2527">
        <v>499</v>
      </c>
      <c r="G166" s="2528">
        <v>0</v>
      </c>
      <c r="H166" s="2607">
        <v>176.68700000000001</v>
      </c>
      <c r="I166" s="2608">
        <f t="shared" si="65"/>
        <v>1</v>
      </c>
      <c r="J166" s="2609">
        <f t="shared" si="60"/>
        <v>322.31299999999999</v>
      </c>
      <c r="L166" s="3227"/>
      <c r="M166" s="2552"/>
      <c r="N166" s="2552"/>
      <c r="O166" s="2552"/>
      <c r="P166" s="2552"/>
      <c r="W166" s="3949" t="s">
        <v>223</v>
      </c>
      <c r="X166" s="3950"/>
      <c r="Y166" s="3164">
        <f>SUM(Y137:Y160)</f>
        <v>2028</v>
      </c>
      <c r="Z166" s="3164">
        <f>SUM(Z137:Z160)</f>
        <v>7648</v>
      </c>
      <c r="AA166" s="3164"/>
      <c r="AB166" s="3164">
        <f>SUM(AB137:AB162)</f>
        <v>567.22399999999993</v>
      </c>
      <c r="AC166" s="3164">
        <f>SUM(AC137:AC162)</f>
        <v>901.24199999999996</v>
      </c>
      <c r="AJ166" s="3013" t="s">
        <v>1022</v>
      </c>
      <c r="AK166" s="3013"/>
      <c r="AL166" s="3013"/>
      <c r="AM166" s="1415"/>
      <c r="AN166" s="3013" t="s">
        <v>1020</v>
      </c>
      <c r="AO166" s="1415"/>
      <c r="AP166" s="3080"/>
      <c r="AQ166" s="2629"/>
      <c r="AR166" s="2630"/>
      <c r="AS166" s="2630"/>
      <c r="AT166" s="2630"/>
      <c r="AU166" s="2630"/>
      <c r="AV166" s="2630"/>
      <c r="AW166" s="2630"/>
      <c r="AX166" s="2630"/>
      <c r="AY166" s="2630"/>
      <c r="AZ166" s="2630"/>
      <c r="BA166" s="2630"/>
      <c r="BB166" s="2630"/>
      <c r="BC166" s="2630"/>
      <c r="BD166" s="2630"/>
      <c r="BE166" s="2630"/>
      <c r="BF166" s="2630"/>
      <c r="BG166" s="2630"/>
      <c r="BH166" s="2630"/>
      <c r="BI166" s="2630"/>
      <c r="BJ166" s="2630"/>
      <c r="BK166" s="2630"/>
      <c r="BL166" s="2630"/>
      <c r="BM166" s="2630"/>
      <c r="BN166" s="2630"/>
      <c r="BO166" s="2630"/>
      <c r="BP166" s="2630"/>
      <c r="BQ166" s="2630"/>
    </row>
    <row r="167" spans="1:69" s="2595" customFormat="1" ht="29.25" customHeight="1" thickBot="1">
      <c r="A167" s="3142">
        <v>1084</v>
      </c>
      <c r="B167" s="3143">
        <v>39434</v>
      </c>
      <c r="C167" s="3144" t="s">
        <v>1015</v>
      </c>
      <c r="D167" s="3145"/>
      <c r="E167" s="3146">
        <v>400</v>
      </c>
      <c r="F167" s="3147"/>
      <c r="G167" s="3169">
        <v>0</v>
      </c>
      <c r="H167" s="3149"/>
      <c r="I167" s="3150">
        <f>+E167-G167</f>
        <v>400</v>
      </c>
      <c r="J167" s="3151"/>
      <c r="K167" s="3152" t="s">
        <v>1095</v>
      </c>
      <c r="L167" s="3227"/>
      <c r="M167" s="2552"/>
      <c r="N167" s="2552"/>
      <c r="O167" s="2552"/>
      <c r="P167" s="2552"/>
      <c r="AJ167" s="3885" t="s">
        <v>264</v>
      </c>
      <c r="AK167" s="3886"/>
      <c r="AL167" s="3887"/>
      <c r="AM167" s="2631"/>
      <c r="AN167" s="2631"/>
      <c r="AO167" s="2631"/>
      <c r="AP167" s="2631"/>
      <c r="AQ167" s="2631"/>
      <c r="AR167" s="2631"/>
      <c r="AS167" s="2631"/>
      <c r="AT167" s="2631"/>
      <c r="AU167" s="2631"/>
      <c r="AV167" s="2631"/>
      <c r="AW167" s="2631"/>
      <c r="AX167" s="2631"/>
      <c r="AY167" s="2631"/>
      <c r="AZ167" s="2631"/>
      <c r="BA167" s="2631"/>
      <c r="BB167" s="2632"/>
      <c r="BC167" s="2632"/>
      <c r="BD167" s="2632"/>
      <c r="BE167" s="2632"/>
      <c r="BF167" s="2632"/>
      <c r="BG167" s="2632"/>
      <c r="BH167" s="2632"/>
      <c r="BI167" s="2632"/>
      <c r="BJ167" s="2632"/>
      <c r="BK167" s="2632"/>
      <c r="BL167" s="2632"/>
      <c r="BM167" s="2632"/>
      <c r="BN167" s="2632"/>
      <c r="BO167" s="2632"/>
      <c r="BP167" s="2632"/>
      <c r="BQ167" s="2632"/>
    </row>
    <row r="168" spans="1:69" s="2595" customFormat="1" ht="16.5" thickBot="1">
      <c r="A168" s="2523">
        <v>1731</v>
      </c>
      <c r="B168" s="2524">
        <v>39434</v>
      </c>
      <c r="C168" s="3144" t="s">
        <v>1015</v>
      </c>
      <c r="D168" s="3145"/>
      <c r="E168" s="3146">
        <v>400</v>
      </c>
      <c r="F168" s="3147">
        <v>200</v>
      </c>
      <c r="G168" s="3148">
        <v>0</v>
      </c>
      <c r="H168" s="3149">
        <v>0</v>
      </c>
      <c r="I168" s="3150">
        <f>+E168-G168</f>
        <v>400</v>
      </c>
      <c r="J168" s="3151">
        <f>+F168-H168</f>
        <v>200</v>
      </c>
      <c r="K168" s="3152" t="s">
        <v>1095</v>
      </c>
      <c r="L168" s="3227"/>
      <c r="M168" s="2552"/>
      <c r="N168" s="2552"/>
      <c r="O168" s="2552"/>
      <c r="P168" s="2552"/>
      <c r="AJ168" s="2655" t="s">
        <v>72</v>
      </c>
      <c r="AK168" s="2656" t="s">
        <v>73</v>
      </c>
      <c r="AL168" s="2657">
        <v>1</v>
      </c>
      <c r="AM168" s="2042">
        <v>2</v>
      </c>
      <c r="AN168" s="2042">
        <v>3</v>
      </c>
      <c r="AO168" s="2042">
        <v>4</v>
      </c>
      <c r="AP168" s="2042">
        <v>5</v>
      </c>
      <c r="AQ168" s="2042">
        <v>6</v>
      </c>
      <c r="AR168" s="2042">
        <v>7</v>
      </c>
      <c r="AS168" s="2042">
        <v>8</v>
      </c>
      <c r="AT168" s="2042">
        <v>9</v>
      </c>
      <c r="AU168" s="2042">
        <v>10</v>
      </c>
      <c r="AV168" s="2042">
        <v>11</v>
      </c>
      <c r="AW168" s="2042">
        <v>12</v>
      </c>
      <c r="AX168" s="2042">
        <v>13</v>
      </c>
      <c r="AY168" s="2042">
        <v>14</v>
      </c>
      <c r="AZ168" s="2042">
        <v>15</v>
      </c>
      <c r="BA168" s="2042">
        <v>16</v>
      </c>
      <c r="BB168" s="1841">
        <v>17</v>
      </c>
      <c r="BC168" s="1841">
        <v>18</v>
      </c>
      <c r="BD168" s="1841">
        <v>19</v>
      </c>
      <c r="BE168" s="1841">
        <v>20</v>
      </c>
      <c r="BF168" s="1841">
        <v>21</v>
      </c>
      <c r="BG168" s="1841">
        <v>22</v>
      </c>
      <c r="BH168" s="1841">
        <v>23</v>
      </c>
      <c r="BI168" s="1841">
        <v>24</v>
      </c>
      <c r="BJ168" s="1841">
        <v>25</v>
      </c>
      <c r="BK168" s="1841">
        <v>26</v>
      </c>
      <c r="BL168" s="1841">
        <v>27</v>
      </c>
      <c r="BM168" s="1841">
        <v>28</v>
      </c>
      <c r="BN168" s="1841">
        <v>29</v>
      </c>
      <c r="BO168" s="1841">
        <v>30</v>
      </c>
      <c r="BP168" s="1841">
        <v>31</v>
      </c>
      <c r="BQ168" s="2634" t="s">
        <v>74</v>
      </c>
    </row>
    <row r="169" spans="1:69" ht="15.75">
      <c r="A169" s="2596"/>
      <c r="B169" s="2596"/>
      <c r="C169" s="2597"/>
      <c r="D169" s="2596"/>
      <c r="E169" s="2598"/>
      <c r="F169" s="2598"/>
      <c r="G169" s="2598"/>
      <c r="H169" s="2599"/>
      <c r="I169" s="2600"/>
      <c r="J169" s="2600"/>
      <c r="K169" s="2601"/>
      <c r="L169" s="2552"/>
      <c r="M169" s="2552"/>
      <c r="N169" s="2552"/>
      <c r="O169" s="2552"/>
      <c r="P169" s="2552"/>
      <c r="T169" s="2595"/>
      <c r="U169" s="2595"/>
      <c r="V169" s="2595"/>
      <c r="W169" s="2595"/>
      <c r="X169" s="2595"/>
      <c r="Y169" s="2595"/>
      <c r="Z169" s="2595"/>
      <c r="AA169" s="2595"/>
      <c r="AB169" s="2595"/>
      <c r="AC169" s="2595"/>
      <c r="AD169" s="2595"/>
      <c r="AE169" s="2595"/>
      <c r="AJ169" s="2655" t="s">
        <v>75</v>
      </c>
      <c r="AK169" s="2656">
        <f t="shared" ref="AK169:AK180" si="67">+BQ169</f>
        <v>0</v>
      </c>
      <c r="AL169" s="2658"/>
      <c r="AM169" s="2635"/>
      <c r="AN169" s="2635"/>
      <c r="AO169" s="2635"/>
      <c r="AP169" s="2635"/>
      <c r="AQ169" s="2635"/>
      <c r="AR169" s="2635"/>
      <c r="AS169" s="2635"/>
      <c r="AT169" s="2635"/>
      <c r="AU169" s="2635"/>
      <c r="AV169" s="2635"/>
      <c r="AW169" s="2635"/>
      <c r="AX169" s="2635"/>
      <c r="AY169" s="2635"/>
      <c r="AZ169" s="2635"/>
      <c r="BA169" s="2635"/>
      <c r="BB169" s="2635"/>
      <c r="BC169" s="2635"/>
      <c r="BD169" s="2635"/>
      <c r="BE169" s="2635"/>
      <c r="BF169" s="2635"/>
      <c r="BG169" s="2635"/>
      <c r="BH169" s="2635"/>
      <c r="BI169" s="2635"/>
      <c r="BJ169" s="2635"/>
      <c r="BK169" s="2635"/>
      <c r="BL169" s="2635"/>
      <c r="BM169" s="2635"/>
      <c r="BN169" s="2635"/>
      <c r="BO169" s="2635"/>
      <c r="BP169" s="2635"/>
      <c r="BQ169" s="2636">
        <f>SUM(AL169:BP169)</f>
        <v>0</v>
      </c>
    </row>
    <row r="170" spans="1:69" ht="15.75" thickBot="1">
      <c r="A170" s="2552"/>
      <c r="B170" s="2552"/>
      <c r="C170" s="2552"/>
      <c r="D170" s="2552"/>
      <c r="E170" s="2552"/>
      <c r="F170" s="2552"/>
      <c r="G170" s="2552">
        <f>SUM(G142:G169)</f>
        <v>11.058000000000002</v>
      </c>
      <c r="H170" s="2558">
        <f>SUM(H142:H168)</f>
        <v>1679.5319999999997</v>
      </c>
      <c r="I170" s="3154">
        <f>SUM(I142:I168)</f>
        <v>1371.942</v>
      </c>
      <c r="J170" s="3153">
        <f>SUM(J142:J168)</f>
        <v>6237.4679999999998</v>
      </c>
      <c r="K170" s="2552"/>
      <c r="L170" s="2552"/>
      <c r="M170" s="2552"/>
      <c r="N170" s="2552"/>
      <c r="O170" s="2552"/>
      <c r="P170" s="2552"/>
      <c r="T170" s="2595"/>
      <c r="U170" s="2595"/>
      <c r="V170" s="2595"/>
      <c r="W170" s="2595"/>
      <c r="X170" s="2595"/>
      <c r="Y170" s="2595"/>
      <c r="Z170" s="2595"/>
      <c r="AA170" s="2595"/>
      <c r="AB170" s="2595"/>
      <c r="AC170" s="2595"/>
      <c r="AD170" s="2595"/>
      <c r="AE170" s="2595"/>
      <c r="AJ170" s="2655" t="s">
        <v>76</v>
      </c>
      <c r="AK170" s="2656">
        <f t="shared" si="67"/>
        <v>0</v>
      </c>
      <c r="AL170" s="2658"/>
      <c r="AM170" s="2635"/>
      <c r="AN170" s="2635"/>
      <c r="AO170" s="2635"/>
      <c r="AP170" s="2635"/>
      <c r="AQ170" s="2635"/>
      <c r="AR170" s="2635"/>
      <c r="AS170" s="2635"/>
      <c r="AT170" s="2635"/>
      <c r="AU170" s="2635"/>
      <c r="AV170" s="2635"/>
      <c r="AW170" s="2635"/>
      <c r="AX170" s="2635"/>
      <c r="AY170" s="2635"/>
      <c r="AZ170" s="2635"/>
      <c r="BA170" s="2635"/>
      <c r="BB170" s="2635"/>
      <c r="BC170" s="2635"/>
      <c r="BD170" s="2635"/>
      <c r="BE170" s="2635"/>
      <c r="BF170" s="2635"/>
      <c r="BG170" s="2635"/>
      <c r="BH170" s="2635"/>
      <c r="BI170" s="2635"/>
      <c r="BJ170" s="2635"/>
      <c r="BK170" s="2635"/>
      <c r="BL170" s="2635"/>
      <c r="BM170" s="2635"/>
      <c r="BN170" s="2635"/>
      <c r="BO170" s="2635"/>
      <c r="BP170" s="2635"/>
      <c r="BQ170" s="2636">
        <f t="shared" ref="BQ170:BQ180" si="68">SUM(AL170:BP170)</f>
        <v>0</v>
      </c>
    </row>
    <row r="171" spans="1:69" ht="15.75" thickBot="1">
      <c r="T171" s="2595"/>
      <c r="U171" s="2595"/>
      <c r="V171" s="2595"/>
      <c r="W171" s="2595"/>
      <c r="X171" s="2595"/>
      <c r="Y171" s="2595"/>
      <c r="Z171" s="2595"/>
      <c r="AA171" s="2595"/>
      <c r="AB171" s="2595"/>
      <c r="AC171" s="2595"/>
      <c r="AD171" s="2595"/>
      <c r="AE171" s="2595"/>
      <c r="AJ171" s="2655" t="s">
        <v>77</v>
      </c>
      <c r="AK171" s="2656">
        <f t="shared" si="67"/>
        <v>0</v>
      </c>
      <c r="AL171" s="2658"/>
      <c r="AM171" s="2635"/>
      <c r="AN171" s="2635"/>
      <c r="AO171" s="2635"/>
      <c r="AP171" s="2635"/>
      <c r="AQ171" s="1842"/>
      <c r="AR171" s="1842"/>
      <c r="AS171" s="1842"/>
      <c r="AT171" s="1842"/>
      <c r="AU171" s="1842"/>
      <c r="AV171" s="1842"/>
      <c r="AW171" s="1842"/>
      <c r="AX171" s="1842"/>
      <c r="AY171" s="1842"/>
      <c r="AZ171" s="1842"/>
      <c r="BA171" s="2637"/>
      <c r="BB171" s="1842"/>
      <c r="BC171" s="1842"/>
      <c r="BD171" s="1842"/>
      <c r="BE171" s="1842"/>
      <c r="BF171" s="1842"/>
      <c r="BG171" s="1842"/>
      <c r="BH171" s="1842"/>
      <c r="BI171" s="1842"/>
      <c r="BJ171" s="1842"/>
      <c r="BK171" s="1842"/>
      <c r="BL171" s="2635"/>
      <c r="BM171" s="2635"/>
      <c r="BN171" s="2635"/>
      <c r="BO171" s="2635"/>
      <c r="BP171" s="2635"/>
      <c r="BQ171" s="2636">
        <f t="shared" si="68"/>
        <v>0</v>
      </c>
    </row>
    <row r="172" spans="1:69" ht="15">
      <c r="T172" s="2595"/>
      <c r="U172" s="2595"/>
      <c r="V172" s="2595"/>
      <c r="W172" s="2595"/>
      <c r="X172" s="2595"/>
      <c r="Y172" s="2595"/>
      <c r="Z172" s="2595"/>
      <c r="AA172" s="2595"/>
      <c r="AB172" s="2595"/>
      <c r="AC172" s="2595"/>
      <c r="AD172" s="2595"/>
      <c r="AE172" s="2595"/>
      <c r="AJ172" s="2655" t="s">
        <v>78</v>
      </c>
      <c r="AK172" s="2656">
        <f t="shared" si="67"/>
        <v>0</v>
      </c>
      <c r="AL172" s="2658"/>
      <c r="AM172" s="2635"/>
      <c r="AN172" s="2635"/>
      <c r="AO172" s="2635"/>
      <c r="AP172" s="2635"/>
      <c r="AQ172" s="2635"/>
      <c r="AR172" s="2635"/>
      <c r="AS172" s="2635"/>
      <c r="AT172" s="2635"/>
      <c r="AU172" s="2638"/>
      <c r="AV172" s="2638"/>
      <c r="AW172" s="2638"/>
      <c r="AX172" s="2638"/>
      <c r="AY172" s="2638"/>
      <c r="AZ172" s="2638"/>
      <c r="BA172" s="2638"/>
      <c r="BB172" s="2638"/>
      <c r="BC172" s="2638"/>
      <c r="BD172" s="2638"/>
      <c r="BE172" s="2638"/>
      <c r="BF172" s="2638"/>
      <c r="BG172" s="2638"/>
      <c r="BH172" s="2638"/>
      <c r="BI172" s="2638"/>
      <c r="BJ172" s="2638"/>
      <c r="BK172" s="2638"/>
      <c r="BL172" s="2638"/>
      <c r="BM172" s="2638"/>
      <c r="BN172" s="2638"/>
      <c r="BO172" s="2638"/>
      <c r="BP172" s="2638"/>
      <c r="BQ172" s="2636">
        <f t="shared" si="68"/>
        <v>0</v>
      </c>
    </row>
    <row r="173" spans="1:69" s="2572" customFormat="1" ht="15">
      <c r="A173" s="2187"/>
      <c r="B173" s="2187"/>
      <c r="C173" s="2187"/>
      <c r="D173" s="2187"/>
      <c r="E173" s="2187"/>
      <c r="F173" s="2187"/>
      <c r="G173" s="2187"/>
      <c r="H173" s="2187"/>
      <c r="I173" s="2187"/>
      <c r="J173" s="2187"/>
      <c r="K173" s="2187"/>
      <c r="L173" s="2187"/>
      <c r="M173" s="2187"/>
      <c r="N173" s="2187"/>
      <c r="O173" s="2187"/>
      <c r="P173" s="2187"/>
      <c r="Q173" s="2187"/>
      <c r="R173" s="2187"/>
      <c r="S173" s="2187"/>
      <c r="T173" s="2595"/>
      <c r="U173" s="2595"/>
      <c r="V173" s="2595"/>
      <c r="W173" s="2595"/>
      <c r="X173" s="2595"/>
      <c r="Y173" s="2595"/>
      <c r="Z173" s="2595"/>
      <c r="AA173" s="2595"/>
      <c r="AB173" s="2595"/>
      <c r="AC173" s="2595"/>
      <c r="AD173" s="2595"/>
      <c r="AE173" s="2595"/>
      <c r="AF173" s="2187"/>
      <c r="AG173" s="2187"/>
      <c r="AH173" s="2187"/>
      <c r="AJ173" s="2655" t="s">
        <v>79</v>
      </c>
      <c r="AK173" s="2656">
        <f t="shared" si="67"/>
        <v>0</v>
      </c>
      <c r="AL173" s="2659"/>
      <c r="AM173" s="1842"/>
      <c r="AN173" s="1842"/>
      <c r="AO173" s="1842"/>
      <c r="AP173" s="1842"/>
      <c r="AQ173" s="1842"/>
      <c r="AR173" s="1842"/>
      <c r="AS173" s="1842"/>
      <c r="AT173" s="1842"/>
      <c r="AU173" s="1842"/>
      <c r="AV173" s="1842"/>
      <c r="AW173" s="1842"/>
      <c r="AX173" s="1842"/>
      <c r="AY173" s="1842"/>
      <c r="AZ173" s="1842"/>
      <c r="BA173" s="1842"/>
      <c r="BB173" s="1842"/>
      <c r="BC173" s="1842"/>
      <c r="BD173" s="1842"/>
      <c r="BE173" s="1842"/>
      <c r="BF173" s="1842"/>
      <c r="BG173" s="1842"/>
      <c r="BH173" s="1842"/>
      <c r="BI173" s="1842"/>
      <c r="BJ173" s="1842"/>
      <c r="BK173" s="1842"/>
      <c r="BL173" s="1842"/>
      <c r="BM173" s="1842"/>
      <c r="BN173" s="1842"/>
      <c r="BO173" s="1842"/>
      <c r="BP173" s="1842"/>
      <c r="BQ173" s="2636">
        <f t="shared" si="68"/>
        <v>0</v>
      </c>
    </row>
    <row r="174" spans="1:69" s="2572" customFormat="1" ht="25.5">
      <c r="A174" s="2547" t="s">
        <v>491</v>
      </c>
      <c r="B174" s="2548"/>
      <c r="C174" s="2548" t="s">
        <v>933</v>
      </c>
      <c r="D174" s="2187"/>
      <c r="E174" s="2187"/>
      <c r="F174" s="2187"/>
      <c r="G174" s="2187"/>
      <c r="H174" s="3014" t="s">
        <v>1086</v>
      </c>
      <c r="I174" s="3014"/>
      <c r="J174" s="3014"/>
      <c r="K174" s="3014"/>
      <c r="L174" s="1415"/>
      <c r="M174" s="3080"/>
      <c r="N174" s="2187"/>
      <c r="O174" s="2187"/>
      <c r="P174" s="2187"/>
      <c r="Q174" s="2187"/>
      <c r="R174" s="2187"/>
      <c r="S174" s="2187"/>
      <c r="T174"/>
      <c r="U174"/>
      <c r="V174"/>
      <c r="W174"/>
      <c r="X174"/>
      <c r="Y174"/>
      <c r="Z174"/>
      <c r="AA174"/>
      <c r="AB174"/>
      <c r="AC174"/>
      <c r="AD174"/>
      <c r="AE174"/>
      <c r="AF174" s="2187"/>
      <c r="AG174" s="2187"/>
      <c r="AH174" s="2187"/>
      <c r="AJ174" s="2655" t="s">
        <v>80</v>
      </c>
      <c r="AK174" s="2656">
        <f t="shared" si="67"/>
        <v>0</v>
      </c>
      <c r="AL174" s="2659"/>
      <c r="AM174" s="1842"/>
      <c r="AN174" s="1842"/>
      <c r="AO174" s="1842"/>
      <c r="AP174" s="1842"/>
      <c r="AQ174" s="1842"/>
      <c r="AR174" s="1842"/>
      <c r="AS174" s="1842"/>
      <c r="AT174" s="1842"/>
      <c r="AU174" s="1842"/>
      <c r="AV174" s="1842"/>
      <c r="AW174" s="1842"/>
      <c r="AX174" s="1842"/>
      <c r="AY174" s="1842"/>
      <c r="AZ174" s="1842"/>
      <c r="BA174" s="1842"/>
      <c r="BB174" s="1842"/>
      <c r="BC174" s="1842"/>
      <c r="BD174" s="1842"/>
      <c r="BE174" s="1842"/>
      <c r="BF174" s="1842"/>
      <c r="BG174" s="1842"/>
      <c r="BH174" s="1842"/>
      <c r="BI174" s="1842"/>
      <c r="BJ174" s="1842"/>
      <c r="BK174" s="1842"/>
      <c r="BL174" s="1842"/>
      <c r="BM174" s="1842"/>
      <c r="BN174" s="1842"/>
      <c r="BO174" s="1842"/>
      <c r="BP174" s="1842"/>
      <c r="BQ174" s="2636">
        <f t="shared" si="68"/>
        <v>0</v>
      </c>
    </row>
    <row r="175" spans="1:69" s="2572" customFormat="1" ht="15">
      <c r="A175" s="3569" t="s">
        <v>271</v>
      </c>
      <c r="B175" s="3570"/>
      <c r="C175" s="3571"/>
      <c r="D175" s="34"/>
      <c r="E175" s="34"/>
      <c r="F175" s="34"/>
      <c r="G175" s="34"/>
      <c r="H175" s="34"/>
      <c r="I175" s="34"/>
      <c r="J175" s="34"/>
      <c r="K175" s="34"/>
      <c r="L175" s="34"/>
      <c r="M175" s="34"/>
      <c r="N175" s="34"/>
      <c r="O175" s="34"/>
      <c r="P175" s="34"/>
      <c r="Q175" s="34"/>
      <c r="R175" s="34"/>
      <c r="S175" s="52"/>
      <c r="T175"/>
      <c r="U175"/>
      <c r="V175"/>
      <c r="W175"/>
      <c r="X175"/>
      <c r="Y175"/>
      <c r="Z175"/>
      <c r="AA175"/>
      <c r="AB175"/>
      <c r="AC175"/>
      <c r="AD175"/>
      <c r="AE175"/>
      <c r="AF175" s="52"/>
      <c r="AG175" s="52"/>
      <c r="AH175" s="13"/>
      <c r="AJ175" s="2655" t="s">
        <v>81</v>
      </c>
      <c r="AK175" s="2656">
        <f t="shared" si="67"/>
        <v>0</v>
      </c>
      <c r="AL175" s="2659"/>
      <c r="AM175" s="2636"/>
      <c r="AN175" s="2636"/>
      <c r="AO175" s="2636"/>
      <c r="AP175" s="1842"/>
      <c r="AQ175" s="1842"/>
      <c r="AR175" s="1842"/>
      <c r="AS175" s="1842"/>
      <c r="AT175" s="1842"/>
      <c r="AU175" s="1842"/>
      <c r="AV175" s="1842"/>
      <c r="AW175" s="1842"/>
      <c r="AX175" s="1842"/>
      <c r="AY175" s="1842"/>
      <c r="AZ175" s="1842"/>
      <c r="BA175" s="1842"/>
      <c r="BB175" s="1842"/>
      <c r="BC175" s="1842"/>
      <c r="BD175" s="1842"/>
      <c r="BE175" s="1842"/>
      <c r="BF175" s="1842"/>
      <c r="BG175" s="1842"/>
      <c r="BH175" s="1842"/>
      <c r="BI175" s="1842"/>
      <c r="BJ175" s="1842"/>
      <c r="BK175" s="1842"/>
      <c r="BL175" s="1842"/>
      <c r="BM175" s="1842"/>
      <c r="BN175" s="1842"/>
      <c r="BO175" s="1842"/>
      <c r="BP175" s="1842"/>
      <c r="BQ175" s="2636">
        <f t="shared" si="68"/>
        <v>0</v>
      </c>
    </row>
    <row r="176" spans="1:69" s="2572" customFormat="1" ht="15">
      <c r="A176" s="5" t="s">
        <v>72</v>
      </c>
      <c r="B176" s="28" t="s">
        <v>73</v>
      </c>
      <c r="C176" s="72">
        <v>1</v>
      </c>
      <c r="D176" s="35">
        <v>2</v>
      </c>
      <c r="E176" s="35">
        <v>3</v>
      </c>
      <c r="F176" s="35">
        <v>4</v>
      </c>
      <c r="G176" s="35">
        <v>5</v>
      </c>
      <c r="H176" s="35">
        <v>6</v>
      </c>
      <c r="I176" s="35">
        <v>7</v>
      </c>
      <c r="J176" s="35">
        <v>8</v>
      </c>
      <c r="K176" s="35">
        <v>9</v>
      </c>
      <c r="L176" s="35">
        <v>10</v>
      </c>
      <c r="M176" s="35">
        <v>11</v>
      </c>
      <c r="N176" s="35">
        <v>12</v>
      </c>
      <c r="O176" s="35">
        <v>13</v>
      </c>
      <c r="P176" s="35">
        <v>14</v>
      </c>
      <c r="Q176" s="35">
        <v>15</v>
      </c>
      <c r="R176" s="35">
        <v>16</v>
      </c>
      <c r="S176" s="30">
        <v>17</v>
      </c>
      <c r="T176" s="30">
        <v>18</v>
      </c>
      <c r="U176" s="30">
        <v>19</v>
      </c>
      <c r="V176" s="30">
        <v>20</v>
      </c>
      <c r="W176" s="30">
        <v>21</v>
      </c>
      <c r="X176" s="30">
        <v>22</v>
      </c>
      <c r="Y176" s="30">
        <v>23</v>
      </c>
      <c r="Z176" s="30">
        <v>24</v>
      </c>
      <c r="AA176" s="30">
        <v>25</v>
      </c>
      <c r="AB176" s="30">
        <v>26</v>
      </c>
      <c r="AC176" s="30">
        <v>27</v>
      </c>
      <c r="AD176" s="30">
        <v>28</v>
      </c>
      <c r="AE176" s="30">
        <v>29</v>
      </c>
      <c r="AF176" s="30">
        <v>30</v>
      </c>
      <c r="AG176" s="30">
        <v>31</v>
      </c>
      <c r="AH176" s="39" t="s">
        <v>74</v>
      </c>
      <c r="AJ176" s="2655" t="s">
        <v>82</v>
      </c>
      <c r="AK176" s="2656">
        <f t="shared" si="67"/>
        <v>0</v>
      </c>
      <c r="AL176" s="2659"/>
      <c r="AM176" s="1842"/>
      <c r="AN176" s="1842"/>
      <c r="AO176" s="1842"/>
      <c r="AP176" s="1842"/>
      <c r="AQ176" s="1842"/>
      <c r="AR176" s="1842"/>
      <c r="AS176" s="1842"/>
      <c r="AT176" s="1842"/>
      <c r="AU176" s="1842"/>
      <c r="AV176" s="1842"/>
      <c r="AW176" s="1842"/>
      <c r="AX176" s="1842"/>
      <c r="AY176" s="1842"/>
      <c r="AZ176" s="1842"/>
      <c r="BA176" s="1842"/>
      <c r="BB176" s="1842"/>
      <c r="BC176" s="1842"/>
      <c r="BD176" s="1842"/>
      <c r="BE176" s="1842"/>
      <c r="BF176" s="1842"/>
      <c r="BG176" s="1842"/>
      <c r="BH176" s="1842"/>
      <c r="BI176" s="1842"/>
      <c r="BJ176" s="1842"/>
      <c r="BK176" s="1842"/>
      <c r="BL176" s="1842"/>
      <c r="BM176" s="1842"/>
      <c r="BN176" s="1842"/>
      <c r="BO176" s="1842"/>
      <c r="BP176" s="1842"/>
      <c r="BQ176" s="2636">
        <f t="shared" si="68"/>
        <v>0</v>
      </c>
    </row>
    <row r="177" spans="1:69" s="2572" customFormat="1" ht="15">
      <c r="A177" s="128" t="s">
        <v>75</v>
      </c>
      <c r="B177" s="28">
        <f t="shared" ref="B177:B188" si="69">+AH177</f>
        <v>0</v>
      </c>
      <c r="C177" s="1930"/>
      <c r="D177" s="1930"/>
      <c r="E177" s="1930"/>
      <c r="F177" s="1930"/>
      <c r="G177" s="1930"/>
      <c r="H177" s="1930"/>
      <c r="I177" s="1930"/>
      <c r="J177" s="1930"/>
      <c r="K177" s="1930"/>
      <c r="L177" s="1930"/>
      <c r="M177" s="1930"/>
      <c r="N177" s="1930"/>
      <c r="O177" s="1930"/>
      <c r="P177" s="1930"/>
      <c r="Q177" s="1930"/>
      <c r="R177" s="1930"/>
      <c r="S177" s="1930"/>
      <c r="T177" s="1930"/>
      <c r="U177" s="1930"/>
      <c r="V177" s="1930"/>
      <c r="W177" s="1930"/>
      <c r="X177" s="1930"/>
      <c r="Y177" s="1930"/>
      <c r="Z177" s="1930"/>
      <c r="AA177" s="1930"/>
      <c r="AB177" s="1930"/>
      <c r="AC177" s="1930"/>
      <c r="AD177" s="1930"/>
      <c r="AE177" s="1930"/>
      <c r="AF177" s="1930"/>
      <c r="AG177" s="1930"/>
      <c r="AH177" s="53">
        <f>SUM(C177:AG177)</f>
        <v>0</v>
      </c>
      <c r="AJ177" s="2655" t="s">
        <v>83</v>
      </c>
      <c r="AK177" s="2656">
        <f t="shared" si="67"/>
        <v>0</v>
      </c>
      <c r="AL177" s="2659"/>
      <c r="AM177" s="1842"/>
      <c r="AN177" s="1842"/>
      <c r="AO177" s="1842"/>
      <c r="AP177" s="1842"/>
      <c r="AQ177" s="1842"/>
      <c r="AR177" s="1842"/>
      <c r="AS177" s="1842"/>
      <c r="AT177" s="1842"/>
      <c r="AU177" s="1842"/>
      <c r="AV177" s="1842"/>
      <c r="AW177" s="1842"/>
      <c r="AX177" s="1842"/>
      <c r="AY177" s="1842"/>
      <c r="AZ177" s="1842"/>
      <c r="BA177" s="1842"/>
      <c r="BB177" s="1842"/>
      <c r="BC177" s="1842"/>
      <c r="BD177" s="1842"/>
      <c r="BE177" s="1842"/>
      <c r="BF177" s="1842"/>
      <c r="BG177" s="1842"/>
      <c r="BH177" s="1842"/>
      <c r="BI177" s="1842"/>
      <c r="BJ177" s="1842"/>
      <c r="BK177" s="1842"/>
      <c r="BL177" s="1842"/>
      <c r="BM177" s="1842"/>
      <c r="BN177" s="1842"/>
      <c r="BO177" s="1842"/>
      <c r="BP177" s="1842"/>
      <c r="BQ177" s="2636">
        <f t="shared" si="68"/>
        <v>0</v>
      </c>
    </row>
    <row r="178" spans="1:69" s="2572" customFormat="1" ht="15.75" thickBot="1">
      <c r="A178" s="128" t="s">
        <v>76</v>
      </c>
      <c r="B178" s="28">
        <f t="shared" si="69"/>
        <v>0</v>
      </c>
      <c r="C178" s="1930"/>
      <c r="D178" s="1930"/>
      <c r="E178" s="1930"/>
      <c r="F178" s="1930"/>
      <c r="G178" s="1930"/>
      <c r="H178" s="1930"/>
      <c r="I178" s="1930"/>
      <c r="J178" s="1930"/>
      <c r="K178" s="1930"/>
      <c r="L178" s="1930"/>
      <c r="M178" s="1930"/>
      <c r="N178" s="1930"/>
      <c r="O178" s="1930"/>
      <c r="P178" s="1930"/>
      <c r="Q178" s="1930"/>
      <c r="R178" s="1930"/>
      <c r="S178" s="1930"/>
      <c r="T178" s="1930"/>
      <c r="U178" s="1930"/>
      <c r="V178" s="1930"/>
      <c r="W178" s="1930"/>
      <c r="X178" s="1930"/>
      <c r="Y178" s="1930"/>
      <c r="Z178" s="1930"/>
      <c r="AA178" s="1930"/>
      <c r="AB178" s="1930"/>
      <c r="AC178" s="1930"/>
      <c r="AD178" s="1930"/>
      <c r="AE178" s="1930"/>
      <c r="AF178" s="1930"/>
      <c r="AG178" s="1930"/>
      <c r="AH178" s="53">
        <f t="shared" ref="AH178:AH188" si="70">SUM(C178:AG178)</f>
        <v>0</v>
      </c>
      <c r="AJ178" s="2655" t="s">
        <v>84</v>
      </c>
      <c r="AK178" s="2656">
        <f t="shared" si="67"/>
        <v>0</v>
      </c>
      <c r="AL178" s="2659"/>
      <c r="AM178" s="1842"/>
      <c r="AN178" s="1842"/>
      <c r="AO178" s="1842"/>
      <c r="AP178" s="1842"/>
      <c r="AQ178" s="1842"/>
      <c r="AR178" s="1842"/>
      <c r="AS178" s="1842"/>
      <c r="AT178" s="1842"/>
      <c r="AU178" s="1842"/>
      <c r="AV178" s="1842"/>
      <c r="AW178" s="1842"/>
      <c r="AX178" s="1842"/>
      <c r="AY178" s="1842"/>
      <c r="AZ178" s="1842"/>
      <c r="BA178" s="1842"/>
      <c r="BB178" s="1842"/>
      <c r="BC178" s="1842"/>
      <c r="BD178" s="1842"/>
      <c r="BE178" s="1842"/>
      <c r="BF178" s="1842"/>
      <c r="BG178" s="1842"/>
      <c r="BH178" s="1842"/>
      <c r="BI178" s="1842"/>
      <c r="BJ178" s="1842"/>
      <c r="BK178" s="1842"/>
      <c r="BL178" s="1842"/>
      <c r="BM178" s="1842"/>
      <c r="BN178" s="2636"/>
      <c r="BO178" s="1842"/>
      <c r="BP178" s="2636"/>
      <c r="BQ178" s="2636">
        <f t="shared" si="68"/>
        <v>0</v>
      </c>
    </row>
    <row r="179" spans="1:69" s="2572" customFormat="1" ht="15.75" thickBot="1">
      <c r="A179" s="128" t="s">
        <v>77</v>
      </c>
      <c r="B179" s="28">
        <f t="shared" si="69"/>
        <v>0</v>
      </c>
      <c r="C179" s="1930"/>
      <c r="D179" s="1930"/>
      <c r="E179" s="1930"/>
      <c r="F179" s="1930"/>
      <c r="G179" s="1930"/>
      <c r="H179" s="1287"/>
      <c r="I179" s="1287"/>
      <c r="J179" s="1287"/>
      <c r="K179" s="1287"/>
      <c r="L179" s="1287"/>
      <c r="M179" s="1287"/>
      <c r="N179" s="1287"/>
      <c r="O179" s="1287"/>
      <c r="P179" s="1287"/>
      <c r="Q179" s="1287"/>
      <c r="R179" s="1346"/>
      <c r="S179" s="1287"/>
      <c r="T179" s="1287"/>
      <c r="U179" s="1287"/>
      <c r="V179" s="1287"/>
      <c r="W179" s="1287"/>
      <c r="X179" s="1287"/>
      <c r="Y179" s="1287"/>
      <c r="Z179" s="1287"/>
      <c r="AA179" s="1287"/>
      <c r="AB179" s="1287"/>
      <c r="AC179" s="1930"/>
      <c r="AD179" s="1930"/>
      <c r="AE179" s="1930"/>
      <c r="AF179" s="1930"/>
      <c r="AG179" s="1930"/>
      <c r="AH179" s="53">
        <f t="shared" si="70"/>
        <v>0</v>
      </c>
      <c r="AJ179" s="2655" t="s">
        <v>85</v>
      </c>
      <c r="AK179" s="2656">
        <f t="shared" si="67"/>
        <v>0</v>
      </c>
      <c r="AL179" s="2659"/>
      <c r="AM179" s="1842"/>
      <c r="AN179" s="1842"/>
      <c r="AO179" s="1842"/>
      <c r="AP179" s="2639"/>
      <c r="AQ179" s="1842"/>
      <c r="AR179" s="1842"/>
      <c r="AS179" s="1842"/>
      <c r="AT179" s="1842"/>
      <c r="AU179" s="1842"/>
      <c r="AV179" s="1842"/>
      <c r="AW179" s="1842"/>
      <c r="AX179" s="1842"/>
      <c r="AY179" s="1842"/>
      <c r="AZ179" s="1842"/>
      <c r="BA179" s="1842"/>
      <c r="BB179" s="1842"/>
      <c r="BC179" s="1842"/>
      <c r="BD179" s="1842"/>
      <c r="BE179" s="1842"/>
      <c r="BF179" s="1842"/>
      <c r="BG179" s="1842"/>
      <c r="BH179" s="1842"/>
      <c r="BI179" s="1842"/>
      <c r="BJ179" s="1842"/>
      <c r="BK179" s="1842"/>
      <c r="BL179" s="1842"/>
      <c r="BM179" s="1842"/>
      <c r="BN179" s="2636"/>
      <c r="BO179" s="1842"/>
      <c r="BP179" s="2636"/>
      <c r="BQ179" s="2636">
        <f t="shared" si="68"/>
        <v>0</v>
      </c>
    </row>
    <row r="180" spans="1:69" s="2572" customFormat="1" ht="15">
      <c r="A180" s="128" t="s">
        <v>78</v>
      </c>
      <c r="B180" s="28">
        <f t="shared" si="69"/>
        <v>0</v>
      </c>
      <c r="C180" s="1930"/>
      <c r="D180" s="1930"/>
      <c r="E180" s="1930"/>
      <c r="F180" s="1930"/>
      <c r="G180" s="1930"/>
      <c r="H180" s="1930"/>
      <c r="I180" s="1930"/>
      <c r="J180" s="1930"/>
      <c r="K180" s="1930"/>
      <c r="L180" s="2465"/>
      <c r="M180" s="2465"/>
      <c r="N180" s="2465"/>
      <c r="O180" s="2465"/>
      <c r="P180" s="2465"/>
      <c r="Q180" s="2465"/>
      <c r="R180" s="2465"/>
      <c r="S180" s="2465"/>
      <c r="T180" s="2465"/>
      <c r="U180" s="2465"/>
      <c r="V180" s="2465"/>
      <c r="W180" s="2465"/>
      <c r="X180" s="2465"/>
      <c r="Y180" s="2465"/>
      <c r="Z180" s="2465"/>
      <c r="AA180" s="2465"/>
      <c r="AB180" s="2465"/>
      <c r="AC180" s="2465"/>
      <c r="AD180" s="2465"/>
      <c r="AE180" s="2465"/>
      <c r="AF180" s="2465"/>
      <c r="AG180" s="2465"/>
      <c r="AH180" s="53">
        <f t="shared" si="70"/>
        <v>0</v>
      </c>
      <c r="AJ180" s="2655" t="s">
        <v>86</v>
      </c>
      <c r="AK180" s="2656">
        <f t="shared" si="67"/>
        <v>0</v>
      </c>
      <c r="AL180" s="2659"/>
      <c r="AM180" s="1842"/>
      <c r="AN180" s="1842"/>
      <c r="AO180" s="1842"/>
      <c r="AP180" s="1842"/>
      <c r="AQ180" s="1842"/>
      <c r="AR180" s="1842"/>
      <c r="AS180" s="1842"/>
      <c r="AT180" s="1842"/>
      <c r="AU180" s="1842"/>
      <c r="AV180" s="1842"/>
      <c r="AW180" s="1842"/>
      <c r="AX180" s="1842"/>
      <c r="AY180" s="1842"/>
      <c r="AZ180" s="1842"/>
      <c r="BA180" s="1842"/>
      <c r="BB180" s="1842"/>
      <c r="BC180" s="1842"/>
      <c r="BD180" s="1842"/>
      <c r="BE180" s="1842"/>
      <c r="BF180" s="1842"/>
      <c r="BG180" s="1842"/>
      <c r="BH180" s="1842"/>
      <c r="BI180" s="1842"/>
      <c r="BJ180" s="1842"/>
      <c r="BK180" s="1842"/>
      <c r="BL180" s="1842"/>
      <c r="BM180" s="1842"/>
      <c r="BN180" s="1842"/>
      <c r="BO180" s="1842"/>
      <c r="BP180" s="1842"/>
      <c r="BQ180" s="2636">
        <f t="shared" si="68"/>
        <v>0</v>
      </c>
    </row>
    <row r="181" spans="1:69" s="2572" customFormat="1" ht="15">
      <c r="A181" s="132" t="s">
        <v>79</v>
      </c>
      <c r="B181" s="28">
        <f t="shared" si="69"/>
        <v>42.436</v>
      </c>
      <c r="C181" s="1287">
        <v>0</v>
      </c>
      <c r="D181" s="1287">
        <v>0</v>
      </c>
      <c r="E181" s="1287">
        <v>0</v>
      </c>
      <c r="F181" s="1287">
        <v>0</v>
      </c>
      <c r="G181" s="1287">
        <v>28.309000000000001</v>
      </c>
      <c r="H181" s="1287">
        <v>0</v>
      </c>
      <c r="I181" s="1287">
        <v>0</v>
      </c>
      <c r="J181" s="1287">
        <v>0</v>
      </c>
      <c r="K181" s="1287">
        <v>0</v>
      </c>
      <c r="L181" s="1287">
        <v>0</v>
      </c>
      <c r="M181" s="1287">
        <v>0</v>
      </c>
      <c r="N181" s="1287">
        <v>14.127000000000001</v>
      </c>
      <c r="O181" s="1287">
        <v>0</v>
      </c>
      <c r="P181" s="1287">
        <v>0</v>
      </c>
      <c r="Q181" s="1287">
        <v>0</v>
      </c>
      <c r="R181" s="1287">
        <v>0</v>
      </c>
      <c r="S181" s="1287"/>
      <c r="T181" s="1287"/>
      <c r="U181" s="1287"/>
      <c r="V181" s="1287"/>
      <c r="W181" s="1287"/>
      <c r="X181" s="1287"/>
      <c r="Y181" s="1287"/>
      <c r="Z181" s="1287"/>
      <c r="AA181" s="1287"/>
      <c r="AB181" s="1287"/>
      <c r="AC181" s="1287"/>
      <c r="AD181" s="1287"/>
      <c r="AE181" s="1287"/>
      <c r="AF181" s="1287"/>
      <c r="AG181" s="1287"/>
      <c r="AH181" s="53">
        <f t="shared" si="70"/>
        <v>42.436</v>
      </c>
      <c r="AJ181" s="2660" t="s">
        <v>74</v>
      </c>
      <c r="AK181" s="2661">
        <f t="shared" ref="AK181:BA181" si="71">SUM(AK169:AK180)</f>
        <v>0</v>
      </c>
      <c r="AL181" s="2656">
        <f t="shared" si="71"/>
        <v>0</v>
      </c>
      <c r="AM181" s="2633">
        <f t="shared" si="71"/>
        <v>0</v>
      </c>
      <c r="AN181" s="2633">
        <f t="shared" si="71"/>
        <v>0</v>
      </c>
      <c r="AO181" s="2633">
        <f t="shared" si="71"/>
        <v>0</v>
      </c>
      <c r="AP181" s="2633">
        <f t="shared" si="71"/>
        <v>0</v>
      </c>
      <c r="AQ181" s="2633">
        <f t="shared" si="71"/>
        <v>0</v>
      </c>
      <c r="AR181" s="2633">
        <f t="shared" si="71"/>
        <v>0</v>
      </c>
      <c r="AS181" s="2633">
        <f t="shared" si="71"/>
        <v>0</v>
      </c>
      <c r="AT181" s="2633">
        <f t="shared" si="71"/>
        <v>0</v>
      </c>
      <c r="AU181" s="2633">
        <f t="shared" si="71"/>
        <v>0</v>
      </c>
      <c r="AV181" s="2633">
        <f t="shared" si="71"/>
        <v>0</v>
      </c>
      <c r="AW181" s="2633">
        <f t="shared" si="71"/>
        <v>0</v>
      </c>
      <c r="AX181" s="2633">
        <f t="shared" si="71"/>
        <v>0</v>
      </c>
      <c r="AY181" s="2633">
        <f t="shared" si="71"/>
        <v>0</v>
      </c>
      <c r="AZ181" s="2633">
        <f t="shared" si="71"/>
        <v>0</v>
      </c>
      <c r="BA181" s="2633">
        <f t="shared" si="71"/>
        <v>0</v>
      </c>
      <c r="BB181" s="2636">
        <f t="shared" ref="BB181:BL181" si="72">SUM(BB169:BB179)</f>
        <v>0</v>
      </c>
      <c r="BC181" s="2636">
        <f t="shared" si="72"/>
        <v>0</v>
      </c>
      <c r="BD181" s="2636">
        <f t="shared" si="72"/>
        <v>0</v>
      </c>
      <c r="BE181" s="2636">
        <f t="shared" si="72"/>
        <v>0</v>
      </c>
      <c r="BF181" s="2636">
        <f t="shared" si="72"/>
        <v>0</v>
      </c>
      <c r="BG181" s="2636">
        <f t="shared" si="72"/>
        <v>0</v>
      </c>
      <c r="BH181" s="2636">
        <f t="shared" si="72"/>
        <v>0</v>
      </c>
      <c r="BI181" s="2636">
        <f t="shared" si="72"/>
        <v>0</v>
      </c>
      <c r="BJ181" s="2636">
        <f t="shared" si="72"/>
        <v>0</v>
      </c>
      <c r="BK181" s="2636">
        <f t="shared" si="72"/>
        <v>0</v>
      </c>
      <c r="BL181" s="2636">
        <f t="shared" si="72"/>
        <v>0</v>
      </c>
      <c r="BM181" s="2636">
        <v>0</v>
      </c>
      <c r="BN181" s="2636">
        <f>SUM(BN169:BN179)</f>
        <v>0</v>
      </c>
      <c r="BO181" s="2636">
        <f>SUM(BO169:BO179)</f>
        <v>0</v>
      </c>
      <c r="BP181" s="2636">
        <f>SUM(BP169:BP179)</f>
        <v>0</v>
      </c>
      <c r="BQ181" s="2636">
        <f>SUM(BQ169:BQ179)</f>
        <v>0</v>
      </c>
    </row>
    <row r="182" spans="1:69" s="2572" customFormat="1" ht="15">
      <c r="A182" s="132" t="s">
        <v>80</v>
      </c>
      <c r="B182" s="28">
        <f t="shared" si="69"/>
        <v>0</v>
      </c>
      <c r="C182" s="1287"/>
      <c r="D182" s="1287"/>
      <c r="E182" s="1287"/>
      <c r="F182" s="1287"/>
      <c r="G182" s="1287"/>
      <c r="H182" s="1287"/>
      <c r="I182" s="1287"/>
      <c r="J182" s="1287"/>
      <c r="K182" s="1287"/>
      <c r="L182" s="1287"/>
      <c r="M182" s="1287"/>
      <c r="N182" s="1287"/>
      <c r="O182" s="1287"/>
      <c r="P182" s="1287"/>
      <c r="Q182" s="1287"/>
      <c r="R182" s="1287"/>
      <c r="S182" s="1287"/>
      <c r="T182" s="1287"/>
      <c r="U182" s="1287"/>
      <c r="V182" s="1287"/>
      <c r="W182" s="1287"/>
      <c r="X182" s="1287"/>
      <c r="Y182" s="1287"/>
      <c r="Z182" s="1287"/>
      <c r="AA182" s="1287"/>
      <c r="AB182" s="1287"/>
      <c r="AC182" s="1287"/>
      <c r="AD182" s="1287"/>
      <c r="AE182" s="1287"/>
      <c r="AF182" s="1287"/>
      <c r="AG182" s="1287"/>
      <c r="AH182" s="53">
        <f t="shared" si="70"/>
        <v>0</v>
      </c>
      <c r="AJ182" s="2662"/>
      <c r="AK182" s="2662"/>
      <c r="AL182" s="2662"/>
      <c r="AM182" s="2630"/>
      <c r="AN182" s="2630"/>
      <c r="AO182" s="2630"/>
      <c r="AP182" s="2630"/>
      <c r="AQ182" s="2630"/>
      <c r="AR182" s="2630"/>
      <c r="AS182" s="2630"/>
      <c r="AT182" s="2630"/>
      <c r="AU182" s="2630"/>
      <c r="AV182" s="2630"/>
      <c r="AW182" s="2630"/>
      <c r="AX182" s="2630"/>
      <c r="AY182" s="2630"/>
      <c r="AZ182" s="2630"/>
      <c r="BA182" s="2630"/>
      <c r="BB182" s="2630"/>
      <c r="BC182" s="2630"/>
      <c r="BD182" s="2630"/>
      <c r="BE182" s="2630"/>
      <c r="BF182" s="2630"/>
      <c r="BG182" s="2630"/>
      <c r="BH182" s="2630"/>
      <c r="BI182" s="2630"/>
      <c r="BJ182" s="2630"/>
      <c r="BK182" s="2630"/>
      <c r="BL182" s="2630"/>
      <c r="BM182" s="2630"/>
      <c r="BN182" s="2630"/>
      <c r="BO182" s="2630"/>
      <c r="BP182" s="2630"/>
      <c r="BQ182" s="2630"/>
    </row>
    <row r="183" spans="1:69" s="2572" customFormat="1" ht="18" customHeight="1">
      <c r="A183" s="132" t="s">
        <v>81</v>
      </c>
      <c r="B183" s="28">
        <f t="shared" si="69"/>
        <v>0</v>
      </c>
      <c r="C183" s="1287"/>
      <c r="D183" s="1488"/>
      <c r="E183" s="1488"/>
      <c r="F183" s="1488"/>
      <c r="G183" s="1287"/>
      <c r="H183" s="1287"/>
      <c r="I183" s="1287"/>
      <c r="J183" s="1287"/>
      <c r="K183" s="1287"/>
      <c r="L183" s="1287"/>
      <c r="M183" s="1287"/>
      <c r="N183" s="1287"/>
      <c r="O183" s="1287"/>
      <c r="P183" s="1287"/>
      <c r="Q183" s="1287"/>
      <c r="R183" s="1287"/>
      <c r="S183" s="1287"/>
      <c r="T183" s="1287"/>
      <c r="U183" s="1287"/>
      <c r="V183" s="1287"/>
      <c r="W183" s="1287"/>
      <c r="X183" s="1287"/>
      <c r="Y183" s="1287"/>
      <c r="Z183" s="1287"/>
      <c r="AA183" s="1287"/>
      <c r="AB183" s="1287"/>
      <c r="AC183" s="1287"/>
      <c r="AD183" s="1287"/>
      <c r="AE183" s="1287"/>
      <c r="AF183" s="1287"/>
      <c r="AG183" s="1287"/>
      <c r="AH183" s="53">
        <f t="shared" si="70"/>
        <v>0</v>
      </c>
      <c r="AJ183" s="3013" t="s">
        <v>1022</v>
      </c>
      <c r="AK183" s="3013"/>
      <c r="AL183" s="3013"/>
      <c r="AM183" s="1415"/>
      <c r="AN183" s="3013" t="s">
        <v>1020</v>
      </c>
      <c r="AO183" s="3013"/>
      <c r="AP183" s="3080"/>
      <c r="AQ183" s="2629"/>
      <c r="AR183" s="2630"/>
      <c r="AS183" s="2630"/>
      <c r="AT183" s="2630"/>
      <c r="AU183" s="2630"/>
      <c r="AV183" s="2630"/>
      <c r="AW183" s="2630"/>
      <c r="AX183" s="2630"/>
      <c r="AY183" s="2630"/>
      <c r="AZ183" s="2630"/>
      <c r="BA183" s="2630"/>
      <c r="BB183" s="2630"/>
      <c r="BC183" s="2630"/>
      <c r="BD183" s="2630"/>
      <c r="BE183" s="2630"/>
      <c r="BF183" s="2630"/>
      <c r="BG183" s="2630"/>
      <c r="BH183" s="2630"/>
      <c r="BI183" s="2630"/>
      <c r="BJ183" s="2630"/>
      <c r="BK183" s="2630"/>
      <c r="BL183" s="2630"/>
      <c r="BM183" s="2630"/>
      <c r="BN183" s="2630"/>
      <c r="BO183" s="2630"/>
      <c r="BP183" s="2630"/>
      <c r="BQ183" s="2630"/>
    </row>
    <row r="184" spans="1:69" s="2572" customFormat="1" ht="15">
      <c r="A184" s="132" t="s">
        <v>82</v>
      </c>
      <c r="B184" s="28">
        <f t="shared" si="69"/>
        <v>0</v>
      </c>
      <c r="C184" s="1287"/>
      <c r="D184" s="1287"/>
      <c r="E184" s="1287"/>
      <c r="F184" s="1287"/>
      <c r="G184" s="1287"/>
      <c r="H184" s="1287"/>
      <c r="I184" s="1287"/>
      <c r="J184" s="1287"/>
      <c r="K184" s="1287"/>
      <c r="L184" s="1287"/>
      <c r="M184" s="1287"/>
      <c r="N184" s="1287"/>
      <c r="O184" s="1287"/>
      <c r="P184" s="1287"/>
      <c r="Q184" s="1287"/>
      <c r="R184" s="1287"/>
      <c r="S184" s="1287"/>
      <c r="T184" s="1287"/>
      <c r="U184" s="1287"/>
      <c r="V184" s="1287"/>
      <c r="W184" s="1287"/>
      <c r="X184" s="1287"/>
      <c r="Y184" s="1287"/>
      <c r="Z184" s="1287"/>
      <c r="AA184" s="1287"/>
      <c r="AB184" s="1287"/>
      <c r="AC184" s="1287"/>
      <c r="AD184" s="1287"/>
      <c r="AE184" s="1287"/>
      <c r="AF184" s="1287"/>
      <c r="AG184" s="1287"/>
      <c r="AH184" s="53">
        <f t="shared" si="70"/>
        <v>0</v>
      </c>
      <c r="AJ184" s="3885" t="s">
        <v>271</v>
      </c>
      <c r="AK184" s="3886"/>
      <c r="AL184" s="3887"/>
      <c r="AM184" s="2631"/>
      <c r="AN184" s="2631"/>
      <c r="AO184" s="2631"/>
      <c r="AP184" s="2631"/>
      <c r="AQ184" s="2631"/>
      <c r="AR184" s="2631"/>
      <c r="AS184" s="2631"/>
      <c r="AT184" s="2631"/>
      <c r="AU184" s="2631"/>
      <c r="AV184" s="2631"/>
      <c r="AW184" s="2631"/>
      <c r="AX184" s="2631"/>
      <c r="AY184" s="2631"/>
      <c r="AZ184" s="2631"/>
      <c r="BA184" s="2631"/>
      <c r="BB184" s="2632"/>
      <c r="BC184" s="2632"/>
      <c r="BD184" s="2632"/>
      <c r="BE184" s="2632"/>
      <c r="BF184" s="2632"/>
      <c r="BG184" s="2632"/>
      <c r="BH184" s="2632"/>
      <c r="BI184" s="2632"/>
      <c r="BJ184" s="2632"/>
      <c r="BK184" s="2632"/>
      <c r="BL184" s="2632"/>
      <c r="BM184" s="2632"/>
      <c r="BN184" s="2632"/>
      <c r="BO184" s="2632"/>
      <c r="BP184" s="2632"/>
      <c r="BQ184" s="2632"/>
    </row>
    <row r="185" spans="1:69" s="2572" customFormat="1" ht="15">
      <c r="A185" s="30" t="s">
        <v>83</v>
      </c>
      <c r="B185" s="28">
        <f t="shared" si="69"/>
        <v>0</v>
      </c>
      <c r="C185" s="1287"/>
      <c r="D185" s="1287"/>
      <c r="E185" s="1287"/>
      <c r="F185" s="1287"/>
      <c r="G185" s="1287"/>
      <c r="H185" s="1287"/>
      <c r="I185" s="1287"/>
      <c r="J185" s="1287"/>
      <c r="K185" s="1287"/>
      <c r="L185" s="1287"/>
      <c r="M185" s="1287"/>
      <c r="N185" s="1287"/>
      <c r="O185" s="1287"/>
      <c r="P185" s="1287"/>
      <c r="Q185" s="1287"/>
      <c r="R185" s="1287"/>
      <c r="S185" s="1287"/>
      <c r="T185" s="1287"/>
      <c r="U185" s="1287"/>
      <c r="V185" s="1287"/>
      <c r="W185" s="1287"/>
      <c r="X185" s="1287"/>
      <c r="Y185" s="1287"/>
      <c r="Z185" s="1287"/>
      <c r="AA185" s="1287"/>
      <c r="AB185" s="1287"/>
      <c r="AC185" s="1287"/>
      <c r="AD185" s="1287"/>
      <c r="AE185" s="1287"/>
      <c r="AF185" s="1287"/>
      <c r="AG185" s="1287"/>
      <c r="AH185" s="53">
        <f t="shared" si="70"/>
        <v>0</v>
      </c>
      <c r="AJ185" s="2655" t="s">
        <v>72</v>
      </c>
      <c r="AK185" s="2656" t="s">
        <v>73</v>
      </c>
      <c r="AL185" s="2657">
        <v>1</v>
      </c>
      <c r="AM185" s="2042">
        <v>2</v>
      </c>
      <c r="AN185" s="2042">
        <v>3</v>
      </c>
      <c r="AO185" s="2042">
        <v>4</v>
      </c>
      <c r="AP185" s="2042">
        <v>5</v>
      </c>
      <c r="AQ185" s="2042">
        <v>6</v>
      </c>
      <c r="AR185" s="2042">
        <v>7</v>
      </c>
      <c r="AS185" s="2042">
        <v>8</v>
      </c>
      <c r="AT185" s="2042">
        <v>9</v>
      </c>
      <c r="AU185" s="2042">
        <v>10</v>
      </c>
      <c r="AV185" s="2042">
        <v>11</v>
      </c>
      <c r="AW185" s="2042">
        <v>12</v>
      </c>
      <c r="AX185" s="2042">
        <v>13</v>
      </c>
      <c r="AY185" s="2042">
        <v>14</v>
      </c>
      <c r="AZ185" s="2042">
        <v>15</v>
      </c>
      <c r="BA185" s="2042">
        <v>16</v>
      </c>
      <c r="BB185" s="1841">
        <v>17</v>
      </c>
      <c r="BC185" s="1841">
        <v>18</v>
      </c>
      <c r="BD185" s="1841">
        <v>19</v>
      </c>
      <c r="BE185" s="1841">
        <v>20</v>
      </c>
      <c r="BF185" s="1841">
        <v>21</v>
      </c>
      <c r="BG185" s="1841">
        <v>22</v>
      </c>
      <c r="BH185" s="1841">
        <v>23</v>
      </c>
      <c r="BI185" s="1841">
        <v>24</v>
      </c>
      <c r="BJ185" s="1841">
        <v>25</v>
      </c>
      <c r="BK185" s="1841">
        <v>26</v>
      </c>
      <c r="BL185" s="1841">
        <v>27</v>
      </c>
      <c r="BM185" s="1841">
        <v>28</v>
      </c>
      <c r="BN185" s="1841">
        <v>29</v>
      </c>
      <c r="BO185" s="1841">
        <v>30</v>
      </c>
      <c r="BP185" s="1841">
        <v>31</v>
      </c>
      <c r="BQ185" s="2634" t="s">
        <v>74</v>
      </c>
    </row>
    <row r="186" spans="1:69" s="2572" customFormat="1" ht="15">
      <c r="A186" s="30" t="s">
        <v>84</v>
      </c>
      <c r="B186" s="28">
        <f t="shared" si="69"/>
        <v>0</v>
      </c>
      <c r="C186" s="1287"/>
      <c r="D186" s="1287"/>
      <c r="E186" s="1287"/>
      <c r="F186" s="1287"/>
      <c r="G186" s="1287"/>
      <c r="H186" s="1287"/>
      <c r="I186" s="1287"/>
      <c r="J186" s="1287"/>
      <c r="K186" s="1287"/>
      <c r="L186" s="1287"/>
      <c r="M186" s="1287"/>
      <c r="N186" s="1287"/>
      <c r="O186" s="1287"/>
      <c r="P186" s="1287"/>
      <c r="Q186" s="1287"/>
      <c r="R186" s="1287"/>
      <c r="S186" s="1287"/>
      <c r="T186" s="1287"/>
      <c r="U186" s="1287"/>
      <c r="V186" s="1287"/>
      <c r="W186" s="1287"/>
      <c r="X186" s="1287"/>
      <c r="Y186" s="1287"/>
      <c r="Z186" s="1287"/>
      <c r="AA186" s="1287"/>
      <c r="AB186" s="1287"/>
      <c r="AC186" s="1287"/>
      <c r="AD186" s="1287"/>
      <c r="AE186" s="1488"/>
      <c r="AF186" s="1287"/>
      <c r="AG186" s="1488"/>
      <c r="AH186" s="53">
        <f t="shared" si="70"/>
        <v>0</v>
      </c>
      <c r="AJ186" s="2655" t="s">
        <v>75</v>
      </c>
      <c r="AK186" s="2656">
        <f t="shared" ref="AK186:AK197" si="73">+BQ186</f>
        <v>0</v>
      </c>
      <c r="AL186" s="2658"/>
      <c r="AM186" s="2635"/>
      <c r="AN186" s="2635"/>
      <c r="AO186" s="2635"/>
      <c r="AP186" s="2635"/>
      <c r="AQ186" s="2635"/>
      <c r="AR186" s="2635"/>
      <c r="AS186" s="2635"/>
      <c r="AT186" s="2635"/>
      <c r="AU186" s="2635"/>
      <c r="AV186" s="2635"/>
      <c r="AW186" s="2635"/>
      <c r="AX186" s="2635"/>
      <c r="AY186" s="2635"/>
      <c r="AZ186" s="2635"/>
      <c r="BA186" s="2635"/>
      <c r="BB186" s="2635"/>
      <c r="BC186" s="2635"/>
      <c r="BD186" s="2635"/>
      <c r="BE186" s="2635"/>
      <c r="BF186" s="2635"/>
      <c r="BG186" s="2635"/>
      <c r="BH186" s="2635"/>
      <c r="BI186" s="2635"/>
      <c r="BJ186" s="2635"/>
      <c r="BK186" s="2635"/>
      <c r="BL186" s="2635"/>
      <c r="BM186" s="2635"/>
      <c r="BN186" s="2635"/>
      <c r="BO186" s="2635"/>
      <c r="BP186" s="2635"/>
      <c r="BQ186" s="2636">
        <f>SUM(AL186:BP186)</f>
        <v>0</v>
      </c>
    </row>
    <row r="187" spans="1:69" s="2572" customFormat="1" ht="15.75" thickBot="1">
      <c r="A187" s="30" t="s">
        <v>85</v>
      </c>
      <c r="B187" s="28">
        <f t="shared" si="69"/>
        <v>0</v>
      </c>
      <c r="C187" s="1287"/>
      <c r="D187" s="1287"/>
      <c r="E187" s="1287"/>
      <c r="F187" s="1287"/>
      <c r="G187" s="1433"/>
      <c r="H187" s="1287"/>
      <c r="I187" s="1287"/>
      <c r="J187" s="1287"/>
      <c r="K187" s="1287"/>
      <c r="L187" s="1287"/>
      <c r="M187" s="1287"/>
      <c r="N187" s="1287"/>
      <c r="O187" s="1287"/>
      <c r="P187" s="1287"/>
      <c r="Q187" s="1287"/>
      <c r="R187" s="1287"/>
      <c r="S187" s="1287"/>
      <c r="T187" s="1287"/>
      <c r="U187" s="1287"/>
      <c r="V187" s="1287"/>
      <c r="W187" s="1287"/>
      <c r="X187" s="1287"/>
      <c r="Y187" s="1287"/>
      <c r="Z187" s="1287"/>
      <c r="AA187" s="1287"/>
      <c r="AB187" s="1287"/>
      <c r="AC187" s="1287"/>
      <c r="AD187" s="1287"/>
      <c r="AE187" s="1488"/>
      <c r="AF187" s="1287"/>
      <c r="AG187" s="1488"/>
      <c r="AH187" s="53">
        <f t="shared" si="70"/>
        <v>0</v>
      </c>
      <c r="AJ187" s="2655" t="s">
        <v>76</v>
      </c>
      <c r="AK187" s="2656">
        <f t="shared" si="73"/>
        <v>0</v>
      </c>
      <c r="AL187" s="2658"/>
      <c r="AM187" s="2635"/>
      <c r="AN187" s="2635"/>
      <c r="AO187" s="2635"/>
      <c r="AP187" s="2635"/>
      <c r="AQ187" s="2635"/>
      <c r="AR187" s="2635"/>
      <c r="AS187" s="2635"/>
      <c r="AT187" s="2635"/>
      <c r="AU187" s="2635"/>
      <c r="AV187" s="2635"/>
      <c r="AW187" s="2635"/>
      <c r="AX187" s="2635"/>
      <c r="AY187" s="2635"/>
      <c r="AZ187" s="2635"/>
      <c r="BA187" s="2635"/>
      <c r="BB187" s="2635"/>
      <c r="BC187" s="2635"/>
      <c r="BD187" s="2635"/>
      <c r="BE187" s="2635"/>
      <c r="BF187" s="2635"/>
      <c r="BG187" s="2635"/>
      <c r="BH187" s="2635"/>
      <c r="BI187" s="2635"/>
      <c r="BJ187" s="2635"/>
      <c r="BK187" s="2635"/>
      <c r="BL187" s="2635"/>
      <c r="BM187" s="2635"/>
      <c r="BN187" s="2635"/>
      <c r="BO187" s="2635"/>
      <c r="BP187" s="2635"/>
      <c r="BQ187" s="2636">
        <f t="shared" ref="BQ187:BQ197" si="74">SUM(AL187:BP187)</f>
        <v>0</v>
      </c>
    </row>
    <row r="188" spans="1:69" s="2572" customFormat="1" ht="15.75" thickBot="1">
      <c r="A188" s="30" t="s">
        <v>86</v>
      </c>
      <c r="B188" s="28">
        <f t="shared" si="69"/>
        <v>0</v>
      </c>
      <c r="C188" s="1287"/>
      <c r="D188" s="1287"/>
      <c r="E188" s="1287"/>
      <c r="F188" s="1287"/>
      <c r="G188" s="1287"/>
      <c r="H188" s="1287"/>
      <c r="I188" s="1287"/>
      <c r="J188" s="1287"/>
      <c r="K188" s="1287"/>
      <c r="L188" s="1287"/>
      <c r="M188" s="1287"/>
      <c r="N188" s="1287"/>
      <c r="O188" s="1287"/>
      <c r="P188" s="1287"/>
      <c r="Q188" s="1287"/>
      <c r="R188" s="1287"/>
      <c r="S188" s="1287"/>
      <c r="T188" s="1287"/>
      <c r="U188" s="1287"/>
      <c r="V188" s="1287"/>
      <c r="W188" s="1287"/>
      <c r="X188" s="1287"/>
      <c r="Y188" s="1287"/>
      <c r="Z188" s="1287"/>
      <c r="AA188" s="1287"/>
      <c r="AB188" s="1287"/>
      <c r="AC188" s="1287"/>
      <c r="AD188" s="1287"/>
      <c r="AE188" s="1287"/>
      <c r="AF188" s="1287"/>
      <c r="AG188" s="1287"/>
      <c r="AH188" s="53">
        <f t="shared" si="70"/>
        <v>0</v>
      </c>
      <c r="AJ188" s="2655" t="s">
        <v>77</v>
      </c>
      <c r="AK188" s="2656">
        <f t="shared" si="73"/>
        <v>0</v>
      </c>
      <c r="AL188" s="2658"/>
      <c r="AM188" s="2635"/>
      <c r="AN188" s="2635"/>
      <c r="AO188" s="2635"/>
      <c r="AP188" s="2635"/>
      <c r="AQ188" s="1842"/>
      <c r="AR188" s="1842"/>
      <c r="AS188" s="1842"/>
      <c r="AT188" s="1842"/>
      <c r="AU188" s="1842"/>
      <c r="AV188" s="1842"/>
      <c r="AW188" s="1842"/>
      <c r="AX188" s="1842"/>
      <c r="AY188" s="1842"/>
      <c r="AZ188" s="1842"/>
      <c r="BA188" s="2637"/>
      <c r="BB188" s="1842"/>
      <c r="BC188" s="1842"/>
      <c r="BD188" s="1842"/>
      <c r="BE188" s="1842"/>
      <c r="BF188" s="1842"/>
      <c r="BG188" s="1842"/>
      <c r="BH188" s="1842"/>
      <c r="BI188" s="1842"/>
      <c r="BJ188" s="1842"/>
      <c r="BK188" s="1842"/>
      <c r="BL188" s="2635"/>
      <c r="BM188" s="2635"/>
      <c r="BN188" s="2635"/>
      <c r="BO188" s="2635"/>
      <c r="BP188" s="2635"/>
      <c r="BQ188" s="2636">
        <f t="shared" si="74"/>
        <v>0</v>
      </c>
    </row>
    <row r="189" spans="1:69" s="2572" customFormat="1" ht="15">
      <c r="A189" s="88" t="s">
        <v>74</v>
      </c>
      <c r="B189" s="90">
        <f t="shared" ref="B189:R189" si="75">SUM(B177:B188)</f>
        <v>42.436</v>
      </c>
      <c r="C189" s="71">
        <f t="shared" si="75"/>
        <v>0</v>
      </c>
      <c r="D189" s="71">
        <f t="shared" si="75"/>
        <v>0</v>
      </c>
      <c r="E189" s="71">
        <f t="shared" si="75"/>
        <v>0</v>
      </c>
      <c r="F189" s="71">
        <f t="shared" si="75"/>
        <v>0</v>
      </c>
      <c r="G189" s="71">
        <f t="shared" si="75"/>
        <v>28.309000000000001</v>
      </c>
      <c r="H189" s="71">
        <f t="shared" si="75"/>
        <v>0</v>
      </c>
      <c r="I189" s="71">
        <f t="shared" si="75"/>
        <v>0</v>
      </c>
      <c r="J189" s="71">
        <f t="shared" si="75"/>
        <v>0</v>
      </c>
      <c r="K189" s="71">
        <f t="shared" si="75"/>
        <v>0</v>
      </c>
      <c r="L189" s="71">
        <f t="shared" si="75"/>
        <v>0</v>
      </c>
      <c r="M189" s="71">
        <f t="shared" si="75"/>
        <v>0</v>
      </c>
      <c r="N189" s="71">
        <f t="shared" si="75"/>
        <v>14.127000000000001</v>
      </c>
      <c r="O189" s="71">
        <f t="shared" si="75"/>
        <v>0</v>
      </c>
      <c r="P189" s="71">
        <f t="shared" si="75"/>
        <v>0</v>
      </c>
      <c r="Q189" s="71">
        <f t="shared" si="75"/>
        <v>0</v>
      </c>
      <c r="R189" s="71">
        <f t="shared" si="75"/>
        <v>0</v>
      </c>
      <c r="S189" s="53">
        <f t="shared" ref="S189:AC189" si="76">SUM(S177:S187)</f>
        <v>0</v>
      </c>
      <c r="T189" s="53">
        <f t="shared" si="76"/>
        <v>0</v>
      </c>
      <c r="U189" s="53">
        <f t="shared" si="76"/>
        <v>0</v>
      </c>
      <c r="V189" s="53">
        <f t="shared" si="76"/>
        <v>0</v>
      </c>
      <c r="W189" s="53">
        <f t="shared" si="76"/>
        <v>0</v>
      </c>
      <c r="X189" s="53">
        <f t="shared" si="76"/>
        <v>0</v>
      </c>
      <c r="Y189" s="53">
        <f t="shared" si="76"/>
        <v>0</v>
      </c>
      <c r="Z189" s="53">
        <f t="shared" si="76"/>
        <v>0</v>
      </c>
      <c r="AA189" s="53">
        <f t="shared" si="76"/>
        <v>0</v>
      </c>
      <c r="AB189" s="53">
        <f t="shared" si="76"/>
        <v>0</v>
      </c>
      <c r="AC189" s="53">
        <f t="shared" si="76"/>
        <v>0</v>
      </c>
      <c r="AD189" s="53">
        <v>0</v>
      </c>
      <c r="AE189" s="53">
        <f>SUM(AE177:AE187)</f>
        <v>0</v>
      </c>
      <c r="AF189" s="53">
        <f>SUM(AF177:AF187)</f>
        <v>0</v>
      </c>
      <c r="AG189" s="53">
        <f>SUM(AG177:AG187)</f>
        <v>0</v>
      </c>
      <c r="AH189" s="46">
        <f>SUM(AH177:AH187)</f>
        <v>42.436</v>
      </c>
      <c r="AJ189" s="2655" t="s">
        <v>78</v>
      </c>
      <c r="AK189" s="2656">
        <f t="shared" si="73"/>
        <v>0</v>
      </c>
      <c r="AL189" s="2658"/>
      <c r="AM189" s="2635"/>
      <c r="AN189" s="2635"/>
      <c r="AO189" s="2635"/>
      <c r="AP189" s="2635"/>
      <c r="AQ189" s="2635"/>
      <c r="AR189" s="2635"/>
      <c r="AS189" s="2635"/>
      <c r="AT189" s="2635"/>
      <c r="AU189" s="2638"/>
      <c r="AV189" s="2638"/>
      <c r="AW189" s="2638"/>
      <c r="AX189" s="2638"/>
      <c r="AY189" s="2638"/>
      <c r="AZ189" s="2638"/>
      <c r="BA189" s="2638"/>
      <c r="BB189" s="2638"/>
      <c r="BC189" s="2638"/>
      <c r="BD189" s="2638"/>
      <c r="BE189" s="2638"/>
      <c r="BF189" s="2638"/>
      <c r="BG189" s="2638"/>
      <c r="BH189" s="2638"/>
      <c r="BI189" s="2638"/>
      <c r="BJ189" s="2638"/>
      <c r="BK189" s="2638"/>
      <c r="BL189" s="2638"/>
      <c r="BM189" s="2638"/>
      <c r="BN189" s="2638"/>
      <c r="BO189" s="2638"/>
      <c r="BP189" s="2638"/>
      <c r="BQ189" s="2636">
        <f t="shared" si="74"/>
        <v>0</v>
      </c>
    </row>
    <row r="190" spans="1:69" s="2572" customFormat="1" ht="15">
      <c r="A190" s="2187"/>
      <c r="B190" s="2187"/>
      <c r="C190" s="2187"/>
      <c r="D190" s="2187"/>
      <c r="E190" s="2187"/>
      <c r="F190" s="2187"/>
      <c r="G190" s="2187"/>
      <c r="H190" s="2187"/>
      <c r="I190" s="2187"/>
      <c r="J190" s="2187"/>
      <c r="K190" s="2187"/>
      <c r="L190" s="2187"/>
      <c r="M190" s="2187"/>
      <c r="N190" s="2187"/>
      <c r="O190" s="2187"/>
      <c r="P190" s="2187"/>
      <c r="Q190" s="2187"/>
      <c r="R190" s="2187"/>
      <c r="S190" s="2187"/>
      <c r="T190" s="2187"/>
      <c r="U190" s="2187"/>
      <c r="V190" s="2187"/>
      <c r="W190" s="2187"/>
      <c r="X190" s="2187"/>
      <c r="Y190" s="2187"/>
      <c r="Z190" s="2187"/>
      <c r="AA190" s="2187"/>
      <c r="AB190" s="2187"/>
      <c r="AC190" s="2187"/>
      <c r="AD190" s="2187"/>
      <c r="AE190" s="2187"/>
      <c r="AF190" s="2187"/>
      <c r="AG190" s="2187"/>
      <c r="AH190" s="2187"/>
      <c r="AJ190" s="2655" t="s">
        <v>79</v>
      </c>
      <c r="AK190" s="2656">
        <f t="shared" si="73"/>
        <v>0</v>
      </c>
      <c r="AL190" s="2659"/>
      <c r="AM190" s="1842"/>
      <c r="AN190" s="1842"/>
      <c r="AO190" s="1842"/>
      <c r="AP190" s="1842"/>
      <c r="AQ190" s="1842"/>
      <c r="AR190" s="1842"/>
      <c r="AS190" s="1842"/>
      <c r="AT190" s="1842"/>
      <c r="AU190" s="1842"/>
      <c r="AV190" s="1842"/>
      <c r="AW190" s="1842"/>
      <c r="AX190" s="1842"/>
      <c r="AY190" s="1842"/>
      <c r="AZ190" s="1842"/>
      <c r="BA190" s="1842"/>
      <c r="BB190" s="1842"/>
      <c r="BC190" s="1842"/>
      <c r="BD190" s="1842"/>
      <c r="BE190" s="1842"/>
      <c r="BF190" s="1842"/>
      <c r="BG190" s="1842"/>
      <c r="BH190" s="1842"/>
      <c r="BI190" s="1842"/>
      <c r="BJ190" s="1842"/>
      <c r="BK190" s="1842"/>
      <c r="BL190" s="1842"/>
      <c r="BM190" s="1842"/>
      <c r="BN190" s="1842"/>
      <c r="BO190" s="1842"/>
      <c r="BP190" s="1842"/>
      <c r="BQ190" s="2636">
        <f t="shared" si="74"/>
        <v>0</v>
      </c>
    </row>
    <row r="191" spans="1:69" s="2572" customFormat="1" ht="15.75" thickBot="1">
      <c r="A191" s="2187"/>
      <c r="B191" s="2187"/>
      <c r="C191" s="2187"/>
      <c r="D191" s="2187"/>
      <c r="E191" s="2187"/>
      <c r="F191" s="2187"/>
      <c r="G191" s="2187"/>
      <c r="H191" s="2187"/>
      <c r="I191" s="2187"/>
      <c r="J191" s="2187"/>
      <c r="K191" s="2187"/>
      <c r="L191" s="2187"/>
      <c r="M191" s="2187"/>
      <c r="N191" s="2187"/>
      <c r="O191" s="2187"/>
      <c r="P191" s="2187"/>
      <c r="Q191" s="2187"/>
      <c r="R191" s="2187"/>
      <c r="S191" s="2187"/>
      <c r="T191" s="2187"/>
      <c r="U191" s="2187"/>
      <c r="V191" s="2187"/>
      <c r="W191" s="2187"/>
      <c r="X191" s="2187"/>
      <c r="Y191" s="2187"/>
      <c r="Z191" s="2187"/>
      <c r="AA191" s="2187"/>
      <c r="AB191" s="2187"/>
      <c r="AC191" s="2187"/>
      <c r="AD191" s="2187"/>
      <c r="AE191" s="2187"/>
      <c r="AF191" s="2187"/>
      <c r="AG191" s="2187"/>
      <c r="AH191" s="2187"/>
      <c r="AJ191" s="2655" t="s">
        <v>80</v>
      </c>
      <c r="AK191" s="2656">
        <f t="shared" si="73"/>
        <v>0</v>
      </c>
      <c r="AL191" s="2659"/>
      <c r="AM191" s="1842"/>
      <c r="AN191" s="1842"/>
      <c r="AO191" s="1842"/>
      <c r="AP191" s="1842"/>
      <c r="AQ191" s="1842"/>
      <c r="AR191" s="1842"/>
      <c r="AS191" s="1842"/>
      <c r="AT191" s="1842"/>
      <c r="AU191" s="1842"/>
      <c r="AV191" s="1842"/>
      <c r="AW191" s="1842"/>
      <c r="AX191" s="1842"/>
      <c r="AY191" s="1842"/>
      <c r="AZ191" s="1842"/>
      <c r="BA191" s="1842"/>
      <c r="BB191" s="1842"/>
      <c r="BC191" s="1842"/>
      <c r="BD191" s="1842"/>
      <c r="BE191" s="1842"/>
      <c r="BF191" s="1842"/>
      <c r="BG191" s="1842"/>
      <c r="BH191" s="1842"/>
      <c r="BI191" s="1842"/>
      <c r="BJ191" s="1842"/>
      <c r="BK191" s="1842"/>
      <c r="BL191" s="1842"/>
      <c r="BM191" s="1842"/>
      <c r="BN191" s="1842"/>
      <c r="BO191" s="1842"/>
      <c r="BP191" s="1842"/>
      <c r="BQ191" s="2636">
        <f t="shared" si="74"/>
        <v>0</v>
      </c>
    </row>
    <row r="192" spans="1:69" s="2572" customFormat="1" ht="16.5" thickBot="1">
      <c r="A192" s="2477"/>
      <c r="B192" s="2478"/>
      <c r="C192" s="2478"/>
      <c r="D192" s="2478"/>
      <c r="E192" s="2478"/>
      <c r="F192" s="3810" t="s">
        <v>155</v>
      </c>
      <c r="G192" s="3811"/>
      <c r="H192" s="3812"/>
      <c r="I192" s="3810" t="s">
        <v>156</v>
      </c>
      <c r="J192" s="3813"/>
      <c r="K192" s="3814" t="s">
        <v>912</v>
      </c>
      <c r="L192" s="3814" t="s">
        <v>913</v>
      </c>
      <c r="AJ192" s="2655" t="s">
        <v>81</v>
      </c>
      <c r="AK192" s="2656">
        <f t="shared" si="73"/>
        <v>0</v>
      </c>
      <c r="AL192" s="2659"/>
      <c r="AM192" s="2636"/>
      <c r="AN192" s="2636"/>
      <c r="AO192" s="2636"/>
      <c r="AP192" s="1842"/>
      <c r="AQ192" s="1842"/>
      <c r="AR192" s="1842"/>
      <c r="AS192" s="1842"/>
      <c r="AT192" s="1842"/>
      <c r="AU192" s="1842"/>
      <c r="AV192" s="1842"/>
      <c r="AW192" s="1842"/>
      <c r="AX192" s="1842"/>
      <c r="AY192" s="1842"/>
      <c r="AZ192" s="1842"/>
      <c r="BA192" s="1842"/>
      <c r="BB192" s="1842"/>
      <c r="BC192" s="1842"/>
      <c r="BD192" s="1842"/>
      <c r="BE192" s="1842"/>
      <c r="BF192" s="1842"/>
      <c r="BG192" s="1842"/>
      <c r="BH192" s="1842"/>
      <c r="BI192" s="1842"/>
      <c r="BJ192" s="1842"/>
      <c r="BK192" s="1842"/>
      <c r="BL192" s="1842"/>
      <c r="BM192" s="1842"/>
      <c r="BN192" s="1842"/>
      <c r="BO192" s="1842"/>
      <c r="BP192" s="1842"/>
      <c r="BQ192" s="2636">
        <f t="shared" si="74"/>
        <v>0</v>
      </c>
    </row>
    <row r="193" spans="1:69" s="2572" customFormat="1" ht="15.75" customHeight="1" thickBot="1">
      <c r="A193" s="2479" t="s">
        <v>158</v>
      </c>
      <c r="B193" s="2480" t="s">
        <v>159</v>
      </c>
      <c r="C193" s="2481" t="s">
        <v>136</v>
      </c>
      <c r="D193" s="2482" t="s">
        <v>134</v>
      </c>
      <c r="E193" s="2480" t="s">
        <v>160</v>
      </c>
      <c r="F193" s="2483" t="s">
        <v>8</v>
      </c>
      <c r="G193" s="2484" t="s">
        <v>161</v>
      </c>
      <c r="H193" s="2485" t="s">
        <v>52</v>
      </c>
      <c r="I193" s="2483" t="s">
        <v>8</v>
      </c>
      <c r="J193" s="2486" t="s">
        <v>162</v>
      </c>
      <c r="K193" s="3815"/>
      <c r="L193" s="3815"/>
      <c r="AJ193" s="2655" t="s">
        <v>82</v>
      </c>
      <c r="AK193" s="2656">
        <f t="shared" si="73"/>
        <v>0</v>
      </c>
      <c r="AL193" s="2659"/>
      <c r="AM193" s="1842"/>
      <c r="AN193" s="1842"/>
      <c r="AO193" s="1842"/>
      <c r="AP193" s="1842"/>
      <c r="AQ193" s="1842"/>
      <c r="AR193" s="1842"/>
      <c r="AS193" s="1842"/>
      <c r="AT193" s="1842"/>
      <c r="AU193" s="1842"/>
      <c r="AV193" s="1842"/>
      <c r="AW193" s="1842"/>
      <c r="AX193" s="1842"/>
      <c r="AY193" s="1842"/>
      <c r="AZ193" s="1842"/>
      <c r="BA193" s="1842"/>
      <c r="BB193" s="1842"/>
      <c r="BC193" s="1842"/>
      <c r="BD193" s="1842"/>
      <c r="BE193" s="1842"/>
      <c r="BF193" s="1842"/>
      <c r="BG193" s="1842"/>
      <c r="BH193" s="1842"/>
      <c r="BI193" s="1842"/>
      <c r="BJ193" s="1842"/>
      <c r="BK193" s="1842"/>
      <c r="BL193" s="1842"/>
      <c r="BM193" s="1842"/>
      <c r="BN193" s="1842"/>
      <c r="BO193" s="1842"/>
      <c r="BP193" s="1842"/>
      <c r="BQ193" s="2636">
        <f t="shared" si="74"/>
        <v>0</v>
      </c>
    </row>
    <row r="194" spans="1:69" s="2572" customFormat="1" ht="15.75" thickBot="1">
      <c r="A194" s="1339"/>
      <c r="B194" s="1340">
        <v>41348</v>
      </c>
      <c r="C194" s="1341">
        <v>957995</v>
      </c>
      <c r="D194" s="1342"/>
      <c r="E194" s="1343">
        <v>1930</v>
      </c>
      <c r="F194" s="1339"/>
      <c r="G194" s="1342">
        <v>300</v>
      </c>
      <c r="H194" s="1344">
        <f>SUM(F194:G194)</f>
        <v>300</v>
      </c>
      <c r="I194" s="1345"/>
      <c r="J194" s="1346">
        <f>(B189)</f>
        <v>42.436</v>
      </c>
      <c r="K194" s="1347">
        <f>+F194-I194</f>
        <v>0</v>
      </c>
      <c r="L194" s="1347">
        <f>+G194-J194</f>
        <v>257.56400000000002</v>
      </c>
      <c r="AJ194" s="2655" t="s">
        <v>83</v>
      </c>
      <c r="AK194" s="2656">
        <f t="shared" si="73"/>
        <v>0</v>
      </c>
      <c r="AL194" s="2659"/>
      <c r="AM194" s="1842"/>
      <c r="AN194" s="1842"/>
      <c r="AO194" s="1842"/>
      <c r="AP194" s="1842"/>
      <c r="AQ194" s="1842"/>
      <c r="AR194" s="1842"/>
      <c r="AS194" s="1842"/>
      <c r="AT194" s="1842"/>
      <c r="AU194" s="1842"/>
      <c r="AV194" s="1842"/>
      <c r="AW194" s="1842"/>
      <c r="AX194" s="1842"/>
      <c r="AY194" s="1842"/>
      <c r="AZ194" s="1842"/>
      <c r="BA194" s="1842"/>
      <c r="BB194" s="1842"/>
      <c r="BC194" s="1842"/>
      <c r="BD194" s="1842"/>
      <c r="BE194" s="1842"/>
      <c r="BF194" s="1842"/>
      <c r="BG194" s="1842"/>
      <c r="BH194" s="1842"/>
      <c r="BI194" s="1842"/>
      <c r="BJ194" s="1842"/>
      <c r="BK194" s="1842"/>
      <c r="BL194" s="1842"/>
      <c r="BM194" s="1842"/>
      <c r="BN194" s="1842"/>
      <c r="BO194" s="1842"/>
      <c r="BP194" s="1842"/>
      <c r="BQ194" s="2636">
        <f t="shared" si="74"/>
        <v>0</v>
      </c>
    </row>
    <row r="195" spans="1:69" s="2572" customFormat="1" ht="15.75" thickBot="1">
      <c r="A195" s="1339"/>
      <c r="B195" s="1340"/>
      <c r="C195" s="1341"/>
      <c r="D195" s="1342"/>
      <c r="E195" s="1343"/>
      <c r="F195" s="1339"/>
      <c r="G195" s="1342"/>
      <c r="H195" s="1344">
        <f>SUM(F195:G195)</f>
        <v>0</v>
      </c>
      <c r="I195" s="1345"/>
      <c r="J195" s="1346"/>
      <c r="K195" s="1347">
        <f>+H195-I195-J195</f>
        <v>0</v>
      </c>
      <c r="L195" s="1347">
        <f>+I195-J195-K195</f>
        <v>0</v>
      </c>
      <c r="AJ195" s="2655" t="s">
        <v>84</v>
      </c>
      <c r="AK195" s="2656">
        <f t="shared" si="73"/>
        <v>0</v>
      </c>
      <c r="AL195" s="2659"/>
      <c r="AM195" s="1842"/>
      <c r="AN195" s="1842"/>
      <c r="AO195" s="1842"/>
      <c r="AP195" s="1842"/>
      <c r="AQ195" s="1842"/>
      <c r="AR195" s="1842"/>
      <c r="AS195" s="1842"/>
      <c r="AT195" s="1842"/>
      <c r="AU195" s="1842"/>
      <c r="AV195" s="1842"/>
      <c r="AW195" s="1842"/>
      <c r="AX195" s="1842"/>
      <c r="AY195" s="1842"/>
      <c r="AZ195" s="1842"/>
      <c r="BA195" s="1842"/>
      <c r="BB195" s="1842"/>
      <c r="BC195" s="1842"/>
      <c r="BD195" s="1842"/>
      <c r="BE195" s="1842"/>
      <c r="BF195" s="1842"/>
      <c r="BG195" s="1842"/>
      <c r="BH195" s="1842"/>
      <c r="BI195" s="1842"/>
      <c r="BJ195" s="1842"/>
      <c r="BK195" s="1842"/>
      <c r="BL195" s="1842"/>
      <c r="BM195" s="1842"/>
      <c r="BN195" s="2636"/>
      <c r="BO195" s="1842"/>
      <c r="BP195" s="2636"/>
      <c r="BQ195" s="2636">
        <f t="shared" si="74"/>
        <v>0</v>
      </c>
    </row>
    <row r="196" spans="1:69" ht="15">
      <c r="AJ196" s="2655" t="s">
        <v>85</v>
      </c>
      <c r="AK196" s="2656">
        <f t="shared" si="73"/>
        <v>0</v>
      </c>
      <c r="AL196" s="2659"/>
      <c r="AM196" s="1842"/>
      <c r="AN196" s="1842"/>
      <c r="AO196" s="1842"/>
      <c r="AP196" s="2639"/>
      <c r="AQ196" s="1842"/>
      <c r="AR196" s="1842"/>
      <c r="AS196" s="1842"/>
      <c r="AT196" s="1842"/>
      <c r="AU196" s="1842"/>
      <c r="AV196" s="1842"/>
      <c r="AW196" s="1842"/>
      <c r="AX196" s="1842"/>
      <c r="AY196" s="1842"/>
      <c r="AZ196" s="1842"/>
      <c r="BA196" s="1842"/>
      <c r="BB196" s="1842"/>
      <c r="BC196" s="1842"/>
      <c r="BD196" s="1842"/>
      <c r="BE196" s="1842"/>
      <c r="BF196" s="1842"/>
      <c r="BG196" s="1842"/>
      <c r="BH196" s="1842"/>
      <c r="BI196" s="1842"/>
      <c r="BJ196" s="1842"/>
      <c r="BK196" s="1842"/>
      <c r="BL196" s="1842"/>
      <c r="BM196" s="1842"/>
      <c r="BN196" s="2636"/>
      <c r="BO196" s="1842"/>
      <c r="BP196" s="2636"/>
      <c r="BQ196" s="2636">
        <f t="shared" si="74"/>
        <v>0</v>
      </c>
    </row>
    <row r="197" spans="1:69" ht="15">
      <c r="AJ197" s="2655" t="s">
        <v>86</v>
      </c>
      <c r="AK197" s="2656">
        <f t="shared" si="73"/>
        <v>0</v>
      </c>
      <c r="AL197" s="2659"/>
      <c r="AM197" s="1842"/>
      <c r="AN197" s="1842"/>
      <c r="AO197" s="1842"/>
      <c r="AP197" s="1842"/>
      <c r="AQ197" s="1842"/>
      <c r="AR197" s="1842"/>
      <c r="AS197" s="1842"/>
      <c r="AT197" s="1842"/>
      <c r="AU197" s="1842"/>
      <c r="AV197" s="1842"/>
      <c r="AW197" s="1842"/>
      <c r="AX197" s="1842"/>
      <c r="AY197" s="1842"/>
      <c r="AZ197" s="1842"/>
      <c r="BA197" s="1842"/>
      <c r="BB197" s="1842"/>
      <c r="BC197" s="1842"/>
      <c r="BD197" s="1842"/>
      <c r="BE197" s="1842"/>
      <c r="BF197" s="1842"/>
      <c r="BG197" s="1842"/>
      <c r="BH197" s="1842"/>
      <c r="BI197" s="1842"/>
      <c r="BJ197" s="1842"/>
      <c r="BK197" s="1842"/>
      <c r="BL197" s="1842"/>
      <c r="BM197" s="1842"/>
      <c r="BN197" s="1842"/>
      <c r="BO197" s="1842"/>
      <c r="BP197" s="1842"/>
      <c r="BQ197" s="2636">
        <f t="shared" si="74"/>
        <v>0</v>
      </c>
    </row>
    <row r="198" spans="1:69" s="2574" customFormat="1" ht="25.5">
      <c r="A198" s="2550" t="s">
        <v>936</v>
      </c>
      <c r="B198" s="2551"/>
      <c r="C198" s="2551" t="s">
        <v>937</v>
      </c>
      <c r="D198" s="2549"/>
      <c r="E198" s="2549"/>
      <c r="F198" s="2549"/>
      <c r="G198" s="2549"/>
      <c r="H198" s="3014" t="s">
        <v>1057</v>
      </c>
      <c r="I198" s="3014"/>
      <c r="J198" s="3014"/>
      <c r="K198" s="3014"/>
      <c r="L198" s="1415"/>
      <c r="M198" s="3080"/>
      <c r="N198" s="2549"/>
      <c r="O198" s="2549"/>
      <c r="P198" s="2549"/>
      <c r="Q198" s="2549"/>
      <c r="R198" s="2549"/>
      <c r="S198" s="2549"/>
      <c r="T198" s="2549"/>
      <c r="U198" s="2549"/>
      <c r="V198" s="2549"/>
      <c r="W198" s="2549"/>
      <c r="X198" s="2549"/>
      <c r="Y198" s="2549"/>
      <c r="Z198" s="2549"/>
      <c r="AA198" s="2549"/>
      <c r="AB198" s="2549"/>
      <c r="AC198" s="2549"/>
      <c r="AD198" s="2549"/>
      <c r="AE198" s="2549"/>
      <c r="AF198" s="2549"/>
      <c r="AG198" s="2549"/>
      <c r="AH198" s="2549"/>
      <c r="AJ198" s="2660" t="s">
        <v>74</v>
      </c>
      <c r="AK198" s="2661">
        <f t="shared" ref="AK198:BA198" si="77">SUM(AK186:AK197)</f>
        <v>0</v>
      </c>
      <c r="AL198" s="2656">
        <f t="shared" si="77"/>
        <v>0</v>
      </c>
      <c r="AM198" s="2633">
        <f t="shared" si="77"/>
        <v>0</v>
      </c>
      <c r="AN198" s="2633">
        <f t="shared" si="77"/>
        <v>0</v>
      </c>
      <c r="AO198" s="2633">
        <f t="shared" si="77"/>
        <v>0</v>
      </c>
      <c r="AP198" s="2633">
        <f t="shared" si="77"/>
        <v>0</v>
      </c>
      <c r="AQ198" s="2633">
        <f t="shared" si="77"/>
        <v>0</v>
      </c>
      <c r="AR198" s="2633">
        <f t="shared" si="77"/>
        <v>0</v>
      </c>
      <c r="AS198" s="2633">
        <f t="shared" si="77"/>
        <v>0</v>
      </c>
      <c r="AT198" s="2633">
        <f t="shared" si="77"/>
        <v>0</v>
      </c>
      <c r="AU198" s="2633">
        <f t="shared" si="77"/>
        <v>0</v>
      </c>
      <c r="AV198" s="2633">
        <f t="shared" si="77"/>
        <v>0</v>
      </c>
      <c r="AW198" s="2633">
        <f t="shared" si="77"/>
        <v>0</v>
      </c>
      <c r="AX198" s="2633">
        <f t="shared" si="77"/>
        <v>0</v>
      </c>
      <c r="AY198" s="2633">
        <f t="shared" si="77"/>
        <v>0</v>
      </c>
      <c r="AZ198" s="2633">
        <f t="shared" si="77"/>
        <v>0</v>
      </c>
      <c r="BA198" s="2633">
        <f t="shared" si="77"/>
        <v>0</v>
      </c>
      <c r="BB198" s="2636">
        <f t="shared" ref="BB198:BL198" si="78">SUM(BB186:BB196)</f>
        <v>0</v>
      </c>
      <c r="BC198" s="2636">
        <f t="shared" si="78"/>
        <v>0</v>
      </c>
      <c r="BD198" s="2636">
        <f t="shared" si="78"/>
        <v>0</v>
      </c>
      <c r="BE198" s="2636">
        <f t="shared" si="78"/>
        <v>0</v>
      </c>
      <c r="BF198" s="2636">
        <f t="shared" si="78"/>
        <v>0</v>
      </c>
      <c r="BG198" s="2636">
        <f t="shared" si="78"/>
        <v>0</v>
      </c>
      <c r="BH198" s="2636">
        <f t="shared" si="78"/>
        <v>0</v>
      </c>
      <c r="BI198" s="2636">
        <f t="shared" si="78"/>
        <v>0</v>
      </c>
      <c r="BJ198" s="2636">
        <f t="shared" si="78"/>
        <v>0</v>
      </c>
      <c r="BK198" s="2636">
        <f t="shared" si="78"/>
        <v>0</v>
      </c>
      <c r="BL198" s="2636">
        <f t="shared" si="78"/>
        <v>0</v>
      </c>
      <c r="BM198" s="2636">
        <v>0</v>
      </c>
      <c r="BN198" s="2636">
        <f>SUM(BN186:BN196)</f>
        <v>0</v>
      </c>
      <c r="BO198" s="2636">
        <f>SUM(BO186:BO196)</f>
        <v>0</v>
      </c>
      <c r="BP198" s="2636">
        <f>SUM(BP186:BP196)</f>
        <v>0</v>
      </c>
      <c r="BQ198" s="2636">
        <f>SUM(BQ186:BQ196)</f>
        <v>0</v>
      </c>
    </row>
    <row r="199" spans="1:69" s="2574" customFormat="1" ht="15">
      <c r="A199" s="3569" t="s">
        <v>271</v>
      </c>
      <c r="B199" s="3570"/>
      <c r="C199" s="3571"/>
      <c r="D199" s="34"/>
      <c r="E199" s="34"/>
      <c r="F199" s="34"/>
      <c r="G199" s="34"/>
      <c r="H199" s="34"/>
      <c r="I199" s="34"/>
      <c r="J199" s="34"/>
      <c r="K199" s="34"/>
      <c r="L199" s="34"/>
      <c r="M199" s="34"/>
      <c r="N199" s="34"/>
      <c r="O199" s="34"/>
      <c r="P199" s="34"/>
      <c r="Q199" s="34"/>
      <c r="R199" s="34"/>
      <c r="S199" s="52"/>
      <c r="T199" s="52"/>
      <c r="U199" s="52"/>
      <c r="V199" s="52"/>
      <c r="W199" s="52"/>
      <c r="X199" s="52"/>
      <c r="Y199" s="52"/>
      <c r="Z199" s="52"/>
      <c r="AA199" s="52"/>
      <c r="AB199" s="52"/>
      <c r="AC199" s="52"/>
      <c r="AD199" s="52"/>
      <c r="AE199" s="52"/>
      <c r="AF199" s="52"/>
      <c r="AG199" s="52"/>
      <c r="AH199" s="13"/>
      <c r="AJ199" s="2662"/>
      <c r="AK199" s="2662"/>
      <c r="AL199" s="2662"/>
      <c r="AM199" s="2630"/>
      <c r="AN199" s="2630"/>
      <c r="AO199" s="2630"/>
      <c r="AP199" s="2630"/>
      <c r="AQ199" s="2630"/>
      <c r="AR199" s="2630"/>
      <c r="AS199" s="2630"/>
      <c r="AT199" s="2630"/>
      <c r="AU199" s="2630"/>
      <c r="AV199" s="2630"/>
      <c r="AW199" s="2630"/>
      <c r="AX199" s="2630"/>
      <c r="AY199" s="2630"/>
      <c r="AZ199" s="2630"/>
      <c r="BA199" s="2630"/>
      <c r="BB199" s="2630"/>
      <c r="BC199" s="2630"/>
      <c r="BD199" s="2630"/>
      <c r="BE199" s="2630"/>
      <c r="BF199" s="2630"/>
      <c r="BG199" s="2630"/>
      <c r="BH199" s="2630"/>
      <c r="BI199" s="2630"/>
      <c r="BJ199" s="2630"/>
      <c r="BK199" s="2630"/>
      <c r="BL199" s="2630"/>
      <c r="BM199" s="2630"/>
      <c r="BN199" s="2630"/>
      <c r="BO199" s="2630"/>
      <c r="BP199" s="2630"/>
      <c r="BQ199" s="2630"/>
    </row>
    <row r="200" spans="1:69" s="2574" customFormat="1" ht="15.75" thickBot="1">
      <c r="A200" s="5" t="s">
        <v>72</v>
      </c>
      <c r="B200" s="28" t="s">
        <v>73</v>
      </c>
      <c r="C200" s="72">
        <v>1</v>
      </c>
      <c r="D200" s="35">
        <v>2</v>
      </c>
      <c r="E200" s="35">
        <v>3</v>
      </c>
      <c r="F200" s="35">
        <v>4</v>
      </c>
      <c r="G200" s="35">
        <v>5</v>
      </c>
      <c r="H200" s="35">
        <v>6</v>
      </c>
      <c r="I200" s="35">
        <v>7</v>
      </c>
      <c r="J200" s="35">
        <v>8</v>
      </c>
      <c r="K200" s="35">
        <v>9</v>
      </c>
      <c r="L200" s="35">
        <v>10</v>
      </c>
      <c r="M200" s="35">
        <v>11</v>
      </c>
      <c r="N200" s="35">
        <v>12</v>
      </c>
      <c r="O200" s="35">
        <v>13</v>
      </c>
      <c r="P200" s="35">
        <v>14</v>
      </c>
      <c r="Q200" s="35">
        <v>15</v>
      </c>
      <c r="R200" s="35">
        <v>16</v>
      </c>
      <c r="S200" s="30">
        <v>17</v>
      </c>
      <c r="T200" s="30">
        <v>18</v>
      </c>
      <c r="U200" s="30">
        <v>19</v>
      </c>
      <c r="V200" s="30">
        <v>20</v>
      </c>
      <c r="W200" s="30">
        <v>21</v>
      </c>
      <c r="X200" s="30">
        <v>22</v>
      </c>
      <c r="Y200" s="30">
        <v>23</v>
      </c>
      <c r="Z200" s="30">
        <v>24</v>
      </c>
      <c r="AA200" s="30">
        <v>25</v>
      </c>
      <c r="AB200" s="30">
        <v>26</v>
      </c>
      <c r="AC200" s="30">
        <v>27</v>
      </c>
      <c r="AD200" s="30">
        <v>28</v>
      </c>
      <c r="AE200" s="30">
        <v>29</v>
      </c>
      <c r="AF200" s="30">
        <v>30</v>
      </c>
      <c r="AG200" s="30">
        <v>31</v>
      </c>
      <c r="AH200" s="39" t="s">
        <v>74</v>
      </c>
      <c r="AJ200" s="2662"/>
      <c r="AK200" s="2662"/>
      <c r="AL200" s="2662"/>
      <c r="AM200" s="2630"/>
      <c r="AN200" s="2630"/>
      <c r="AO200" s="2630"/>
      <c r="AP200" s="2630"/>
      <c r="AQ200" s="2630"/>
      <c r="AR200" s="2630"/>
      <c r="AS200" s="2630"/>
      <c r="AT200" s="2630"/>
      <c r="AU200" s="2630"/>
      <c r="AV200" s="2630"/>
      <c r="AW200" s="2630"/>
      <c r="AX200" s="2630"/>
      <c r="AY200" s="2630"/>
      <c r="AZ200" s="2630"/>
      <c r="BA200" s="2630"/>
      <c r="BB200" s="2630"/>
      <c r="BC200" s="2630"/>
      <c r="BD200" s="2630"/>
      <c r="BE200" s="2630"/>
      <c r="BF200" s="2630"/>
      <c r="BG200" s="2630"/>
      <c r="BH200" s="2630"/>
      <c r="BI200" s="2630"/>
      <c r="BJ200" s="2630"/>
      <c r="BK200" s="2630"/>
      <c r="BL200" s="2630"/>
      <c r="BM200" s="2630"/>
      <c r="BN200" s="2630"/>
      <c r="BO200" s="2630"/>
      <c r="BP200" s="2630"/>
      <c r="BQ200" s="2630"/>
    </row>
    <row r="201" spans="1:69" s="2574" customFormat="1" ht="16.5" thickBot="1">
      <c r="A201" s="128" t="s">
        <v>75</v>
      </c>
      <c r="B201" s="28">
        <f t="shared" ref="B201:B212" si="79">+AH201</f>
        <v>0</v>
      </c>
      <c r="C201" s="1930"/>
      <c r="D201" s="1930"/>
      <c r="E201" s="1930"/>
      <c r="F201" s="1930"/>
      <c r="G201" s="1930"/>
      <c r="H201" s="1930"/>
      <c r="I201" s="1930"/>
      <c r="J201" s="1930"/>
      <c r="K201" s="1930"/>
      <c r="L201" s="1930"/>
      <c r="M201" s="1930"/>
      <c r="N201" s="1930"/>
      <c r="O201" s="1930"/>
      <c r="P201" s="1930"/>
      <c r="Q201" s="1930"/>
      <c r="R201" s="1930"/>
      <c r="S201" s="1930"/>
      <c r="T201" s="1930"/>
      <c r="U201" s="1930"/>
      <c r="V201" s="1930"/>
      <c r="W201" s="1930"/>
      <c r="X201" s="1930"/>
      <c r="Y201" s="1930"/>
      <c r="Z201" s="1930"/>
      <c r="AA201" s="1930"/>
      <c r="AB201" s="1930"/>
      <c r="AC201" s="1930"/>
      <c r="AD201" s="1930"/>
      <c r="AE201" s="1930"/>
      <c r="AF201" s="1930"/>
      <c r="AG201" s="1930"/>
      <c r="AH201" s="53">
        <f>SUM(C201:AG201)</f>
        <v>0</v>
      </c>
      <c r="AJ201" s="2663" t="s">
        <v>996</v>
      </c>
      <c r="AK201" s="2664"/>
      <c r="AL201" s="2664"/>
      <c r="AM201" s="2640"/>
      <c r="AN201" s="2640"/>
      <c r="AO201" s="3888" t="s">
        <v>155</v>
      </c>
      <c r="AP201" s="3889"/>
      <c r="AQ201" s="3890"/>
      <c r="AR201" s="3888" t="s">
        <v>156</v>
      </c>
      <c r="AS201" s="3891"/>
      <c r="AT201" s="3892" t="s">
        <v>912</v>
      </c>
      <c r="AU201" s="3892" t="s">
        <v>913</v>
      </c>
      <c r="AV201" s="2630"/>
      <c r="AW201" s="2630"/>
      <c r="AX201" s="2630"/>
      <c r="AY201" s="2630"/>
      <c r="AZ201" s="2630"/>
      <c r="BA201" s="2630"/>
      <c r="BB201" s="2630"/>
      <c r="BC201" s="2630"/>
      <c r="BD201" s="2630"/>
      <c r="BE201" s="2630"/>
      <c r="BF201" s="2630"/>
      <c r="BG201" s="2630"/>
      <c r="BH201" s="2630"/>
      <c r="BI201" s="2630"/>
      <c r="BJ201" s="2630"/>
      <c r="BK201" s="2630"/>
      <c r="BL201" s="2630"/>
      <c r="BM201" s="2630"/>
      <c r="BN201" s="2630"/>
      <c r="BO201" s="2630"/>
      <c r="BP201" s="2630"/>
      <c r="BQ201" s="2630"/>
    </row>
    <row r="202" spans="1:69" s="2574" customFormat="1" ht="15.75" thickBot="1">
      <c r="A202" s="128" t="s">
        <v>76</v>
      </c>
      <c r="B202" s="28">
        <f t="shared" si="79"/>
        <v>0</v>
      </c>
      <c r="C202" s="1930"/>
      <c r="D202" s="1930"/>
      <c r="E202" s="1930"/>
      <c r="F202" s="1930"/>
      <c r="G202" s="1930"/>
      <c r="H202" s="1930"/>
      <c r="I202" s="1930"/>
      <c r="J202" s="1930"/>
      <c r="K202" s="1930"/>
      <c r="L202" s="1930"/>
      <c r="M202" s="1930"/>
      <c r="N202" s="1930"/>
      <c r="O202" s="1930"/>
      <c r="P202" s="1930"/>
      <c r="Q202" s="1930"/>
      <c r="R202" s="1930"/>
      <c r="S202" s="1930"/>
      <c r="T202" s="1930"/>
      <c r="U202" s="1930"/>
      <c r="V202" s="1930"/>
      <c r="W202" s="1930"/>
      <c r="X202" s="1930"/>
      <c r="Y202" s="1930"/>
      <c r="Z202" s="1930"/>
      <c r="AA202" s="1930"/>
      <c r="AB202" s="1930"/>
      <c r="AC202" s="1930"/>
      <c r="AD202" s="1930"/>
      <c r="AE202" s="1930"/>
      <c r="AF202" s="1930"/>
      <c r="AG202" s="1930"/>
      <c r="AH202" s="53">
        <f t="shared" ref="AH202:AH212" si="80">SUM(C202:AG202)</f>
        <v>0</v>
      </c>
      <c r="AJ202" s="2665" t="s">
        <v>158</v>
      </c>
      <c r="AK202" s="2666" t="s">
        <v>159</v>
      </c>
      <c r="AL202" s="2667" t="s">
        <v>136</v>
      </c>
      <c r="AM202" s="2642" t="s">
        <v>134</v>
      </c>
      <c r="AN202" s="2641" t="s">
        <v>160</v>
      </c>
      <c r="AO202" s="2643" t="s">
        <v>8</v>
      </c>
      <c r="AP202" s="2644" t="s">
        <v>161</v>
      </c>
      <c r="AQ202" s="2645" t="s">
        <v>52</v>
      </c>
      <c r="AR202" s="2643" t="s">
        <v>8</v>
      </c>
      <c r="AS202" s="2646" t="s">
        <v>162</v>
      </c>
      <c r="AT202" s="3893"/>
      <c r="AU202" s="3893"/>
      <c r="AV202" s="2630"/>
      <c r="AW202" s="2630"/>
      <c r="AX202" s="2630"/>
      <c r="AY202" s="2630"/>
      <c r="AZ202" s="2630"/>
      <c r="BA202" s="2630"/>
      <c r="BB202" s="2630"/>
      <c r="BC202" s="2630"/>
      <c r="BD202" s="2630"/>
      <c r="BE202" s="2630"/>
      <c r="BF202" s="2630"/>
      <c r="BG202" s="2630"/>
      <c r="BH202" s="2630"/>
      <c r="BI202" s="2630"/>
      <c r="BJ202" s="2630"/>
      <c r="BK202" s="2630"/>
      <c r="BL202" s="2630"/>
      <c r="BM202" s="2630"/>
      <c r="BN202" s="2630"/>
      <c r="BO202" s="2630"/>
      <c r="BP202" s="2630"/>
      <c r="BQ202" s="2630"/>
    </row>
    <row r="203" spans="1:69" s="2574" customFormat="1" ht="24" thickBot="1">
      <c r="A203" s="128" t="s">
        <v>77</v>
      </c>
      <c r="B203" s="28">
        <f t="shared" si="79"/>
        <v>0</v>
      </c>
      <c r="C203" s="1930"/>
      <c r="D203" s="1930"/>
      <c r="E203" s="1930"/>
      <c r="F203" s="1930"/>
      <c r="G203" s="1930"/>
      <c r="H203" s="1287"/>
      <c r="I203" s="1287"/>
      <c r="J203" s="1287"/>
      <c r="K203" s="1287"/>
      <c r="L203" s="1287"/>
      <c r="M203" s="1287"/>
      <c r="N203" s="1287"/>
      <c r="O203" s="1287"/>
      <c r="P203" s="1287"/>
      <c r="Q203" s="1287"/>
      <c r="R203" s="1346"/>
      <c r="S203" s="1287"/>
      <c r="T203" s="1287"/>
      <c r="U203" s="1287"/>
      <c r="V203" s="1287"/>
      <c r="W203" s="1287"/>
      <c r="X203" s="1287"/>
      <c r="Y203" s="1287"/>
      <c r="Z203" s="1287"/>
      <c r="AA203" s="1287"/>
      <c r="AB203" s="1287"/>
      <c r="AC203" s="1930"/>
      <c r="AD203" s="1930"/>
      <c r="AE203" s="1930"/>
      <c r="AF203" s="1930"/>
      <c r="AG203" s="1930"/>
      <c r="AH203" s="53">
        <f t="shared" si="80"/>
        <v>0</v>
      </c>
      <c r="AJ203" s="2668"/>
      <c r="AK203" s="2669"/>
      <c r="AL203" s="2670"/>
      <c r="AM203" s="2654" t="s">
        <v>1022</v>
      </c>
      <c r="AN203" s="2649"/>
      <c r="AO203" s="2650">
        <v>5</v>
      </c>
      <c r="AP203" s="2650">
        <v>395</v>
      </c>
      <c r="AQ203" s="2651">
        <f>SUM(AO203:AP203)</f>
        <v>400</v>
      </c>
      <c r="AR203" s="2637">
        <f>(AK181)</f>
        <v>0</v>
      </c>
      <c r="AS203" s="2637">
        <f>(AK198)</f>
        <v>0</v>
      </c>
      <c r="AT203" s="2652">
        <f>+AO203-AR203</f>
        <v>5</v>
      </c>
      <c r="AU203" s="2652">
        <f>+AP203-AS203</f>
        <v>395</v>
      </c>
      <c r="AV203" s="2630"/>
      <c r="AW203" s="2630"/>
      <c r="AX203" s="2630"/>
      <c r="AY203" s="2630"/>
      <c r="AZ203" s="2630"/>
      <c r="BA203" s="2630"/>
      <c r="BB203" s="2630"/>
      <c r="BC203" s="2630"/>
      <c r="BD203" s="2630"/>
      <c r="BE203" s="2630"/>
      <c r="BF203" s="2630"/>
      <c r="BG203" s="2630"/>
      <c r="BH203" s="2630"/>
      <c r="BI203" s="2630"/>
      <c r="BJ203" s="2630"/>
      <c r="BK203" s="2630"/>
      <c r="BL203" s="2630"/>
      <c r="BM203" s="2630"/>
      <c r="BN203" s="2630"/>
      <c r="BO203" s="2630"/>
      <c r="BP203" s="2630"/>
      <c r="BQ203" s="2630"/>
    </row>
    <row r="204" spans="1:69" s="2574" customFormat="1" ht="15.75" thickBot="1">
      <c r="A204" s="128" t="s">
        <v>78</v>
      </c>
      <c r="B204" s="28">
        <f t="shared" si="79"/>
        <v>0</v>
      </c>
      <c r="C204" s="1930"/>
      <c r="D204" s="1930"/>
      <c r="E204" s="1930"/>
      <c r="F204" s="1930"/>
      <c r="G204" s="1930"/>
      <c r="H204" s="1930"/>
      <c r="I204" s="1930"/>
      <c r="J204" s="1930"/>
      <c r="K204" s="1930"/>
      <c r="L204" s="2465"/>
      <c r="M204" s="2465"/>
      <c r="N204" s="2465"/>
      <c r="O204" s="2465"/>
      <c r="P204" s="2465"/>
      <c r="Q204" s="2465"/>
      <c r="R204" s="2465"/>
      <c r="S204" s="2465"/>
      <c r="T204" s="2465"/>
      <c r="U204" s="2465"/>
      <c r="V204" s="2465"/>
      <c r="W204" s="2465"/>
      <c r="X204" s="2465"/>
      <c r="Y204" s="2465"/>
      <c r="Z204" s="2465"/>
      <c r="AA204" s="2465"/>
      <c r="AB204" s="2465"/>
      <c r="AC204" s="2465"/>
      <c r="AD204" s="2465"/>
      <c r="AE204" s="2465"/>
      <c r="AF204" s="2465"/>
      <c r="AG204" s="2465"/>
      <c r="AH204" s="53">
        <f t="shared" si="80"/>
        <v>0</v>
      </c>
      <c r="AJ204" s="2668"/>
      <c r="AK204" s="2669"/>
      <c r="AL204" s="2670"/>
      <c r="AM204" s="2650"/>
      <c r="AN204" s="2649"/>
      <c r="AO204" s="2647"/>
      <c r="AP204" s="2650"/>
      <c r="AQ204" s="2651">
        <f>SUM(AO204:AP204)</f>
        <v>0</v>
      </c>
      <c r="AR204" s="2653"/>
      <c r="AS204" s="2637"/>
      <c r="AT204" s="2652">
        <f>+AQ204-AR204-AS204</f>
        <v>0</v>
      </c>
      <c r="AU204" s="2652">
        <f>+AR204-AS204-AT204</f>
        <v>0</v>
      </c>
      <c r="AV204" s="2630"/>
      <c r="AW204" s="2630"/>
      <c r="AX204" s="2630"/>
      <c r="AY204" s="2630"/>
      <c r="AZ204" s="2630"/>
      <c r="BA204" s="2630"/>
      <c r="BB204" s="2630"/>
      <c r="BC204" s="2630"/>
      <c r="BD204" s="2630"/>
      <c r="BE204" s="2630"/>
      <c r="BF204" s="2630"/>
      <c r="BG204" s="2630"/>
      <c r="BH204" s="2630"/>
      <c r="BI204" s="2630"/>
      <c r="BJ204" s="2630"/>
      <c r="BK204" s="2630"/>
      <c r="BL204" s="2630"/>
      <c r="BM204" s="2630"/>
      <c r="BN204" s="2630"/>
      <c r="BO204" s="2630"/>
      <c r="BP204" s="2630"/>
      <c r="BQ204" s="2630"/>
    </row>
    <row r="205" spans="1:69" s="2574" customFormat="1" ht="15">
      <c r="A205" s="132" t="s">
        <v>79</v>
      </c>
      <c r="B205" s="28">
        <f t="shared" si="79"/>
        <v>0</v>
      </c>
      <c r="C205" s="1287"/>
      <c r="D205" s="1287"/>
      <c r="E205" s="1287"/>
      <c r="F205" s="1287"/>
      <c r="G205" s="1287"/>
      <c r="H205" s="1287"/>
      <c r="I205" s="1287"/>
      <c r="J205" s="1287"/>
      <c r="K205" s="1287"/>
      <c r="L205" s="1287"/>
      <c r="M205" s="1287"/>
      <c r="N205" s="1287"/>
      <c r="O205" s="1287"/>
      <c r="P205" s="1287"/>
      <c r="Q205" s="1287"/>
      <c r="R205" s="1287"/>
      <c r="S205" s="1287"/>
      <c r="T205" s="1287"/>
      <c r="U205" s="1287"/>
      <c r="V205" s="1287"/>
      <c r="W205" s="1287"/>
      <c r="X205" s="1287"/>
      <c r="Y205" s="1287"/>
      <c r="Z205" s="1287"/>
      <c r="AA205" s="1287"/>
      <c r="AB205" s="1287"/>
      <c r="AC205" s="1287"/>
      <c r="AD205" s="1287"/>
      <c r="AE205" s="1287"/>
      <c r="AF205" s="1287"/>
      <c r="AG205" s="1287"/>
      <c r="AH205" s="53">
        <f t="shared" si="80"/>
        <v>0</v>
      </c>
      <c r="AJ205" s="2630"/>
      <c r="AK205" s="2630"/>
      <c r="AL205" s="2630"/>
      <c r="AM205" s="2630"/>
      <c r="AN205" s="2630"/>
      <c r="AO205" s="2630"/>
      <c r="AP205" s="2630"/>
      <c r="AQ205" s="2630"/>
      <c r="AR205" s="2630"/>
      <c r="AS205" s="2630"/>
      <c r="AT205" s="2630"/>
      <c r="AU205" s="2630"/>
      <c r="AV205" s="2630"/>
      <c r="AW205" s="2630"/>
      <c r="AX205" s="2630"/>
      <c r="AY205" s="2630"/>
      <c r="AZ205" s="2630"/>
      <c r="BA205" s="2630"/>
      <c r="BB205" s="2630"/>
      <c r="BC205" s="2630"/>
      <c r="BD205" s="2630"/>
      <c r="BE205" s="2630"/>
      <c r="BF205" s="2630"/>
      <c r="BG205" s="2630"/>
      <c r="BH205" s="2630"/>
      <c r="BI205" s="2630"/>
      <c r="BJ205" s="2630"/>
      <c r="BK205" s="2630"/>
      <c r="BL205" s="2630"/>
      <c r="BM205" s="2630"/>
      <c r="BN205" s="2630"/>
      <c r="BO205" s="2630"/>
      <c r="BP205" s="2630"/>
      <c r="BQ205" s="2630"/>
    </row>
    <row r="206" spans="1:69" s="2574" customFormat="1" ht="15">
      <c r="A206" s="132" t="s">
        <v>80</v>
      </c>
      <c r="B206" s="28">
        <f t="shared" si="79"/>
        <v>0</v>
      </c>
      <c r="C206" s="1287"/>
      <c r="D206" s="1287"/>
      <c r="E206" s="1287"/>
      <c r="F206" s="1287"/>
      <c r="G206" s="1287"/>
      <c r="H206" s="1287"/>
      <c r="I206" s="1287"/>
      <c r="J206" s="1287"/>
      <c r="K206" s="1287"/>
      <c r="L206" s="1287"/>
      <c r="M206" s="1287"/>
      <c r="N206" s="1287"/>
      <c r="O206" s="1287"/>
      <c r="P206" s="1287"/>
      <c r="Q206" s="1287"/>
      <c r="R206" s="1287"/>
      <c r="S206" s="1287"/>
      <c r="T206" s="1287"/>
      <c r="U206" s="1287"/>
      <c r="V206" s="1287"/>
      <c r="W206" s="1287"/>
      <c r="X206" s="1287"/>
      <c r="Y206" s="1287"/>
      <c r="Z206" s="1287"/>
      <c r="AA206" s="1287"/>
      <c r="AB206" s="1287"/>
      <c r="AC206" s="1287"/>
      <c r="AD206" s="1287"/>
      <c r="AE206" s="1287"/>
      <c r="AF206" s="1287"/>
      <c r="AG206" s="1287"/>
      <c r="AH206" s="53">
        <f t="shared" si="80"/>
        <v>0</v>
      </c>
      <c r="AJ206" s="2630"/>
      <c r="AK206" s="2630"/>
      <c r="AL206" s="2630"/>
      <c r="AM206" s="2630"/>
      <c r="AN206" s="2630"/>
      <c r="AO206" s="2630"/>
      <c r="AP206" s="2630"/>
      <c r="AQ206" s="2630"/>
      <c r="AR206" s="2630"/>
      <c r="AS206" s="2630"/>
      <c r="AT206" s="2630"/>
      <c r="AU206" s="2630"/>
      <c r="AV206" s="2630"/>
      <c r="AW206" s="2630"/>
      <c r="AX206" s="2630"/>
      <c r="AY206" s="2630"/>
      <c r="AZ206" s="2630"/>
      <c r="BA206" s="2630"/>
      <c r="BB206" s="2630"/>
      <c r="BC206" s="2630"/>
      <c r="BD206" s="2630"/>
      <c r="BE206" s="2630"/>
      <c r="BF206" s="2630"/>
      <c r="BG206" s="2630"/>
      <c r="BH206" s="2630"/>
      <c r="BI206" s="2630"/>
      <c r="BJ206" s="2630"/>
      <c r="BK206" s="2630"/>
      <c r="BL206" s="2630"/>
      <c r="BM206" s="2630"/>
      <c r="BN206" s="2630"/>
      <c r="BO206" s="2630"/>
      <c r="BP206" s="2630"/>
      <c r="BQ206" s="2630"/>
    </row>
    <row r="207" spans="1:69" s="2574" customFormat="1" ht="23.25">
      <c r="A207" s="132" t="s">
        <v>81</v>
      </c>
      <c r="B207" s="28">
        <f t="shared" si="79"/>
        <v>0</v>
      </c>
      <c r="C207" s="1287"/>
      <c r="D207" s="1488"/>
      <c r="E207" s="1488"/>
      <c r="F207" s="1488"/>
      <c r="G207" s="1287"/>
      <c r="H207" s="1287"/>
      <c r="I207" s="1287"/>
      <c r="J207" s="1287"/>
      <c r="K207" s="1287"/>
      <c r="L207" s="1287"/>
      <c r="M207" s="1287"/>
      <c r="N207" s="1287"/>
      <c r="O207" s="1287"/>
      <c r="P207" s="1287"/>
      <c r="Q207" s="1287"/>
      <c r="R207" s="1287"/>
      <c r="S207" s="1287"/>
      <c r="T207" s="1287"/>
      <c r="U207" s="1287"/>
      <c r="V207" s="1287"/>
      <c r="W207" s="1287"/>
      <c r="X207" s="1287"/>
      <c r="Y207" s="1287"/>
      <c r="Z207" s="1287"/>
      <c r="AA207" s="1287"/>
      <c r="AB207" s="1287"/>
      <c r="AC207" s="1287"/>
      <c r="AD207" s="1287"/>
      <c r="AE207" s="1287"/>
      <c r="AF207" s="1287"/>
      <c r="AG207" s="1287"/>
      <c r="AH207" s="53">
        <f t="shared" si="80"/>
        <v>0</v>
      </c>
      <c r="AJ207" s="3013" t="s">
        <v>299</v>
      </c>
      <c r="AK207" s="3013"/>
      <c r="AL207" s="3013"/>
      <c r="AM207" s="1415"/>
      <c r="AN207" s="3013" t="s">
        <v>1023</v>
      </c>
      <c r="AO207" s="1415"/>
      <c r="AP207" s="3080"/>
      <c r="AQ207" s="2629"/>
      <c r="AR207" s="2630"/>
      <c r="AS207" s="2630"/>
      <c r="AT207" s="2630"/>
      <c r="AU207" s="2630"/>
      <c r="AV207" s="2630"/>
      <c r="AW207" s="2630"/>
      <c r="AX207" s="2630"/>
      <c r="AY207" s="2630"/>
      <c r="AZ207" s="2630"/>
      <c r="BA207" s="2630"/>
      <c r="BB207" s="2630"/>
      <c r="BC207" s="2630"/>
      <c r="BD207" s="2630"/>
      <c r="BE207" s="2630"/>
      <c r="BF207" s="2630"/>
      <c r="BG207" s="2630"/>
      <c r="BH207" s="2630"/>
      <c r="BI207" s="2630"/>
      <c r="BJ207" s="2630"/>
      <c r="BK207" s="2630"/>
      <c r="BL207" s="2630"/>
      <c r="BM207" s="2630"/>
      <c r="BN207" s="2630"/>
      <c r="BO207" s="2630"/>
      <c r="BP207" s="2630"/>
      <c r="BQ207" s="2630"/>
    </row>
    <row r="208" spans="1:69" s="2574" customFormat="1" ht="15">
      <c r="A208" s="132" t="s">
        <v>82</v>
      </c>
      <c r="B208" s="28">
        <f t="shared" si="79"/>
        <v>0</v>
      </c>
      <c r="C208" s="1287"/>
      <c r="D208" s="1287"/>
      <c r="E208" s="1287"/>
      <c r="F208" s="1287"/>
      <c r="G208" s="1287"/>
      <c r="H208" s="1287"/>
      <c r="I208" s="1287"/>
      <c r="J208" s="1287"/>
      <c r="K208" s="1287"/>
      <c r="L208" s="1287"/>
      <c r="M208" s="1287"/>
      <c r="N208" s="1287"/>
      <c r="O208" s="1287"/>
      <c r="P208" s="1287"/>
      <c r="Q208" s="1287"/>
      <c r="R208" s="1287"/>
      <c r="S208" s="1287"/>
      <c r="T208" s="1287"/>
      <c r="U208" s="1287"/>
      <c r="V208" s="1287"/>
      <c r="W208" s="1287"/>
      <c r="X208" s="1287"/>
      <c r="Y208" s="1287"/>
      <c r="Z208" s="1287"/>
      <c r="AA208" s="1287"/>
      <c r="AB208" s="1287"/>
      <c r="AC208" s="1287"/>
      <c r="AD208" s="1287"/>
      <c r="AE208" s="1287"/>
      <c r="AF208" s="1287"/>
      <c r="AG208" s="1287"/>
      <c r="AH208" s="53">
        <f t="shared" si="80"/>
        <v>0</v>
      </c>
      <c r="AJ208" s="3885" t="s">
        <v>264</v>
      </c>
      <c r="AK208" s="3886"/>
      <c r="AL208" s="3887"/>
      <c r="AM208" s="2631"/>
      <c r="AN208" s="2631"/>
      <c r="AO208" s="2631"/>
      <c r="AP208" s="2631"/>
      <c r="AQ208" s="2631"/>
      <c r="AR208" s="2631"/>
      <c r="AS208" s="2631"/>
      <c r="AT208" s="2631"/>
      <c r="AU208" s="2631"/>
      <c r="AV208" s="2631"/>
      <c r="AW208" s="2631"/>
      <c r="AX208" s="2631"/>
      <c r="AY208" s="2631"/>
      <c r="AZ208" s="2631"/>
      <c r="BA208" s="2631"/>
      <c r="BB208" s="2632"/>
      <c r="BC208" s="2632"/>
      <c r="BD208" s="2632"/>
      <c r="BE208" s="2632"/>
      <c r="BF208" s="2632"/>
      <c r="BG208" s="2632"/>
      <c r="BH208" s="2632"/>
      <c r="BI208" s="2632"/>
      <c r="BJ208" s="2632"/>
      <c r="BK208" s="2632"/>
      <c r="BL208" s="2632"/>
      <c r="BM208" s="2632"/>
      <c r="BN208" s="2632"/>
      <c r="BO208" s="2632"/>
      <c r="BP208" s="2632"/>
      <c r="BQ208" s="2632"/>
    </row>
    <row r="209" spans="1:69" s="2574" customFormat="1" ht="15">
      <c r="A209" s="30" t="s">
        <v>83</v>
      </c>
      <c r="B209" s="28">
        <f t="shared" si="79"/>
        <v>0</v>
      </c>
      <c r="C209" s="1287"/>
      <c r="D209" s="1287"/>
      <c r="E209" s="1287"/>
      <c r="F209" s="1287"/>
      <c r="G209" s="1287"/>
      <c r="H209" s="1287"/>
      <c r="I209" s="1287"/>
      <c r="J209" s="1287"/>
      <c r="K209" s="1287"/>
      <c r="L209" s="1287"/>
      <c r="M209" s="1287"/>
      <c r="N209" s="1287"/>
      <c r="O209" s="1287"/>
      <c r="P209" s="1287"/>
      <c r="Q209" s="1287"/>
      <c r="R209" s="1287"/>
      <c r="S209" s="1287"/>
      <c r="T209" s="1287"/>
      <c r="U209" s="1287"/>
      <c r="V209" s="1287"/>
      <c r="W209" s="1287"/>
      <c r="X209" s="1287"/>
      <c r="Y209" s="1287"/>
      <c r="Z209" s="1287"/>
      <c r="AA209" s="1287"/>
      <c r="AB209" s="1287"/>
      <c r="AC209" s="1287"/>
      <c r="AD209" s="1287"/>
      <c r="AE209" s="1287"/>
      <c r="AF209" s="1287"/>
      <c r="AG209" s="1287"/>
      <c r="AH209" s="53">
        <f t="shared" si="80"/>
        <v>0</v>
      </c>
      <c r="AJ209" s="2655" t="s">
        <v>72</v>
      </c>
      <c r="AK209" s="2656" t="s">
        <v>73</v>
      </c>
      <c r="AL209" s="2657">
        <v>1</v>
      </c>
      <c r="AM209" s="2042">
        <v>2</v>
      </c>
      <c r="AN209" s="2042">
        <v>3</v>
      </c>
      <c r="AO209" s="2042">
        <v>4</v>
      </c>
      <c r="AP209" s="2042">
        <v>5</v>
      </c>
      <c r="AQ209" s="2042">
        <v>6</v>
      </c>
      <c r="AR209" s="2042">
        <v>7</v>
      </c>
      <c r="AS209" s="2042">
        <v>8</v>
      </c>
      <c r="AT209" s="2042">
        <v>9</v>
      </c>
      <c r="AU209" s="2042">
        <v>10</v>
      </c>
      <c r="AV209" s="2042">
        <v>11</v>
      </c>
      <c r="AW209" s="2042">
        <v>12</v>
      </c>
      <c r="AX209" s="2042">
        <v>13</v>
      </c>
      <c r="AY209" s="2042">
        <v>14</v>
      </c>
      <c r="AZ209" s="2042">
        <v>15</v>
      </c>
      <c r="BA209" s="2042">
        <v>16</v>
      </c>
      <c r="BB209" s="1841">
        <v>17</v>
      </c>
      <c r="BC209" s="1841">
        <v>18</v>
      </c>
      <c r="BD209" s="1841">
        <v>19</v>
      </c>
      <c r="BE209" s="1841">
        <v>20</v>
      </c>
      <c r="BF209" s="1841">
        <v>21</v>
      </c>
      <c r="BG209" s="1841">
        <v>22</v>
      </c>
      <c r="BH209" s="1841">
        <v>23</v>
      </c>
      <c r="BI209" s="1841">
        <v>24</v>
      </c>
      <c r="BJ209" s="1841">
        <v>25</v>
      </c>
      <c r="BK209" s="1841">
        <v>26</v>
      </c>
      <c r="BL209" s="1841">
        <v>27</v>
      </c>
      <c r="BM209" s="1841">
        <v>28</v>
      </c>
      <c r="BN209" s="1841">
        <v>29</v>
      </c>
      <c r="BO209" s="1841">
        <v>30</v>
      </c>
      <c r="BP209" s="1841">
        <v>31</v>
      </c>
      <c r="BQ209" s="2634" t="s">
        <v>74</v>
      </c>
    </row>
    <row r="210" spans="1:69" s="2574" customFormat="1" ht="15">
      <c r="A210" s="30" t="s">
        <v>84</v>
      </c>
      <c r="B210" s="28">
        <f t="shared" si="79"/>
        <v>0</v>
      </c>
      <c r="C210" s="1287"/>
      <c r="D210" s="1287"/>
      <c r="E210" s="1287"/>
      <c r="F210" s="1287"/>
      <c r="G210" s="1287"/>
      <c r="H210" s="1287"/>
      <c r="I210" s="1287"/>
      <c r="J210" s="1287"/>
      <c r="K210" s="1287"/>
      <c r="L210" s="1287"/>
      <c r="M210" s="1287"/>
      <c r="N210" s="1287"/>
      <c r="O210" s="1287"/>
      <c r="P210" s="1287"/>
      <c r="Q210" s="1287"/>
      <c r="R210" s="1287"/>
      <c r="S210" s="1287"/>
      <c r="T210" s="1287"/>
      <c r="U210" s="1287"/>
      <c r="V210" s="1287"/>
      <c r="W210" s="1287"/>
      <c r="X210" s="1287"/>
      <c r="Y210" s="1287"/>
      <c r="Z210" s="1287"/>
      <c r="AA210" s="1287"/>
      <c r="AB210" s="1287"/>
      <c r="AC210" s="1287"/>
      <c r="AD210" s="1287"/>
      <c r="AE210" s="1488"/>
      <c r="AF210" s="1287"/>
      <c r="AG210" s="1488"/>
      <c r="AH210" s="53">
        <f t="shared" si="80"/>
        <v>0</v>
      </c>
      <c r="AJ210" s="2655" t="s">
        <v>75</v>
      </c>
      <c r="AK210" s="2656">
        <f t="shared" ref="AK210:AK221" si="81">+BQ210</f>
        <v>0</v>
      </c>
      <c r="AL210" s="2658"/>
      <c r="AM210" s="2635"/>
      <c r="AN210" s="2635"/>
      <c r="AO210" s="2635"/>
      <c r="AP210" s="2635"/>
      <c r="AQ210" s="2635"/>
      <c r="AR210" s="2635"/>
      <c r="AS210" s="2635"/>
      <c r="AT210" s="2635"/>
      <c r="AU210" s="2635"/>
      <c r="AV210" s="2635"/>
      <c r="AW210" s="2635"/>
      <c r="AX210" s="2635"/>
      <c r="AY210" s="2635"/>
      <c r="AZ210" s="2635"/>
      <c r="BA210" s="2635"/>
      <c r="BB210" s="2635"/>
      <c r="BC210" s="2635"/>
      <c r="BD210" s="2635"/>
      <c r="BE210" s="2635"/>
      <c r="BF210" s="2635"/>
      <c r="BG210" s="2635"/>
      <c r="BH210" s="2635"/>
      <c r="BI210" s="2635"/>
      <c r="BJ210" s="2635"/>
      <c r="BK210" s="2635"/>
      <c r="BL210" s="2635"/>
      <c r="BM210" s="2635"/>
      <c r="BN210" s="2635"/>
      <c r="BO210" s="2635"/>
      <c r="BP210" s="2635"/>
      <c r="BQ210" s="2636">
        <f>SUM(AL210:BP210)</f>
        <v>0</v>
      </c>
    </row>
    <row r="211" spans="1:69" s="2574" customFormat="1" ht="15.75" thickBot="1">
      <c r="A211" s="30" t="s">
        <v>85</v>
      </c>
      <c r="B211" s="28">
        <f t="shared" si="79"/>
        <v>0</v>
      </c>
      <c r="C211" s="1287"/>
      <c r="D211" s="1287"/>
      <c r="E211" s="1287"/>
      <c r="F211" s="1287"/>
      <c r="G211" s="1433"/>
      <c r="H211" s="1287"/>
      <c r="I211" s="1287"/>
      <c r="J211" s="1287"/>
      <c r="K211" s="1287"/>
      <c r="L211" s="1287"/>
      <c r="M211" s="1287"/>
      <c r="N211" s="1287"/>
      <c r="O211" s="1287"/>
      <c r="P211" s="1287"/>
      <c r="Q211" s="1287"/>
      <c r="R211" s="1287"/>
      <c r="S211" s="1287"/>
      <c r="T211" s="1287"/>
      <c r="U211" s="1287"/>
      <c r="V211" s="1287"/>
      <c r="W211" s="1287"/>
      <c r="X211" s="1287"/>
      <c r="Y211" s="1287"/>
      <c r="Z211" s="1287"/>
      <c r="AA211" s="1287"/>
      <c r="AB211" s="1287"/>
      <c r="AC211" s="1287"/>
      <c r="AD211" s="1287"/>
      <c r="AE211" s="1488"/>
      <c r="AF211" s="1287"/>
      <c r="AG211" s="1488"/>
      <c r="AH211" s="53">
        <f t="shared" si="80"/>
        <v>0</v>
      </c>
      <c r="AJ211" s="2655" t="s">
        <v>76</v>
      </c>
      <c r="AK211" s="2656">
        <f t="shared" si="81"/>
        <v>0</v>
      </c>
      <c r="AL211" s="2658"/>
      <c r="AM211" s="2635"/>
      <c r="AN211" s="2635"/>
      <c r="AO211" s="2635"/>
      <c r="AP211" s="2635"/>
      <c r="AQ211" s="2635"/>
      <c r="AR211" s="2635"/>
      <c r="AS211" s="2635"/>
      <c r="AT211" s="2635"/>
      <c r="AU211" s="2635"/>
      <c r="AV211" s="2635"/>
      <c r="AW211" s="2635"/>
      <c r="AX211" s="2635"/>
      <c r="AY211" s="2635"/>
      <c r="AZ211" s="2635"/>
      <c r="BA211" s="2635"/>
      <c r="BB211" s="2635"/>
      <c r="BC211" s="2635"/>
      <c r="BD211" s="2635"/>
      <c r="BE211" s="2635"/>
      <c r="BF211" s="2635"/>
      <c r="BG211" s="2635"/>
      <c r="BH211" s="2635"/>
      <c r="BI211" s="2635"/>
      <c r="BJ211" s="2635"/>
      <c r="BK211" s="2635"/>
      <c r="BL211" s="2635"/>
      <c r="BM211" s="2635"/>
      <c r="BN211" s="2635"/>
      <c r="BO211" s="2635"/>
      <c r="BP211" s="2635"/>
      <c r="BQ211" s="2636">
        <f t="shared" ref="BQ211:BQ221" si="82">SUM(AL211:BP211)</f>
        <v>0</v>
      </c>
    </row>
    <row r="212" spans="1:69" s="2574" customFormat="1" ht="15.75" thickBot="1">
      <c r="A212" s="30" t="s">
        <v>86</v>
      </c>
      <c r="B212" s="28">
        <f t="shared" si="79"/>
        <v>0</v>
      </c>
      <c r="C212" s="1287"/>
      <c r="D212" s="1287"/>
      <c r="E212" s="1287"/>
      <c r="F212" s="1287"/>
      <c r="G212" s="1287"/>
      <c r="H212" s="1287"/>
      <c r="I212" s="1287"/>
      <c r="J212" s="1287"/>
      <c r="K212" s="1287"/>
      <c r="L212" s="1287"/>
      <c r="M212" s="1287"/>
      <c r="N212" s="1287"/>
      <c r="O212" s="1287"/>
      <c r="P212" s="1287"/>
      <c r="Q212" s="1287"/>
      <c r="R212" s="1287"/>
      <c r="S212" s="1287"/>
      <c r="T212" s="1287"/>
      <c r="U212" s="1287"/>
      <c r="V212" s="1287"/>
      <c r="W212" s="1287"/>
      <c r="X212" s="1287"/>
      <c r="Y212" s="1287"/>
      <c r="Z212" s="1287"/>
      <c r="AA212" s="1287"/>
      <c r="AB212" s="1287"/>
      <c r="AC212" s="1287"/>
      <c r="AD212" s="1287"/>
      <c r="AE212" s="1287"/>
      <c r="AF212" s="1287"/>
      <c r="AG212" s="1287"/>
      <c r="AH212" s="53">
        <f t="shared" si="80"/>
        <v>0</v>
      </c>
      <c r="AJ212" s="2655" t="s">
        <v>77</v>
      </c>
      <c r="AK212" s="2656">
        <f t="shared" si="81"/>
        <v>0</v>
      </c>
      <c r="AL212" s="2658"/>
      <c r="AM212" s="2635"/>
      <c r="AN212" s="2635"/>
      <c r="AO212" s="2635"/>
      <c r="AP212" s="2635"/>
      <c r="AQ212" s="1842"/>
      <c r="AR212" s="1842"/>
      <c r="AS212" s="1842"/>
      <c r="AT212" s="1842"/>
      <c r="AU212" s="1842"/>
      <c r="AV212" s="1842"/>
      <c r="AW212" s="1842"/>
      <c r="AX212" s="1842"/>
      <c r="AY212" s="1842"/>
      <c r="AZ212" s="1842"/>
      <c r="BA212" s="2637"/>
      <c r="BB212" s="1842"/>
      <c r="BC212" s="1842"/>
      <c r="BD212" s="1842"/>
      <c r="BE212" s="1842"/>
      <c r="BF212" s="1842"/>
      <c r="BG212" s="1842"/>
      <c r="BH212" s="1842"/>
      <c r="BI212" s="1842"/>
      <c r="BJ212" s="1842"/>
      <c r="BK212" s="1842"/>
      <c r="BL212" s="2635"/>
      <c r="BM212" s="2635"/>
      <c r="BN212" s="2635"/>
      <c r="BO212" s="2635"/>
      <c r="BP212" s="2635"/>
      <c r="BQ212" s="2636">
        <f t="shared" si="82"/>
        <v>0</v>
      </c>
    </row>
    <row r="213" spans="1:69" s="2574" customFormat="1" ht="15">
      <c r="A213" s="88" t="s">
        <v>74</v>
      </c>
      <c r="B213" s="90">
        <f t="shared" ref="B213:R213" si="83">SUM(B201:B212)</f>
        <v>0</v>
      </c>
      <c r="C213" s="71">
        <f t="shared" si="83"/>
        <v>0</v>
      </c>
      <c r="D213" s="71">
        <f t="shared" si="83"/>
        <v>0</v>
      </c>
      <c r="E213" s="71">
        <f t="shared" si="83"/>
        <v>0</v>
      </c>
      <c r="F213" s="71">
        <f t="shared" si="83"/>
        <v>0</v>
      </c>
      <c r="G213" s="71">
        <f t="shared" si="83"/>
        <v>0</v>
      </c>
      <c r="H213" s="71">
        <f t="shared" si="83"/>
        <v>0</v>
      </c>
      <c r="I213" s="71">
        <f t="shared" si="83"/>
        <v>0</v>
      </c>
      <c r="J213" s="71">
        <f t="shared" si="83"/>
        <v>0</v>
      </c>
      <c r="K213" s="71">
        <f t="shared" si="83"/>
        <v>0</v>
      </c>
      <c r="L213" s="71">
        <f t="shared" si="83"/>
        <v>0</v>
      </c>
      <c r="M213" s="71">
        <f t="shared" si="83"/>
        <v>0</v>
      </c>
      <c r="N213" s="71">
        <f t="shared" si="83"/>
        <v>0</v>
      </c>
      <c r="O213" s="71">
        <f t="shared" si="83"/>
        <v>0</v>
      </c>
      <c r="P213" s="71">
        <f t="shared" si="83"/>
        <v>0</v>
      </c>
      <c r="Q213" s="71">
        <f t="shared" si="83"/>
        <v>0</v>
      </c>
      <c r="R213" s="71">
        <f t="shared" si="83"/>
        <v>0</v>
      </c>
      <c r="S213" s="53">
        <f t="shared" ref="S213:AC213" si="84">SUM(S201:S211)</f>
        <v>0</v>
      </c>
      <c r="T213" s="53">
        <f t="shared" si="84"/>
        <v>0</v>
      </c>
      <c r="U213" s="53">
        <f t="shared" si="84"/>
        <v>0</v>
      </c>
      <c r="V213" s="53">
        <f t="shared" si="84"/>
        <v>0</v>
      </c>
      <c r="W213" s="53">
        <f t="shared" si="84"/>
        <v>0</v>
      </c>
      <c r="X213" s="53">
        <f t="shared" si="84"/>
        <v>0</v>
      </c>
      <c r="Y213" s="53">
        <f t="shared" si="84"/>
        <v>0</v>
      </c>
      <c r="Z213" s="53">
        <f t="shared" si="84"/>
        <v>0</v>
      </c>
      <c r="AA213" s="53">
        <f t="shared" si="84"/>
        <v>0</v>
      </c>
      <c r="AB213" s="53">
        <f t="shared" si="84"/>
        <v>0</v>
      </c>
      <c r="AC213" s="53">
        <f t="shared" si="84"/>
        <v>0</v>
      </c>
      <c r="AD213" s="53">
        <v>0</v>
      </c>
      <c r="AE213" s="53">
        <f>SUM(AE201:AE211)</f>
        <v>0</v>
      </c>
      <c r="AF213" s="53">
        <f>SUM(AF201:AF211)</f>
        <v>0</v>
      </c>
      <c r="AG213" s="53">
        <f>SUM(AG201:AG211)</f>
        <v>0</v>
      </c>
      <c r="AH213" s="46">
        <f>SUM(AH201:AH211)</f>
        <v>0</v>
      </c>
      <c r="AJ213" s="2655" t="s">
        <v>78</v>
      </c>
      <c r="AK213" s="2656">
        <f t="shared" si="81"/>
        <v>0</v>
      </c>
      <c r="AL213" s="2658"/>
      <c r="AM213" s="2635"/>
      <c r="AN213" s="2635"/>
      <c r="AO213" s="2635"/>
      <c r="AP213" s="2635"/>
      <c r="AQ213" s="2635"/>
      <c r="AR213" s="2635"/>
      <c r="AS213" s="2635"/>
      <c r="AT213" s="2635"/>
      <c r="AU213" s="2638"/>
      <c r="AV213" s="2638"/>
      <c r="AW213" s="2638"/>
      <c r="AX213" s="2638"/>
      <c r="AY213" s="2638"/>
      <c r="AZ213" s="2638"/>
      <c r="BA213" s="2638"/>
      <c r="BB213" s="2638"/>
      <c r="BC213" s="2638"/>
      <c r="BD213" s="2638"/>
      <c r="BE213" s="2638"/>
      <c r="BF213" s="2638"/>
      <c r="BG213" s="2638"/>
      <c r="BH213" s="2638"/>
      <c r="BI213" s="2638"/>
      <c r="BJ213" s="2638"/>
      <c r="BK213" s="2638"/>
      <c r="BL213" s="2638"/>
      <c r="BM213" s="2638"/>
      <c r="BN213" s="2638"/>
      <c r="BO213" s="2638"/>
      <c r="BP213" s="2638"/>
      <c r="BQ213" s="2636">
        <f t="shared" si="82"/>
        <v>0</v>
      </c>
    </row>
    <row r="214" spans="1:69" s="2574" customFormat="1" ht="15">
      <c r="A214" s="2187"/>
      <c r="B214" s="2187"/>
      <c r="C214" s="2187"/>
      <c r="D214" s="2187"/>
      <c r="E214" s="2187"/>
      <c r="F214" s="2187"/>
      <c r="G214" s="2187"/>
      <c r="H214" s="2187"/>
      <c r="I214" s="2187"/>
      <c r="J214" s="2187"/>
      <c r="K214" s="2187"/>
      <c r="L214" s="2187"/>
      <c r="M214" s="2187"/>
      <c r="N214" s="2187"/>
      <c r="O214" s="2187"/>
      <c r="P214" s="2187"/>
      <c r="Q214" s="2187"/>
      <c r="R214" s="2187"/>
      <c r="S214" s="2187"/>
      <c r="T214" s="2187"/>
      <c r="U214" s="2187"/>
      <c r="V214" s="2187"/>
      <c r="W214" s="2187"/>
      <c r="X214" s="2187"/>
      <c r="Y214" s="2187"/>
      <c r="Z214" s="2187"/>
      <c r="AA214" s="2187"/>
      <c r="AB214" s="2187"/>
      <c r="AC214" s="2187"/>
      <c r="AD214" s="2187"/>
      <c r="AE214" s="2187"/>
      <c r="AF214" s="2187"/>
      <c r="AG214" s="2187"/>
      <c r="AH214" s="2187"/>
      <c r="AJ214" s="2655" t="s">
        <v>79</v>
      </c>
      <c r="AK214" s="2656">
        <f t="shared" si="81"/>
        <v>0</v>
      </c>
      <c r="AL214" s="2659"/>
      <c r="AM214" s="1842"/>
      <c r="AN214" s="1842"/>
      <c r="AO214" s="1842"/>
      <c r="AP214" s="1842"/>
      <c r="AQ214" s="1842"/>
      <c r="AR214" s="1842"/>
      <c r="AS214" s="1842"/>
      <c r="AT214" s="1842"/>
      <c r="AU214" s="1842"/>
      <c r="AV214" s="1842"/>
      <c r="AW214" s="1842"/>
      <c r="AX214" s="1842"/>
      <c r="AY214" s="1842"/>
      <c r="AZ214" s="1842"/>
      <c r="BA214" s="1842"/>
      <c r="BB214" s="1842"/>
      <c r="BC214" s="1842"/>
      <c r="BD214" s="1842"/>
      <c r="BE214" s="1842"/>
      <c r="BF214" s="1842"/>
      <c r="BG214" s="1842"/>
      <c r="BH214" s="1842"/>
      <c r="BI214" s="1842"/>
      <c r="BJ214" s="1842"/>
      <c r="BK214" s="1842"/>
      <c r="BL214" s="1842"/>
      <c r="BM214" s="1842"/>
      <c r="BN214" s="1842"/>
      <c r="BO214" s="1842"/>
      <c r="BP214" s="1842"/>
      <c r="BQ214" s="2636">
        <f t="shared" si="82"/>
        <v>0</v>
      </c>
    </row>
    <row r="215" spans="1:69" s="2574" customFormat="1" ht="15.75" thickBot="1">
      <c r="A215" s="2187"/>
      <c r="B215" s="2187"/>
      <c r="C215" s="2187"/>
      <c r="D215" s="2187"/>
      <c r="E215" s="2187"/>
      <c r="F215" s="2187"/>
      <c r="G215" s="2187"/>
      <c r="H215" s="2187"/>
      <c r="I215" s="2187"/>
      <c r="J215" s="2187"/>
      <c r="K215" s="2187"/>
      <c r="L215" s="2187"/>
      <c r="M215" s="2187"/>
      <c r="N215" s="2187"/>
      <c r="O215" s="2187"/>
      <c r="P215" s="2187"/>
      <c r="Q215" s="2187"/>
      <c r="R215" s="2187"/>
      <c r="S215" s="2187"/>
      <c r="T215" s="2187"/>
      <c r="U215" s="2187"/>
      <c r="V215" s="2187"/>
      <c r="W215" s="2187"/>
      <c r="X215" s="2187"/>
      <c r="Y215" s="2187"/>
      <c r="Z215" s="2187"/>
      <c r="AA215" s="2187"/>
      <c r="AB215" s="2187"/>
      <c r="AC215" s="2187"/>
      <c r="AD215" s="2187"/>
      <c r="AE215" s="2187"/>
      <c r="AF215" s="2187"/>
      <c r="AG215" s="2187"/>
      <c r="AH215" s="2187"/>
      <c r="AJ215" s="2655" t="s">
        <v>80</v>
      </c>
      <c r="AK215" s="2656">
        <f t="shared" si="81"/>
        <v>0</v>
      </c>
      <c r="AL215" s="2659"/>
      <c r="AM215" s="1842"/>
      <c r="AN215" s="1842"/>
      <c r="AO215" s="1842"/>
      <c r="AP215" s="1842"/>
      <c r="AQ215" s="1842"/>
      <c r="AR215" s="1842"/>
      <c r="AS215" s="1842"/>
      <c r="AT215" s="1842"/>
      <c r="AU215" s="1842"/>
      <c r="AV215" s="1842"/>
      <c r="AW215" s="1842"/>
      <c r="AX215" s="1842"/>
      <c r="AY215" s="1842"/>
      <c r="AZ215" s="1842"/>
      <c r="BA215" s="1842"/>
      <c r="BB215" s="1842"/>
      <c r="BC215" s="1842"/>
      <c r="BD215" s="1842"/>
      <c r="BE215" s="1842"/>
      <c r="BF215" s="1842"/>
      <c r="BG215" s="1842"/>
      <c r="BH215" s="1842"/>
      <c r="BI215" s="1842"/>
      <c r="BJ215" s="1842"/>
      <c r="BK215" s="1842"/>
      <c r="BL215" s="1842"/>
      <c r="BM215" s="1842"/>
      <c r="BN215" s="1842"/>
      <c r="BO215" s="1842"/>
      <c r="BP215" s="1842"/>
      <c r="BQ215" s="2636">
        <f t="shared" si="82"/>
        <v>0</v>
      </c>
    </row>
    <row r="216" spans="1:69" s="2574" customFormat="1" ht="16.5" thickBot="1">
      <c r="A216" s="2477"/>
      <c r="B216" s="2478"/>
      <c r="C216" s="2478"/>
      <c r="D216" s="2478"/>
      <c r="E216" s="2478"/>
      <c r="F216" s="3810" t="s">
        <v>155</v>
      </c>
      <c r="G216" s="3811"/>
      <c r="H216" s="3812"/>
      <c r="I216" s="3810" t="s">
        <v>156</v>
      </c>
      <c r="J216" s="3813"/>
      <c r="K216" s="3814" t="s">
        <v>912</v>
      </c>
      <c r="L216" s="3814" t="s">
        <v>913</v>
      </c>
      <c r="AJ216" s="2655" t="s">
        <v>81</v>
      </c>
      <c r="AK216" s="2656">
        <f t="shared" si="81"/>
        <v>0</v>
      </c>
      <c r="AL216" s="2659"/>
      <c r="AM216" s="2636"/>
      <c r="AN216" s="2636"/>
      <c r="AO216" s="2636"/>
      <c r="AP216" s="1842"/>
      <c r="AQ216" s="1842"/>
      <c r="AR216" s="1842"/>
      <c r="AS216" s="1842"/>
      <c r="AT216" s="1842"/>
      <c r="AU216" s="1842"/>
      <c r="AV216" s="1842"/>
      <c r="AW216" s="1842"/>
      <c r="AX216" s="1842"/>
      <c r="AY216" s="1842"/>
      <c r="AZ216" s="1842"/>
      <c r="BA216" s="1842"/>
      <c r="BB216" s="1842"/>
      <c r="BC216" s="1842"/>
      <c r="BD216" s="1842"/>
      <c r="BE216" s="1842"/>
      <c r="BF216" s="1842"/>
      <c r="BG216" s="1842"/>
      <c r="BH216" s="1842"/>
      <c r="BI216" s="1842"/>
      <c r="BJ216" s="1842"/>
      <c r="BK216" s="1842"/>
      <c r="BL216" s="1842"/>
      <c r="BM216" s="1842"/>
      <c r="BN216" s="1842"/>
      <c r="BO216" s="1842"/>
      <c r="BP216" s="1842"/>
      <c r="BQ216" s="2636">
        <f t="shared" si="82"/>
        <v>0</v>
      </c>
    </row>
    <row r="217" spans="1:69" s="2574" customFormat="1" ht="15.75" thickBot="1">
      <c r="A217" s="2479" t="s">
        <v>158</v>
      </c>
      <c r="B217" s="2480" t="s">
        <v>159</v>
      </c>
      <c r="C217" s="2481" t="s">
        <v>136</v>
      </c>
      <c r="D217" s="2482" t="s">
        <v>134</v>
      </c>
      <c r="E217" s="2480" t="s">
        <v>160</v>
      </c>
      <c r="F217" s="2483" t="s">
        <v>8</v>
      </c>
      <c r="G217" s="2484" t="s">
        <v>161</v>
      </c>
      <c r="H217" s="2485" t="s">
        <v>52</v>
      </c>
      <c r="I217" s="2483" t="s">
        <v>8</v>
      </c>
      <c r="J217" s="2486" t="s">
        <v>162</v>
      </c>
      <c r="K217" s="3815"/>
      <c r="L217" s="3815"/>
      <c r="AJ217" s="2655" t="s">
        <v>82</v>
      </c>
      <c r="AK217" s="2656">
        <f t="shared" si="81"/>
        <v>0</v>
      </c>
      <c r="AL217" s="2659"/>
      <c r="AM217" s="1842"/>
      <c r="AN217" s="1842"/>
      <c r="AO217" s="1842"/>
      <c r="AP217" s="1842"/>
      <c r="AQ217" s="1842"/>
      <c r="AR217" s="1842"/>
      <c r="AS217" s="1842"/>
      <c r="AT217" s="1842"/>
      <c r="AU217" s="1842"/>
      <c r="AV217" s="1842"/>
      <c r="AW217" s="1842"/>
      <c r="AX217" s="1842"/>
      <c r="AY217" s="1842"/>
      <c r="AZ217" s="1842"/>
      <c r="BA217" s="1842"/>
      <c r="BB217" s="1842"/>
      <c r="BC217" s="1842"/>
      <c r="BD217" s="1842"/>
      <c r="BE217" s="1842"/>
      <c r="BF217" s="1842"/>
      <c r="BG217" s="1842"/>
      <c r="BH217" s="1842"/>
      <c r="BI217" s="1842"/>
      <c r="BJ217" s="1842"/>
      <c r="BK217" s="1842"/>
      <c r="BL217" s="1842"/>
      <c r="BM217" s="1842"/>
      <c r="BN217" s="1842"/>
      <c r="BO217" s="1842"/>
      <c r="BP217" s="1842"/>
      <c r="BQ217" s="2636">
        <f t="shared" si="82"/>
        <v>0</v>
      </c>
    </row>
    <row r="218" spans="1:69" s="2574" customFormat="1" ht="15.75" thickBot="1">
      <c r="A218" s="1339"/>
      <c r="B218" s="1340">
        <v>41348</v>
      </c>
      <c r="C218" s="1341">
        <v>957995</v>
      </c>
      <c r="D218" s="1342"/>
      <c r="E218" s="1343">
        <v>1930</v>
      </c>
      <c r="F218" s="1339"/>
      <c r="G218" s="1342">
        <v>400</v>
      </c>
      <c r="H218" s="1344">
        <f>SUM(F218:G218)</f>
        <v>400</v>
      </c>
      <c r="I218" s="1345"/>
      <c r="J218" s="1346">
        <f>(B213)</f>
        <v>0</v>
      </c>
      <c r="K218" s="1347">
        <f>+F218-I218</f>
        <v>0</v>
      </c>
      <c r="L218" s="1347">
        <f>+G218-J218</f>
        <v>400</v>
      </c>
      <c r="AJ218" s="2655" t="s">
        <v>83</v>
      </c>
      <c r="AK218" s="2656">
        <f t="shared" si="81"/>
        <v>0</v>
      </c>
      <c r="AL218" s="2659"/>
      <c r="AM218" s="1842"/>
      <c r="AN218" s="1842"/>
      <c r="AO218" s="1842"/>
      <c r="AP218" s="1842"/>
      <c r="AQ218" s="1842"/>
      <c r="AR218" s="1842"/>
      <c r="AS218" s="1842"/>
      <c r="AT218" s="1842"/>
      <c r="AU218" s="1842"/>
      <c r="AV218" s="1842"/>
      <c r="AW218" s="1842"/>
      <c r="AX218" s="1842"/>
      <c r="AY218" s="1842"/>
      <c r="AZ218" s="1842"/>
      <c r="BA218" s="1842"/>
      <c r="BB218" s="1842"/>
      <c r="BC218" s="1842"/>
      <c r="BD218" s="1842"/>
      <c r="BE218" s="1842"/>
      <c r="BF218" s="1842"/>
      <c r="BG218" s="1842"/>
      <c r="BH218" s="1842"/>
      <c r="BI218" s="1842"/>
      <c r="BJ218" s="1842"/>
      <c r="BK218" s="1842"/>
      <c r="BL218" s="1842"/>
      <c r="BM218" s="1842"/>
      <c r="BN218" s="1842"/>
      <c r="BO218" s="1842"/>
      <c r="BP218" s="1842"/>
      <c r="BQ218" s="2636">
        <f t="shared" si="82"/>
        <v>0</v>
      </c>
    </row>
    <row r="219" spans="1:69" s="2574" customFormat="1" ht="15.75" thickBot="1">
      <c r="A219" s="1339"/>
      <c r="B219" s="1340"/>
      <c r="C219" s="1341"/>
      <c r="D219" s="1342"/>
      <c r="E219" s="1343"/>
      <c r="F219" s="1339"/>
      <c r="G219" s="1342"/>
      <c r="H219" s="1344">
        <f>SUM(F219:G219)</f>
        <v>0</v>
      </c>
      <c r="I219" s="1345"/>
      <c r="J219" s="1346"/>
      <c r="K219" s="1347">
        <f>+H219-I219-J219</f>
        <v>0</v>
      </c>
      <c r="L219" s="1347">
        <f>+I219-J219-K219</f>
        <v>0</v>
      </c>
      <c r="AJ219" s="2655" t="s">
        <v>84</v>
      </c>
      <c r="AK219" s="2656">
        <f t="shared" si="81"/>
        <v>0</v>
      </c>
      <c r="AL219" s="2659"/>
      <c r="AM219" s="1842"/>
      <c r="AN219" s="1842"/>
      <c r="AO219" s="1842"/>
      <c r="AP219" s="1842"/>
      <c r="AQ219" s="1842"/>
      <c r="AR219" s="1842"/>
      <c r="AS219" s="1842"/>
      <c r="AT219" s="1842"/>
      <c r="AU219" s="1842"/>
      <c r="AV219" s="1842"/>
      <c r="AW219" s="1842"/>
      <c r="AX219" s="1842"/>
      <c r="AY219" s="1842"/>
      <c r="AZ219" s="1842"/>
      <c r="BA219" s="1842"/>
      <c r="BB219" s="1842"/>
      <c r="BC219" s="1842"/>
      <c r="BD219" s="1842"/>
      <c r="BE219" s="1842"/>
      <c r="BF219" s="1842"/>
      <c r="BG219" s="1842"/>
      <c r="BH219" s="1842"/>
      <c r="BI219" s="1842"/>
      <c r="BJ219" s="1842"/>
      <c r="BK219" s="1842"/>
      <c r="BL219" s="1842"/>
      <c r="BM219" s="1842"/>
      <c r="BN219" s="2636"/>
      <c r="BO219" s="1842"/>
      <c r="BP219" s="2636"/>
      <c r="BQ219" s="2636">
        <f t="shared" si="82"/>
        <v>0</v>
      </c>
    </row>
    <row r="220" spans="1:69" ht="15">
      <c r="AJ220" s="2655" t="s">
        <v>85</v>
      </c>
      <c r="AK220" s="2656">
        <f t="shared" si="81"/>
        <v>0</v>
      </c>
      <c r="AL220" s="2659"/>
      <c r="AM220" s="1842"/>
      <c r="AN220" s="1842"/>
      <c r="AO220" s="1842"/>
      <c r="AP220" s="2639"/>
      <c r="AQ220" s="1842"/>
      <c r="AR220" s="1842"/>
      <c r="AS220" s="1842"/>
      <c r="AT220" s="1842"/>
      <c r="AU220" s="1842"/>
      <c r="AV220" s="1842"/>
      <c r="AW220" s="1842"/>
      <c r="AX220" s="1842"/>
      <c r="AY220" s="1842"/>
      <c r="AZ220" s="1842"/>
      <c r="BA220" s="1842"/>
      <c r="BB220" s="1842"/>
      <c r="BC220" s="1842"/>
      <c r="BD220" s="1842"/>
      <c r="BE220" s="1842"/>
      <c r="BF220" s="1842"/>
      <c r="BG220" s="1842"/>
      <c r="BH220" s="1842"/>
      <c r="BI220" s="1842"/>
      <c r="BJ220" s="1842"/>
      <c r="BK220" s="1842"/>
      <c r="BL220" s="1842"/>
      <c r="BM220" s="1842"/>
      <c r="BN220" s="2636"/>
      <c r="BO220" s="1842"/>
      <c r="BP220" s="2636"/>
      <c r="BQ220" s="2636">
        <f t="shared" si="82"/>
        <v>0</v>
      </c>
    </row>
    <row r="221" spans="1:69" ht="15">
      <c r="AJ221" s="2655" t="s">
        <v>86</v>
      </c>
      <c r="AK221" s="2656">
        <f t="shared" si="81"/>
        <v>0</v>
      </c>
      <c r="AL221" s="2659"/>
      <c r="AM221" s="1842"/>
      <c r="AN221" s="1842"/>
      <c r="AO221" s="1842"/>
      <c r="AP221" s="1842"/>
      <c r="AQ221" s="1842"/>
      <c r="AR221" s="1842"/>
      <c r="AS221" s="1842"/>
      <c r="AT221" s="1842"/>
      <c r="AU221" s="1842"/>
      <c r="AV221" s="1842"/>
      <c r="AW221" s="1842"/>
      <c r="AX221" s="1842"/>
      <c r="AY221" s="1842"/>
      <c r="AZ221" s="1842"/>
      <c r="BA221" s="1842"/>
      <c r="BB221" s="1842"/>
      <c r="BC221" s="1842"/>
      <c r="BD221" s="1842"/>
      <c r="BE221" s="1842"/>
      <c r="BF221" s="1842"/>
      <c r="BG221" s="1842"/>
      <c r="BH221" s="1842"/>
      <c r="BI221" s="1842"/>
      <c r="BJ221" s="1842"/>
      <c r="BK221" s="1842"/>
      <c r="BL221" s="1842"/>
      <c r="BM221" s="1842"/>
      <c r="BN221" s="1842"/>
      <c r="BO221" s="1842"/>
      <c r="BP221" s="1842"/>
      <c r="BQ221" s="2636">
        <f t="shared" si="82"/>
        <v>0</v>
      </c>
    </row>
    <row r="222" spans="1:69" s="2622" customFormat="1" ht="33">
      <c r="A222" s="2773" t="s">
        <v>284</v>
      </c>
      <c r="B222" s="2774"/>
      <c r="C222" s="2774" t="s">
        <v>959</v>
      </c>
      <c r="D222" s="2775"/>
      <c r="E222" s="2775"/>
      <c r="F222" s="2775"/>
      <c r="G222" s="2775"/>
      <c r="H222" s="3016" t="s">
        <v>1054</v>
      </c>
      <c r="I222" s="1933"/>
      <c r="J222" s="2775"/>
      <c r="K222" s="3080"/>
      <c r="L222" s="2775"/>
      <c r="M222" s="2775"/>
      <c r="N222" s="2775"/>
      <c r="O222" s="2775"/>
      <c r="P222" s="2775"/>
      <c r="Q222" s="2775"/>
      <c r="R222" s="2775"/>
      <c r="S222" s="2775"/>
      <c r="T222" s="2775"/>
      <c r="U222" s="2775"/>
      <c r="V222" s="2775"/>
      <c r="W222" s="2775"/>
      <c r="X222" s="2775"/>
      <c r="Y222" s="2775"/>
      <c r="Z222" s="2775"/>
      <c r="AA222" s="2775"/>
      <c r="AB222" s="2775"/>
      <c r="AC222" s="2775"/>
      <c r="AD222" s="2775"/>
      <c r="AE222" s="2775"/>
      <c r="AF222" s="2775"/>
      <c r="AG222" s="2775"/>
      <c r="AH222" s="2775"/>
      <c r="AJ222" s="2660" t="s">
        <v>74</v>
      </c>
      <c r="AK222" s="2661">
        <f t="shared" ref="AK222:BA222" si="85">SUM(AK210:AK221)</f>
        <v>0</v>
      </c>
      <c r="AL222" s="2656">
        <f t="shared" si="85"/>
        <v>0</v>
      </c>
      <c r="AM222" s="2633">
        <f t="shared" si="85"/>
        <v>0</v>
      </c>
      <c r="AN222" s="2633">
        <f t="shared" si="85"/>
        <v>0</v>
      </c>
      <c r="AO222" s="2633">
        <f t="shared" si="85"/>
        <v>0</v>
      </c>
      <c r="AP222" s="2633">
        <f t="shared" si="85"/>
        <v>0</v>
      </c>
      <c r="AQ222" s="2633">
        <f t="shared" si="85"/>
        <v>0</v>
      </c>
      <c r="AR222" s="2633">
        <f t="shared" si="85"/>
        <v>0</v>
      </c>
      <c r="AS222" s="2633">
        <f t="shared" si="85"/>
        <v>0</v>
      </c>
      <c r="AT222" s="2633">
        <f t="shared" si="85"/>
        <v>0</v>
      </c>
      <c r="AU222" s="2633">
        <f t="shared" si="85"/>
        <v>0</v>
      </c>
      <c r="AV222" s="2633">
        <f t="shared" si="85"/>
        <v>0</v>
      </c>
      <c r="AW222" s="2633">
        <f t="shared" si="85"/>
        <v>0</v>
      </c>
      <c r="AX222" s="2633">
        <f t="shared" si="85"/>
        <v>0</v>
      </c>
      <c r="AY222" s="2633">
        <f t="shared" si="85"/>
        <v>0</v>
      </c>
      <c r="AZ222" s="2633">
        <f t="shared" si="85"/>
        <v>0</v>
      </c>
      <c r="BA222" s="2633">
        <f t="shared" si="85"/>
        <v>0</v>
      </c>
      <c r="BB222" s="2636">
        <f t="shared" ref="BB222:BL222" si="86">SUM(BB210:BB220)</f>
        <v>0</v>
      </c>
      <c r="BC222" s="2636">
        <f t="shared" si="86"/>
        <v>0</v>
      </c>
      <c r="BD222" s="2636">
        <f t="shared" si="86"/>
        <v>0</v>
      </c>
      <c r="BE222" s="2636">
        <f t="shared" si="86"/>
        <v>0</v>
      </c>
      <c r="BF222" s="2636">
        <f t="shared" si="86"/>
        <v>0</v>
      </c>
      <c r="BG222" s="2636">
        <f t="shared" si="86"/>
        <v>0</v>
      </c>
      <c r="BH222" s="2636">
        <f t="shared" si="86"/>
        <v>0</v>
      </c>
      <c r="BI222" s="2636">
        <f t="shared" si="86"/>
        <v>0</v>
      </c>
      <c r="BJ222" s="2636">
        <f t="shared" si="86"/>
        <v>0</v>
      </c>
      <c r="BK222" s="2636">
        <f t="shared" si="86"/>
        <v>0</v>
      </c>
      <c r="BL222" s="2636">
        <f t="shared" si="86"/>
        <v>0</v>
      </c>
      <c r="BM222" s="2636">
        <v>0</v>
      </c>
      <c r="BN222" s="2636">
        <f>SUM(BN210:BN220)</f>
        <v>0</v>
      </c>
      <c r="BO222" s="2636">
        <f>SUM(BO210:BO220)</f>
        <v>0</v>
      </c>
      <c r="BP222" s="2636">
        <f>SUM(BP210:BP220)</f>
        <v>0</v>
      </c>
      <c r="BQ222" s="2636">
        <f>SUM(BQ210:BQ220)</f>
        <v>0</v>
      </c>
    </row>
    <row r="223" spans="1:69" s="2622" customFormat="1" ht="15">
      <c r="A223" s="3932" t="s">
        <v>271</v>
      </c>
      <c r="B223" s="3933"/>
      <c r="C223" s="3934"/>
      <c r="D223" s="2776"/>
      <c r="E223" s="2776"/>
      <c r="F223" s="2776"/>
      <c r="G223" s="2776"/>
      <c r="H223" s="2776"/>
      <c r="I223" s="2776"/>
      <c r="J223" s="2776"/>
      <c r="K223" s="2776"/>
      <c r="L223" s="2776"/>
      <c r="M223" s="2776"/>
      <c r="N223" s="2776"/>
      <c r="O223" s="2776"/>
      <c r="P223" s="2776"/>
      <c r="Q223" s="2776"/>
      <c r="R223" s="2776"/>
      <c r="S223" s="2777"/>
      <c r="T223" s="2777"/>
      <c r="U223" s="2777"/>
      <c r="V223" s="2777"/>
      <c r="W223" s="2777"/>
      <c r="X223" s="2777"/>
      <c r="Y223" s="2777"/>
      <c r="Z223" s="2777"/>
      <c r="AA223" s="2777"/>
      <c r="AB223" s="2777"/>
      <c r="AC223" s="2777"/>
      <c r="AD223" s="2777"/>
      <c r="AE223" s="2777"/>
      <c r="AF223" s="2777"/>
      <c r="AG223" s="2777"/>
      <c r="AH223" s="2777"/>
      <c r="AJ223" s="2662"/>
      <c r="AK223" s="2662"/>
      <c r="AL223" s="2662"/>
      <c r="AM223" s="2630"/>
      <c r="AN223" s="2630"/>
      <c r="AO223" s="2630"/>
      <c r="AP223" s="2630"/>
      <c r="AQ223" s="2630"/>
      <c r="AR223" s="2630"/>
      <c r="AS223" s="2630"/>
      <c r="AT223" s="2630"/>
      <c r="AU223" s="2630"/>
      <c r="AV223" s="2630"/>
      <c r="AW223" s="2630"/>
      <c r="AX223" s="2630"/>
      <c r="AY223" s="2630"/>
      <c r="AZ223" s="2630"/>
      <c r="BA223" s="2630"/>
      <c r="BB223" s="2630"/>
      <c r="BC223" s="2630"/>
      <c r="BD223" s="2630"/>
      <c r="BE223" s="2630"/>
      <c r="BF223" s="2630"/>
      <c r="BG223" s="2630"/>
      <c r="BH223" s="2630"/>
      <c r="BI223" s="2630"/>
      <c r="BJ223" s="2630"/>
      <c r="BK223" s="2630"/>
      <c r="BL223" s="2630"/>
      <c r="BM223" s="2630"/>
      <c r="BN223" s="2630"/>
      <c r="BO223" s="2630"/>
      <c r="BP223" s="2630"/>
      <c r="BQ223" s="2630"/>
    </row>
    <row r="224" spans="1:69" s="2622" customFormat="1" ht="23.25">
      <c r="A224" s="2778" t="s">
        <v>72</v>
      </c>
      <c r="B224" s="2779" t="s">
        <v>73</v>
      </c>
      <c r="C224" s="2780">
        <v>1</v>
      </c>
      <c r="D224" s="2780">
        <v>2</v>
      </c>
      <c r="E224" s="2780">
        <v>3</v>
      </c>
      <c r="F224" s="2780">
        <v>4</v>
      </c>
      <c r="G224" s="2780">
        <v>5</v>
      </c>
      <c r="H224" s="2780">
        <v>6</v>
      </c>
      <c r="I224" s="2780">
        <v>7</v>
      </c>
      <c r="J224" s="2780">
        <v>8</v>
      </c>
      <c r="K224" s="2780">
        <v>9</v>
      </c>
      <c r="L224" s="2780">
        <v>10</v>
      </c>
      <c r="M224" s="2780">
        <v>11</v>
      </c>
      <c r="N224" s="2780">
        <v>12</v>
      </c>
      <c r="O224" s="2780">
        <v>13</v>
      </c>
      <c r="P224" s="2780">
        <v>14</v>
      </c>
      <c r="Q224" s="2780">
        <v>15</v>
      </c>
      <c r="R224" s="2780">
        <v>16</v>
      </c>
      <c r="S224" s="2778">
        <v>17</v>
      </c>
      <c r="T224" s="2778">
        <v>18</v>
      </c>
      <c r="U224" s="2778">
        <v>19</v>
      </c>
      <c r="V224" s="2778">
        <v>20</v>
      </c>
      <c r="W224" s="2778">
        <v>21</v>
      </c>
      <c r="X224" s="2778">
        <v>22</v>
      </c>
      <c r="Y224" s="2778">
        <v>23</v>
      </c>
      <c r="Z224" s="2778">
        <v>24</v>
      </c>
      <c r="AA224" s="2778">
        <v>25</v>
      </c>
      <c r="AB224" s="2778">
        <v>26</v>
      </c>
      <c r="AC224" s="2778">
        <v>27</v>
      </c>
      <c r="AD224" s="2778">
        <v>28</v>
      </c>
      <c r="AE224" s="2778">
        <v>29</v>
      </c>
      <c r="AF224" s="2778">
        <v>30</v>
      </c>
      <c r="AG224" s="2778">
        <v>31</v>
      </c>
      <c r="AH224" s="2781" t="s">
        <v>74</v>
      </c>
      <c r="AJ224" s="3013" t="s">
        <v>299</v>
      </c>
      <c r="AK224" s="3013"/>
      <c r="AL224" s="3013"/>
      <c r="AM224" s="1415"/>
      <c r="AN224" s="3013" t="s">
        <v>1023</v>
      </c>
      <c r="AO224" s="3013"/>
      <c r="AP224" s="3080"/>
      <c r="AQ224" s="2629"/>
      <c r="AR224" s="2630"/>
      <c r="AS224" s="2630"/>
      <c r="AT224" s="2630"/>
      <c r="AU224" s="2630"/>
      <c r="AV224" s="2630"/>
      <c r="AW224" s="2630"/>
      <c r="AX224" s="2630"/>
      <c r="AY224" s="2630"/>
      <c r="AZ224" s="2630"/>
      <c r="BA224" s="2630"/>
      <c r="BB224" s="2630"/>
      <c r="BC224" s="2630"/>
      <c r="BD224" s="2630"/>
      <c r="BE224" s="2630"/>
      <c r="BF224" s="2630"/>
      <c r="BG224" s="2630"/>
      <c r="BH224" s="2630"/>
      <c r="BI224" s="2630"/>
      <c r="BJ224" s="2630"/>
      <c r="BK224" s="2630"/>
      <c r="BL224" s="2630"/>
      <c r="BM224" s="2630"/>
      <c r="BN224" s="2630"/>
      <c r="BO224" s="2630"/>
      <c r="BP224" s="2630"/>
      <c r="BQ224" s="2630"/>
    </row>
    <row r="225" spans="1:69" s="2622" customFormat="1" ht="15">
      <c r="A225" s="2778" t="s">
        <v>75</v>
      </c>
      <c r="B225" s="2779">
        <f t="shared" ref="B225:B236" si="87">+AH225</f>
        <v>0</v>
      </c>
      <c r="C225" s="2782"/>
      <c r="D225" s="2782"/>
      <c r="E225" s="2782"/>
      <c r="F225" s="2782"/>
      <c r="G225" s="2782"/>
      <c r="H225" s="2782"/>
      <c r="I225" s="2782"/>
      <c r="J225" s="2782"/>
      <c r="K225" s="2782"/>
      <c r="L225" s="2782"/>
      <c r="M225" s="2782"/>
      <c r="N225" s="2782"/>
      <c r="O225" s="2782"/>
      <c r="P225" s="2782"/>
      <c r="Q225" s="2782"/>
      <c r="R225" s="2782"/>
      <c r="S225" s="2782"/>
      <c r="T225" s="2782"/>
      <c r="U225" s="2782"/>
      <c r="V225" s="2782"/>
      <c r="W225" s="2782"/>
      <c r="X225" s="2782"/>
      <c r="Y225" s="2782"/>
      <c r="Z225" s="2782"/>
      <c r="AA225" s="2782"/>
      <c r="AB225" s="2782"/>
      <c r="AC225" s="2782"/>
      <c r="AD225" s="2782"/>
      <c r="AE225" s="2782"/>
      <c r="AF225" s="2782"/>
      <c r="AG225" s="2782"/>
      <c r="AH225" s="2783">
        <f>SUM(C225:AG225)</f>
        <v>0</v>
      </c>
      <c r="AJ225" s="3885" t="s">
        <v>271</v>
      </c>
      <c r="AK225" s="3886"/>
      <c r="AL225" s="3887"/>
      <c r="AM225" s="2631"/>
      <c r="AN225" s="2631"/>
      <c r="AO225" s="2631"/>
      <c r="AP225" s="2631"/>
      <c r="AQ225" s="2631"/>
      <c r="AR225" s="2631"/>
      <c r="AS225" s="2631"/>
      <c r="AT225" s="2631"/>
      <c r="AU225" s="2631"/>
      <c r="AV225" s="2631"/>
      <c r="AW225" s="2631"/>
      <c r="AX225" s="2631"/>
      <c r="AY225" s="2631"/>
      <c r="AZ225" s="2631"/>
      <c r="BA225" s="2631"/>
      <c r="BB225" s="2632"/>
      <c r="BC225" s="2632"/>
      <c r="BD225" s="2632"/>
      <c r="BE225" s="2632"/>
      <c r="BF225" s="2632"/>
      <c r="BG225" s="2632"/>
      <c r="BH225" s="2632"/>
      <c r="BI225" s="2632"/>
      <c r="BJ225" s="2632"/>
      <c r="BK225" s="2632"/>
      <c r="BL225" s="2632"/>
      <c r="BM225" s="2632"/>
      <c r="BN225" s="2632"/>
      <c r="BO225" s="2632"/>
      <c r="BP225" s="2632"/>
      <c r="BQ225" s="2632"/>
    </row>
    <row r="226" spans="1:69" s="2622" customFormat="1" ht="15.75" thickBot="1">
      <c r="A226" s="2778" t="s">
        <v>76</v>
      </c>
      <c r="B226" s="2779">
        <f t="shared" si="87"/>
        <v>0</v>
      </c>
      <c r="C226" s="2782"/>
      <c r="D226" s="2782"/>
      <c r="E226" s="2782"/>
      <c r="F226" s="2782"/>
      <c r="G226" s="2782"/>
      <c r="H226" s="2782"/>
      <c r="I226" s="2782"/>
      <c r="J226" s="2782"/>
      <c r="K226" s="2782"/>
      <c r="L226" s="2782"/>
      <c r="M226" s="2782"/>
      <c r="N226" s="2782"/>
      <c r="O226" s="2782"/>
      <c r="P226" s="2782"/>
      <c r="Q226" s="2782"/>
      <c r="R226" s="2782"/>
      <c r="S226" s="2782"/>
      <c r="T226" s="2782"/>
      <c r="U226" s="2782"/>
      <c r="V226" s="2782"/>
      <c r="W226" s="2782"/>
      <c r="X226" s="2782"/>
      <c r="Y226" s="2782"/>
      <c r="Z226" s="2782"/>
      <c r="AA226" s="2782"/>
      <c r="AB226" s="2782"/>
      <c r="AC226" s="2782"/>
      <c r="AD226" s="2782"/>
      <c r="AE226" s="2782"/>
      <c r="AF226" s="2782"/>
      <c r="AG226" s="2782"/>
      <c r="AH226" s="2783">
        <f t="shared" ref="AH226:AH236" si="88">SUM(C226:AG226)</f>
        <v>0</v>
      </c>
      <c r="AJ226" s="2655" t="s">
        <v>72</v>
      </c>
      <c r="AK226" s="2656" t="s">
        <v>73</v>
      </c>
      <c r="AL226" s="2657">
        <v>1</v>
      </c>
      <c r="AM226" s="2042">
        <v>2</v>
      </c>
      <c r="AN226" s="2042">
        <v>3</v>
      </c>
      <c r="AO226" s="2042">
        <v>4</v>
      </c>
      <c r="AP226" s="2042">
        <v>5</v>
      </c>
      <c r="AQ226" s="2042">
        <v>6</v>
      </c>
      <c r="AR226" s="2042">
        <v>7</v>
      </c>
      <c r="AS226" s="2042">
        <v>8</v>
      </c>
      <c r="AT226" s="2042">
        <v>9</v>
      </c>
      <c r="AU226" s="2042">
        <v>10</v>
      </c>
      <c r="AV226" s="2042">
        <v>11</v>
      </c>
      <c r="AW226" s="2042">
        <v>12</v>
      </c>
      <c r="AX226" s="2042">
        <v>13</v>
      </c>
      <c r="AY226" s="2042">
        <v>14</v>
      </c>
      <c r="AZ226" s="2042">
        <v>15</v>
      </c>
      <c r="BA226" s="2042">
        <v>16</v>
      </c>
      <c r="BB226" s="1841">
        <v>17</v>
      </c>
      <c r="BC226" s="1841">
        <v>18</v>
      </c>
      <c r="BD226" s="1841">
        <v>19</v>
      </c>
      <c r="BE226" s="1841">
        <v>20</v>
      </c>
      <c r="BF226" s="1841">
        <v>21</v>
      </c>
      <c r="BG226" s="1841">
        <v>22</v>
      </c>
      <c r="BH226" s="1841">
        <v>23</v>
      </c>
      <c r="BI226" s="1841">
        <v>24</v>
      </c>
      <c r="BJ226" s="1841">
        <v>25</v>
      </c>
      <c r="BK226" s="1841">
        <v>26</v>
      </c>
      <c r="BL226" s="1841">
        <v>27</v>
      </c>
      <c r="BM226" s="1841">
        <v>28</v>
      </c>
      <c r="BN226" s="1841">
        <v>29</v>
      </c>
      <c r="BO226" s="1841">
        <v>30</v>
      </c>
      <c r="BP226" s="1841">
        <v>31</v>
      </c>
      <c r="BQ226" s="2634" t="s">
        <v>74</v>
      </c>
    </row>
    <row r="227" spans="1:69" s="2622" customFormat="1" ht="15.75" thickBot="1">
      <c r="A227" s="2778" t="s">
        <v>77</v>
      </c>
      <c r="B227" s="2779">
        <f t="shared" si="87"/>
        <v>0</v>
      </c>
      <c r="C227" s="2782"/>
      <c r="D227" s="2782"/>
      <c r="E227" s="2782"/>
      <c r="F227" s="2782"/>
      <c r="G227" s="2782"/>
      <c r="H227" s="2784"/>
      <c r="I227" s="2784"/>
      <c r="J227" s="2784"/>
      <c r="K227" s="2784"/>
      <c r="L227" s="2784"/>
      <c r="M227" s="2784"/>
      <c r="N227" s="2784"/>
      <c r="O227" s="2784"/>
      <c r="P227" s="2784"/>
      <c r="Q227" s="2784"/>
      <c r="R227" s="2785"/>
      <c r="S227" s="2784"/>
      <c r="T227" s="2784"/>
      <c r="U227" s="2784"/>
      <c r="V227" s="2784"/>
      <c r="W227" s="2784"/>
      <c r="X227" s="2784"/>
      <c r="Y227" s="2784"/>
      <c r="Z227" s="2784"/>
      <c r="AA227" s="2784"/>
      <c r="AB227" s="2784"/>
      <c r="AC227" s="2782"/>
      <c r="AD227" s="2782"/>
      <c r="AE227" s="2782"/>
      <c r="AF227" s="2782"/>
      <c r="AG227" s="2782"/>
      <c r="AH227" s="2783">
        <f t="shared" si="88"/>
        <v>0</v>
      </c>
      <c r="AJ227" s="2655" t="s">
        <v>75</v>
      </c>
      <c r="AK227" s="2656">
        <f t="shared" ref="AK227:AK238" si="89">+BQ227</f>
        <v>0</v>
      </c>
      <c r="AL227" s="2658"/>
      <c r="AM227" s="2635"/>
      <c r="AN227" s="2635"/>
      <c r="AO227" s="2635"/>
      <c r="AP227" s="2635"/>
      <c r="AQ227" s="2635"/>
      <c r="AR227" s="2635"/>
      <c r="AS227" s="2635"/>
      <c r="AT227" s="2635"/>
      <c r="AU227" s="2635"/>
      <c r="AV227" s="2635"/>
      <c r="AW227" s="2635"/>
      <c r="AX227" s="2635"/>
      <c r="AY227" s="2635"/>
      <c r="AZ227" s="2635"/>
      <c r="BA227" s="2635"/>
      <c r="BB227" s="2635"/>
      <c r="BC227" s="2635"/>
      <c r="BD227" s="2635"/>
      <c r="BE227" s="2635"/>
      <c r="BF227" s="2635"/>
      <c r="BG227" s="2635"/>
      <c r="BH227" s="2635"/>
      <c r="BI227" s="2635"/>
      <c r="BJ227" s="2635"/>
      <c r="BK227" s="2635"/>
      <c r="BL227" s="2635"/>
      <c r="BM227" s="2635"/>
      <c r="BN227" s="2635"/>
      <c r="BO227" s="2635"/>
      <c r="BP227" s="2635"/>
      <c r="BQ227" s="2636">
        <f>SUM(AL227:BP227)</f>
        <v>0</v>
      </c>
    </row>
    <row r="228" spans="1:69" s="2622" customFormat="1" ht="15.75" thickBot="1">
      <c r="A228" s="2778" t="s">
        <v>78</v>
      </c>
      <c r="B228" s="2779">
        <f t="shared" si="87"/>
        <v>156.47</v>
      </c>
      <c r="C228" s="2782"/>
      <c r="D228" s="2782"/>
      <c r="E228" s="2782"/>
      <c r="F228" s="2782"/>
      <c r="G228" s="2782"/>
      <c r="H228" s="2782"/>
      <c r="I228" s="2782"/>
      <c r="J228" s="2782"/>
      <c r="K228" s="2782"/>
      <c r="L228" s="2786"/>
      <c r="M228" s="2786"/>
      <c r="N228" s="2786"/>
      <c r="O228" s="2786"/>
      <c r="P228" s="2786"/>
      <c r="Q228" s="2786"/>
      <c r="R228" s="2786"/>
      <c r="S228" s="2786"/>
      <c r="T228" s="2786"/>
      <c r="U228" s="2786"/>
      <c r="V228" s="2786"/>
      <c r="W228" s="2786"/>
      <c r="X228" s="2786"/>
      <c r="Y228" s="2786"/>
      <c r="Z228" s="2786"/>
      <c r="AA228" s="2786"/>
      <c r="AB228" s="2786">
        <v>65.844999999999999</v>
      </c>
      <c r="AC228" s="2786"/>
      <c r="AD228" s="2786">
        <v>67.405000000000001</v>
      </c>
      <c r="AE228" s="2786"/>
      <c r="AF228" s="2786">
        <v>23.22</v>
      </c>
      <c r="AG228" s="2786"/>
      <c r="AH228" s="2783">
        <f t="shared" si="88"/>
        <v>156.47</v>
      </c>
      <c r="AJ228" s="2655" t="s">
        <v>76</v>
      </c>
      <c r="AK228" s="2656">
        <f t="shared" si="89"/>
        <v>0</v>
      </c>
      <c r="AL228" s="2658"/>
      <c r="AM228" s="2635"/>
      <c r="AN228" s="2635"/>
      <c r="AO228" s="2635"/>
      <c r="AP228" s="2635"/>
      <c r="AQ228" s="2635"/>
      <c r="AR228" s="2635"/>
      <c r="AS228" s="2635"/>
      <c r="AT228" s="2635"/>
      <c r="AU228" s="2635"/>
      <c r="AV228" s="2635"/>
      <c r="AW228" s="2635"/>
      <c r="AX228" s="2635"/>
      <c r="AY228" s="2635"/>
      <c r="AZ228" s="2635"/>
      <c r="BA228" s="2635"/>
      <c r="BB228" s="2635"/>
      <c r="BC228" s="2635"/>
      <c r="BD228" s="2635"/>
      <c r="BE228" s="2635"/>
      <c r="BF228" s="2635"/>
      <c r="BG228" s="2635"/>
      <c r="BH228" s="2635"/>
      <c r="BI228" s="2635"/>
      <c r="BJ228" s="2635"/>
      <c r="BK228" s="2635"/>
      <c r="BL228" s="2635"/>
      <c r="BM228" s="2635"/>
      <c r="BN228" s="2635"/>
      <c r="BO228" s="2635"/>
      <c r="BP228" s="2635"/>
      <c r="BQ228" s="2636">
        <f t="shared" ref="BQ228:BQ238" si="90">SUM(AL228:BP228)</f>
        <v>0</v>
      </c>
    </row>
    <row r="229" spans="1:69" s="2622" customFormat="1" ht="15.75" thickBot="1">
      <c r="A229" s="2778" t="s">
        <v>79</v>
      </c>
      <c r="B229" s="2779">
        <f t="shared" si="87"/>
        <v>279.565</v>
      </c>
      <c r="C229" s="2784"/>
      <c r="D229" s="2784"/>
      <c r="E229" s="2784"/>
      <c r="F229" s="2784"/>
      <c r="G229" s="2784"/>
      <c r="H229" s="2784">
        <v>67.17</v>
      </c>
      <c r="I229" s="2784">
        <v>67.08</v>
      </c>
      <c r="J229" s="2784"/>
      <c r="K229" s="2784"/>
      <c r="L229" s="2784"/>
      <c r="M229" s="2784"/>
      <c r="N229" s="2784">
        <v>12.63</v>
      </c>
      <c r="O229" s="2784"/>
      <c r="P229" s="2784"/>
      <c r="Q229" s="2784"/>
      <c r="R229" s="2784">
        <v>66.745000000000005</v>
      </c>
      <c r="S229" s="2784"/>
      <c r="T229" s="2784">
        <v>65.94</v>
      </c>
      <c r="U229" s="2784"/>
      <c r="V229" s="2784"/>
      <c r="W229" s="2784"/>
      <c r="X229" s="2784"/>
      <c r="Y229" s="2784"/>
      <c r="Z229" s="2784"/>
      <c r="AA229" s="2784"/>
      <c r="AB229" s="2784"/>
      <c r="AC229" s="2784"/>
      <c r="AD229" s="2784"/>
      <c r="AE229" s="2784"/>
      <c r="AF229" s="2784"/>
      <c r="AG229" s="2784"/>
      <c r="AH229" s="2783">
        <f t="shared" si="88"/>
        <v>279.565</v>
      </c>
      <c r="AJ229" s="2655" t="s">
        <v>77</v>
      </c>
      <c r="AK229" s="2656">
        <f t="shared" si="89"/>
        <v>0</v>
      </c>
      <c r="AL229" s="2658"/>
      <c r="AM229" s="2635"/>
      <c r="AN229" s="2635"/>
      <c r="AO229" s="2635"/>
      <c r="AP229" s="2635"/>
      <c r="AQ229" s="1842"/>
      <c r="AR229" s="1842"/>
      <c r="AS229" s="1842"/>
      <c r="AT229" s="1842"/>
      <c r="AU229" s="1842"/>
      <c r="AV229" s="1842"/>
      <c r="AW229" s="1842"/>
      <c r="AX229" s="1842"/>
      <c r="AY229" s="1842"/>
      <c r="AZ229" s="1842"/>
      <c r="BA229" s="2637"/>
      <c r="BB229" s="1842"/>
      <c r="BC229" s="1842"/>
      <c r="BD229" s="1842"/>
      <c r="BE229" s="1842"/>
      <c r="BF229" s="1842"/>
      <c r="BG229" s="1842"/>
      <c r="BH229" s="1842"/>
      <c r="BI229" s="1842"/>
      <c r="BJ229" s="1842"/>
      <c r="BK229" s="1842"/>
      <c r="BL229" s="2635"/>
      <c r="BM229" s="2635"/>
      <c r="BN229" s="2635"/>
      <c r="BO229" s="2635"/>
      <c r="BP229" s="2635"/>
      <c r="BQ229" s="2636">
        <f t="shared" si="90"/>
        <v>0</v>
      </c>
    </row>
    <row r="230" spans="1:69" s="2622" customFormat="1" ht="15">
      <c r="A230" s="2778" t="s">
        <v>80</v>
      </c>
      <c r="B230" s="2779">
        <f t="shared" si="87"/>
        <v>199.721</v>
      </c>
      <c r="C230" s="2784"/>
      <c r="D230" s="2784"/>
      <c r="E230" s="2784"/>
      <c r="F230" s="2784"/>
      <c r="G230" s="2784"/>
      <c r="H230" s="2784"/>
      <c r="I230" s="2784"/>
      <c r="J230" s="2784"/>
      <c r="K230" s="2784">
        <v>67.489999999999995</v>
      </c>
      <c r="L230" s="2784"/>
      <c r="M230" s="2784">
        <v>21.86</v>
      </c>
      <c r="N230" s="2784"/>
      <c r="O230" s="2784"/>
      <c r="P230" s="2784"/>
      <c r="Q230" s="2784"/>
      <c r="R230" s="2784"/>
      <c r="S230" s="2784"/>
      <c r="T230" s="2784"/>
      <c r="U230" s="2784"/>
      <c r="V230" s="2784">
        <v>43.07</v>
      </c>
      <c r="W230" s="2784">
        <v>54.27</v>
      </c>
      <c r="X230" s="2784"/>
      <c r="Y230" s="2784">
        <v>13.031000000000001</v>
      </c>
      <c r="Z230" s="2784"/>
      <c r="AA230" s="2784"/>
      <c r="AB230" s="2784"/>
      <c r="AC230" s="2784"/>
      <c r="AD230" s="2784"/>
      <c r="AE230" s="2784"/>
      <c r="AF230" s="2784"/>
      <c r="AG230" s="2784"/>
      <c r="AH230" s="2783">
        <f t="shared" si="88"/>
        <v>199.721</v>
      </c>
      <c r="AJ230" s="2655" t="s">
        <v>78</v>
      </c>
      <c r="AK230" s="2656">
        <f t="shared" si="89"/>
        <v>0</v>
      </c>
      <c r="AL230" s="2658"/>
      <c r="AM230" s="2635"/>
      <c r="AN230" s="2635"/>
      <c r="AO230" s="2635"/>
      <c r="AP230" s="2635"/>
      <c r="AQ230" s="2635"/>
      <c r="AR230" s="2635"/>
      <c r="AS230" s="2635"/>
      <c r="AT230" s="2635"/>
      <c r="AU230" s="2638"/>
      <c r="AV230" s="2638"/>
      <c r="AW230" s="2638"/>
      <c r="AX230" s="2638"/>
      <c r="AY230" s="2638"/>
      <c r="AZ230" s="2638"/>
      <c r="BA230" s="2638"/>
      <c r="BB230" s="2638"/>
      <c r="BC230" s="2638"/>
      <c r="BD230" s="2638"/>
      <c r="BE230" s="2638"/>
      <c r="BF230" s="2638"/>
      <c r="BG230" s="2638"/>
      <c r="BH230" s="2638"/>
      <c r="BI230" s="2638"/>
      <c r="BJ230" s="2638"/>
      <c r="BK230" s="2638"/>
      <c r="BL230" s="2638"/>
      <c r="BM230" s="2638"/>
      <c r="BN230" s="2638"/>
      <c r="BO230" s="2638"/>
      <c r="BP230" s="2638"/>
      <c r="BQ230" s="2636">
        <f t="shared" si="90"/>
        <v>0</v>
      </c>
    </row>
    <row r="231" spans="1:69" s="2622" customFormat="1" ht="15">
      <c r="A231" s="2778" t="s">
        <v>81</v>
      </c>
      <c r="B231" s="2779">
        <f t="shared" si="87"/>
        <v>32.865000000000002</v>
      </c>
      <c r="C231" s="2784"/>
      <c r="D231" s="2783"/>
      <c r="E231" s="2783"/>
      <c r="F231" s="2783"/>
      <c r="G231" s="2784"/>
      <c r="H231" s="2784"/>
      <c r="I231" s="2784">
        <v>15.38</v>
      </c>
      <c r="J231" s="2784"/>
      <c r="K231" s="2784"/>
      <c r="L231" s="2784"/>
      <c r="M231" s="2784"/>
      <c r="N231" s="2784"/>
      <c r="O231" s="2784"/>
      <c r="P231" s="2784"/>
      <c r="Q231" s="2784"/>
      <c r="R231" s="2784"/>
      <c r="S231" s="2784">
        <v>17.484999999999999</v>
      </c>
      <c r="T231" s="2784"/>
      <c r="U231" s="2784"/>
      <c r="V231" s="2784"/>
      <c r="W231" s="2784"/>
      <c r="X231" s="2784"/>
      <c r="Y231" s="2784"/>
      <c r="Z231" s="2784"/>
      <c r="AA231" s="2784"/>
      <c r="AB231" s="2784"/>
      <c r="AC231" s="2784"/>
      <c r="AD231" s="2784"/>
      <c r="AE231" s="2784"/>
      <c r="AF231" s="2784"/>
      <c r="AG231" s="2784"/>
      <c r="AH231" s="2783">
        <f t="shared" si="88"/>
        <v>32.865000000000002</v>
      </c>
      <c r="AJ231" s="2655" t="s">
        <v>79</v>
      </c>
      <c r="AK231" s="2656">
        <f t="shared" si="89"/>
        <v>0</v>
      </c>
      <c r="AL231" s="2659"/>
      <c r="AM231" s="1842"/>
      <c r="AN231" s="1842"/>
      <c r="AO231" s="1842"/>
      <c r="AP231" s="1842"/>
      <c r="AQ231" s="1842"/>
      <c r="AR231" s="1842"/>
      <c r="AS231" s="1842"/>
      <c r="AT231" s="1842"/>
      <c r="AU231" s="1842"/>
      <c r="AV231" s="1842"/>
      <c r="AW231" s="1842"/>
      <c r="AX231" s="1842"/>
      <c r="AY231" s="1842"/>
      <c r="AZ231" s="1842"/>
      <c r="BA231" s="1842"/>
      <c r="BB231" s="1842"/>
      <c r="BC231" s="1842"/>
      <c r="BD231" s="1842"/>
      <c r="BE231" s="1842"/>
      <c r="BF231" s="1842"/>
      <c r="BG231" s="1842"/>
      <c r="BH231" s="1842"/>
      <c r="BI231" s="1842"/>
      <c r="BJ231" s="1842"/>
      <c r="BK231" s="1842"/>
      <c r="BL231" s="1842"/>
      <c r="BM231" s="1842"/>
      <c r="BN231" s="1842"/>
      <c r="BO231" s="1842"/>
      <c r="BP231" s="1842"/>
      <c r="BQ231" s="2636">
        <f t="shared" si="90"/>
        <v>0</v>
      </c>
    </row>
    <row r="232" spans="1:69" s="2622" customFormat="1" ht="16.5" customHeight="1">
      <c r="A232" s="2778" t="s">
        <v>82</v>
      </c>
      <c r="B232" s="2779">
        <f t="shared" si="87"/>
        <v>0</v>
      </c>
      <c r="C232" s="2784"/>
      <c r="D232" s="2784"/>
      <c r="E232" s="2784"/>
      <c r="F232" s="2784"/>
      <c r="G232" s="2784"/>
      <c r="H232" s="2784"/>
      <c r="I232" s="2784"/>
      <c r="J232" s="2784"/>
      <c r="K232" s="2784"/>
      <c r="L232" s="2784"/>
      <c r="M232" s="2784"/>
      <c r="N232" s="2784"/>
      <c r="O232" s="2784"/>
      <c r="P232" s="2784"/>
      <c r="Q232" s="2784"/>
      <c r="R232" s="2784"/>
      <c r="S232" s="2784"/>
      <c r="T232" s="2784"/>
      <c r="U232" s="2784"/>
      <c r="V232" s="2784"/>
      <c r="W232" s="2784"/>
      <c r="X232" s="2784"/>
      <c r="Y232" s="2784"/>
      <c r="Z232" s="2784"/>
      <c r="AA232" s="2784"/>
      <c r="AB232" s="2784"/>
      <c r="AC232" s="2784"/>
      <c r="AD232" s="2784"/>
      <c r="AE232" s="2784"/>
      <c r="AF232" s="2784"/>
      <c r="AG232" s="2784"/>
      <c r="AH232" s="2783">
        <f t="shared" si="88"/>
        <v>0</v>
      </c>
      <c r="AJ232" s="2655" t="s">
        <v>80</v>
      </c>
      <c r="AK232" s="2656">
        <f t="shared" si="89"/>
        <v>0</v>
      </c>
      <c r="AL232" s="2659"/>
      <c r="AM232" s="1842"/>
      <c r="AN232" s="1842"/>
      <c r="AO232" s="1842"/>
      <c r="AP232" s="1842"/>
      <c r="AQ232" s="1842"/>
      <c r="AR232" s="1842"/>
      <c r="AS232" s="1842"/>
      <c r="AT232" s="1842"/>
      <c r="AU232" s="1842"/>
      <c r="AV232" s="1842"/>
      <c r="AW232" s="1842"/>
      <c r="AX232" s="1842"/>
      <c r="AY232" s="1842"/>
      <c r="AZ232" s="1842"/>
      <c r="BA232" s="1842"/>
      <c r="BB232" s="1842"/>
      <c r="BC232" s="1842"/>
      <c r="BD232" s="1842"/>
      <c r="BE232" s="1842"/>
      <c r="BF232" s="1842"/>
      <c r="BG232" s="1842"/>
      <c r="BH232" s="1842"/>
      <c r="BI232" s="1842"/>
      <c r="BJ232" s="1842"/>
      <c r="BK232" s="1842"/>
      <c r="BL232" s="1842"/>
      <c r="BM232" s="1842"/>
      <c r="BN232" s="1842"/>
      <c r="BO232" s="1842"/>
      <c r="BP232" s="1842"/>
      <c r="BQ232" s="2636">
        <f t="shared" si="90"/>
        <v>0</v>
      </c>
    </row>
    <row r="233" spans="1:69" s="2622" customFormat="1" ht="15">
      <c r="A233" s="2778" t="s">
        <v>83</v>
      </c>
      <c r="B233" s="2779">
        <f t="shared" si="87"/>
        <v>0</v>
      </c>
      <c r="C233" s="2784"/>
      <c r="D233" s="2784"/>
      <c r="E233" s="2784"/>
      <c r="F233" s="2784"/>
      <c r="G233" s="2784"/>
      <c r="H233" s="2784"/>
      <c r="I233" s="2784"/>
      <c r="J233" s="2784"/>
      <c r="K233" s="2784"/>
      <c r="L233" s="2784"/>
      <c r="M233" s="2784"/>
      <c r="N233" s="2784"/>
      <c r="O233" s="2784"/>
      <c r="P233" s="2784"/>
      <c r="Q233" s="2784"/>
      <c r="R233" s="2784"/>
      <c r="S233" s="2784"/>
      <c r="T233" s="2784"/>
      <c r="U233" s="2784"/>
      <c r="V233" s="2784"/>
      <c r="W233" s="2784"/>
      <c r="X233" s="2784"/>
      <c r="Y233" s="2784"/>
      <c r="Z233" s="2784"/>
      <c r="AA233" s="2784"/>
      <c r="AB233" s="2784"/>
      <c r="AC233" s="2784"/>
      <c r="AD233" s="2784"/>
      <c r="AE233" s="2784"/>
      <c r="AF233" s="2784"/>
      <c r="AG233" s="2784"/>
      <c r="AH233" s="2783">
        <f t="shared" si="88"/>
        <v>0</v>
      </c>
      <c r="AJ233" s="2655" t="s">
        <v>81</v>
      </c>
      <c r="AK233" s="2656">
        <f t="shared" si="89"/>
        <v>0</v>
      </c>
      <c r="AL233" s="2659"/>
      <c r="AM233" s="2636"/>
      <c r="AN233" s="2636"/>
      <c r="AO233" s="2636"/>
      <c r="AP233" s="1842"/>
      <c r="AQ233" s="1842"/>
      <c r="AR233" s="1842"/>
      <c r="AS233" s="1842"/>
      <c r="AT233" s="1842"/>
      <c r="AU233" s="1842"/>
      <c r="AV233" s="1842"/>
      <c r="AW233" s="1842"/>
      <c r="AX233" s="1842"/>
      <c r="AY233" s="1842"/>
      <c r="AZ233" s="1842"/>
      <c r="BA233" s="1842"/>
      <c r="BB233" s="1842"/>
      <c r="BC233" s="1842"/>
      <c r="BD233" s="1842"/>
      <c r="BE233" s="1842"/>
      <c r="BF233" s="1842"/>
      <c r="BG233" s="1842"/>
      <c r="BH233" s="1842"/>
      <c r="BI233" s="1842"/>
      <c r="BJ233" s="1842"/>
      <c r="BK233" s="1842"/>
      <c r="BL233" s="1842"/>
      <c r="BM233" s="1842"/>
      <c r="BN233" s="1842"/>
      <c r="BO233" s="1842"/>
      <c r="BP233" s="1842"/>
      <c r="BQ233" s="2636">
        <f t="shared" si="90"/>
        <v>0</v>
      </c>
    </row>
    <row r="234" spans="1:69" s="2622" customFormat="1" ht="15">
      <c r="A234" s="2778" t="s">
        <v>84</v>
      </c>
      <c r="B234" s="2779">
        <f t="shared" si="87"/>
        <v>14.305</v>
      </c>
      <c r="C234" s="2784"/>
      <c r="D234" s="2784"/>
      <c r="E234" s="2784"/>
      <c r="F234" s="2784"/>
      <c r="G234" s="2784"/>
      <c r="H234" s="2784"/>
      <c r="I234" s="2784"/>
      <c r="J234" s="2784"/>
      <c r="K234" s="2784"/>
      <c r="L234" s="2784"/>
      <c r="M234" s="2784"/>
      <c r="N234" s="2784"/>
      <c r="O234" s="2784"/>
      <c r="P234" s="2784"/>
      <c r="Q234" s="2784"/>
      <c r="R234" s="2784"/>
      <c r="S234" s="2784"/>
      <c r="T234" s="2784"/>
      <c r="U234" s="2784"/>
      <c r="V234" s="2784"/>
      <c r="W234" s="2784"/>
      <c r="X234" s="2784"/>
      <c r="Y234" s="2784"/>
      <c r="Z234" s="2784"/>
      <c r="AA234" s="2784">
        <v>14.305</v>
      </c>
      <c r="AB234" s="2784"/>
      <c r="AC234" s="2784"/>
      <c r="AD234" s="2784"/>
      <c r="AE234" s="2783"/>
      <c r="AF234" s="2784"/>
      <c r="AG234" s="2783"/>
      <c r="AH234" s="2783">
        <f t="shared" si="88"/>
        <v>14.305</v>
      </c>
      <c r="AJ234" s="2655" t="s">
        <v>82</v>
      </c>
      <c r="AK234" s="2656">
        <f t="shared" si="89"/>
        <v>0</v>
      </c>
      <c r="AL234" s="2659"/>
      <c r="AM234" s="1842"/>
      <c r="AN234" s="1842"/>
      <c r="AO234" s="1842"/>
      <c r="AP234" s="1842"/>
      <c r="AQ234" s="1842"/>
      <c r="AR234" s="1842"/>
      <c r="AS234" s="1842"/>
      <c r="AT234" s="1842"/>
      <c r="AU234" s="1842"/>
      <c r="AV234" s="1842"/>
      <c r="AW234" s="1842"/>
      <c r="AX234" s="1842"/>
      <c r="AY234" s="1842"/>
      <c r="AZ234" s="1842"/>
      <c r="BA234" s="1842"/>
      <c r="BB234" s="1842"/>
      <c r="BC234" s="1842"/>
      <c r="BD234" s="1842"/>
      <c r="BE234" s="1842"/>
      <c r="BF234" s="1842"/>
      <c r="BG234" s="1842"/>
      <c r="BH234" s="1842"/>
      <c r="BI234" s="1842"/>
      <c r="BJ234" s="1842"/>
      <c r="BK234" s="1842"/>
      <c r="BL234" s="1842"/>
      <c r="BM234" s="1842"/>
      <c r="BN234" s="1842"/>
      <c r="BO234" s="1842"/>
      <c r="BP234" s="1842"/>
      <c r="BQ234" s="2636">
        <f t="shared" si="90"/>
        <v>0</v>
      </c>
    </row>
    <row r="235" spans="1:69" s="2622" customFormat="1" ht="15">
      <c r="A235" s="2778" t="s">
        <v>85</v>
      </c>
      <c r="B235" s="2779">
        <f t="shared" si="87"/>
        <v>0</v>
      </c>
      <c r="C235" s="2784"/>
      <c r="D235" s="2784"/>
      <c r="E235" s="2784"/>
      <c r="F235" s="2784"/>
      <c r="G235" s="2787"/>
      <c r="H235" s="2784"/>
      <c r="I235" s="2784"/>
      <c r="J235" s="2784"/>
      <c r="K235" s="2784"/>
      <c r="L235" s="2784"/>
      <c r="M235" s="2784"/>
      <c r="N235" s="2784"/>
      <c r="O235" s="2784"/>
      <c r="P235" s="2784"/>
      <c r="Q235" s="2784"/>
      <c r="R235" s="2784"/>
      <c r="S235" s="2784"/>
      <c r="T235" s="2784"/>
      <c r="U235" s="2784"/>
      <c r="V235" s="2784"/>
      <c r="W235" s="2784"/>
      <c r="X235" s="2784"/>
      <c r="Y235" s="2784"/>
      <c r="Z235" s="2784"/>
      <c r="AA235" s="2784"/>
      <c r="AB235" s="2784"/>
      <c r="AC235" s="2784"/>
      <c r="AD235" s="2784"/>
      <c r="AE235" s="2783"/>
      <c r="AF235" s="2784"/>
      <c r="AG235" s="2783"/>
      <c r="AH235" s="2783">
        <f t="shared" si="88"/>
        <v>0</v>
      </c>
      <c r="AJ235" s="2655" t="s">
        <v>83</v>
      </c>
      <c r="AK235" s="2656">
        <f t="shared" si="89"/>
        <v>0</v>
      </c>
      <c r="AL235" s="2659"/>
      <c r="AM235" s="1842"/>
      <c r="AN235" s="1842"/>
      <c r="AO235" s="1842"/>
      <c r="AP235" s="1842"/>
      <c r="AQ235" s="1842"/>
      <c r="AR235" s="1842"/>
      <c r="AS235" s="1842"/>
      <c r="AT235" s="1842"/>
      <c r="AU235" s="1842"/>
      <c r="AV235" s="1842"/>
      <c r="AW235" s="1842"/>
      <c r="AX235" s="1842"/>
      <c r="AY235" s="1842"/>
      <c r="AZ235" s="1842"/>
      <c r="BA235" s="1842"/>
      <c r="BB235" s="1842"/>
      <c r="BC235" s="1842"/>
      <c r="BD235" s="1842"/>
      <c r="BE235" s="1842"/>
      <c r="BF235" s="1842"/>
      <c r="BG235" s="1842"/>
      <c r="BH235" s="1842"/>
      <c r="BI235" s="1842"/>
      <c r="BJ235" s="1842"/>
      <c r="BK235" s="1842"/>
      <c r="BL235" s="1842"/>
      <c r="BM235" s="1842"/>
      <c r="BN235" s="1842"/>
      <c r="BO235" s="1842"/>
      <c r="BP235" s="1842"/>
      <c r="BQ235" s="2636">
        <f t="shared" si="90"/>
        <v>0</v>
      </c>
    </row>
    <row r="236" spans="1:69" s="2622" customFormat="1" ht="15">
      <c r="A236" s="2778" t="s">
        <v>86</v>
      </c>
      <c r="B236" s="2779">
        <f t="shared" si="87"/>
        <v>258.36</v>
      </c>
      <c r="C236" s="2784"/>
      <c r="D236" s="2784"/>
      <c r="E236" s="2784"/>
      <c r="F236" s="2784"/>
      <c r="G236" s="2784"/>
      <c r="H236" s="2784"/>
      <c r="I236" s="2784"/>
      <c r="J236" s="2784"/>
      <c r="K236" s="2784"/>
      <c r="L236" s="2784"/>
      <c r="M236" s="2784"/>
      <c r="N236" s="2784"/>
      <c r="O236" s="2784"/>
      <c r="P236" s="2784"/>
      <c r="Q236" s="2784">
        <v>57.494999999999997</v>
      </c>
      <c r="R236" s="2784">
        <v>66.605000000000004</v>
      </c>
      <c r="S236" s="2784">
        <v>68.16</v>
      </c>
      <c r="T236" s="2784"/>
      <c r="U236" s="2784">
        <v>66.099999999999994</v>
      </c>
      <c r="V236" s="2784"/>
      <c r="W236" s="2784"/>
      <c r="X236" s="2784"/>
      <c r="Y236" s="2784"/>
      <c r="Z236" s="2784"/>
      <c r="AA236" s="2784"/>
      <c r="AB236" s="2784"/>
      <c r="AC236" s="2784"/>
      <c r="AD236" s="2784"/>
      <c r="AE236" s="2784"/>
      <c r="AF236" s="2784"/>
      <c r="AG236" s="2784"/>
      <c r="AH236" s="2783">
        <f t="shared" si="88"/>
        <v>258.36</v>
      </c>
      <c r="AJ236" s="2655" t="s">
        <v>84</v>
      </c>
      <c r="AK236" s="2656">
        <f t="shared" si="89"/>
        <v>0</v>
      </c>
      <c r="AL236" s="2659"/>
      <c r="AM236" s="1842"/>
      <c r="AN236" s="1842"/>
      <c r="AO236" s="1842"/>
      <c r="AP236" s="1842"/>
      <c r="AQ236" s="1842"/>
      <c r="AR236" s="1842"/>
      <c r="AS236" s="1842"/>
      <c r="AT236" s="1842"/>
      <c r="AU236" s="1842"/>
      <c r="AV236" s="1842"/>
      <c r="AW236" s="1842"/>
      <c r="AX236" s="1842"/>
      <c r="AY236" s="1842"/>
      <c r="AZ236" s="1842"/>
      <c r="BA236" s="1842"/>
      <c r="BB236" s="1842"/>
      <c r="BC236" s="1842"/>
      <c r="BD236" s="1842"/>
      <c r="BE236" s="1842"/>
      <c r="BF236" s="1842"/>
      <c r="BG236" s="1842"/>
      <c r="BH236" s="1842"/>
      <c r="BI236" s="1842"/>
      <c r="BJ236" s="1842"/>
      <c r="BK236" s="1842"/>
      <c r="BL236" s="1842"/>
      <c r="BM236" s="1842"/>
      <c r="BN236" s="2636"/>
      <c r="BO236" s="1842"/>
      <c r="BP236" s="2636"/>
      <c r="BQ236" s="2636">
        <f t="shared" si="90"/>
        <v>0</v>
      </c>
    </row>
    <row r="237" spans="1:69" s="2622" customFormat="1" ht="15">
      <c r="A237" s="2788" t="s">
        <v>74</v>
      </c>
      <c r="B237" s="2789">
        <f t="shared" ref="B237:R237" si="91">SUM(B225:B236)</f>
        <v>941.28599999999994</v>
      </c>
      <c r="C237" s="2779">
        <f t="shared" si="91"/>
        <v>0</v>
      </c>
      <c r="D237" s="2779">
        <f t="shared" si="91"/>
        <v>0</v>
      </c>
      <c r="E237" s="2779">
        <f t="shared" si="91"/>
        <v>0</v>
      </c>
      <c r="F237" s="2779">
        <f t="shared" si="91"/>
        <v>0</v>
      </c>
      <c r="G237" s="2779">
        <f t="shared" si="91"/>
        <v>0</v>
      </c>
      <c r="H237" s="2779">
        <f t="shared" si="91"/>
        <v>67.17</v>
      </c>
      <c r="I237" s="2779">
        <f t="shared" si="91"/>
        <v>82.46</v>
      </c>
      <c r="J237" s="2779">
        <f t="shared" si="91"/>
        <v>0</v>
      </c>
      <c r="K237" s="2779">
        <f t="shared" si="91"/>
        <v>67.489999999999995</v>
      </c>
      <c r="L237" s="2779">
        <f t="shared" si="91"/>
        <v>0</v>
      </c>
      <c r="M237" s="2779">
        <f t="shared" si="91"/>
        <v>21.86</v>
      </c>
      <c r="N237" s="2779">
        <f t="shared" si="91"/>
        <v>12.63</v>
      </c>
      <c r="O237" s="2779">
        <f t="shared" si="91"/>
        <v>0</v>
      </c>
      <c r="P237" s="2779">
        <f t="shared" si="91"/>
        <v>0</v>
      </c>
      <c r="Q237" s="2779">
        <f t="shared" si="91"/>
        <v>57.494999999999997</v>
      </c>
      <c r="R237" s="2779">
        <f t="shared" si="91"/>
        <v>133.35000000000002</v>
      </c>
      <c r="S237" s="2783">
        <f t="shared" ref="S237:AC237" si="92">SUM(S225:S235)</f>
        <v>17.484999999999999</v>
      </c>
      <c r="T237" s="2783">
        <f t="shared" si="92"/>
        <v>65.94</v>
      </c>
      <c r="U237" s="2783">
        <f t="shared" si="92"/>
        <v>0</v>
      </c>
      <c r="V237" s="2783">
        <f t="shared" si="92"/>
        <v>43.07</v>
      </c>
      <c r="W237" s="2783">
        <f t="shared" si="92"/>
        <v>54.27</v>
      </c>
      <c r="X237" s="2783">
        <f t="shared" si="92"/>
        <v>0</v>
      </c>
      <c r="Y237" s="2783">
        <f t="shared" si="92"/>
        <v>13.031000000000001</v>
      </c>
      <c r="Z237" s="2783">
        <f t="shared" si="92"/>
        <v>0</v>
      </c>
      <c r="AA237" s="2783">
        <f t="shared" si="92"/>
        <v>14.305</v>
      </c>
      <c r="AB237" s="2783">
        <f t="shared" si="92"/>
        <v>65.844999999999999</v>
      </c>
      <c r="AC237" s="2783">
        <f t="shared" si="92"/>
        <v>0</v>
      </c>
      <c r="AD237" s="2783">
        <v>0</v>
      </c>
      <c r="AE237" s="2783">
        <f>SUM(AE225:AE235)</f>
        <v>0</v>
      </c>
      <c r="AF237" s="2783">
        <f>SUM(AF225:AF235)</f>
        <v>23.22</v>
      </c>
      <c r="AG237" s="2783">
        <f>SUM(AG225:AG235)</f>
        <v>0</v>
      </c>
      <c r="AH237" s="2783">
        <f>SUM(AH225:AH235)</f>
        <v>682.92599999999993</v>
      </c>
      <c r="AJ237" s="2655" t="s">
        <v>85</v>
      </c>
      <c r="AK237" s="2656">
        <f t="shared" si="89"/>
        <v>0</v>
      </c>
      <c r="AL237" s="2659"/>
      <c r="AM237" s="1842"/>
      <c r="AN237" s="1842"/>
      <c r="AO237" s="1842"/>
      <c r="AP237" s="2639"/>
      <c r="AQ237" s="1842"/>
      <c r="AR237" s="1842"/>
      <c r="AS237" s="1842"/>
      <c r="AT237" s="1842"/>
      <c r="AU237" s="1842"/>
      <c r="AV237" s="1842"/>
      <c r="AW237" s="1842"/>
      <c r="AX237" s="1842"/>
      <c r="AY237" s="1842"/>
      <c r="AZ237" s="1842"/>
      <c r="BA237" s="1842"/>
      <c r="BB237" s="1842"/>
      <c r="BC237" s="1842"/>
      <c r="BD237" s="1842"/>
      <c r="BE237" s="1842"/>
      <c r="BF237" s="1842"/>
      <c r="BG237" s="1842"/>
      <c r="BH237" s="1842"/>
      <c r="BI237" s="1842"/>
      <c r="BJ237" s="1842"/>
      <c r="BK237" s="1842"/>
      <c r="BL237" s="1842"/>
      <c r="BM237" s="1842"/>
      <c r="BN237" s="2636"/>
      <c r="BO237" s="1842"/>
      <c r="BP237" s="2636"/>
      <c r="BQ237" s="2636">
        <f t="shared" si="90"/>
        <v>0</v>
      </c>
    </row>
    <row r="238" spans="1:69" s="2622" customFormat="1" ht="15">
      <c r="A238" s="2775"/>
      <c r="B238" s="2775"/>
      <c r="C238" s="2775"/>
      <c r="D238" s="2775"/>
      <c r="E238" s="2775"/>
      <c r="F238" s="2775"/>
      <c r="G238" s="2775"/>
      <c r="H238" s="2775"/>
      <c r="I238" s="2775"/>
      <c r="J238" s="2775"/>
      <c r="K238" s="2775"/>
      <c r="L238" s="2775"/>
      <c r="M238" s="2775"/>
      <c r="N238" s="2775"/>
      <c r="O238" s="2775"/>
      <c r="P238" s="2775"/>
      <c r="Q238" s="2775"/>
      <c r="R238" s="2775"/>
      <c r="S238" s="2775"/>
      <c r="T238" s="2775"/>
      <c r="U238" s="2775"/>
      <c r="V238" s="2775"/>
      <c r="W238" s="2775"/>
      <c r="X238" s="2775"/>
      <c r="Y238" s="2775"/>
      <c r="Z238" s="2775"/>
      <c r="AA238" s="2775"/>
      <c r="AB238" s="2775"/>
      <c r="AC238" s="2775"/>
      <c r="AD238" s="2775"/>
      <c r="AE238" s="2775"/>
      <c r="AF238" s="2775"/>
      <c r="AG238" s="2775"/>
      <c r="AH238" s="2775"/>
      <c r="AJ238" s="2655" t="s">
        <v>86</v>
      </c>
      <c r="AK238" s="2656">
        <f t="shared" si="89"/>
        <v>70.739999999999995</v>
      </c>
      <c r="AL238" s="2659"/>
      <c r="AM238" s="1842"/>
      <c r="AN238" s="1842"/>
      <c r="AO238" s="1842"/>
      <c r="AP238" s="1842"/>
      <c r="AQ238" s="1842"/>
      <c r="AR238" s="1842"/>
      <c r="AS238" s="1842"/>
      <c r="AT238" s="1842"/>
      <c r="AU238" s="1842"/>
      <c r="AV238" s="1842"/>
      <c r="AW238" s="1842"/>
      <c r="AX238" s="1842"/>
      <c r="AY238" s="1842"/>
      <c r="AZ238" s="1842">
        <v>70.739999999999995</v>
      </c>
      <c r="BA238" s="1842"/>
      <c r="BB238" s="1842"/>
      <c r="BC238" s="1842"/>
      <c r="BD238" s="1842"/>
      <c r="BE238" s="1842"/>
      <c r="BF238" s="1842"/>
      <c r="BG238" s="1842"/>
      <c r="BH238" s="1842"/>
      <c r="BI238" s="1842"/>
      <c r="BJ238" s="1842"/>
      <c r="BK238" s="1842"/>
      <c r="BL238" s="1842"/>
      <c r="BM238" s="1842"/>
      <c r="BN238" s="1842"/>
      <c r="BO238" s="1842"/>
      <c r="BP238" s="1842"/>
      <c r="BQ238" s="2636">
        <f t="shared" si="90"/>
        <v>70.739999999999995</v>
      </c>
    </row>
    <row r="239" spans="1:69" s="2622" customFormat="1" ht="15.75" thickBot="1">
      <c r="A239" s="2775"/>
      <c r="B239" s="2775"/>
      <c r="C239" s="2775"/>
      <c r="D239" s="2775"/>
      <c r="E239" s="2775"/>
      <c r="F239" s="2775"/>
      <c r="G239" s="2775"/>
      <c r="H239" s="2775"/>
      <c r="I239" s="2775"/>
      <c r="J239" s="2775"/>
      <c r="K239" s="2775"/>
      <c r="L239" s="2775"/>
      <c r="M239" s="2775"/>
      <c r="N239" s="2775"/>
      <c r="O239" s="2775"/>
      <c r="P239" s="2775"/>
      <c r="Q239" s="2775"/>
      <c r="R239" s="2775"/>
      <c r="S239" s="2775"/>
      <c r="T239" s="2775"/>
      <c r="U239" s="2775"/>
      <c r="V239" s="2775"/>
      <c r="W239" s="2775"/>
      <c r="X239" s="2775"/>
      <c r="Y239" s="2775"/>
      <c r="Z239" s="2775"/>
      <c r="AA239" s="2775"/>
      <c r="AB239" s="2775"/>
      <c r="AC239" s="2775"/>
      <c r="AD239" s="2775"/>
      <c r="AE239" s="2775"/>
      <c r="AF239" s="2775"/>
      <c r="AG239" s="2775"/>
      <c r="AH239" s="2775"/>
      <c r="AJ239" s="2660" t="s">
        <v>74</v>
      </c>
      <c r="AK239" s="2661">
        <f t="shared" ref="AK239:BA239" si="93">SUM(AK227:AK238)</f>
        <v>70.739999999999995</v>
      </c>
      <c r="AL239" s="2656">
        <f t="shared" si="93"/>
        <v>0</v>
      </c>
      <c r="AM239" s="2633">
        <f t="shared" si="93"/>
        <v>0</v>
      </c>
      <c r="AN239" s="2633">
        <f t="shared" si="93"/>
        <v>0</v>
      </c>
      <c r="AO239" s="2633">
        <f t="shared" si="93"/>
        <v>0</v>
      </c>
      <c r="AP239" s="2633">
        <f t="shared" si="93"/>
        <v>0</v>
      </c>
      <c r="AQ239" s="2633">
        <f t="shared" si="93"/>
        <v>0</v>
      </c>
      <c r="AR239" s="2633">
        <f t="shared" si="93"/>
        <v>0</v>
      </c>
      <c r="AS239" s="2633">
        <f t="shared" si="93"/>
        <v>0</v>
      </c>
      <c r="AT239" s="2633">
        <f t="shared" si="93"/>
        <v>0</v>
      </c>
      <c r="AU239" s="2633">
        <f t="shared" si="93"/>
        <v>0</v>
      </c>
      <c r="AV239" s="2633">
        <f t="shared" si="93"/>
        <v>0</v>
      </c>
      <c r="AW239" s="2633">
        <f t="shared" si="93"/>
        <v>0</v>
      </c>
      <c r="AX239" s="2633">
        <f t="shared" si="93"/>
        <v>0</v>
      </c>
      <c r="AY239" s="2633">
        <f t="shared" si="93"/>
        <v>0</v>
      </c>
      <c r="AZ239" s="2633">
        <f t="shared" si="93"/>
        <v>70.739999999999995</v>
      </c>
      <c r="BA239" s="2633">
        <f t="shared" si="93"/>
        <v>0</v>
      </c>
      <c r="BB239" s="2636">
        <f t="shared" ref="BB239:BL239" si="94">SUM(BB227:BB237)</f>
        <v>0</v>
      </c>
      <c r="BC239" s="2636">
        <f t="shared" si="94"/>
        <v>0</v>
      </c>
      <c r="BD239" s="2636">
        <f t="shared" si="94"/>
        <v>0</v>
      </c>
      <c r="BE239" s="2636">
        <f t="shared" si="94"/>
        <v>0</v>
      </c>
      <c r="BF239" s="2636">
        <f t="shared" si="94"/>
        <v>0</v>
      </c>
      <c r="BG239" s="2636">
        <f t="shared" si="94"/>
        <v>0</v>
      </c>
      <c r="BH239" s="2636">
        <f t="shared" si="94"/>
        <v>0</v>
      </c>
      <c r="BI239" s="2636">
        <f t="shared" si="94"/>
        <v>0</v>
      </c>
      <c r="BJ239" s="2636">
        <f t="shared" si="94"/>
        <v>0</v>
      </c>
      <c r="BK239" s="2636">
        <f t="shared" si="94"/>
        <v>0</v>
      </c>
      <c r="BL239" s="2636">
        <f t="shared" si="94"/>
        <v>0</v>
      </c>
      <c r="BM239" s="2636">
        <v>0</v>
      </c>
      <c r="BN239" s="2636">
        <f>SUM(BN227:BN237)</f>
        <v>0</v>
      </c>
      <c r="BO239" s="2636">
        <f>SUM(BO227:BO237)</f>
        <v>0</v>
      </c>
      <c r="BP239" s="2636">
        <f>SUM(BP227:BP237)</f>
        <v>0</v>
      </c>
      <c r="BQ239" s="2636">
        <f>SUM(BQ227:BQ237)</f>
        <v>0</v>
      </c>
    </row>
    <row r="240" spans="1:69" s="2622" customFormat="1" ht="15.75" thickBot="1">
      <c r="A240" s="2790" t="s">
        <v>960</v>
      </c>
      <c r="B240" s="2791"/>
      <c r="C240" s="2791"/>
      <c r="D240" s="2791"/>
      <c r="E240" s="2791"/>
      <c r="F240" s="3926" t="s">
        <v>155</v>
      </c>
      <c r="G240" s="3927"/>
      <c r="H240" s="3928"/>
      <c r="I240" s="3926" t="s">
        <v>156</v>
      </c>
      <c r="J240" s="3929"/>
      <c r="K240" s="3930" t="s">
        <v>912</v>
      </c>
      <c r="L240" s="3930" t="s">
        <v>913</v>
      </c>
      <c r="M240" s="2775"/>
      <c r="N240" s="2775"/>
      <c r="O240" s="2775"/>
      <c r="P240" s="2775"/>
      <c r="Q240" s="2775"/>
      <c r="R240" s="2775"/>
      <c r="S240" s="2775"/>
      <c r="T240" s="2775"/>
      <c r="U240" s="2775"/>
      <c r="V240" s="2775"/>
      <c r="W240" s="2775"/>
      <c r="X240" s="2775"/>
      <c r="Y240" s="2775"/>
      <c r="Z240" s="2775"/>
      <c r="AA240" s="2775"/>
      <c r="AB240" s="2775"/>
      <c r="AC240" s="2775"/>
      <c r="AD240" s="2775"/>
      <c r="AE240" s="2775"/>
      <c r="AF240" s="2775"/>
      <c r="AG240" s="2775"/>
      <c r="AH240" s="2775"/>
      <c r="AJ240" s="2662"/>
      <c r="AK240" s="2662"/>
      <c r="AL240" s="2662"/>
      <c r="AM240" s="2630"/>
      <c r="AN240" s="2630"/>
      <c r="AO240" s="2630"/>
      <c r="AP240" s="2630"/>
      <c r="AQ240" s="2630"/>
      <c r="AR240" s="2630"/>
      <c r="AS240" s="2630"/>
      <c r="AT240" s="2630"/>
      <c r="AU240" s="2630"/>
      <c r="AV240" s="2630"/>
      <c r="AW240" s="2630"/>
      <c r="AX240" s="2630"/>
      <c r="AY240" s="2630"/>
      <c r="AZ240" s="2630"/>
      <c r="BA240" s="2630"/>
      <c r="BB240" s="2630"/>
      <c r="BC240" s="2630"/>
      <c r="BD240" s="2630"/>
      <c r="BE240" s="2630"/>
      <c r="BF240" s="2630"/>
      <c r="BG240" s="2630"/>
      <c r="BH240" s="2630"/>
      <c r="BI240" s="2630"/>
      <c r="BJ240" s="2630"/>
      <c r="BK240" s="2630"/>
      <c r="BL240" s="2630"/>
      <c r="BM240" s="2630"/>
      <c r="BN240" s="2630"/>
      <c r="BO240" s="2630"/>
      <c r="BP240" s="2630"/>
      <c r="BQ240" s="2630"/>
    </row>
    <row r="241" spans="1:69" s="2622" customFormat="1" ht="13.5" thickBot="1">
      <c r="A241" s="2792" t="s">
        <v>158</v>
      </c>
      <c r="B241" s="2793" t="s">
        <v>159</v>
      </c>
      <c r="C241" s="2794" t="s">
        <v>136</v>
      </c>
      <c r="D241" s="2795" t="s">
        <v>134</v>
      </c>
      <c r="E241" s="2793" t="s">
        <v>160</v>
      </c>
      <c r="F241" s="2796" t="s">
        <v>8</v>
      </c>
      <c r="G241" s="2797" t="s">
        <v>161</v>
      </c>
      <c r="H241" s="2798" t="s">
        <v>52</v>
      </c>
      <c r="I241" s="2796" t="s">
        <v>8</v>
      </c>
      <c r="J241" s="2799" t="s">
        <v>162</v>
      </c>
      <c r="K241" s="3931"/>
      <c r="L241" s="3931"/>
      <c r="M241" s="2775"/>
      <c r="N241" s="2775"/>
      <c r="O241" s="2775"/>
      <c r="P241" s="2775"/>
      <c r="Q241" s="2775"/>
      <c r="R241" s="2775"/>
      <c r="S241" s="2775"/>
      <c r="T241" s="2775"/>
      <c r="U241" s="2775"/>
      <c r="V241" s="2775"/>
      <c r="W241" s="2775"/>
      <c r="X241" s="2775"/>
      <c r="Y241" s="2775"/>
      <c r="Z241" s="2775"/>
      <c r="AA241" s="2775"/>
      <c r="AB241" s="2775"/>
      <c r="AC241" s="2775"/>
      <c r="AD241" s="2775"/>
      <c r="AE241" s="2775"/>
      <c r="AF241" s="2775"/>
      <c r="AG241" s="2775"/>
      <c r="AH241" s="2775"/>
      <c r="AJ241" s="2662"/>
      <c r="AK241" s="2662"/>
      <c r="AL241" s="2662"/>
      <c r="AM241" s="2630"/>
      <c r="AN241" s="2630"/>
      <c r="AO241" s="2630"/>
      <c r="AP241" s="2630"/>
      <c r="AQ241" s="2630"/>
      <c r="AR241" s="2630"/>
      <c r="AS241" s="2630"/>
      <c r="AT241" s="2630"/>
      <c r="AU241" s="2630"/>
      <c r="AV241" s="2630"/>
      <c r="AW241" s="2630"/>
      <c r="AX241" s="2630"/>
      <c r="AY241" s="2630"/>
      <c r="AZ241" s="2630"/>
      <c r="BA241" s="2630"/>
      <c r="BB241" s="2630"/>
      <c r="BC241" s="2630"/>
      <c r="BD241" s="2630"/>
      <c r="BE241" s="2630"/>
      <c r="BF241" s="2630"/>
      <c r="BG241" s="2630"/>
      <c r="BH241" s="2630"/>
      <c r="BI241" s="2630"/>
      <c r="BJ241" s="2630"/>
      <c r="BK241" s="2630"/>
      <c r="BL241" s="2630"/>
      <c r="BM241" s="2630"/>
      <c r="BN241" s="2630"/>
      <c r="BO241" s="2630"/>
      <c r="BP241" s="2630"/>
      <c r="BQ241" s="2630"/>
    </row>
    <row r="242" spans="1:69" s="2622" customFormat="1" ht="15.75" thickBot="1">
      <c r="A242" s="2800"/>
      <c r="B242" s="2801"/>
      <c r="C242" s="2802"/>
      <c r="D242" s="2803" t="s">
        <v>958</v>
      </c>
      <c r="E242" s="2804"/>
      <c r="F242" s="2800"/>
      <c r="G242" s="2803">
        <v>1000</v>
      </c>
      <c r="H242" s="2805">
        <f>SUM(F242:G242)</f>
        <v>1000</v>
      </c>
      <c r="I242" s="2806"/>
      <c r="J242" s="2785">
        <f>(B237)</f>
        <v>941.28599999999994</v>
      </c>
      <c r="K242" s="2807">
        <f>+F242-I242</f>
        <v>0</v>
      </c>
      <c r="L242" s="2807">
        <f>+G242-J242</f>
        <v>58.714000000000055</v>
      </c>
      <c r="M242" s="1415" t="s">
        <v>1127</v>
      </c>
      <c r="N242" s="2775"/>
      <c r="O242" s="2775"/>
      <c r="P242" s="2775"/>
      <c r="Q242" s="2775"/>
      <c r="R242" s="2775"/>
      <c r="S242" s="2775"/>
      <c r="T242" s="2775"/>
      <c r="U242" s="2775"/>
      <c r="V242" s="2775"/>
      <c r="W242" s="2775"/>
      <c r="X242" s="2775"/>
      <c r="Y242" s="2775"/>
      <c r="Z242" s="2775"/>
      <c r="AA242" s="2775"/>
      <c r="AB242" s="2775"/>
      <c r="AC242" s="2775"/>
      <c r="AD242" s="2775"/>
      <c r="AE242" s="2775"/>
      <c r="AF242" s="2775"/>
      <c r="AG242" s="2775"/>
      <c r="AH242" s="2775"/>
      <c r="AJ242" s="2663" t="s">
        <v>996</v>
      </c>
      <c r="AK242" s="2664"/>
      <c r="AL242" s="2664"/>
      <c r="AM242" s="2640"/>
      <c r="AN242" s="2640"/>
      <c r="AO242" s="3888" t="s">
        <v>155</v>
      </c>
      <c r="AP242" s="3889"/>
      <c r="AQ242" s="3890"/>
      <c r="AR242" s="3888" t="s">
        <v>156</v>
      </c>
      <c r="AS242" s="3891"/>
      <c r="AT242" s="3892" t="s">
        <v>912</v>
      </c>
      <c r="AU242" s="3892" t="s">
        <v>913</v>
      </c>
      <c r="AV242" s="2630"/>
      <c r="AW242" s="2630"/>
      <c r="AX242" s="2630"/>
      <c r="AY242" s="2630"/>
      <c r="AZ242" s="2630"/>
      <c r="BA242" s="2630"/>
      <c r="BB242" s="2630"/>
      <c r="BC242" s="2630"/>
      <c r="BD242" s="2630"/>
      <c r="BE242" s="2630"/>
      <c r="BF242" s="2630"/>
      <c r="BG242" s="2630"/>
      <c r="BH242" s="2630"/>
      <c r="BI242" s="2630"/>
      <c r="BJ242" s="2630"/>
      <c r="BK242" s="2630"/>
      <c r="BL242" s="2630"/>
      <c r="BM242" s="2630"/>
      <c r="BN242" s="2630"/>
      <c r="BO242" s="2630"/>
      <c r="BP242" s="2630"/>
      <c r="BQ242" s="2630"/>
    </row>
    <row r="243" spans="1:69" s="2622" customFormat="1" ht="15.75" thickBot="1">
      <c r="A243" s="2800"/>
      <c r="B243" s="2801"/>
      <c r="C243" s="2802"/>
      <c r="D243" s="2803"/>
      <c r="E243" s="2804"/>
      <c r="F243" s="2800"/>
      <c r="G243" s="2803"/>
      <c r="H243" s="2805">
        <f>SUM(F243:G243)</f>
        <v>0</v>
      </c>
      <c r="I243" s="2806"/>
      <c r="J243" s="2785"/>
      <c r="K243" s="2807">
        <f>+H243-I243-J243</f>
        <v>0</v>
      </c>
      <c r="L243" s="2807">
        <f>+I243-J243-K243</f>
        <v>0</v>
      </c>
      <c r="M243" s="2775"/>
      <c r="N243" s="2775"/>
      <c r="O243" s="2775"/>
      <c r="P243" s="2775"/>
      <c r="Q243" s="2775"/>
      <c r="R243" s="2775"/>
      <c r="S243" s="2775"/>
      <c r="T243" s="2775"/>
      <c r="U243" s="2775"/>
      <c r="V243" s="2775"/>
      <c r="W243" s="2775"/>
      <c r="X243" s="2775"/>
      <c r="Y243" s="2775"/>
      <c r="Z243" s="2775"/>
      <c r="AA243" s="2775"/>
      <c r="AB243" s="2775"/>
      <c r="AC243" s="2775"/>
      <c r="AD243" s="2775"/>
      <c r="AE243" s="2775"/>
      <c r="AF243" s="2775"/>
      <c r="AG243" s="2775"/>
      <c r="AH243" s="2775"/>
      <c r="AJ243" s="2665" t="s">
        <v>158</v>
      </c>
      <c r="AK243" s="2666" t="s">
        <v>159</v>
      </c>
      <c r="AL243" s="2667" t="s">
        <v>136</v>
      </c>
      <c r="AM243" s="2642" t="s">
        <v>134</v>
      </c>
      <c r="AN243" s="2641" t="s">
        <v>160</v>
      </c>
      <c r="AO243" s="2643" t="s">
        <v>8</v>
      </c>
      <c r="AP243" s="2644" t="s">
        <v>161</v>
      </c>
      <c r="AQ243" s="2645" t="s">
        <v>52</v>
      </c>
      <c r="AR243" s="2643" t="s">
        <v>8</v>
      </c>
      <c r="AS243" s="2646" t="s">
        <v>162</v>
      </c>
      <c r="AT243" s="3893"/>
      <c r="AU243" s="3893"/>
      <c r="AV243" s="2630"/>
      <c r="AW243" s="2630"/>
      <c r="AX243" s="2630"/>
      <c r="AY243" s="2630"/>
      <c r="AZ243" s="2630"/>
      <c r="BA243" s="2630"/>
      <c r="BB243" s="2630"/>
      <c r="BC243" s="2630"/>
      <c r="BD243" s="2630"/>
      <c r="BE243" s="2630"/>
      <c r="BF243" s="2630"/>
      <c r="BG243" s="2630"/>
      <c r="BH243" s="2630"/>
      <c r="BI243" s="2630"/>
      <c r="BJ243" s="2630"/>
      <c r="BK243" s="2630"/>
      <c r="BL243" s="2630"/>
      <c r="BM243" s="2630"/>
      <c r="BN243" s="2630"/>
      <c r="BO243" s="2630"/>
      <c r="BP243" s="2630"/>
      <c r="BQ243" s="2630"/>
    </row>
    <row r="244" spans="1:69" ht="24" thickBot="1">
      <c r="A244" s="2775"/>
      <c r="B244" s="2775"/>
      <c r="C244" s="2775"/>
      <c r="D244" s="2775"/>
      <c r="E244" s="2775"/>
      <c r="F244" s="2775"/>
      <c r="G244" s="2775"/>
      <c r="H244" s="2775"/>
      <c r="I244" s="2775"/>
      <c r="J244" s="2775"/>
      <c r="K244" s="2775"/>
      <c r="L244" s="2775"/>
      <c r="M244" s="2775"/>
      <c r="N244" s="2775"/>
      <c r="O244" s="2775"/>
      <c r="P244" s="2775"/>
      <c r="Q244" s="2775"/>
      <c r="R244" s="2775"/>
      <c r="S244" s="2775"/>
      <c r="T244" s="2775"/>
      <c r="U244" s="2775"/>
      <c r="V244" s="2775"/>
      <c r="W244" s="2775"/>
      <c r="X244" s="2775"/>
      <c r="Y244" s="2775"/>
      <c r="Z244" s="2775"/>
      <c r="AA244" s="2775"/>
      <c r="AB244" s="2775"/>
      <c r="AC244" s="2775"/>
      <c r="AD244" s="2775"/>
      <c r="AE244" s="2775"/>
      <c r="AF244" s="2775"/>
      <c r="AG244" s="2775"/>
      <c r="AH244" s="2775"/>
      <c r="AJ244" s="2668"/>
      <c r="AK244" s="2669"/>
      <c r="AL244" s="2670"/>
      <c r="AM244" s="2654" t="s">
        <v>299</v>
      </c>
      <c r="AN244" s="2649"/>
      <c r="AO244" s="2650">
        <v>5</v>
      </c>
      <c r="AP244" s="2650">
        <v>1495</v>
      </c>
      <c r="AQ244" s="2651">
        <f>SUM(AO244:AP244)</f>
        <v>1500</v>
      </c>
      <c r="AR244" s="2637">
        <f>(AK222)</f>
        <v>0</v>
      </c>
      <c r="AS244" s="2637">
        <f>(AK239)</f>
        <v>70.739999999999995</v>
      </c>
      <c r="AT244" s="2652">
        <f>+AO244-AR244</f>
        <v>5</v>
      </c>
      <c r="AU244" s="2652">
        <f>+AP244-AS244</f>
        <v>1424.26</v>
      </c>
      <c r="AV244" s="2630"/>
      <c r="AW244" s="2630"/>
      <c r="AX244" s="2630"/>
      <c r="AY244" s="2630"/>
      <c r="AZ244" s="2630"/>
      <c r="BA244" s="2630"/>
      <c r="BB244" s="2630"/>
      <c r="BC244" s="2630"/>
      <c r="BD244" s="2630"/>
      <c r="BE244" s="2630"/>
      <c r="BF244" s="2630"/>
      <c r="BG244" s="2630"/>
      <c r="BH244" s="2630"/>
      <c r="BI244" s="2630"/>
      <c r="BJ244" s="2630"/>
      <c r="BK244" s="2630"/>
      <c r="BL244" s="2630"/>
      <c r="BM244" s="2630"/>
      <c r="BN244" s="2630"/>
      <c r="BO244" s="2630"/>
      <c r="BP244" s="2630"/>
      <c r="BQ244" s="2630"/>
    </row>
    <row r="245" spans="1:69" s="2622" customFormat="1" ht="33.75" thickBot="1">
      <c r="A245" s="2773" t="s">
        <v>285</v>
      </c>
      <c r="B245" s="2774"/>
      <c r="C245" s="2774" t="s">
        <v>959</v>
      </c>
      <c r="D245" s="2775"/>
      <c r="E245" s="2775"/>
      <c r="F245" s="2775"/>
      <c r="G245" s="2775"/>
      <c r="H245" s="3016" t="s">
        <v>1054</v>
      </c>
      <c r="I245" s="1933"/>
      <c r="J245" s="3080"/>
      <c r="K245" s="2775"/>
      <c r="L245" s="2775"/>
      <c r="M245" s="2775"/>
      <c r="N245" s="2775"/>
      <c r="O245" s="2775"/>
      <c r="P245" s="2775"/>
      <c r="Q245" s="2775"/>
      <c r="R245" s="2775"/>
      <c r="S245" s="2775"/>
      <c r="T245" s="2775"/>
      <c r="U245" s="2775"/>
      <c r="V245" s="2775"/>
      <c r="W245" s="2775"/>
      <c r="X245" s="2775"/>
      <c r="Y245" s="2775"/>
      <c r="Z245" s="2775"/>
      <c r="AA245" s="2775"/>
      <c r="AB245" s="2775"/>
      <c r="AC245" s="2775"/>
      <c r="AD245" s="2775"/>
      <c r="AE245" s="2775"/>
      <c r="AF245" s="2775"/>
      <c r="AG245" s="2775"/>
      <c r="AH245" s="2775"/>
      <c r="AJ245" s="2668"/>
      <c r="AK245" s="2669"/>
      <c r="AL245" s="2670"/>
      <c r="AM245" s="2650"/>
      <c r="AN245" s="2649"/>
      <c r="AO245" s="2647"/>
      <c r="AP245" s="2650"/>
      <c r="AQ245" s="2651">
        <f>SUM(AO245:AP245)</f>
        <v>0</v>
      </c>
      <c r="AR245" s="2653"/>
      <c r="AS245" s="2637"/>
      <c r="AT245" s="2652">
        <f>+AQ245-AR245-AS245</f>
        <v>0</v>
      </c>
      <c r="AU245" s="2652">
        <f>+AR245-AS245-AT245</f>
        <v>0</v>
      </c>
      <c r="AV245" s="2630"/>
      <c r="AW245" s="2630"/>
      <c r="AX245" s="2630"/>
      <c r="AY245" s="2630"/>
      <c r="AZ245" s="2630"/>
      <c r="BA245" s="2630"/>
      <c r="BB245" s="2630"/>
      <c r="BC245" s="2630"/>
      <c r="BD245" s="2630"/>
      <c r="BE245" s="2630"/>
      <c r="BF245" s="2630"/>
      <c r="BG245" s="2630"/>
      <c r="BH245" s="2630"/>
      <c r="BI245" s="2630"/>
      <c r="BJ245" s="2630"/>
      <c r="BK245" s="2630"/>
      <c r="BL245" s="2630"/>
      <c r="BM245" s="2630"/>
      <c r="BN245" s="2630"/>
      <c r="BO245" s="2630"/>
      <c r="BP245" s="2630"/>
      <c r="BQ245" s="2630"/>
    </row>
    <row r="246" spans="1:69" s="2622" customFormat="1" ht="15">
      <c r="A246" s="3932" t="s">
        <v>271</v>
      </c>
      <c r="B246" s="3933"/>
      <c r="C246" s="3934"/>
      <c r="D246" s="2776"/>
      <c r="E246" s="2776"/>
      <c r="F246" s="2776"/>
      <c r="G246" s="2776"/>
      <c r="H246" s="2776"/>
      <c r="I246" s="2776"/>
      <c r="J246" s="2776"/>
      <c r="K246" s="2776"/>
      <c r="L246" s="2776"/>
      <c r="M246" s="2776"/>
      <c r="N246" s="2776"/>
      <c r="O246" s="2776"/>
      <c r="P246" s="2776"/>
      <c r="Q246" s="2776"/>
      <c r="R246" s="2776"/>
      <c r="S246" s="2777"/>
      <c r="T246" s="2777"/>
      <c r="U246" s="2777"/>
      <c r="V246" s="2777"/>
      <c r="W246" s="2777"/>
      <c r="X246" s="2777"/>
      <c r="Y246" s="2777"/>
      <c r="Z246" s="2777"/>
      <c r="AA246" s="2777"/>
      <c r="AB246" s="2777"/>
      <c r="AC246" s="2777"/>
      <c r="AD246" s="2777"/>
      <c r="AE246" s="2777"/>
      <c r="AF246" s="2777"/>
      <c r="AG246" s="2777"/>
      <c r="AH246" s="2777"/>
    </row>
    <row r="247" spans="1:69" s="2622" customFormat="1" ht="15">
      <c r="A247" s="2778" t="s">
        <v>72</v>
      </c>
      <c r="B247" s="2779" t="s">
        <v>73</v>
      </c>
      <c r="C247" s="2780">
        <v>1</v>
      </c>
      <c r="D247" s="2780">
        <v>2</v>
      </c>
      <c r="E247" s="2780">
        <v>3</v>
      </c>
      <c r="F247" s="2780">
        <v>4</v>
      </c>
      <c r="G247" s="2780">
        <v>5</v>
      </c>
      <c r="H247" s="2780">
        <v>6</v>
      </c>
      <c r="I247" s="2780">
        <v>7</v>
      </c>
      <c r="J247" s="2780">
        <v>8</v>
      </c>
      <c r="K247" s="2780">
        <v>9</v>
      </c>
      <c r="L247" s="2780">
        <v>10</v>
      </c>
      <c r="M247" s="2780">
        <v>11</v>
      </c>
      <c r="N247" s="2780">
        <v>12</v>
      </c>
      <c r="O247" s="2780">
        <v>13</v>
      </c>
      <c r="P247" s="2780">
        <v>14</v>
      </c>
      <c r="Q247" s="2780">
        <v>15</v>
      </c>
      <c r="R247" s="2780">
        <v>16</v>
      </c>
      <c r="S247" s="2778">
        <v>17</v>
      </c>
      <c r="T247" s="2778">
        <v>18</v>
      </c>
      <c r="U247" s="2778">
        <v>19</v>
      </c>
      <c r="V247" s="2778">
        <v>20</v>
      </c>
      <c r="W247" s="2778">
        <v>21</v>
      </c>
      <c r="X247" s="2778">
        <v>22</v>
      </c>
      <c r="Y247" s="2778">
        <v>23</v>
      </c>
      <c r="Z247" s="2778">
        <v>24</v>
      </c>
      <c r="AA247" s="2778">
        <v>25</v>
      </c>
      <c r="AB247" s="2778">
        <v>26</v>
      </c>
      <c r="AC247" s="2778">
        <v>27</v>
      </c>
      <c r="AD247" s="2778">
        <v>28</v>
      </c>
      <c r="AE247" s="2778">
        <v>29</v>
      </c>
      <c r="AF247" s="2778">
        <v>30</v>
      </c>
      <c r="AG247" s="2778">
        <v>31</v>
      </c>
      <c r="AH247" s="2781" t="s">
        <v>74</v>
      </c>
    </row>
    <row r="248" spans="1:69" s="2622" customFormat="1" ht="15">
      <c r="A248" s="2778" t="s">
        <v>75</v>
      </c>
      <c r="B248" s="2779">
        <f t="shared" ref="B248:B259" si="95">+AH248</f>
        <v>0</v>
      </c>
      <c r="C248" s="2782"/>
      <c r="D248" s="2782"/>
      <c r="E248" s="2782"/>
      <c r="F248" s="2782"/>
      <c r="G248" s="2782"/>
      <c r="H248" s="2782"/>
      <c r="I248" s="2782"/>
      <c r="J248" s="2782"/>
      <c r="K248" s="2782"/>
      <c r="L248" s="2782"/>
      <c r="M248" s="2782"/>
      <c r="N248" s="2782"/>
      <c r="O248" s="2782"/>
      <c r="P248" s="2782"/>
      <c r="Q248" s="2782"/>
      <c r="R248" s="2782"/>
      <c r="S248" s="2782"/>
      <c r="T248" s="2782"/>
      <c r="U248" s="2782"/>
      <c r="V248" s="2782"/>
      <c r="W248" s="2782"/>
      <c r="X248" s="2782"/>
      <c r="Y248" s="2782"/>
      <c r="Z248" s="2782"/>
      <c r="AA248" s="2782"/>
      <c r="AB248" s="2782"/>
      <c r="AC248" s="2782"/>
      <c r="AD248" s="2782"/>
      <c r="AE248" s="2782"/>
      <c r="AF248" s="2782"/>
      <c r="AG248" s="2782"/>
      <c r="AH248" s="2783">
        <f>SUM(C248:AG248)</f>
        <v>0</v>
      </c>
      <c r="AW248" s="1311" t="s">
        <v>130</v>
      </c>
    </row>
    <row r="249" spans="1:69" s="2622" customFormat="1" ht="15.75" thickBot="1">
      <c r="A249" s="2778" t="s">
        <v>76</v>
      </c>
      <c r="B249" s="2779">
        <f t="shared" si="95"/>
        <v>0</v>
      </c>
      <c r="C249" s="2782"/>
      <c r="D249" s="2782"/>
      <c r="E249" s="2782"/>
      <c r="F249" s="2782"/>
      <c r="G249" s="2782"/>
      <c r="H249" s="2782"/>
      <c r="I249" s="2782"/>
      <c r="J249" s="2782"/>
      <c r="K249" s="2782"/>
      <c r="L249" s="2782"/>
      <c r="M249" s="2782"/>
      <c r="N249" s="2782"/>
      <c r="O249" s="2782"/>
      <c r="P249" s="2782"/>
      <c r="Q249" s="2782"/>
      <c r="R249" s="2782"/>
      <c r="S249" s="2782"/>
      <c r="T249" s="2782"/>
      <c r="U249" s="2782"/>
      <c r="V249" s="2782"/>
      <c r="W249" s="2782"/>
      <c r="X249" s="2782"/>
      <c r="Y249" s="2782"/>
      <c r="Z249" s="2782"/>
      <c r="AA249" s="2782"/>
      <c r="AB249" s="2782"/>
      <c r="AC249" s="2782"/>
      <c r="AD249" s="2782"/>
      <c r="AE249" s="2782"/>
      <c r="AF249" s="2782"/>
      <c r="AG249" s="2782"/>
      <c r="AH249" s="2783">
        <f t="shared" ref="AH249:AH259" si="96">SUM(C249:AG249)</f>
        <v>0</v>
      </c>
      <c r="AJ249" s="2701"/>
      <c r="AK249" s="2701"/>
      <c r="AL249" s="2701"/>
      <c r="AM249" s="3080"/>
      <c r="AN249" s="2701"/>
      <c r="AO249" s="2701"/>
      <c r="AP249" s="2701"/>
      <c r="AQ249" s="2701"/>
      <c r="AR249" s="2701"/>
      <c r="AS249" s="2701"/>
      <c r="AT249" s="2701"/>
      <c r="AU249" s="2701"/>
      <c r="AV249" s="2701"/>
      <c r="AW249" s="2701"/>
      <c r="AX249" s="2701"/>
      <c r="AY249" s="2701"/>
      <c r="AZ249" s="2701"/>
      <c r="BA249" s="2701"/>
      <c r="BB249" s="2701"/>
      <c r="BC249" s="2701"/>
      <c r="BD249" s="2701"/>
      <c r="BE249" s="2701"/>
      <c r="BF249" s="2701"/>
      <c r="BG249" s="2701"/>
      <c r="BH249" s="2701"/>
      <c r="BI249" s="2701"/>
      <c r="BJ249" s="2701"/>
      <c r="BK249" s="2701"/>
      <c r="BL249" s="2701"/>
      <c r="BM249" s="2701"/>
      <c r="BN249" s="2701"/>
      <c r="BO249" s="2701"/>
      <c r="BP249" s="2701"/>
      <c r="BQ249" s="2701"/>
    </row>
    <row r="250" spans="1:69" s="2622" customFormat="1" ht="26.25" thickBot="1">
      <c r="A250" s="2778" t="s">
        <v>77</v>
      </c>
      <c r="B250" s="2779">
        <f t="shared" si="95"/>
        <v>0</v>
      </c>
      <c r="C250" s="2782"/>
      <c r="D250" s="2782"/>
      <c r="E250" s="2782"/>
      <c r="F250" s="2782"/>
      <c r="G250" s="2782"/>
      <c r="H250" s="2784"/>
      <c r="I250" s="2784"/>
      <c r="J250" s="2784"/>
      <c r="K250" s="2784"/>
      <c r="L250" s="2784"/>
      <c r="M250" s="2784"/>
      <c r="N250" s="2784"/>
      <c r="O250" s="2784"/>
      <c r="P250" s="2784"/>
      <c r="Q250" s="2784"/>
      <c r="R250" s="2785"/>
      <c r="S250" s="2784"/>
      <c r="T250" s="2784"/>
      <c r="U250" s="2784"/>
      <c r="V250" s="2784"/>
      <c r="W250" s="2784"/>
      <c r="X250" s="2784"/>
      <c r="Y250" s="2784"/>
      <c r="Z250" s="2784"/>
      <c r="AA250" s="2784"/>
      <c r="AB250" s="2784"/>
      <c r="AC250" s="2782"/>
      <c r="AD250" s="2782"/>
      <c r="AE250" s="2782"/>
      <c r="AF250" s="2782"/>
      <c r="AG250" s="2782"/>
      <c r="AH250" s="2783">
        <f t="shared" si="96"/>
        <v>0</v>
      </c>
      <c r="AJ250" s="2942" t="s">
        <v>533</v>
      </c>
      <c r="AK250" s="2700"/>
      <c r="AL250" s="2700" t="s">
        <v>1026</v>
      </c>
      <c r="AM250" s="2701"/>
      <c r="AN250" s="2701"/>
      <c r="AO250" s="2701"/>
      <c r="AP250" s="2701"/>
      <c r="AQ250" s="3014" t="s">
        <v>1050</v>
      </c>
      <c r="AR250" s="1415"/>
      <c r="AS250" s="1415"/>
      <c r="AT250" s="1415"/>
      <c r="AU250" s="1415"/>
      <c r="AV250" s="1415"/>
      <c r="AW250" s="1415"/>
      <c r="AX250" s="3080"/>
      <c r="AY250" s="2701"/>
      <c r="AZ250" s="2701"/>
      <c r="BA250" s="2701"/>
      <c r="BB250" s="2701"/>
      <c r="BC250" s="2701"/>
      <c r="BD250" s="2701"/>
      <c r="BE250" s="2701"/>
      <c r="BF250" s="2701"/>
      <c r="BG250" s="2701"/>
      <c r="BH250" s="2701"/>
      <c r="BI250" s="2701"/>
      <c r="BJ250" s="2701"/>
      <c r="BK250" s="2701"/>
      <c r="BL250" s="2701"/>
      <c r="BM250" s="2701"/>
      <c r="BN250" s="2701"/>
      <c r="BO250" s="2701"/>
      <c r="BP250" s="2701"/>
      <c r="BQ250" s="2701"/>
    </row>
    <row r="251" spans="1:69" s="2622" customFormat="1" ht="15">
      <c r="A251" s="2778" t="s">
        <v>78</v>
      </c>
      <c r="B251" s="2779">
        <f t="shared" si="95"/>
        <v>42.995000000000005</v>
      </c>
      <c r="C251" s="2782"/>
      <c r="D251" s="2782"/>
      <c r="E251" s="2782"/>
      <c r="F251" s="2782"/>
      <c r="G251" s="2782"/>
      <c r="H251" s="2782"/>
      <c r="I251" s="2782"/>
      <c r="J251" s="2782"/>
      <c r="K251" s="2782"/>
      <c r="L251" s="2786"/>
      <c r="M251" s="2786"/>
      <c r="N251" s="2786"/>
      <c r="O251" s="2786"/>
      <c r="P251" s="2786"/>
      <c r="Q251" s="2786"/>
      <c r="R251" s="2786"/>
      <c r="S251" s="2786"/>
      <c r="T251" s="2786"/>
      <c r="U251" s="2786"/>
      <c r="V251" s="2786"/>
      <c r="W251" s="2786"/>
      <c r="X251" s="2786"/>
      <c r="Y251" s="2786"/>
      <c r="Z251" s="2786"/>
      <c r="AA251" s="2786"/>
      <c r="AB251" s="2786"/>
      <c r="AC251" s="2786"/>
      <c r="AD251" s="2786">
        <v>38.015000000000001</v>
      </c>
      <c r="AE251" s="2786"/>
      <c r="AF251" s="2786">
        <v>4.9800000000000004</v>
      </c>
      <c r="AG251" s="2786"/>
      <c r="AH251" s="2783">
        <f t="shared" si="96"/>
        <v>42.995000000000005</v>
      </c>
      <c r="AJ251" s="3849" t="s">
        <v>271</v>
      </c>
      <c r="AK251" s="3850"/>
      <c r="AL251" s="3851"/>
      <c r="AM251" s="2702"/>
      <c r="AN251" s="2702"/>
      <c r="AO251" s="2702"/>
      <c r="AP251" s="2702"/>
      <c r="AQ251" s="2702"/>
      <c r="AR251" s="2702"/>
      <c r="AS251" s="2702"/>
      <c r="AT251" s="2702"/>
      <c r="AU251" s="2702"/>
      <c r="AV251" s="2702"/>
      <c r="AW251" s="2702"/>
      <c r="AX251" s="2702"/>
      <c r="AY251" s="2702"/>
      <c r="AZ251" s="2702"/>
      <c r="BA251" s="2702"/>
      <c r="BB251" s="2703"/>
      <c r="BC251" s="2703"/>
      <c r="BD251" s="2703"/>
      <c r="BE251" s="2703"/>
      <c r="BF251" s="2703"/>
      <c r="BG251" s="2703"/>
      <c r="BH251" s="2703"/>
      <c r="BI251" s="2703"/>
      <c r="BJ251" s="2703"/>
      <c r="BK251" s="2703"/>
      <c r="BL251" s="2703"/>
      <c r="BM251" s="2703"/>
      <c r="BN251" s="2703"/>
      <c r="BO251" s="2703"/>
      <c r="BP251" s="2703"/>
      <c r="BQ251" s="2703"/>
    </row>
    <row r="252" spans="1:69" s="2622" customFormat="1" ht="15">
      <c r="A252" s="2778" t="s">
        <v>79</v>
      </c>
      <c r="B252" s="2779">
        <f t="shared" si="95"/>
        <v>257.01</v>
      </c>
      <c r="C252" s="2784"/>
      <c r="D252" s="2784"/>
      <c r="E252" s="2784"/>
      <c r="F252" s="2784"/>
      <c r="G252" s="2784"/>
      <c r="H252" s="2784">
        <v>65.569999999999993</v>
      </c>
      <c r="I252" s="2784">
        <v>59.67</v>
      </c>
      <c r="J252" s="2784"/>
      <c r="K252" s="2784"/>
      <c r="L252" s="2784"/>
      <c r="M252" s="2784"/>
      <c r="N252" s="2784"/>
      <c r="O252" s="2784"/>
      <c r="P252" s="2784"/>
      <c r="Q252" s="2784"/>
      <c r="R252" s="2784">
        <v>64.63</v>
      </c>
      <c r="S252" s="2784"/>
      <c r="T252" s="2784">
        <v>67.14</v>
      </c>
      <c r="U252" s="2784"/>
      <c r="V252" s="2784"/>
      <c r="W252" s="2784"/>
      <c r="X252" s="2784"/>
      <c r="Y252" s="2784"/>
      <c r="Z252" s="2784"/>
      <c r="AA252" s="2784"/>
      <c r="AB252" s="2784"/>
      <c r="AC252" s="2784"/>
      <c r="AD252" s="2784"/>
      <c r="AE252" s="2784"/>
      <c r="AF252" s="2784"/>
      <c r="AG252" s="2784"/>
      <c r="AH252" s="2783">
        <f t="shared" si="96"/>
        <v>257.01</v>
      </c>
      <c r="AJ252" s="2704" t="s">
        <v>72</v>
      </c>
      <c r="AK252" s="2705" t="s">
        <v>73</v>
      </c>
      <c r="AL252" s="2706">
        <v>1</v>
      </c>
      <c r="AM252" s="2706">
        <v>2</v>
      </c>
      <c r="AN252" s="2706">
        <v>3</v>
      </c>
      <c r="AO252" s="2706">
        <v>4</v>
      </c>
      <c r="AP252" s="2706">
        <v>5</v>
      </c>
      <c r="AQ252" s="2706">
        <v>6</v>
      </c>
      <c r="AR252" s="2706">
        <v>7</v>
      </c>
      <c r="AS252" s="2706">
        <v>8</v>
      </c>
      <c r="AT252" s="2706">
        <v>9</v>
      </c>
      <c r="AU252" s="2706">
        <v>10</v>
      </c>
      <c r="AV252" s="2706">
        <v>11</v>
      </c>
      <c r="AW252" s="2706">
        <v>12</v>
      </c>
      <c r="AX252" s="2706">
        <v>13</v>
      </c>
      <c r="AY252" s="2706">
        <v>14</v>
      </c>
      <c r="AZ252" s="2706">
        <v>15</v>
      </c>
      <c r="BA252" s="2706">
        <v>16</v>
      </c>
      <c r="BB252" s="2704">
        <v>17</v>
      </c>
      <c r="BC252" s="2704">
        <v>18</v>
      </c>
      <c r="BD252" s="2704">
        <v>19</v>
      </c>
      <c r="BE252" s="2704">
        <v>20</v>
      </c>
      <c r="BF252" s="2704">
        <v>21</v>
      </c>
      <c r="BG252" s="2704">
        <v>22</v>
      </c>
      <c r="BH252" s="2704">
        <v>23</v>
      </c>
      <c r="BI252" s="2704">
        <v>24</v>
      </c>
      <c r="BJ252" s="2704">
        <v>25</v>
      </c>
      <c r="BK252" s="2704">
        <v>26</v>
      </c>
      <c r="BL252" s="2704">
        <v>27</v>
      </c>
      <c r="BM252" s="2704">
        <v>28</v>
      </c>
      <c r="BN252" s="2704">
        <v>29</v>
      </c>
      <c r="BO252" s="2704">
        <v>30</v>
      </c>
      <c r="BP252" s="2704">
        <v>31</v>
      </c>
      <c r="BQ252" s="2707" t="s">
        <v>74</v>
      </c>
    </row>
    <row r="253" spans="1:69" s="2622" customFormat="1" ht="15">
      <c r="A253" s="2778" t="s">
        <v>80</v>
      </c>
      <c r="B253" s="2779">
        <f t="shared" si="95"/>
        <v>240.875</v>
      </c>
      <c r="C253" s="3084"/>
      <c r="D253" s="3084"/>
      <c r="E253" s="3084"/>
      <c r="F253" s="3084"/>
      <c r="G253" s="3084"/>
      <c r="H253" s="3084"/>
      <c r="I253" s="3084"/>
      <c r="J253" s="3084"/>
      <c r="K253" s="3084">
        <v>68.915000000000006</v>
      </c>
      <c r="L253" s="3084"/>
      <c r="M253" s="3084"/>
      <c r="N253" s="3084"/>
      <c r="O253" s="3084"/>
      <c r="P253" s="3084"/>
      <c r="Q253" s="3084"/>
      <c r="R253" s="3084"/>
      <c r="S253" s="3084"/>
      <c r="T253" s="3084"/>
      <c r="U253" s="3084"/>
      <c r="V253" s="3084"/>
      <c r="W253" s="3084">
        <v>70.290000000000006</v>
      </c>
      <c r="X253" s="3084"/>
      <c r="Y253" s="3084"/>
      <c r="Z253" s="3084">
        <v>32.284999999999997</v>
      </c>
      <c r="AA253" s="3084">
        <v>69.385000000000005</v>
      </c>
      <c r="AB253" s="3084"/>
      <c r="AC253" s="3084"/>
      <c r="AD253" s="3084"/>
      <c r="AE253" s="3084"/>
      <c r="AF253" s="3084"/>
      <c r="AG253" s="3084"/>
      <c r="AH253" s="2783">
        <f t="shared" si="96"/>
        <v>240.875</v>
      </c>
      <c r="AJ253" s="2704" t="s">
        <v>75</v>
      </c>
      <c r="AK253" s="2705">
        <f t="shared" ref="AK253:AK264" si="97">+BQ253</f>
        <v>0</v>
      </c>
      <c r="AL253" s="2708"/>
      <c r="AM253" s="2708"/>
      <c r="AN253" s="2708"/>
      <c r="AO253" s="2708"/>
      <c r="AP253" s="2708"/>
      <c r="AQ253" s="2708"/>
      <c r="AR253" s="2708"/>
      <c r="AS253" s="2708"/>
      <c r="AT253" s="2708"/>
      <c r="AU253" s="2708"/>
      <c r="AV253" s="2708"/>
      <c r="AW253" s="2708"/>
      <c r="AX253" s="2708"/>
      <c r="AY253" s="2708"/>
      <c r="AZ253" s="2708"/>
      <c r="BA253" s="2708"/>
      <c r="BB253" s="2708"/>
      <c r="BC253" s="2708"/>
      <c r="BD253" s="2708"/>
      <c r="BE253" s="2708"/>
      <c r="BF253" s="2708"/>
      <c r="BG253" s="2708"/>
      <c r="BH253" s="2708"/>
      <c r="BI253" s="2708"/>
      <c r="BJ253" s="2708"/>
      <c r="BK253" s="2708"/>
      <c r="BL253" s="2708"/>
      <c r="BM253" s="2708"/>
      <c r="BN253" s="2708"/>
      <c r="BO253" s="2708"/>
      <c r="BP253" s="2708"/>
      <c r="BQ253" s="2709">
        <f>SUM(AL253:BP253)</f>
        <v>0</v>
      </c>
    </row>
    <row r="254" spans="1:69" s="2622" customFormat="1" ht="15.75" thickBot="1">
      <c r="A254" s="2778" t="s">
        <v>81</v>
      </c>
      <c r="B254" s="2779">
        <f t="shared" si="95"/>
        <v>23.41</v>
      </c>
      <c r="C254" s="2784"/>
      <c r="D254" s="2783"/>
      <c r="E254" s="2783"/>
      <c r="F254" s="2783"/>
      <c r="G254" s="2784"/>
      <c r="H254" s="2784"/>
      <c r="I254" s="2784">
        <v>23.41</v>
      </c>
      <c r="J254" s="2784"/>
      <c r="K254" s="2784"/>
      <c r="L254" s="2784"/>
      <c r="M254" s="2784"/>
      <c r="N254" s="2784"/>
      <c r="O254" s="2784"/>
      <c r="P254" s="2784"/>
      <c r="Q254" s="2784"/>
      <c r="R254" s="2784"/>
      <c r="S254" s="2784"/>
      <c r="T254" s="2784"/>
      <c r="U254" s="2784"/>
      <c r="V254" s="2784"/>
      <c r="W254" s="2784"/>
      <c r="X254" s="2784"/>
      <c r="Y254" s="2784"/>
      <c r="Z254" s="2784"/>
      <c r="AA254" s="2784"/>
      <c r="AB254" s="2784"/>
      <c r="AC254" s="2784"/>
      <c r="AD254" s="2784"/>
      <c r="AE254" s="2784"/>
      <c r="AF254" s="2784"/>
      <c r="AG254" s="2784"/>
      <c r="AH254" s="2783">
        <f t="shared" si="96"/>
        <v>23.41</v>
      </c>
      <c r="AJ254" s="2704" t="s">
        <v>76</v>
      </c>
      <c r="AK254" s="2705">
        <f t="shared" si="97"/>
        <v>0</v>
      </c>
      <c r="AL254" s="2708"/>
      <c r="AM254" s="2708"/>
      <c r="AN254" s="2708"/>
      <c r="AO254" s="2708"/>
      <c r="AP254" s="2708"/>
      <c r="AQ254" s="2708"/>
      <c r="AR254" s="2708"/>
      <c r="AS254" s="2708"/>
      <c r="AT254" s="2708"/>
      <c r="AU254" s="2708"/>
      <c r="AV254" s="2708"/>
      <c r="AW254" s="2708"/>
      <c r="AX254" s="2708"/>
      <c r="AY254" s="2708"/>
      <c r="AZ254" s="2708"/>
      <c r="BA254" s="2708"/>
      <c r="BB254" s="2708"/>
      <c r="BC254" s="2708"/>
      <c r="BD254" s="2708"/>
      <c r="BE254" s="2708"/>
      <c r="BF254" s="2708"/>
      <c r="BG254" s="2708"/>
      <c r="BH254" s="2708"/>
      <c r="BI254" s="2708"/>
      <c r="BJ254" s="2708"/>
      <c r="BK254" s="2708"/>
      <c r="BL254" s="2708"/>
      <c r="BM254" s="2708"/>
      <c r="BN254" s="2708"/>
      <c r="BO254" s="2708"/>
      <c r="BP254" s="2708"/>
      <c r="BQ254" s="2709">
        <f t="shared" ref="BQ254:BQ264" si="98">SUM(AL254:BP254)</f>
        <v>0</v>
      </c>
    </row>
    <row r="255" spans="1:69" s="2622" customFormat="1" ht="15.75" thickBot="1">
      <c r="A255" s="2778" t="s">
        <v>82</v>
      </c>
      <c r="B255" s="2779">
        <f t="shared" si="95"/>
        <v>0</v>
      </c>
      <c r="C255" s="2784"/>
      <c r="D255" s="2784"/>
      <c r="E255" s="2784"/>
      <c r="F255" s="2784"/>
      <c r="G255" s="2784"/>
      <c r="H255" s="2784"/>
      <c r="I255" s="2784"/>
      <c r="J255" s="2784"/>
      <c r="K255" s="2784"/>
      <c r="L255" s="2784"/>
      <c r="M255" s="2784"/>
      <c r="N255" s="2784"/>
      <c r="O255" s="2784"/>
      <c r="P255" s="2784"/>
      <c r="Q255" s="2784"/>
      <c r="R255" s="2784"/>
      <c r="S255" s="2784"/>
      <c r="T255" s="2784"/>
      <c r="U255" s="2784"/>
      <c r="V255" s="2784"/>
      <c r="W255" s="2784"/>
      <c r="X255" s="2784"/>
      <c r="Y255" s="2784"/>
      <c r="Z255" s="2784"/>
      <c r="AA255" s="2784"/>
      <c r="AB255" s="2784"/>
      <c r="AC255" s="2784"/>
      <c r="AD255" s="2784"/>
      <c r="AE255" s="2784"/>
      <c r="AF255" s="2784"/>
      <c r="AG255" s="2784"/>
      <c r="AH255" s="2783">
        <f t="shared" si="96"/>
        <v>0</v>
      </c>
      <c r="AJ255" s="2704" t="s">
        <v>77</v>
      </c>
      <c r="AK255" s="2705">
        <f t="shared" si="97"/>
        <v>0</v>
      </c>
      <c r="AL255" s="2708"/>
      <c r="AM255" s="2708"/>
      <c r="AN255" s="2708"/>
      <c r="AO255" s="2708"/>
      <c r="AP255" s="2708"/>
      <c r="AQ255" s="2710"/>
      <c r="AR255" s="2710"/>
      <c r="AS255" s="2710"/>
      <c r="AT255" s="2710"/>
      <c r="AU255" s="2710"/>
      <c r="AV255" s="2710"/>
      <c r="AW255" s="2710"/>
      <c r="AX255" s="2710"/>
      <c r="AY255" s="2710"/>
      <c r="AZ255" s="2710"/>
      <c r="BA255" s="2711"/>
      <c r="BB255" s="2710"/>
      <c r="BC255" s="2710"/>
      <c r="BD255" s="2710"/>
      <c r="BE255" s="2710"/>
      <c r="BF255" s="2710"/>
      <c r="BG255" s="2710"/>
      <c r="BH255" s="2710"/>
      <c r="BI255" s="2710"/>
      <c r="BJ255" s="2710"/>
      <c r="BK255" s="2710"/>
      <c r="BL255" s="2708"/>
      <c r="BM255" s="2708"/>
      <c r="BN255" s="2708"/>
      <c r="BO255" s="2708"/>
      <c r="BP255" s="2708"/>
      <c r="BQ255" s="2709">
        <f t="shared" si="98"/>
        <v>0</v>
      </c>
    </row>
    <row r="256" spans="1:69" s="2622" customFormat="1" ht="15">
      <c r="A256" s="2778" t="s">
        <v>83</v>
      </c>
      <c r="B256" s="2779">
        <f t="shared" si="95"/>
        <v>0</v>
      </c>
      <c r="C256" s="2784"/>
      <c r="D256" s="2784"/>
      <c r="E256" s="2784"/>
      <c r="F256" s="2784"/>
      <c r="G256" s="2784"/>
      <c r="H256" s="2784"/>
      <c r="I256" s="2784"/>
      <c r="J256" s="2784"/>
      <c r="K256" s="2784"/>
      <c r="L256" s="2784"/>
      <c r="M256" s="2784"/>
      <c r="N256" s="2784"/>
      <c r="O256" s="2784"/>
      <c r="P256" s="2784"/>
      <c r="Q256" s="2784"/>
      <c r="R256" s="2784"/>
      <c r="S256" s="2784"/>
      <c r="T256" s="2784"/>
      <c r="U256" s="2784"/>
      <c r="V256" s="2784"/>
      <c r="W256" s="2784"/>
      <c r="X256" s="2784"/>
      <c r="Y256" s="2784"/>
      <c r="Z256" s="2784"/>
      <c r="AA256" s="2784"/>
      <c r="AB256" s="2784"/>
      <c r="AC256" s="2784"/>
      <c r="AD256" s="2784"/>
      <c r="AE256" s="2784"/>
      <c r="AF256" s="2784"/>
      <c r="AG256" s="2784"/>
      <c r="AH256" s="2783">
        <f t="shared" si="96"/>
        <v>0</v>
      </c>
      <c r="AJ256" s="2704" t="s">
        <v>78</v>
      </c>
      <c r="AK256" s="2705">
        <f t="shared" si="97"/>
        <v>0</v>
      </c>
      <c r="AL256" s="2708"/>
      <c r="AM256" s="2708"/>
      <c r="AN256" s="2708"/>
      <c r="AO256" s="2708"/>
      <c r="AP256" s="2708"/>
      <c r="AQ256" s="2708"/>
      <c r="AR256" s="2708"/>
      <c r="AS256" s="2708"/>
      <c r="AT256" s="2708"/>
      <c r="AU256" s="2712"/>
      <c r="AV256" s="2712"/>
      <c r="AW256" s="2712"/>
      <c r="AX256" s="2712"/>
      <c r="AY256" s="2712"/>
      <c r="AZ256" s="2712"/>
      <c r="BA256" s="2712"/>
      <c r="BB256" s="2712"/>
      <c r="BC256" s="2712"/>
      <c r="BD256" s="2712"/>
      <c r="BE256" s="2712"/>
      <c r="BF256" s="2712"/>
      <c r="BG256" s="2712"/>
      <c r="BH256" s="2712"/>
      <c r="BI256" s="2712"/>
      <c r="BJ256" s="2712"/>
      <c r="BK256" s="2712"/>
      <c r="BL256" s="2712"/>
      <c r="BM256" s="2712"/>
      <c r="BN256" s="2712"/>
      <c r="BO256" s="2712"/>
      <c r="BP256" s="2712"/>
      <c r="BQ256" s="2709">
        <f t="shared" si="98"/>
        <v>0</v>
      </c>
    </row>
    <row r="257" spans="1:69" s="2622" customFormat="1" ht="15">
      <c r="A257" s="2778" t="s">
        <v>84</v>
      </c>
      <c r="B257" s="2779">
        <f t="shared" si="95"/>
        <v>64.930000000000007</v>
      </c>
      <c r="C257" s="2784"/>
      <c r="D257" s="2784"/>
      <c r="E257" s="2784"/>
      <c r="F257" s="2784"/>
      <c r="G257" s="2784"/>
      <c r="H257" s="2784"/>
      <c r="I257" s="2784"/>
      <c r="J257" s="2784"/>
      <c r="K257" s="2784"/>
      <c r="L257" s="2784"/>
      <c r="M257" s="2784"/>
      <c r="N257" s="2784"/>
      <c r="O257" s="2784"/>
      <c r="P257" s="2784"/>
      <c r="Q257" s="2784"/>
      <c r="R257" s="2784"/>
      <c r="S257" s="2784"/>
      <c r="T257" s="2784"/>
      <c r="U257" s="2784"/>
      <c r="V257" s="2784"/>
      <c r="W257" s="2784"/>
      <c r="X257" s="2784"/>
      <c r="Y257" s="2784"/>
      <c r="Z257" s="2784">
        <v>64.930000000000007</v>
      </c>
      <c r="AA257" s="2784"/>
      <c r="AB257" s="2784"/>
      <c r="AC257" s="2784"/>
      <c r="AD257" s="2784"/>
      <c r="AE257" s="2783"/>
      <c r="AF257" s="2784"/>
      <c r="AG257" s="2783"/>
      <c r="AH257" s="2783">
        <f t="shared" si="96"/>
        <v>64.930000000000007</v>
      </c>
      <c r="AJ257" s="2704" t="s">
        <v>79</v>
      </c>
      <c r="AK257" s="2705">
        <f t="shared" si="97"/>
        <v>0</v>
      </c>
      <c r="AL257" s="2710"/>
      <c r="AM257" s="2710"/>
      <c r="AN257" s="2710"/>
      <c r="AO257" s="2710"/>
      <c r="AP257" s="2710"/>
      <c r="AQ257" s="2710"/>
      <c r="AR257" s="2710"/>
      <c r="AS257" s="2710"/>
      <c r="AT257" s="2710"/>
      <c r="AU257" s="2710"/>
      <c r="AV257" s="2710"/>
      <c r="AW257" s="2710"/>
      <c r="AX257" s="2710"/>
      <c r="AY257" s="2710"/>
      <c r="AZ257" s="2710"/>
      <c r="BA257" s="2710"/>
      <c r="BB257" s="2710"/>
      <c r="BC257" s="2710"/>
      <c r="BD257" s="2710"/>
      <c r="BE257" s="2710"/>
      <c r="BF257" s="2710"/>
      <c r="BG257" s="2710"/>
      <c r="BH257" s="2710"/>
      <c r="BI257" s="2710"/>
      <c r="BJ257" s="2710"/>
      <c r="BK257" s="2710"/>
      <c r="BL257" s="2710"/>
      <c r="BM257" s="2710"/>
      <c r="BN257" s="2710"/>
      <c r="BO257" s="2710"/>
      <c r="BP257" s="2710"/>
      <c r="BQ257" s="2709">
        <f t="shared" si="98"/>
        <v>0</v>
      </c>
    </row>
    <row r="258" spans="1:69" s="2622" customFormat="1" ht="15">
      <c r="A258" s="2778" t="s">
        <v>85</v>
      </c>
      <c r="B258" s="2779">
        <f t="shared" si="95"/>
        <v>0</v>
      </c>
      <c r="C258" s="2784"/>
      <c r="D258" s="2784"/>
      <c r="E258" s="2784"/>
      <c r="F258" s="2784"/>
      <c r="G258" s="2787"/>
      <c r="H258" s="2784"/>
      <c r="I258" s="2784"/>
      <c r="J258" s="2784"/>
      <c r="K258" s="2784"/>
      <c r="L258" s="2784"/>
      <c r="M258" s="2784"/>
      <c r="N258" s="2784"/>
      <c r="O258" s="2784"/>
      <c r="P258" s="2784"/>
      <c r="Q258" s="2784"/>
      <c r="R258" s="2784"/>
      <c r="S258" s="2784"/>
      <c r="T258" s="2784"/>
      <c r="U258" s="2784"/>
      <c r="V258" s="2784"/>
      <c r="W258" s="2784"/>
      <c r="X258" s="2784"/>
      <c r="Y258" s="2784"/>
      <c r="Z258" s="2784"/>
      <c r="AA258" s="2784"/>
      <c r="AB258" s="2784"/>
      <c r="AC258" s="2784"/>
      <c r="AD258" s="2784"/>
      <c r="AE258" s="2783"/>
      <c r="AF258" s="2784"/>
      <c r="AG258" s="2783"/>
      <c r="AH258" s="2783">
        <f t="shared" si="96"/>
        <v>0</v>
      </c>
      <c r="AJ258" s="2704" t="s">
        <v>80</v>
      </c>
      <c r="AK258" s="2705">
        <f t="shared" si="97"/>
        <v>0</v>
      </c>
      <c r="AL258" s="2710"/>
      <c r="AM258" s="2710"/>
      <c r="AN258" s="2710"/>
      <c r="AO258" s="2710"/>
      <c r="AP258" s="2710"/>
      <c r="AQ258" s="2710"/>
      <c r="AR258" s="2710"/>
      <c r="AS258" s="2710"/>
      <c r="AT258" s="2710"/>
      <c r="AU258" s="2710"/>
      <c r="AV258" s="2710"/>
      <c r="AW258" s="2710"/>
      <c r="AX258" s="2710"/>
      <c r="AY258" s="2710"/>
      <c r="AZ258" s="2710"/>
      <c r="BA258" s="2710"/>
      <c r="BB258" s="2710"/>
      <c r="BC258" s="2710"/>
      <c r="BD258" s="2710"/>
      <c r="BE258" s="2710"/>
      <c r="BF258" s="2710"/>
      <c r="BG258" s="2710"/>
      <c r="BH258" s="2710"/>
      <c r="BI258" s="2710"/>
      <c r="BJ258" s="2710"/>
      <c r="BK258" s="2710"/>
      <c r="BL258" s="2710"/>
      <c r="BM258" s="2710"/>
      <c r="BN258" s="2710"/>
      <c r="BO258" s="2710"/>
      <c r="BP258" s="2710"/>
      <c r="BQ258" s="2709">
        <f t="shared" si="98"/>
        <v>0</v>
      </c>
    </row>
    <row r="259" spans="1:69" s="2622" customFormat="1" ht="15">
      <c r="A259" s="2778" t="s">
        <v>86</v>
      </c>
      <c r="B259" s="2779">
        <f t="shared" si="95"/>
        <v>289.85699999999997</v>
      </c>
      <c r="C259" s="2784"/>
      <c r="D259" s="2784"/>
      <c r="E259" s="2784"/>
      <c r="F259" s="2784"/>
      <c r="G259" s="2784"/>
      <c r="H259" s="2784"/>
      <c r="I259" s="2784"/>
      <c r="J259" s="2784"/>
      <c r="K259" s="2784"/>
      <c r="L259" s="2784"/>
      <c r="M259" s="2784"/>
      <c r="N259" s="2784"/>
      <c r="O259" s="2784"/>
      <c r="P259" s="2784">
        <v>36.296999999999997</v>
      </c>
      <c r="Q259" s="2784">
        <v>62.305</v>
      </c>
      <c r="R259" s="2784">
        <v>57.484999999999999</v>
      </c>
      <c r="S259" s="2784">
        <v>66.11</v>
      </c>
      <c r="T259" s="2784">
        <v>67.66</v>
      </c>
      <c r="U259" s="2784"/>
      <c r="V259" s="2784"/>
      <c r="W259" s="2784"/>
      <c r="X259" s="2784"/>
      <c r="Y259" s="2784"/>
      <c r="Z259" s="2784"/>
      <c r="AA259" s="2784"/>
      <c r="AB259" s="2784"/>
      <c r="AC259" s="2784"/>
      <c r="AD259" s="2784"/>
      <c r="AE259" s="2784"/>
      <c r="AF259" s="2784"/>
      <c r="AG259" s="2784"/>
      <c r="AH259" s="2783">
        <f t="shared" si="96"/>
        <v>289.85699999999997</v>
      </c>
      <c r="AJ259" s="2704" t="s">
        <v>81</v>
      </c>
      <c r="AK259" s="2705">
        <f t="shared" si="97"/>
        <v>0</v>
      </c>
      <c r="AL259" s="2710"/>
      <c r="AM259" s="2709"/>
      <c r="AN259" s="2709"/>
      <c r="AO259" s="2709"/>
      <c r="AP259" s="2710"/>
      <c r="AQ259" s="2710"/>
      <c r="AR259" s="2710"/>
      <c r="AS259" s="2710"/>
      <c r="AT259" s="2710"/>
      <c r="AU259" s="2710"/>
      <c r="AV259" s="2710"/>
      <c r="AW259" s="2710"/>
      <c r="AX259" s="2710"/>
      <c r="AY259" s="2710"/>
      <c r="AZ259" s="2710"/>
      <c r="BA259" s="2710"/>
      <c r="BB259" s="2710"/>
      <c r="BC259" s="2710"/>
      <c r="BD259" s="2710"/>
      <c r="BE259" s="2710"/>
      <c r="BF259" s="2710"/>
      <c r="BG259" s="2710"/>
      <c r="BH259" s="2710"/>
      <c r="BI259" s="2710"/>
      <c r="BJ259" s="2710"/>
      <c r="BK259" s="2710"/>
      <c r="BL259" s="2710"/>
      <c r="BM259" s="2710"/>
      <c r="BN259" s="2710"/>
      <c r="BO259" s="2710"/>
      <c r="BP259" s="2710"/>
      <c r="BQ259" s="2709">
        <f t="shared" si="98"/>
        <v>0</v>
      </c>
    </row>
    <row r="260" spans="1:69" s="2622" customFormat="1" ht="15">
      <c r="A260" s="2788" t="s">
        <v>74</v>
      </c>
      <c r="B260" s="2789">
        <f t="shared" ref="B260:R260" si="99">SUM(B248:B259)</f>
        <v>919.077</v>
      </c>
      <c r="C260" s="2779">
        <f t="shared" si="99"/>
        <v>0</v>
      </c>
      <c r="D260" s="2779">
        <f t="shared" si="99"/>
        <v>0</v>
      </c>
      <c r="E260" s="2779">
        <f t="shared" si="99"/>
        <v>0</v>
      </c>
      <c r="F260" s="2779">
        <f t="shared" si="99"/>
        <v>0</v>
      </c>
      <c r="G260" s="2779">
        <f t="shared" si="99"/>
        <v>0</v>
      </c>
      <c r="H260" s="2779">
        <f t="shared" si="99"/>
        <v>65.569999999999993</v>
      </c>
      <c r="I260" s="2779">
        <f t="shared" si="99"/>
        <v>83.08</v>
      </c>
      <c r="J260" s="2779">
        <f t="shared" si="99"/>
        <v>0</v>
      </c>
      <c r="K260" s="2779">
        <f t="shared" si="99"/>
        <v>68.915000000000006</v>
      </c>
      <c r="L260" s="2779">
        <f t="shared" si="99"/>
        <v>0</v>
      </c>
      <c r="M260" s="2779">
        <f t="shared" si="99"/>
        <v>0</v>
      </c>
      <c r="N260" s="2779">
        <f t="shared" si="99"/>
        <v>0</v>
      </c>
      <c r="O260" s="2779">
        <f t="shared" si="99"/>
        <v>0</v>
      </c>
      <c r="P260" s="2779">
        <f t="shared" si="99"/>
        <v>36.296999999999997</v>
      </c>
      <c r="Q260" s="2779">
        <f t="shared" si="99"/>
        <v>62.305</v>
      </c>
      <c r="R260" s="2779">
        <f t="shared" si="99"/>
        <v>122.11499999999999</v>
      </c>
      <c r="S260" s="2783">
        <f t="shared" ref="S260:AC260" si="100">SUM(S248:S258)</f>
        <v>0</v>
      </c>
      <c r="T260" s="2783">
        <f t="shared" si="100"/>
        <v>67.14</v>
      </c>
      <c r="U260" s="2783">
        <f t="shared" si="100"/>
        <v>0</v>
      </c>
      <c r="V260" s="2783">
        <f t="shared" si="100"/>
        <v>0</v>
      </c>
      <c r="W260" s="2783">
        <f t="shared" si="100"/>
        <v>70.290000000000006</v>
      </c>
      <c r="X260" s="2783">
        <f t="shared" si="100"/>
        <v>0</v>
      </c>
      <c r="Y260" s="2783">
        <f t="shared" si="100"/>
        <v>0</v>
      </c>
      <c r="Z260" s="2783">
        <f t="shared" si="100"/>
        <v>97.215000000000003</v>
      </c>
      <c r="AA260" s="2783">
        <f t="shared" si="100"/>
        <v>69.385000000000005</v>
      </c>
      <c r="AB260" s="2783">
        <f t="shared" si="100"/>
        <v>0</v>
      </c>
      <c r="AC260" s="2783">
        <f t="shared" si="100"/>
        <v>0</v>
      </c>
      <c r="AD260" s="2783">
        <v>0</v>
      </c>
      <c r="AE260" s="2783">
        <f>SUM(AE248:AE258)</f>
        <v>0</v>
      </c>
      <c r="AF260" s="2783">
        <f>SUM(AF248:AF258)</f>
        <v>4.9800000000000004</v>
      </c>
      <c r="AG260" s="2783">
        <f>SUM(AG248:AG258)</f>
        <v>0</v>
      </c>
      <c r="AH260" s="2783">
        <f>SUM(AH248:AH258)</f>
        <v>629.22</v>
      </c>
      <c r="AJ260" s="2704" t="s">
        <v>82</v>
      </c>
      <c r="AK260" s="2705">
        <f t="shared" si="97"/>
        <v>0</v>
      </c>
      <c r="AL260" s="2710"/>
      <c r="AM260" s="2710"/>
      <c r="AN260" s="2710"/>
      <c r="AO260" s="2710"/>
      <c r="AP260" s="2710"/>
      <c r="AQ260" s="2710"/>
      <c r="AR260" s="2710"/>
      <c r="AS260" s="2710"/>
      <c r="AT260" s="2710"/>
      <c r="AU260" s="2710"/>
      <c r="AV260" s="2710"/>
      <c r="AW260" s="2710"/>
      <c r="AX260" s="2710"/>
      <c r="AY260" s="2710"/>
      <c r="AZ260" s="2710"/>
      <c r="BA260" s="2710"/>
      <c r="BB260" s="2710"/>
      <c r="BC260" s="2710"/>
      <c r="BD260" s="2710"/>
      <c r="BE260" s="2710"/>
      <c r="BF260" s="2710"/>
      <c r="BG260" s="2710"/>
      <c r="BH260" s="2710"/>
      <c r="BI260" s="2710"/>
      <c r="BJ260" s="2710"/>
      <c r="BK260" s="2710"/>
      <c r="BL260" s="2710"/>
      <c r="BM260" s="2710"/>
      <c r="BN260" s="2710"/>
      <c r="BO260" s="2710"/>
      <c r="BP260" s="2710"/>
      <c r="BQ260" s="2709">
        <f t="shared" si="98"/>
        <v>0</v>
      </c>
    </row>
    <row r="261" spans="1:69" s="2622" customFormat="1" ht="15">
      <c r="A261" s="2775"/>
      <c r="B261" s="2775"/>
      <c r="C261" s="2775"/>
      <c r="D261" s="2775"/>
      <c r="E261" s="2775"/>
      <c r="F261" s="2775"/>
      <c r="G261" s="2775"/>
      <c r="H261" s="2775"/>
      <c r="I261" s="2775"/>
      <c r="J261" s="2775"/>
      <c r="K261" s="2775"/>
      <c r="L261" s="2775"/>
      <c r="M261" s="2775"/>
      <c r="N261" s="2775"/>
      <c r="O261" s="2775"/>
      <c r="P261" s="2775"/>
      <c r="Q261" s="2775"/>
      <c r="R261" s="2775"/>
      <c r="S261" s="2775"/>
      <c r="T261" s="2775"/>
      <c r="U261" s="2775"/>
      <c r="V261" s="2775"/>
      <c r="W261" s="2775"/>
      <c r="X261" s="2775"/>
      <c r="Y261" s="2775"/>
      <c r="Z261" s="2775"/>
      <c r="AA261" s="2775"/>
      <c r="AB261" s="2775"/>
      <c r="AC261" s="2775"/>
      <c r="AD261" s="2775"/>
      <c r="AE261" s="2775"/>
      <c r="AF261" s="2775"/>
      <c r="AG261" s="2775"/>
      <c r="AH261" s="2775"/>
      <c r="AJ261" s="2704" t="s">
        <v>83</v>
      </c>
      <c r="AK261" s="2705">
        <f t="shared" si="97"/>
        <v>0</v>
      </c>
      <c r="AL261" s="2710"/>
      <c r="AM261" s="2710"/>
      <c r="AN261" s="2710"/>
      <c r="AO261" s="2710"/>
      <c r="AP261" s="2710"/>
      <c r="AQ261" s="2710"/>
      <c r="AR261" s="2710"/>
      <c r="AS261" s="2710"/>
      <c r="AT261" s="2710"/>
      <c r="AU261" s="2710"/>
      <c r="AV261" s="2710"/>
      <c r="AW261" s="2710"/>
      <c r="AX261" s="2710"/>
      <c r="AY261" s="2710"/>
      <c r="AZ261" s="2710"/>
      <c r="BA261" s="2710"/>
      <c r="BB261" s="2710"/>
      <c r="BC261" s="2710"/>
      <c r="BD261" s="2710"/>
      <c r="BE261" s="2710"/>
      <c r="BF261" s="2710"/>
      <c r="BG261" s="2710"/>
      <c r="BH261" s="2710"/>
      <c r="BI261" s="2710"/>
      <c r="BJ261" s="2710"/>
      <c r="BK261" s="2710"/>
      <c r="BL261" s="2710"/>
      <c r="BM261" s="2710"/>
      <c r="BN261" s="2710"/>
      <c r="BO261" s="2710"/>
      <c r="BP261" s="2710"/>
      <c r="BQ261" s="2709">
        <f t="shared" si="98"/>
        <v>0</v>
      </c>
    </row>
    <row r="262" spans="1:69" s="2622" customFormat="1" ht="15.75" thickBot="1">
      <c r="A262" s="2775"/>
      <c r="B262" s="2775"/>
      <c r="C262" s="2775"/>
      <c r="D262" s="2775"/>
      <c r="E262" s="2775"/>
      <c r="F262" s="2775"/>
      <c r="G262" s="2775"/>
      <c r="H262" s="2775"/>
      <c r="I262" s="2775"/>
      <c r="J262" s="2775"/>
      <c r="K262" s="2775"/>
      <c r="L262" s="2775"/>
      <c r="M262" s="2775"/>
      <c r="N262" s="2775"/>
      <c r="O262" s="2775"/>
      <c r="P262" s="2775"/>
      <c r="Q262" s="2775"/>
      <c r="R262" s="2775"/>
      <c r="S262" s="2775"/>
      <c r="T262" s="2775"/>
      <c r="U262" s="2775"/>
      <c r="V262" s="2775"/>
      <c r="W262" s="2775"/>
      <c r="X262" s="2775"/>
      <c r="Y262" s="2775"/>
      <c r="Z262" s="2775"/>
      <c r="AA262" s="2775"/>
      <c r="AB262" s="2775"/>
      <c r="AC262" s="2775"/>
      <c r="AD262" s="2775"/>
      <c r="AE262" s="2775"/>
      <c r="AF262" s="2775"/>
      <c r="AG262" s="2775"/>
      <c r="AH262" s="2775"/>
      <c r="AJ262" s="2704" t="s">
        <v>84</v>
      </c>
      <c r="AK262" s="2705">
        <f t="shared" si="97"/>
        <v>0</v>
      </c>
      <c r="AL262" s="2710"/>
      <c r="AM262" s="2710"/>
      <c r="AN262" s="2710"/>
      <c r="AO262" s="2710"/>
      <c r="AP262" s="2710"/>
      <c r="AQ262" s="2710"/>
      <c r="AR262" s="2710"/>
      <c r="AS262" s="2710"/>
      <c r="AT262" s="2710"/>
      <c r="AU262" s="2710"/>
      <c r="AV262" s="2710"/>
      <c r="AW262" s="2710"/>
      <c r="AX262" s="2710"/>
      <c r="AY262" s="2710"/>
      <c r="AZ262" s="2710"/>
      <c r="BA262" s="2710"/>
      <c r="BB262" s="2710"/>
      <c r="BC262" s="2710"/>
      <c r="BD262" s="2710"/>
      <c r="BE262" s="2710"/>
      <c r="BF262" s="2710"/>
      <c r="BG262" s="2710"/>
      <c r="BH262" s="2710"/>
      <c r="BI262" s="2710"/>
      <c r="BJ262" s="2710"/>
      <c r="BK262" s="2710"/>
      <c r="BL262" s="2710"/>
      <c r="BM262" s="2710"/>
      <c r="BN262" s="2709"/>
      <c r="BO262" s="2710"/>
      <c r="BP262" s="2709"/>
      <c r="BQ262" s="2709">
        <f t="shared" si="98"/>
        <v>0</v>
      </c>
    </row>
    <row r="263" spans="1:69" s="2622" customFormat="1" ht="16.5" thickBot="1">
      <c r="A263" s="2790" t="s">
        <v>960</v>
      </c>
      <c r="B263" s="2791"/>
      <c r="C263" s="2791"/>
      <c r="D263" s="2791"/>
      <c r="E263" s="2791"/>
      <c r="F263" s="3926" t="s">
        <v>155</v>
      </c>
      <c r="G263" s="3927"/>
      <c r="H263" s="3928"/>
      <c r="I263" s="3926" t="s">
        <v>156</v>
      </c>
      <c r="J263" s="3929"/>
      <c r="K263" s="3930" t="s">
        <v>912</v>
      </c>
      <c r="L263" s="3930" t="s">
        <v>913</v>
      </c>
      <c r="M263" s="2775"/>
      <c r="N263" s="2775"/>
      <c r="O263" s="2775"/>
      <c r="P263" s="2775"/>
      <c r="Q263" s="2775"/>
      <c r="R263" s="2775"/>
      <c r="S263" s="2775"/>
      <c r="T263" s="2775"/>
      <c r="U263" s="2775"/>
      <c r="V263" s="2775"/>
      <c r="W263" s="2775"/>
      <c r="X263" s="2775"/>
      <c r="Y263" s="2775"/>
      <c r="Z263" s="2775"/>
      <c r="AA263" s="2775"/>
      <c r="AB263" s="2775"/>
      <c r="AC263" s="2775"/>
      <c r="AD263" s="2775"/>
      <c r="AE263" s="2775"/>
      <c r="AF263" s="2775"/>
      <c r="AG263" s="2775"/>
      <c r="AH263" s="2775"/>
      <c r="AJ263" s="2704" t="s">
        <v>85</v>
      </c>
      <c r="AK263" s="2705">
        <f t="shared" si="97"/>
        <v>0</v>
      </c>
      <c r="AL263" s="2710"/>
      <c r="AM263" s="2710"/>
      <c r="AN263" s="2710"/>
      <c r="AO263" s="2710"/>
      <c r="AP263" s="2713"/>
      <c r="AQ263" s="2710"/>
      <c r="AR263" s="2710"/>
      <c r="AS263" s="2710"/>
      <c r="AT263" s="2710"/>
      <c r="AU263" s="2710"/>
      <c r="AV263" s="2710"/>
      <c r="AW263" s="2710"/>
      <c r="AX263" s="2710"/>
      <c r="AY263" s="2710"/>
      <c r="AZ263" s="2710"/>
      <c r="BA263" s="2710"/>
      <c r="BB263" s="2710"/>
      <c r="BC263" s="2710"/>
      <c r="BD263" s="2710"/>
      <c r="BE263" s="2710"/>
      <c r="BF263" s="2710"/>
      <c r="BG263" s="2710"/>
      <c r="BH263" s="2710"/>
      <c r="BI263" s="2710"/>
      <c r="BJ263" s="2710"/>
      <c r="BK263" s="2710"/>
      <c r="BL263" s="2710"/>
      <c r="BM263" s="2710"/>
      <c r="BN263" s="2709"/>
      <c r="BO263" s="2710"/>
      <c r="BP263" s="2709"/>
      <c r="BQ263" s="2709">
        <f t="shared" si="98"/>
        <v>0</v>
      </c>
    </row>
    <row r="264" spans="1:69" s="2622" customFormat="1" ht="15.75" thickBot="1">
      <c r="A264" s="2792" t="s">
        <v>158</v>
      </c>
      <c r="B264" s="2793" t="s">
        <v>159</v>
      </c>
      <c r="C264" s="2794" t="s">
        <v>136</v>
      </c>
      <c r="D264" s="2795" t="s">
        <v>134</v>
      </c>
      <c r="E264" s="2793" t="s">
        <v>160</v>
      </c>
      <c r="F264" s="2796" t="s">
        <v>8</v>
      </c>
      <c r="G264" s="2797" t="s">
        <v>161</v>
      </c>
      <c r="H264" s="2798" t="s">
        <v>52</v>
      </c>
      <c r="I264" s="2796" t="s">
        <v>8</v>
      </c>
      <c r="J264" s="2799" t="s">
        <v>162</v>
      </c>
      <c r="K264" s="3931"/>
      <c r="L264" s="3931"/>
      <c r="M264" s="2775"/>
      <c r="N264" s="2775"/>
      <c r="O264" s="2775"/>
      <c r="P264" s="2775"/>
      <c r="Q264" s="2775"/>
      <c r="R264" s="2775"/>
      <c r="S264" s="2775"/>
      <c r="T264" s="2775"/>
      <c r="U264" s="2775"/>
      <c r="V264" s="2775"/>
      <c r="W264" s="2775"/>
      <c r="X264" s="2775"/>
      <c r="Y264" s="2775"/>
      <c r="Z264" s="2775"/>
      <c r="AA264" s="2775"/>
      <c r="AB264" s="2775"/>
      <c r="AC264" s="2775"/>
      <c r="AD264" s="2775"/>
      <c r="AE264" s="2775"/>
      <c r="AF264" s="2775"/>
      <c r="AG264" s="2775"/>
      <c r="AH264" s="2775"/>
      <c r="AJ264" s="2704" t="s">
        <v>86</v>
      </c>
      <c r="AK264" s="2705">
        <f t="shared" si="97"/>
        <v>66.87</v>
      </c>
      <c r="AL264" s="2710"/>
      <c r="AM264" s="2710"/>
      <c r="AN264" s="2710"/>
      <c r="AO264" s="2710"/>
      <c r="AP264" s="2710"/>
      <c r="AQ264" s="2710"/>
      <c r="AR264" s="2710"/>
      <c r="AS264" s="2710"/>
      <c r="AT264" s="2710">
        <v>28.58</v>
      </c>
      <c r="AU264" s="2710"/>
      <c r="AV264" s="2710"/>
      <c r="AW264" s="2710"/>
      <c r="AX264" s="2710"/>
      <c r="AY264" s="2710">
        <v>38.29</v>
      </c>
      <c r="AZ264" s="2710"/>
      <c r="BA264" s="2710"/>
      <c r="BB264" s="2710"/>
      <c r="BC264" s="2710"/>
      <c r="BD264" s="2710"/>
      <c r="BE264" s="2710"/>
      <c r="BF264" s="2710"/>
      <c r="BG264" s="2710"/>
      <c r="BH264" s="2710"/>
      <c r="BI264" s="2710"/>
      <c r="BJ264" s="2710"/>
      <c r="BK264" s="2710"/>
      <c r="BL264" s="2710"/>
      <c r="BM264" s="2710"/>
      <c r="BN264" s="2710"/>
      <c r="BO264" s="2710"/>
      <c r="BP264" s="2710"/>
      <c r="BQ264" s="2709">
        <f t="shared" si="98"/>
        <v>66.87</v>
      </c>
    </row>
    <row r="265" spans="1:69" s="2622" customFormat="1" ht="15.75" thickBot="1">
      <c r="A265" s="2800"/>
      <c r="B265" s="2801"/>
      <c r="C265" s="2802"/>
      <c r="D265" s="2808" t="s">
        <v>285</v>
      </c>
      <c r="E265" s="2804"/>
      <c r="F265" s="2800"/>
      <c r="G265" s="2803">
        <v>1000</v>
      </c>
      <c r="H265" s="2805">
        <f>SUM(F265:G265)</f>
        <v>1000</v>
      </c>
      <c r="I265" s="2806"/>
      <c r="J265" s="2785">
        <f>(B260)</f>
        <v>919.077</v>
      </c>
      <c r="K265" s="2807">
        <f>+F265-I265</f>
        <v>0</v>
      </c>
      <c r="L265" s="2807">
        <f>+G265-J265</f>
        <v>80.923000000000002</v>
      </c>
      <c r="M265" s="1415" t="s">
        <v>1254</v>
      </c>
      <c r="N265" s="2775"/>
      <c r="O265" s="2775"/>
      <c r="P265" s="2775"/>
      <c r="Q265" s="2775"/>
      <c r="R265" s="2775"/>
      <c r="S265" s="2775"/>
      <c r="T265" s="2775"/>
      <c r="U265" s="2775"/>
      <c r="V265" s="2775"/>
      <c r="W265" s="2775"/>
      <c r="X265" s="2775"/>
      <c r="Y265" s="2775"/>
      <c r="Z265" s="2775"/>
      <c r="AA265" s="2775"/>
      <c r="AB265" s="2775"/>
      <c r="AC265" s="2775"/>
      <c r="AD265" s="2775"/>
      <c r="AE265" s="2775"/>
      <c r="AF265" s="2775"/>
      <c r="AG265" s="2775"/>
      <c r="AH265" s="2775"/>
      <c r="AJ265" s="2714" t="s">
        <v>74</v>
      </c>
      <c r="AK265" s="2715">
        <f t="shared" ref="AK265:BA265" si="101">SUM(AK253:AK264)</f>
        <v>66.87</v>
      </c>
      <c r="AL265" s="2705">
        <f t="shared" si="101"/>
        <v>0</v>
      </c>
      <c r="AM265" s="2705">
        <f t="shared" si="101"/>
        <v>0</v>
      </c>
      <c r="AN265" s="2705">
        <f t="shared" si="101"/>
        <v>0</v>
      </c>
      <c r="AO265" s="2705">
        <f t="shared" si="101"/>
        <v>0</v>
      </c>
      <c r="AP265" s="2705">
        <f t="shared" si="101"/>
        <v>0</v>
      </c>
      <c r="AQ265" s="2705">
        <f t="shared" si="101"/>
        <v>0</v>
      </c>
      <c r="AR265" s="2705">
        <f t="shared" si="101"/>
        <v>0</v>
      </c>
      <c r="AS265" s="2705">
        <f t="shared" si="101"/>
        <v>0</v>
      </c>
      <c r="AT265" s="2705">
        <f t="shared" si="101"/>
        <v>28.58</v>
      </c>
      <c r="AU265" s="2705">
        <f t="shared" si="101"/>
        <v>0</v>
      </c>
      <c r="AV265" s="2705">
        <f t="shared" si="101"/>
        <v>0</v>
      </c>
      <c r="AW265" s="2705">
        <f t="shared" si="101"/>
        <v>0</v>
      </c>
      <c r="AX265" s="2705">
        <f t="shared" si="101"/>
        <v>0</v>
      </c>
      <c r="AY265" s="2705">
        <f t="shared" si="101"/>
        <v>38.29</v>
      </c>
      <c r="AZ265" s="2705">
        <f t="shared" si="101"/>
        <v>0</v>
      </c>
      <c r="BA265" s="2705">
        <f t="shared" si="101"/>
        <v>0</v>
      </c>
      <c r="BB265" s="2709">
        <f t="shared" ref="BB265:BL265" si="102">SUM(BB253:BB263)</f>
        <v>0</v>
      </c>
      <c r="BC265" s="2709">
        <f t="shared" si="102"/>
        <v>0</v>
      </c>
      <c r="BD265" s="2709">
        <f t="shared" si="102"/>
        <v>0</v>
      </c>
      <c r="BE265" s="2709">
        <f t="shared" si="102"/>
        <v>0</v>
      </c>
      <c r="BF265" s="2709">
        <f t="shared" si="102"/>
        <v>0</v>
      </c>
      <c r="BG265" s="2709">
        <f t="shared" si="102"/>
        <v>0</v>
      </c>
      <c r="BH265" s="2709">
        <f t="shared" si="102"/>
        <v>0</v>
      </c>
      <c r="BI265" s="2709">
        <f t="shared" si="102"/>
        <v>0</v>
      </c>
      <c r="BJ265" s="2709">
        <f t="shared" si="102"/>
        <v>0</v>
      </c>
      <c r="BK265" s="2709">
        <f t="shared" si="102"/>
        <v>0</v>
      </c>
      <c r="BL265" s="2709">
        <f t="shared" si="102"/>
        <v>0</v>
      </c>
      <c r="BM265" s="2709">
        <v>0</v>
      </c>
      <c r="BN265" s="2709">
        <f>SUM(BN253:BN263)</f>
        <v>0</v>
      </c>
      <c r="BO265" s="2709">
        <f>SUM(BO253:BO263)</f>
        <v>0</v>
      </c>
      <c r="BP265" s="2709">
        <f>SUM(BP253:BP263)</f>
        <v>0</v>
      </c>
      <c r="BQ265" s="2709">
        <f>SUM(BQ253:BQ263)</f>
        <v>0</v>
      </c>
    </row>
    <row r="266" spans="1:69" s="2622" customFormat="1" ht="15.75" thickBot="1">
      <c r="A266" s="2800"/>
      <c r="B266" s="2801"/>
      <c r="C266" s="2802"/>
      <c r="D266" s="2803"/>
      <c r="E266" s="2804"/>
      <c r="F266" s="2800"/>
      <c r="G266" s="2803"/>
      <c r="H266" s="2805">
        <f>SUM(F266:G266)</f>
        <v>0</v>
      </c>
      <c r="I266" s="2806"/>
      <c r="J266" s="2785"/>
      <c r="K266" s="2807">
        <f>+H266-I266-J266</f>
        <v>0</v>
      </c>
      <c r="L266" s="2807">
        <f>+I266-J266-K266</f>
        <v>0</v>
      </c>
      <c r="M266" s="2775"/>
      <c r="N266" s="2775"/>
      <c r="O266" s="2775"/>
      <c r="P266" s="2775"/>
      <c r="Q266" s="2775"/>
      <c r="R266" s="2775"/>
      <c r="S266" s="2775"/>
      <c r="T266" s="2775"/>
      <c r="U266" s="2775"/>
      <c r="V266" s="2775"/>
      <c r="W266" s="2775"/>
      <c r="X266" s="2775"/>
      <c r="Y266" s="2775"/>
      <c r="Z266" s="2775"/>
      <c r="AA266" s="2775"/>
      <c r="AB266" s="2775"/>
      <c r="AC266" s="2775"/>
      <c r="AD266" s="2775"/>
      <c r="AE266" s="2775"/>
      <c r="AF266" s="2775"/>
      <c r="AG266" s="2775"/>
      <c r="AH266" s="2775"/>
      <c r="AJ266" s="2701"/>
      <c r="AK266" s="2701"/>
      <c r="AL266" s="2701"/>
      <c r="AM266" s="2701"/>
      <c r="AN266" s="2701"/>
      <c r="AO266" s="2701"/>
      <c r="AP266" s="2701"/>
      <c r="AQ266" s="2701"/>
      <c r="AR266" s="2701"/>
      <c r="AS266" s="2701"/>
      <c r="AT266" s="2701"/>
      <c r="AU266" s="2701"/>
      <c r="AV266" s="2701"/>
      <c r="AW266" s="2701"/>
      <c r="AX266" s="2701"/>
      <c r="AY266" s="2701"/>
      <c r="AZ266" s="2701"/>
      <c r="BA266" s="2701"/>
      <c r="BB266" s="2701"/>
      <c r="BC266" s="2701"/>
      <c r="BD266" s="2701"/>
      <c r="BE266" s="2701"/>
      <c r="BF266" s="2701"/>
      <c r="BG266" s="2701"/>
      <c r="BH266" s="2701"/>
      <c r="BI266" s="2701"/>
      <c r="BJ266" s="2701"/>
      <c r="BK266" s="2701"/>
      <c r="BL266" s="2701"/>
      <c r="BM266" s="2701"/>
      <c r="BN266" s="2701"/>
      <c r="BO266" s="2701"/>
      <c r="BP266" s="2701"/>
      <c r="BQ266" s="2701"/>
    </row>
    <row r="267" spans="1:69">
      <c r="AJ267" s="2701"/>
      <c r="AK267" s="2701"/>
      <c r="AL267" s="2701"/>
      <c r="AM267" s="2701"/>
      <c r="AN267" s="2701"/>
      <c r="AO267" s="2701"/>
      <c r="AP267" s="2701"/>
      <c r="AQ267" s="2701"/>
      <c r="AR267" s="2701"/>
      <c r="AS267" s="2701"/>
      <c r="AT267" s="2701"/>
      <c r="AU267" s="2701"/>
      <c r="AV267" s="2701"/>
      <c r="AW267" s="2701"/>
      <c r="AX267" s="2701"/>
      <c r="AY267" s="2701"/>
      <c r="AZ267" s="2701"/>
      <c r="BA267" s="2701"/>
      <c r="BB267" s="2701"/>
      <c r="BC267" s="2701"/>
      <c r="BD267" s="2701"/>
      <c r="BE267" s="2701"/>
      <c r="BF267" s="2701"/>
      <c r="BG267" s="2701"/>
      <c r="BH267" s="2701"/>
      <c r="BI267" s="2701"/>
      <c r="BJ267" s="2701"/>
      <c r="BK267" s="2701"/>
      <c r="BL267" s="2701"/>
      <c r="BM267" s="2701"/>
      <c r="BN267" s="2701"/>
      <c r="BO267" s="2701"/>
      <c r="BP267" s="2701"/>
      <c r="BQ267" s="2701"/>
    </row>
    <row r="268" spans="1:69">
      <c r="AJ268" s="2701"/>
      <c r="AK268" s="2701"/>
      <c r="AL268" s="2701"/>
      <c r="AM268" s="2701"/>
      <c r="AN268" s="2701"/>
      <c r="AO268" s="2701"/>
      <c r="AP268" s="2701"/>
      <c r="AQ268" s="2701"/>
      <c r="AR268" s="2701"/>
      <c r="AS268" s="2701"/>
      <c r="AT268" s="2701"/>
      <c r="AU268" s="2701"/>
      <c r="AV268" s="2701"/>
      <c r="AW268" s="2701"/>
      <c r="AX268" s="2701"/>
      <c r="AY268" s="2701"/>
      <c r="AZ268" s="2701"/>
      <c r="BA268" s="2701"/>
      <c r="BB268" s="2701"/>
      <c r="BC268" s="2701"/>
      <c r="BD268" s="2701"/>
      <c r="BE268" s="2701"/>
      <c r="BF268" s="2701"/>
      <c r="BG268" s="2701"/>
      <c r="BH268" s="2701"/>
      <c r="BI268" s="2701"/>
      <c r="BJ268" s="2701"/>
      <c r="BK268" s="2701"/>
      <c r="BL268" s="2701"/>
      <c r="BM268" s="2701"/>
      <c r="BN268" s="2701"/>
      <c r="BO268" s="2701"/>
      <c r="BP268" s="2701"/>
      <c r="BQ268" s="2701"/>
    </row>
    <row r="269" spans="1:69" s="2622" customFormat="1" ht="25.5">
      <c r="AJ269" s="2942" t="s">
        <v>534</v>
      </c>
      <c r="AK269" s="2700"/>
      <c r="AL269" s="2700" t="s">
        <v>1026</v>
      </c>
      <c r="AM269" s="2701"/>
      <c r="AN269" s="2701"/>
      <c r="AO269" s="3080"/>
      <c r="AP269" s="2701"/>
      <c r="AQ269" s="3014" t="s">
        <v>1050</v>
      </c>
      <c r="AR269" s="1415"/>
      <c r="AS269" s="1415"/>
      <c r="AT269" s="1415"/>
      <c r="AU269" s="1415"/>
      <c r="AV269" s="1415"/>
      <c r="AW269" s="1415"/>
      <c r="AX269" s="3080"/>
      <c r="AY269" s="2701"/>
      <c r="AZ269" s="2701"/>
      <c r="BA269" s="2701"/>
      <c r="BB269" s="2701"/>
      <c r="BC269" s="2701"/>
      <c r="BD269" s="2701"/>
      <c r="BE269" s="2701"/>
      <c r="BF269" s="2701"/>
      <c r="BG269" s="2701"/>
      <c r="BH269" s="2701"/>
      <c r="BI269" s="2701"/>
      <c r="BJ269" s="2701"/>
      <c r="BK269" s="2701"/>
      <c r="BL269" s="2701"/>
      <c r="BM269" s="2701"/>
      <c r="BN269" s="2701"/>
      <c r="BO269" s="2701"/>
      <c r="BP269" s="2701"/>
      <c r="BQ269" s="2701"/>
    </row>
    <row r="270" spans="1:69" s="2622" customFormat="1" ht="15">
      <c r="AJ270" s="3849" t="s">
        <v>271</v>
      </c>
      <c r="AK270" s="3850"/>
      <c r="AL270" s="3851"/>
      <c r="AM270" s="2702"/>
      <c r="AN270" s="2702"/>
      <c r="AO270" s="2702"/>
      <c r="AP270" s="2702"/>
      <c r="AQ270" s="2702"/>
      <c r="AR270" s="2702"/>
      <c r="AS270" s="2702"/>
      <c r="AT270" s="2702"/>
      <c r="AU270" s="2702"/>
      <c r="AV270" s="2702"/>
      <c r="AW270" s="2702"/>
      <c r="AX270" s="2702"/>
      <c r="AY270" s="2702"/>
      <c r="AZ270" s="2702"/>
      <c r="BA270" s="2702"/>
      <c r="BB270" s="2703"/>
      <c r="BC270" s="2703"/>
      <c r="BD270" s="2703"/>
      <c r="BE270" s="2703"/>
      <c r="BF270" s="2703"/>
      <c r="BG270" s="2703"/>
      <c r="BH270" s="2703"/>
      <c r="BI270" s="2703"/>
      <c r="BJ270" s="2703"/>
      <c r="BK270" s="2703"/>
      <c r="BL270" s="2703"/>
      <c r="BM270" s="2703"/>
      <c r="BN270" s="2703"/>
      <c r="BO270" s="2703"/>
      <c r="BP270" s="2703"/>
      <c r="BQ270" s="2703"/>
    </row>
    <row r="271" spans="1:69" s="2622" customFormat="1" ht="20.25">
      <c r="A271" s="3012" t="s">
        <v>961</v>
      </c>
      <c r="B271" s="1415"/>
      <c r="C271" s="1415"/>
      <c r="D271" s="1415"/>
      <c r="E271" s="1415"/>
      <c r="F271" s="2810"/>
      <c r="G271" s="3080"/>
      <c r="H271" s="2810"/>
      <c r="I271" s="2810"/>
      <c r="J271" s="2810"/>
      <c r="K271" s="2810"/>
      <c r="L271" s="3012" t="s">
        <v>961</v>
      </c>
      <c r="M271" s="1415"/>
      <c r="N271" s="1415"/>
      <c r="O271" s="1415"/>
      <c r="P271" s="1415"/>
      <c r="Q271" s="1415"/>
      <c r="R271" s="3080"/>
      <c r="S271" s="2980"/>
      <c r="T271" s="2980"/>
      <c r="U271" s="2980"/>
      <c r="W271" s="3012" t="s">
        <v>1035</v>
      </c>
      <c r="X271" s="1415"/>
      <c r="Y271" s="1415"/>
      <c r="Z271" s="1415"/>
      <c r="AA271" s="1415"/>
      <c r="AB271" s="1415"/>
      <c r="AC271" s="1415"/>
      <c r="AD271" s="1415"/>
      <c r="AE271" s="2990"/>
      <c r="AF271" s="2990"/>
      <c r="AJ271" s="2704" t="s">
        <v>72</v>
      </c>
      <c r="AK271" s="2705" t="s">
        <v>73</v>
      </c>
      <c r="AL271" s="2706">
        <v>1</v>
      </c>
      <c r="AM271" s="2706">
        <v>2</v>
      </c>
      <c r="AN271" s="2706">
        <v>3</v>
      </c>
      <c r="AO271" s="2706">
        <v>4</v>
      </c>
      <c r="AP271" s="2706">
        <v>5</v>
      </c>
      <c r="AQ271" s="2706">
        <v>6</v>
      </c>
      <c r="AR271" s="2706">
        <v>7</v>
      </c>
      <c r="AS271" s="2706">
        <v>8</v>
      </c>
      <c r="AT271" s="2706">
        <v>9</v>
      </c>
      <c r="AU271" s="2706">
        <v>10</v>
      </c>
      <c r="AV271" s="2706">
        <v>11</v>
      </c>
      <c r="AW271" s="2706">
        <v>12</v>
      </c>
      <c r="AX271" s="2706">
        <v>13</v>
      </c>
      <c r="AY271" s="2706">
        <v>14</v>
      </c>
      <c r="AZ271" s="2706">
        <v>15</v>
      </c>
      <c r="BA271" s="2706">
        <v>16</v>
      </c>
      <c r="BB271" s="2704">
        <v>17</v>
      </c>
      <c r="BC271" s="2704">
        <v>18</v>
      </c>
      <c r="BD271" s="2704">
        <v>19</v>
      </c>
      <c r="BE271" s="2704">
        <v>20</v>
      </c>
      <c r="BF271" s="2704">
        <v>21</v>
      </c>
      <c r="BG271" s="2704">
        <v>22</v>
      </c>
      <c r="BH271" s="2704">
        <v>23</v>
      </c>
      <c r="BI271" s="2704">
        <v>24</v>
      </c>
      <c r="BJ271" s="2704">
        <v>25</v>
      </c>
      <c r="BK271" s="2704">
        <v>26</v>
      </c>
      <c r="BL271" s="2704">
        <v>27</v>
      </c>
      <c r="BM271" s="2704">
        <v>28</v>
      </c>
      <c r="BN271" s="2704">
        <v>29</v>
      </c>
      <c r="BO271" s="2704">
        <v>30</v>
      </c>
      <c r="BP271" s="2704">
        <v>31</v>
      </c>
      <c r="BQ271" s="2707" t="s">
        <v>74</v>
      </c>
    </row>
    <row r="272" spans="1:69" s="2622" customFormat="1" ht="20.25">
      <c r="A272" s="2809" t="s">
        <v>962</v>
      </c>
      <c r="B272" s="2810"/>
      <c r="C272" s="2810"/>
      <c r="D272" s="2810"/>
      <c r="E272" s="2810"/>
      <c r="F272" s="2811" t="s">
        <v>264</v>
      </c>
      <c r="G272" s="2810"/>
      <c r="H272" s="2810"/>
      <c r="I272" s="2810"/>
      <c r="J272" s="2810"/>
      <c r="K272" s="2810"/>
      <c r="L272" s="2979" t="s">
        <v>1007</v>
      </c>
      <c r="M272" s="2980"/>
      <c r="N272" s="2980"/>
      <c r="O272" s="2980"/>
      <c r="P272" s="2980"/>
      <c r="Q272" s="2981" t="s">
        <v>40</v>
      </c>
      <c r="R272" s="2980"/>
      <c r="S272" s="2980"/>
      <c r="T272" s="2980"/>
      <c r="U272" s="2980"/>
      <c r="W272" s="2989" t="s">
        <v>1036</v>
      </c>
      <c r="X272" s="2990"/>
      <c r="Y272" s="2990"/>
      <c r="Z272" s="2990"/>
      <c r="AA272" s="2990"/>
      <c r="AB272" s="2991" t="s">
        <v>1037</v>
      </c>
      <c r="AC272" s="2990"/>
      <c r="AD272" s="2990"/>
      <c r="AE272" s="2990"/>
      <c r="AF272" s="2990"/>
      <c r="AJ272" s="2704" t="s">
        <v>75</v>
      </c>
      <c r="AK272" s="2705">
        <f t="shared" ref="AK272:AK283" si="103">+BQ272</f>
        <v>0</v>
      </c>
      <c r="AL272" s="2708"/>
      <c r="AM272" s="2708"/>
      <c r="AN272" s="2708"/>
      <c r="AO272" s="2708"/>
      <c r="AP272" s="2708"/>
      <c r="AQ272" s="2708"/>
      <c r="AR272" s="2708"/>
      <c r="AS272" s="2708"/>
      <c r="AT272" s="2708"/>
      <c r="AU272" s="2708"/>
      <c r="AV272" s="2708"/>
      <c r="AW272" s="2708"/>
      <c r="AX272" s="2708"/>
      <c r="AY272" s="2708"/>
      <c r="AZ272" s="2708"/>
      <c r="BA272" s="2708"/>
      <c r="BB272" s="2708"/>
      <c r="BC272" s="2708"/>
      <c r="BD272" s="2708"/>
      <c r="BE272" s="2708"/>
      <c r="BF272" s="2708"/>
      <c r="BG272" s="2708"/>
      <c r="BH272" s="2708"/>
      <c r="BI272" s="2708"/>
      <c r="BJ272" s="2708"/>
      <c r="BK272" s="2708"/>
      <c r="BL272" s="2708"/>
      <c r="BM272" s="2708"/>
      <c r="BN272" s="2708"/>
      <c r="BO272" s="2708"/>
      <c r="BP272" s="2708"/>
      <c r="BQ272" s="2709">
        <f>SUM(AL272:BP272)</f>
        <v>0</v>
      </c>
    </row>
    <row r="273" spans="1:69" ht="15.75" thickBot="1">
      <c r="A273" s="2810"/>
      <c r="B273" s="2810"/>
      <c r="C273" s="2810"/>
      <c r="D273" s="2810"/>
      <c r="E273" s="2810"/>
      <c r="F273" s="2810"/>
      <c r="G273" s="2810"/>
      <c r="H273" s="2810"/>
      <c r="I273" s="2810"/>
      <c r="J273" s="2810"/>
      <c r="K273" s="2810"/>
      <c r="L273" s="2980"/>
      <c r="M273" s="2980"/>
      <c r="N273" s="2980"/>
      <c r="O273" s="2980"/>
      <c r="P273" s="2980"/>
      <c r="Q273" s="2980"/>
      <c r="R273" s="2980"/>
      <c r="S273" s="2980"/>
      <c r="T273" s="2980"/>
      <c r="U273" s="2980"/>
      <c r="W273" s="2990"/>
      <c r="X273" s="2990"/>
      <c r="Y273" s="2990"/>
      <c r="Z273" s="2990"/>
      <c r="AA273" s="2990"/>
      <c r="AB273" s="2990"/>
      <c r="AC273" s="2990"/>
      <c r="AD273" s="2990"/>
      <c r="AE273" s="2990"/>
      <c r="AF273" s="2990"/>
      <c r="AJ273" s="2704" t="s">
        <v>76</v>
      </c>
      <c r="AK273" s="2705">
        <f t="shared" si="103"/>
        <v>0</v>
      </c>
      <c r="AL273" s="2708"/>
      <c r="AM273" s="2708"/>
      <c r="AN273" s="2708"/>
      <c r="AO273" s="2708"/>
      <c r="AP273" s="2708"/>
      <c r="AQ273" s="2708"/>
      <c r="AR273" s="2708"/>
      <c r="AS273" s="2708"/>
      <c r="AT273" s="2708"/>
      <c r="AU273" s="2708"/>
      <c r="AV273" s="2708"/>
      <c r="AW273" s="2708"/>
      <c r="AX273" s="2708"/>
      <c r="AY273" s="2708"/>
      <c r="AZ273" s="2708"/>
      <c r="BA273" s="2708"/>
      <c r="BB273" s="2708"/>
      <c r="BC273" s="2708"/>
      <c r="BD273" s="2708"/>
      <c r="BE273" s="2708"/>
      <c r="BF273" s="2708"/>
      <c r="BG273" s="2708"/>
      <c r="BH273" s="2708"/>
      <c r="BI273" s="2708"/>
      <c r="BJ273" s="2708"/>
      <c r="BK273" s="2708"/>
      <c r="BL273" s="2708"/>
      <c r="BM273" s="2708"/>
      <c r="BN273" s="2708"/>
      <c r="BO273" s="2708"/>
      <c r="BP273" s="2708"/>
      <c r="BQ273" s="2709">
        <f t="shared" ref="BQ273:BQ283" si="104">SUM(AL273:BP273)</f>
        <v>0</v>
      </c>
    </row>
    <row r="274" spans="1:69" ht="16.5" thickBot="1">
      <c r="A274" s="2812"/>
      <c r="B274" s="2813"/>
      <c r="C274" s="2813"/>
      <c r="D274" s="2813"/>
      <c r="E274" s="3873" t="s">
        <v>155</v>
      </c>
      <c r="F274" s="3874"/>
      <c r="G274" s="3873" t="s">
        <v>156</v>
      </c>
      <c r="H274" s="3874"/>
      <c r="I274" s="3873" t="s">
        <v>157</v>
      </c>
      <c r="J274" s="3874"/>
      <c r="K274" s="2810"/>
      <c r="L274" s="2982"/>
      <c r="M274" s="2983"/>
      <c r="N274" s="2983"/>
      <c r="O274" s="2983"/>
      <c r="P274" s="3924" t="s">
        <v>155</v>
      </c>
      <c r="Q274" s="3925"/>
      <c r="R274" s="3924" t="s">
        <v>156</v>
      </c>
      <c r="S274" s="3925"/>
      <c r="T274" s="3924" t="s">
        <v>157</v>
      </c>
      <c r="U274" s="3925"/>
      <c r="W274" s="2992"/>
      <c r="X274" s="2993"/>
      <c r="Y274" s="2993"/>
      <c r="Z274" s="2993"/>
      <c r="AA274" s="3922" t="s">
        <v>155</v>
      </c>
      <c r="AB274" s="3923"/>
      <c r="AC274" s="3922" t="s">
        <v>156</v>
      </c>
      <c r="AD274" s="3923"/>
      <c r="AE274" s="3313" t="s">
        <v>157</v>
      </c>
      <c r="AF274" s="3314"/>
      <c r="AG274" s="3080"/>
      <c r="AJ274" s="2704" t="s">
        <v>77</v>
      </c>
      <c r="AK274" s="2705">
        <f t="shared" si="103"/>
        <v>0</v>
      </c>
      <c r="AL274" s="2708"/>
      <c r="AM274" s="2708"/>
      <c r="AN274" s="2708"/>
      <c r="AO274" s="2708"/>
      <c r="AP274" s="2708"/>
      <c r="AQ274" s="2710"/>
      <c r="AR274" s="2710"/>
      <c r="AS274" s="2710"/>
      <c r="AT274" s="2710"/>
      <c r="AU274" s="2710"/>
      <c r="AV274" s="2710"/>
      <c r="AW274" s="2710"/>
      <c r="AX274" s="2710"/>
      <c r="AY274" s="2710"/>
      <c r="AZ274" s="2710"/>
      <c r="BA274" s="2711"/>
      <c r="BB274" s="2710"/>
      <c r="BC274" s="2710"/>
      <c r="BD274" s="2710"/>
      <c r="BE274" s="2710"/>
      <c r="BF274" s="2710"/>
      <c r="BG274" s="2710"/>
      <c r="BH274" s="2710"/>
      <c r="BI274" s="2710"/>
      <c r="BJ274" s="2710"/>
      <c r="BK274" s="2710"/>
      <c r="BL274" s="2708"/>
      <c r="BM274" s="2708"/>
      <c r="BN274" s="2708"/>
      <c r="BO274" s="2708"/>
      <c r="BP274" s="2708"/>
      <c r="BQ274" s="2709">
        <f t="shared" si="104"/>
        <v>0</v>
      </c>
    </row>
    <row r="275" spans="1:69" ht="30">
      <c r="A275" s="2814" t="s">
        <v>226</v>
      </c>
      <c r="B275" s="2814" t="s">
        <v>227</v>
      </c>
      <c r="C275" s="2814" t="s">
        <v>228</v>
      </c>
      <c r="D275" s="2814" t="s">
        <v>160</v>
      </c>
      <c r="E275" s="2814" t="s">
        <v>229</v>
      </c>
      <c r="F275" s="2814"/>
      <c r="G275" s="2814" t="s">
        <v>921</v>
      </c>
      <c r="H275" s="2814"/>
      <c r="I275" s="2815" t="s">
        <v>232</v>
      </c>
      <c r="J275" s="2814"/>
      <c r="K275" s="2810"/>
      <c r="L275" s="2984" t="s">
        <v>226</v>
      </c>
      <c r="M275" s="2984" t="s">
        <v>227</v>
      </c>
      <c r="N275" s="2984" t="s">
        <v>228</v>
      </c>
      <c r="O275" s="2984" t="s">
        <v>160</v>
      </c>
      <c r="P275" s="2984" t="s">
        <v>1032</v>
      </c>
      <c r="Q275" s="2984"/>
      <c r="R275" s="2984" t="s">
        <v>1033</v>
      </c>
      <c r="S275" s="2984"/>
      <c r="T275" s="2985" t="s">
        <v>1034</v>
      </c>
      <c r="U275" s="2984"/>
      <c r="W275" s="2994" t="s">
        <v>226</v>
      </c>
      <c r="X275" s="2994" t="s">
        <v>227</v>
      </c>
      <c r="Y275" s="2994" t="s">
        <v>228</v>
      </c>
      <c r="Z275" s="2994" t="s">
        <v>160</v>
      </c>
      <c r="AA275" s="2994" t="s">
        <v>1038</v>
      </c>
      <c r="AB275" s="2994" t="s">
        <v>1041</v>
      </c>
      <c r="AC275" s="2994" t="s">
        <v>1039</v>
      </c>
      <c r="AD275" s="2994" t="s">
        <v>1042</v>
      </c>
      <c r="AE275" s="2995" t="s">
        <v>1040</v>
      </c>
      <c r="AF275" s="2995" t="s">
        <v>1043</v>
      </c>
      <c r="AJ275" s="2704" t="s">
        <v>78</v>
      </c>
      <c r="AK275" s="2705">
        <f t="shared" si="103"/>
        <v>0</v>
      </c>
      <c r="AL275" s="2708"/>
      <c r="AM275" s="2708"/>
      <c r="AN275" s="2708"/>
      <c r="AO275" s="2708"/>
      <c r="AP275" s="2708"/>
      <c r="AQ275" s="2708"/>
      <c r="AR275" s="2708"/>
      <c r="AS275" s="2708"/>
      <c r="AT275" s="2708"/>
      <c r="AU275" s="2712"/>
      <c r="AV275" s="2712"/>
      <c r="AW275" s="2712"/>
      <c r="AX275" s="2712"/>
      <c r="AY275" s="2712"/>
      <c r="AZ275" s="2712"/>
      <c r="BA275" s="2712"/>
      <c r="BB275" s="2712"/>
      <c r="BC275" s="2712"/>
      <c r="BD275" s="2712"/>
      <c r="BE275" s="2712"/>
      <c r="BF275" s="2712"/>
      <c r="BG275" s="2712"/>
      <c r="BH275" s="2712"/>
      <c r="BI275" s="2712"/>
      <c r="BJ275" s="2712"/>
      <c r="BK275" s="2712"/>
      <c r="BL275" s="2712"/>
      <c r="BM275" s="2712"/>
      <c r="BN275" s="2712"/>
      <c r="BO275" s="2712"/>
      <c r="BP275" s="2712"/>
      <c r="BQ275" s="2709">
        <f t="shared" si="104"/>
        <v>0</v>
      </c>
    </row>
    <row r="276" spans="1:69" ht="15">
      <c r="A276" s="2816"/>
      <c r="B276" s="2816"/>
      <c r="C276" s="2816" t="s">
        <v>963</v>
      </c>
      <c r="D276" s="2817">
        <v>913444</v>
      </c>
      <c r="E276" s="2816"/>
      <c r="F276" s="2816"/>
      <c r="G276" s="2816"/>
      <c r="H276" s="2816"/>
      <c r="I276" s="2816"/>
      <c r="J276" s="2816"/>
      <c r="K276" s="2810"/>
      <c r="L276" s="2986"/>
      <c r="M276" s="2986"/>
      <c r="N276" s="2986" t="s">
        <v>963</v>
      </c>
      <c r="O276" s="2987">
        <v>913444</v>
      </c>
      <c r="P276" s="2986"/>
      <c r="Q276" s="2986"/>
      <c r="R276" s="2986"/>
      <c r="S276" s="2986"/>
      <c r="T276" s="2986"/>
      <c r="U276" s="2986"/>
      <c r="W276" s="2996"/>
      <c r="X276" s="2996">
        <v>951220</v>
      </c>
      <c r="Y276" s="2998" t="s">
        <v>292</v>
      </c>
      <c r="Z276" s="2997"/>
      <c r="AA276" s="2996">
        <v>80</v>
      </c>
      <c r="AB276" s="2996">
        <v>1000</v>
      </c>
      <c r="AC276" s="2996">
        <v>0</v>
      </c>
      <c r="AD276" s="2996">
        <v>0</v>
      </c>
      <c r="AE276" s="2996">
        <f>(AA276-AC276)</f>
        <v>80</v>
      </c>
      <c r="AF276" s="2996">
        <f t="shared" ref="AF276:AF294" si="105">(AB276-AD276)</f>
        <v>1000</v>
      </c>
      <c r="AJ276" s="2704" t="s">
        <v>79</v>
      </c>
      <c r="AK276" s="2705">
        <f t="shared" si="103"/>
        <v>0</v>
      </c>
      <c r="AL276" s="2710"/>
      <c r="AM276" s="2710"/>
      <c r="AN276" s="2710"/>
      <c r="AO276" s="2710"/>
      <c r="AP276" s="2710"/>
      <c r="AQ276" s="2710"/>
      <c r="AR276" s="2710"/>
      <c r="AS276" s="2710"/>
      <c r="AT276" s="2710"/>
      <c r="AU276" s="2710"/>
      <c r="AV276" s="2710"/>
      <c r="AW276" s="2710"/>
      <c r="AX276" s="2710"/>
      <c r="AY276" s="2710"/>
      <c r="AZ276" s="2710"/>
      <c r="BA276" s="2710"/>
      <c r="BB276" s="2710"/>
      <c r="BC276" s="2710"/>
      <c r="BD276" s="2710"/>
      <c r="BE276" s="2710"/>
      <c r="BF276" s="2710"/>
      <c r="BG276" s="2710"/>
      <c r="BH276" s="2710"/>
      <c r="BI276" s="2710"/>
      <c r="BJ276" s="2710"/>
      <c r="BK276" s="2710"/>
      <c r="BL276" s="2710"/>
      <c r="BM276" s="2710"/>
      <c r="BN276" s="2710"/>
      <c r="BO276" s="2710"/>
      <c r="BP276" s="2710"/>
      <c r="BQ276" s="2709">
        <f t="shared" si="104"/>
        <v>0</v>
      </c>
    </row>
    <row r="277" spans="1:69" ht="15">
      <c r="A277" s="2816"/>
      <c r="B277" s="2816"/>
      <c r="C277" s="2816" t="s">
        <v>964</v>
      </c>
      <c r="D277" s="2817">
        <v>923206</v>
      </c>
      <c r="E277" s="2816"/>
      <c r="F277" s="2816"/>
      <c r="G277" s="2816"/>
      <c r="H277" s="2816"/>
      <c r="I277" s="2816"/>
      <c r="J277" s="2816"/>
      <c r="K277" s="2810"/>
      <c r="L277" s="2986"/>
      <c r="M277" s="2986"/>
      <c r="N277" s="2986" t="s">
        <v>964</v>
      </c>
      <c r="O277" s="2987">
        <v>923206</v>
      </c>
      <c r="P277" s="2986"/>
      <c r="Q277" s="2986"/>
      <c r="R277" s="2986"/>
      <c r="S277" s="2986"/>
      <c r="T277" s="2986"/>
      <c r="U277" s="2986"/>
      <c r="W277" s="2996"/>
      <c r="X277" s="2996">
        <v>950656</v>
      </c>
      <c r="Y277" s="2998" t="s">
        <v>294</v>
      </c>
      <c r="Z277" s="2997"/>
      <c r="AA277" s="2996">
        <v>80</v>
      </c>
      <c r="AB277" s="2996">
        <v>1000</v>
      </c>
      <c r="AC277" s="2996">
        <v>0</v>
      </c>
      <c r="AD277" s="2996">
        <v>0</v>
      </c>
      <c r="AE277" s="2996">
        <f t="shared" ref="AE277:AE294" si="106">(AA277-AC277)</f>
        <v>80</v>
      </c>
      <c r="AF277" s="2996">
        <f t="shared" si="105"/>
        <v>1000</v>
      </c>
      <c r="AJ277" s="2704" t="s">
        <v>80</v>
      </c>
      <c r="AK277" s="2705">
        <f t="shared" si="103"/>
        <v>0</v>
      </c>
      <c r="AL277" s="2710"/>
      <c r="AM277" s="2710"/>
      <c r="AN277" s="2710"/>
      <c r="AO277" s="2710"/>
      <c r="AP277" s="2710"/>
      <c r="AQ277" s="2710"/>
      <c r="AR277" s="2710"/>
      <c r="AS277" s="2710"/>
      <c r="AT277" s="2710"/>
      <c r="AU277" s="2710"/>
      <c r="AV277" s="2710"/>
      <c r="AW277" s="2710"/>
      <c r="AX277" s="2710"/>
      <c r="AY277" s="2710"/>
      <c r="AZ277" s="2710"/>
      <c r="BA277" s="2710"/>
      <c r="BB277" s="2710"/>
      <c r="BC277" s="2710"/>
      <c r="BD277" s="2710"/>
      <c r="BE277" s="2710"/>
      <c r="BF277" s="2710"/>
      <c r="BG277" s="2710"/>
      <c r="BH277" s="2710"/>
      <c r="BI277" s="2710"/>
      <c r="BJ277" s="2710"/>
      <c r="BK277" s="2710"/>
      <c r="BL277" s="2710"/>
      <c r="BM277" s="2710"/>
      <c r="BN277" s="2710"/>
      <c r="BO277" s="2710"/>
      <c r="BP277" s="2710"/>
      <c r="BQ277" s="2709">
        <f t="shared" si="104"/>
        <v>0</v>
      </c>
    </row>
    <row r="278" spans="1:69" ht="15">
      <c r="A278" s="2816"/>
      <c r="B278" s="2816"/>
      <c r="C278" s="2816" t="s">
        <v>965</v>
      </c>
      <c r="D278" s="2817">
        <v>952210</v>
      </c>
      <c r="E278" s="2816"/>
      <c r="F278" s="2816"/>
      <c r="G278" s="2816"/>
      <c r="H278" s="2816"/>
      <c r="I278" s="2816"/>
      <c r="J278" s="2816"/>
      <c r="K278" s="2810"/>
      <c r="L278" s="2986"/>
      <c r="M278" s="2986"/>
      <c r="N278" s="2986" t="s">
        <v>965</v>
      </c>
      <c r="O278" s="2987">
        <v>952210</v>
      </c>
      <c r="P278" s="2986"/>
      <c r="Q278" s="2986"/>
      <c r="R278" s="2986"/>
      <c r="S278" s="2986"/>
      <c r="T278" s="2986"/>
      <c r="U278" s="2986"/>
      <c r="W278" s="2996"/>
      <c r="X278" s="2996">
        <v>958703</v>
      </c>
      <c r="Y278" s="2998" t="s">
        <v>1044</v>
      </c>
      <c r="Z278" s="2997"/>
      <c r="AA278" s="2996">
        <v>50</v>
      </c>
      <c r="AB278" s="2996">
        <v>800</v>
      </c>
      <c r="AC278" s="2996">
        <v>0</v>
      </c>
      <c r="AD278" s="2996">
        <v>0</v>
      </c>
      <c r="AE278" s="2996">
        <f t="shared" si="106"/>
        <v>50</v>
      </c>
      <c r="AF278" s="2996">
        <f t="shared" si="105"/>
        <v>800</v>
      </c>
      <c r="AJ278" s="2704" t="s">
        <v>81</v>
      </c>
      <c r="AK278" s="2705">
        <f t="shared" si="103"/>
        <v>20.720000000000002</v>
      </c>
      <c r="AL278" s="2710"/>
      <c r="AM278" s="2709"/>
      <c r="AN278" s="2709"/>
      <c r="AO278" s="2709"/>
      <c r="AP278" s="2710"/>
      <c r="AQ278" s="2710"/>
      <c r="AR278" s="2710">
        <v>2.0299999999999998</v>
      </c>
      <c r="AS278" s="2710"/>
      <c r="AT278" s="2710"/>
      <c r="AU278" s="2710"/>
      <c r="AV278" s="2710"/>
      <c r="AW278" s="2710"/>
      <c r="AX278" s="2710"/>
      <c r="AY278" s="2710"/>
      <c r="AZ278" s="2710"/>
      <c r="BA278" s="2710"/>
      <c r="BB278" s="2710">
        <v>18.690000000000001</v>
      </c>
      <c r="BC278" s="2710"/>
      <c r="BD278" s="2710"/>
      <c r="BE278" s="2710"/>
      <c r="BF278" s="2710"/>
      <c r="BG278" s="2710"/>
      <c r="BH278" s="2710"/>
      <c r="BI278" s="2710"/>
      <c r="BJ278" s="2710"/>
      <c r="BK278" s="2710"/>
      <c r="BL278" s="2710"/>
      <c r="BM278" s="2710"/>
      <c r="BN278" s="2710"/>
      <c r="BO278" s="2710"/>
      <c r="BP278" s="2710"/>
      <c r="BQ278" s="2709">
        <f t="shared" si="104"/>
        <v>20.720000000000002</v>
      </c>
    </row>
    <row r="279" spans="1:69" ht="15">
      <c r="A279" s="2816"/>
      <c r="B279" s="2816"/>
      <c r="C279" s="2816" t="s">
        <v>966</v>
      </c>
      <c r="D279" s="2817">
        <v>952067</v>
      </c>
      <c r="E279" s="2816"/>
      <c r="F279" s="2816"/>
      <c r="G279" s="2816"/>
      <c r="H279" s="2816"/>
      <c r="I279" s="2816"/>
      <c r="J279" s="2816"/>
      <c r="K279" s="2810"/>
      <c r="L279" s="2986"/>
      <c r="M279" s="2986"/>
      <c r="N279" s="2986" t="s">
        <v>966</v>
      </c>
      <c r="O279" s="2987">
        <v>952067</v>
      </c>
      <c r="P279" s="2986"/>
      <c r="Q279" s="2986"/>
      <c r="R279" s="2986"/>
      <c r="S279" s="2986"/>
      <c r="T279" s="2986"/>
      <c r="U279" s="2986"/>
      <c r="W279" s="2996"/>
      <c r="X279" s="2996">
        <v>953053</v>
      </c>
      <c r="Y279" s="2998" t="s">
        <v>1045</v>
      </c>
      <c r="Z279" s="2997"/>
      <c r="AA279" s="2996">
        <v>80</v>
      </c>
      <c r="AB279" s="2996">
        <v>1000</v>
      </c>
      <c r="AC279" s="2996">
        <v>3.9830000000000001</v>
      </c>
      <c r="AD279" s="2996">
        <v>314.94299999999998</v>
      </c>
      <c r="AE279" s="2996">
        <f t="shared" si="106"/>
        <v>76.016999999999996</v>
      </c>
      <c r="AF279" s="2996">
        <f t="shared" si="105"/>
        <v>685.05700000000002</v>
      </c>
      <c r="AJ279" s="2704" t="s">
        <v>82</v>
      </c>
      <c r="AK279" s="2705">
        <f t="shared" si="103"/>
        <v>0</v>
      </c>
      <c r="AL279" s="2710"/>
      <c r="AM279" s="2710"/>
      <c r="AN279" s="2710"/>
      <c r="AO279" s="2710"/>
      <c r="AP279" s="2710"/>
      <c r="AQ279" s="2710"/>
      <c r="AR279" s="2710"/>
      <c r="AS279" s="2710"/>
      <c r="AT279" s="2710"/>
      <c r="AU279" s="2710"/>
      <c r="AV279" s="2710"/>
      <c r="AW279" s="2710"/>
      <c r="AX279" s="2710"/>
      <c r="AY279" s="2710"/>
      <c r="AZ279" s="2710"/>
      <c r="BA279" s="2710"/>
      <c r="BB279" s="2710"/>
      <c r="BC279" s="2710"/>
      <c r="BD279" s="2710"/>
      <c r="BE279" s="2710"/>
      <c r="BF279" s="2710"/>
      <c r="BG279" s="2710"/>
      <c r="BH279" s="2710"/>
      <c r="BI279" s="2710"/>
      <c r="BJ279" s="2710"/>
      <c r="BK279" s="2710"/>
      <c r="BL279" s="2710"/>
      <c r="BM279" s="2710"/>
      <c r="BN279" s="2710"/>
      <c r="BO279" s="2710"/>
      <c r="BP279" s="2710"/>
      <c r="BQ279" s="2709">
        <f t="shared" si="104"/>
        <v>0</v>
      </c>
    </row>
    <row r="280" spans="1:69" ht="15">
      <c r="A280" s="2816"/>
      <c r="B280" s="2816"/>
      <c r="C280" s="2816" t="s">
        <v>967</v>
      </c>
      <c r="D280" s="2817">
        <v>35893</v>
      </c>
      <c r="E280" s="2816"/>
      <c r="F280" s="2816"/>
      <c r="G280" s="2816"/>
      <c r="H280" s="2816"/>
      <c r="I280" s="2816"/>
      <c r="J280" s="2816"/>
      <c r="K280" s="2810"/>
      <c r="L280" s="2986"/>
      <c r="M280" s="2986"/>
      <c r="N280" s="2986" t="s">
        <v>967</v>
      </c>
      <c r="O280" s="2987">
        <v>35893</v>
      </c>
      <c r="P280" s="2986"/>
      <c r="Q280" s="2986"/>
      <c r="R280" s="2986"/>
      <c r="S280" s="2986"/>
      <c r="T280" s="2986"/>
      <c r="U280" s="2986"/>
      <c r="W280" s="2996"/>
      <c r="X280" s="2996">
        <v>953746</v>
      </c>
      <c r="Y280" s="2998" t="s">
        <v>289</v>
      </c>
      <c r="Z280" s="2997"/>
      <c r="AA280" s="2996">
        <v>80</v>
      </c>
      <c r="AB280" s="2996">
        <v>1000</v>
      </c>
      <c r="AC280" s="2996">
        <v>0</v>
      </c>
      <c r="AD280" s="2996">
        <v>0</v>
      </c>
      <c r="AE280" s="2996">
        <f t="shared" si="106"/>
        <v>80</v>
      </c>
      <c r="AF280" s="2996">
        <f t="shared" si="105"/>
        <v>1000</v>
      </c>
      <c r="AJ280" s="2704" t="s">
        <v>83</v>
      </c>
      <c r="AK280" s="2705">
        <f t="shared" si="103"/>
        <v>0</v>
      </c>
      <c r="AL280" s="2710"/>
      <c r="AM280" s="2710"/>
      <c r="AN280" s="2710"/>
      <c r="AO280" s="2710"/>
      <c r="AP280" s="2710"/>
      <c r="AQ280" s="2710"/>
      <c r="AR280" s="2710"/>
      <c r="AS280" s="2710"/>
      <c r="AT280" s="2710"/>
      <c r="AU280" s="2710"/>
      <c r="AV280" s="2710"/>
      <c r="AW280" s="2710"/>
      <c r="AX280" s="2710"/>
      <c r="AY280" s="2710"/>
      <c r="AZ280" s="2710"/>
      <c r="BA280" s="2710"/>
      <c r="BB280" s="2710"/>
      <c r="BC280" s="2710"/>
      <c r="BD280" s="2710"/>
      <c r="BE280" s="2710"/>
      <c r="BF280" s="2710"/>
      <c r="BG280" s="2710"/>
      <c r="BH280" s="2710"/>
      <c r="BI280" s="2710"/>
      <c r="BJ280" s="2710"/>
      <c r="BK280" s="2710"/>
      <c r="BL280" s="2710"/>
      <c r="BM280" s="2710"/>
      <c r="BN280" s="2710"/>
      <c r="BO280" s="2710"/>
      <c r="BP280" s="2710"/>
      <c r="BQ280" s="2709">
        <f t="shared" si="104"/>
        <v>0</v>
      </c>
    </row>
    <row r="281" spans="1:69" ht="15">
      <c r="A281" s="2816"/>
      <c r="B281" s="2816"/>
      <c r="C281" s="2816" t="s">
        <v>968</v>
      </c>
      <c r="D281" s="2817">
        <v>950657</v>
      </c>
      <c r="E281" s="2816"/>
      <c r="F281" s="2816"/>
      <c r="G281" s="2816"/>
      <c r="H281" s="2816"/>
      <c r="I281" s="2816"/>
      <c r="J281" s="2816"/>
      <c r="K281" s="2810"/>
      <c r="L281" s="2986"/>
      <c r="M281" s="2986"/>
      <c r="N281" s="2986" t="s">
        <v>968</v>
      </c>
      <c r="O281" s="2987">
        <v>950657</v>
      </c>
      <c r="P281" s="2986"/>
      <c r="Q281" s="2986"/>
      <c r="R281" s="2986"/>
      <c r="S281" s="2986"/>
      <c r="T281" s="2986"/>
      <c r="U281" s="2986"/>
      <c r="W281" s="2996"/>
      <c r="X281" s="2996">
        <v>951254</v>
      </c>
      <c r="Y281" s="2998" t="s">
        <v>288</v>
      </c>
      <c r="Z281" s="2997"/>
      <c r="AA281" s="2996">
        <v>80</v>
      </c>
      <c r="AB281" s="2996">
        <v>1000</v>
      </c>
      <c r="AC281" s="2996">
        <v>0</v>
      </c>
      <c r="AD281" s="2996">
        <v>371.54999999999995</v>
      </c>
      <c r="AE281" s="2996">
        <f t="shared" si="106"/>
        <v>80</v>
      </c>
      <c r="AF281" s="2996">
        <f t="shared" si="105"/>
        <v>628.45000000000005</v>
      </c>
      <c r="AJ281" s="2704" t="s">
        <v>84</v>
      </c>
      <c r="AK281" s="2705">
        <f t="shared" si="103"/>
        <v>0</v>
      </c>
      <c r="AL281" s="2710"/>
      <c r="AM281" s="2710"/>
      <c r="AN281" s="2710"/>
      <c r="AO281" s="2710"/>
      <c r="AP281" s="2710"/>
      <c r="AQ281" s="2710"/>
      <c r="AR281" s="2710"/>
      <c r="AS281" s="2710"/>
      <c r="AT281" s="2710"/>
      <c r="AU281" s="2710"/>
      <c r="AV281" s="2710"/>
      <c r="AW281" s="2710"/>
      <c r="AX281" s="2710"/>
      <c r="AY281" s="2710"/>
      <c r="AZ281" s="2710"/>
      <c r="BA281" s="2710"/>
      <c r="BB281" s="2710"/>
      <c r="BC281" s="2710"/>
      <c r="BD281" s="2710"/>
      <c r="BE281" s="2710"/>
      <c r="BF281" s="2710"/>
      <c r="BG281" s="2710"/>
      <c r="BH281" s="2710"/>
      <c r="BI281" s="2710"/>
      <c r="BJ281" s="2710"/>
      <c r="BK281" s="2710"/>
      <c r="BL281" s="2710"/>
      <c r="BM281" s="2710"/>
      <c r="BN281" s="2709"/>
      <c r="BO281" s="2710"/>
      <c r="BP281" s="2709"/>
      <c r="BQ281" s="2709">
        <f t="shared" si="104"/>
        <v>0</v>
      </c>
    </row>
    <row r="282" spans="1:69" ht="15">
      <c r="A282" s="2816"/>
      <c r="B282" s="2816"/>
      <c r="C282" s="2816" t="s">
        <v>969</v>
      </c>
      <c r="D282" s="2817">
        <v>925992</v>
      </c>
      <c r="E282" s="2816"/>
      <c r="F282" s="2816"/>
      <c r="G282" s="2816"/>
      <c r="H282" s="2816"/>
      <c r="I282" s="2816"/>
      <c r="J282" s="2816"/>
      <c r="K282" s="2810"/>
      <c r="L282" s="2986"/>
      <c r="M282" s="2986"/>
      <c r="N282" s="2986" t="s">
        <v>969</v>
      </c>
      <c r="O282" s="2987">
        <v>925992</v>
      </c>
      <c r="P282" s="2986"/>
      <c r="Q282" s="2986"/>
      <c r="R282" s="2986"/>
      <c r="S282" s="2986"/>
      <c r="T282" s="2986"/>
      <c r="U282" s="2986"/>
      <c r="W282" s="2996"/>
      <c r="X282" s="2996">
        <v>956926</v>
      </c>
      <c r="Y282" s="2998" t="s">
        <v>467</v>
      </c>
      <c r="Z282" s="2997"/>
      <c r="AA282" s="2996">
        <v>80</v>
      </c>
      <c r="AB282" s="2996">
        <v>1000</v>
      </c>
      <c r="AC282" s="2996">
        <v>0</v>
      </c>
      <c r="AD282" s="2996">
        <v>0</v>
      </c>
      <c r="AE282" s="2996">
        <f t="shared" si="106"/>
        <v>80</v>
      </c>
      <c r="AF282" s="2996">
        <f t="shared" si="105"/>
        <v>1000</v>
      </c>
      <c r="AJ282" s="2704" t="s">
        <v>85</v>
      </c>
      <c r="AK282" s="2705">
        <f t="shared" si="103"/>
        <v>0</v>
      </c>
      <c r="AL282" s="2710"/>
      <c r="AM282" s="2710"/>
      <c r="AN282" s="2710"/>
      <c r="AO282" s="2710"/>
      <c r="AP282" s="2713"/>
      <c r="AQ282" s="2710"/>
      <c r="AR282" s="2710"/>
      <c r="AS282" s="2710"/>
      <c r="AT282" s="2710"/>
      <c r="AU282" s="2710"/>
      <c r="AV282" s="2710"/>
      <c r="AW282" s="2710"/>
      <c r="AX282" s="2710"/>
      <c r="AY282" s="2710"/>
      <c r="AZ282" s="2710"/>
      <c r="BA282" s="2710"/>
      <c r="BB282" s="2710"/>
      <c r="BC282" s="2710"/>
      <c r="BD282" s="2710"/>
      <c r="BE282" s="2710"/>
      <c r="BF282" s="2710"/>
      <c r="BG282" s="2710"/>
      <c r="BH282" s="2710"/>
      <c r="BI282" s="2710"/>
      <c r="BJ282" s="2710"/>
      <c r="BK282" s="2710"/>
      <c r="BL282" s="2710"/>
      <c r="BM282" s="2710"/>
      <c r="BN282" s="2709"/>
      <c r="BO282" s="2710"/>
      <c r="BP282" s="2709"/>
      <c r="BQ282" s="2709">
        <f t="shared" si="104"/>
        <v>0</v>
      </c>
    </row>
    <row r="283" spans="1:69" ht="15">
      <c r="A283" s="2816"/>
      <c r="B283" s="2816"/>
      <c r="C283" s="2816" t="s">
        <v>970</v>
      </c>
      <c r="D283" s="2817">
        <v>951110</v>
      </c>
      <c r="E283" s="2816"/>
      <c r="F283" s="2816"/>
      <c r="G283" s="2816"/>
      <c r="H283" s="2816"/>
      <c r="I283" s="2816"/>
      <c r="J283" s="2816"/>
      <c r="K283" s="2810"/>
      <c r="L283" s="2986"/>
      <c r="M283" s="2986"/>
      <c r="N283" s="2986" t="s">
        <v>970</v>
      </c>
      <c r="O283" s="2987">
        <v>951110</v>
      </c>
      <c r="P283" s="2986"/>
      <c r="Q283" s="2986"/>
      <c r="R283" s="2986"/>
      <c r="S283" s="2986"/>
      <c r="T283" s="2986"/>
      <c r="U283" s="2986"/>
      <c r="W283" s="2996"/>
      <c r="X283" s="2996">
        <v>957377</v>
      </c>
      <c r="Y283" s="2998" t="s">
        <v>1046</v>
      </c>
      <c r="Z283" s="2997"/>
      <c r="AA283" s="2996">
        <v>80</v>
      </c>
      <c r="AB283" s="2996">
        <v>1000</v>
      </c>
      <c r="AC283" s="2996">
        <v>0</v>
      </c>
      <c r="AD283" s="2996">
        <v>0</v>
      </c>
      <c r="AE283" s="2996">
        <f t="shared" si="106"/>
        <v>80</v>
      </c>
      <c r="AF283" s="2996">
        <f t="shared" si="105"/>
        <v>1000</v>
      </c>
      <c r="AJ283" s="2704" t="s">
        <v>86</v>
      </c>
      <c r="AK283" s="2705">
        <f t="shared" si="103"/>
        <v>0</v>
      </c>
      <c r="AL283" s="2710"/>
      <c r="AM283" s="2710"/>
      <c r="AN283" s="2710"/>
      <c r="AO283" s="2710"/>
      <c r="AP283" s="2710"/>
      <c r="AQ283" s="2710"/>
      <c r="AR283" s="2710"/>
      <c r="AS283" s="2710"/>
      <c r="AT283" s="2710"/>
      <c r="AU283" s="2710"/>
      <c r="AV283" s="2710"/>
      <c r="AW283" s="2710"/>
      <c r="AX283" s="2710"/>
      <c r="AY283" s="2710"/>
      <c r="AZ283" s="2710"/>
      <c r="BA283" s="2710"/>
      <c r="BB283" s="2710"/>
      <c r="BC283" s="2710"/>
      <c r="BD283" s="2710"/>
      <c r="BE283" s="2710"/>
      <c r="BF283" s="2710"/>
      <c r="BG283" s="2710"/>
      <c r="BH283" s="2710"/>
      <c r="BI283" s="2710"/>
      <c r="BJ283" s="2710"/>
      <c r="BK283" s="2710"/>
      <c r="BL283" s="2710"/>
      <c r="BM283" s="2710"/>
      <c r="BN283" s="2710"/>
      <c r="BO283" s="2710"/>
      <c r="BP283" s="2710"/>
      <c r="BQ283" s="2709">
        <f t="shared" si="104"/>
        <v>0</v>
      </c>
    </row>
    <row r="284" spans="1:69" ht="15">
      <c r="A284" s="2816"/>
      <c r="B284" s="2816"/>
      <c r="C284" s="2816" t="s">
        <v>971</v>
      </c>
      <c r="D284" s="2817">
        <v>951283</v>
      </c>
      <c r="E284" s="2816"/>
      <c r="F284" s="2816"/>
      <c r="G284" s="2816"/>
      <c r="H284" s="2816"/>
      <c r="I284" s="2816"/>
      <c r="J284" s="2816"/>
      <c r="K284" s="2810"/>
      <c r="L284" s="2986"/>
      <c r="M284" s="2986"/>
      <c r="N284" s="2986" t="s">
        <v>971</v>
      </c>
      <c r="O284" s="2987">
        <v>951283</v>
      </c>
      <c r="P284" s="2986"/>
      <c r="Q284" s="2986"/>
      <c r="R284" s="2986"/>
      <c r="S284" s="2986"/>
      <c r="T284" s="2986"/>
      <c r="U284" s="2986"/>
      <c r="W284" s="2996"/>
      <c r="X284" s="2996">
        <v>11718</v>
      </c>
      <c r="Y284" s="2998" t="s">
        <v>1048</v>
      </c>
      <c r="Z284" s="2997"/>
      <c r="AA284" s="2996">
        <v>80</v>
      </c>
      <c r="AB284" s="2996">
        <v>1000</v>
      </c>
      <c r="AC284" s="2996"/>
      <c r="AD284" s="2996"/>
      <c r="AE284" s="2996">
        <f t="shared" si="106"/>
        <v>80</v>
      </c>
      <c r="AF284" s="2996">
        <f t="shared" si="105"/>
        <v>1000</v>
      </c>
      <c r="AJ284" s="2714" t="s">
        <v>74</v>
      </c>
      <c r="AK284" s="2715">
        <f t="shared" ref="AK284:BA284" si="107">SUM(AK272:AK283)</f>
        <v>20.720000000000002</v>
      </c>
      <c r="AL284" s="2705">
        <f t="shared" si="107"/>
        <v>0</v>
      </c>
      <c r="AM284" s="2705">
        <f t="shared" si="107"/>
        <v>0</v>
      </c>
      <c r="AN284" s="2705">
        <f t="shared" si="107"/>
        <v>0</v>
      </c>
      <c r="AO284" s="2705">
        <f t="shared" si="107"/>
        <v>0</v>
      </c>
      <c r="AP284" s="2705">
        <f t="shared" si="107"/>
        <v>0</v>
      </c>
      <c r="AQ284" s="2705">
        <f t="shared" si="107"/>
        <v>0</v>
      </c>
      <c r="AR284" s="2705">
        <f t="shared" si="107"/>
        <v>2.0299999999999998</v>
      </c>
      <c r="AS284" s="2705">
        <f t="shared" si="107"/>
        <v>0</v>
      </c>
      <c r="AT284" s="2705">
        <f t="shared" si="107"/>
        <v>0</v>
      </c>
      <c r="AU284" s="2705">
        <f t="shared" si="107"/>
        <v>0</v>
      </c>
      <c r="AV284" s="2705">
        <f t="shared" si="107"/>
        <v>0</v>
      </c>
      <c r="AW284" s="2705">
        <f t="shared" si="107"/>
        <v>0</v>
      </c>
      <c r="AX284" s="2705">
        <f t="shared" si="107"/>
        <v>0</v>
      </c>
      <c r="AY284" s="2705">
        <f t="shared" si="107"/>
        <v>0</v>
      </c>
      <c r="AZ284" s="2705">
        <f t="shared" si="107"/>
        <v>0</v>
      </c>
      <c r="BA284" s="2705">
        <f t="shared" si="107"/>
        <v>0</v>
      </c>
      <c r="BB284" s="2709">
        <f t="shared" ref="BB284:BL284" si="108">SUM(BB272:BB282)</f>
        <v>18.690000000000001</v>
      </c>
      <c r="BC284" s="2709">
        <f t="shared" si="108"/>
        <v>0</v>
      </c>
      <c r="BD284" s="2709">
        <f t="shared" si="108"/>
        <v>0</v>
      </c>
      <c r="BE284" s="2709">
        <f t="shared" si="108"/>
        <v>0</v>
      </c>
      <c r="BF284" s="2709">
        <f t="shared" si="108"/>
        <v>0</v>
      </c>
      <c r="BG284" s="2709">
        <f t="shared" si="108"/>
        <v>0</v>
      </c>
      <c r="BH284" s="2709">
        <f t="shared" si="108"/>
        <v>0</v>
      </c>
      <c r="BI284" s="2709">
        <f t="shared" si="108"/>
        <v>0</v>
      </c>
      <c r="BJ284" s="2709">
        <f t="shared" si="108"/>
        <v>0</v>
      </c>
      <c r="BK284" s="2709">
        <f t="shared" si="108"/>
        <v>0</v>
      </c>
      <c r="BL284" s="2709">
        <f t="shared" si="108"/>
        <v>0</v>
      </c>
      <c r="BM284" s="2709">
        <v>0</v>
      </c>
      <c r="BN284" s="2709">
        <f>SUM(BN272:BN282)</f>
        <v>0</v>
      </c>
      <c r="BO284" s="2709">
        <f>SUM(BO272:BO282)</f>
        <v>0</v>
      </c>
      <c r="BP284" s="2709">
        <f>SUM(BP272:BP282)</f>
        <v>0</v>
      </c>
      <c r="BQ284" s="2709">
        <f>SUM(BQ272:BQ282)</f>
        <v>20.720000000000002</v>
      </c>
    </row>
    <row r="285" spans="1:69">
      <c r="A285" s="2816"/>
      <c r="B285" s="2816"/>
      <c r="C285" s="2816" t="s">
        <v>972</v>
      </c>
      <c r="D285" s="2817">
        <v>1680</v>
      </c>
      <c r="E285" s="2816"/>
      <c r="F285" s="2816"/>
      <c r="G285" s="2816"/>
      <c r="H285" s="2816"/>
      <c r="I285" s="2816"/>
      <c r="J285" s="2816"/>
      <c r="K285" s="2810"/>
      <c r="L285" s="2986"/>
      <c r="M285" s="2986"/>
      <c r="N285" s="2986" t="s">
        <v>972</v>
      </c>
      <c r="O285" s="2987">
        <v>1680</v>
      </c>
      <c r="P285" s="2986"/>
      <c r="Q285" s="2986"/>
      <c r="R285" s="2986"/>
      <c r="S285" s="2986"/>
      <c r="T285" s="2986"/>
      <c r="U285" s="2986"/>
      <c r="W285" s="2996"/>
      <c r="X285" s="2996">
        <v>957495</v>
      </c>
      <c r="Y285" s="2998" t="s">
        <v>490</v>
      </c>
      <c r="Z285" s="2997"/>
      <c r="AA285" s="2996">
        <v>80</v>
      </c>
      <c r="AB285" s="2996">
        <v>1000</v>
      </c>
      <c r="AC285" s="2996"/>
      <c r="AD285" s="2996"/>
      <c r="AE285" s="2996">
        <f t="shared" si="106"/>
        <v>80</v>
      </c>
      <c r="AF285" s="2996">
        <f t="shared" si="105"/>
        <v>1000</v>
      </c>
      <c r="AJ285" s="2701"/>
      <c r="AK285" s="2701"/>
      <c r="AL285" s="2701"/>
      <c r="AM285" s="2701"/>
      <c r="AN285" s="2701"/>
      <c r="AO285" s="2701"/>
      <c r="AP285" s="2701"/>
      <c r="AQ285" s="2701"/>
      <c r="AR285" s="2701"/>
      <c r="AS285" s="2701"/>
      <c r="AT285" s="2701"/>
      <c r="AU285" s="2701"/>
      <c r="AV285" s="2701"/>
      <c r="AW285" s="2701"/>
      <c r="AX285" s="2701"/>
      <c r="AY285" s="2701"/>
      <c r="AZ285" s="2701"/>
      <c r="BA285" s="2701"/>
      <c r="BB285" s="2701"/>
      <c r="BC285" s="2701"/>
      <c r="BD285" s="2701"/>
      <c r="BE285" s="2701"/>
      <c r="BF285" s="2701"/>
      <c r="BG285" s="2701"/>
      <c r="BH285" s="2701"/>
      <c r="BI285" s="2701"/>
      <c r="BJ285" s="2701"/>
      <c r="BK285" s="2701"/>
      <c r="BL285" s="2701"/>
      <c r="BM285" s="2701"/>
      <c r="BN285" s="2701"/>
      <c r="BO285" s="2701"/>
      <c r="BP285" s="2701"/>
      <c r="BQ285" s="2701"/>
    </row>
    <row r="286" spans="1:69" ht="13.5" thickBot="1">
      <c r="A286" s="2816"/>
      <c r="B286" s="2816"/>
      <c r="C286" s="2816" t="s">
        <v>973</v>
      </c>
      <c r="D286" s="2817">
        <v>950454</v>
      </c>
      <c r="E286" s="2816"/>
      <c r="F286" s="2816"/>
      <c r="G286" s="2816"/>
      <c r="H286" s="2816"/>
      <c r="I286" s="2816"/>
      <c r="J286" s="2816"/>
      <c r="K286" s="2810"/>
      <c r="L286" s="2986"/>
      <c r="M286" s="2986"/>
      <c r="N286" s="2986" t="s">
        <v>973</v>
      </c>
      <c r="O286" s="2987">
        <v>950454</v>
      </c>
      <c r="P286" s="2986"/>
      <c r="Q286" s="2986"/>
      <c r="R286" s="2986"/>
      <c r="S286" s="2986"/>
      <c r="T286" s="2986"/>
      <c r="U286" s="2986"/>
      <c r="W286" s="2996"/>
      <c r="X286" s="2996">
        <v>925451</v>
      </c>
      <c r="Y286" s="2998" t="s">
        <v>287</v>
      </c>
      <c r="Z286" s="2997"/>
      <c r="AA286" s="2996">
        <v>80</v>
      </c>
      <c r="AB286" s="2996">
        <v>1000</v>
      </c>
      <c r="AC286" s="2996"/>
      <c r="AD286" s="2996"/>
      <c r="AE286" s="2996">
        <f t="shared" si="106"/>
        <v>80</v>
      </c>
      <c r="AF286" s="2996">
        <f t="shared" si="105"/>
        <v>1000</v>
      </c>
      <c r="AJ286" s="2701"/>
      <c r="AK286" s="2701"/>
      <c r="AL286" s="2701"/>
      <c r="AM286" s="2701"/>
      <c r="AN286" s="2701"/>
      <c r="AO286" s="2701"/>
      <c r="AP286" s="2701"/>
      <c r="AQ286" s="2701"/>
      <c r="AR286" s="2701"/>
      <c r="AS286" s="2701"/>
      <c r="AT286" s="2701"/>
      <c r="AU286" s="2701"/>
      <c r="AV286" s="2701"/>
      <c r="AW286" s="2701"/>
      <c r="AX286" s="2701"/>
      <c r="AY286" s="2701"/>
      <c r="AZ286" s="2701"/>
      <c r="BA286" s="2701"/>
      <c r="BB286" s="2701"/>
      <c r="BC286" s="2701"/>
      <c r="BD286" s="2701"/>
      <c r="BE286" s="2701"/>
      <c r="BF286" s="2701"/>
      <c r="BG286" s="2701"/>
      <c r="BH286" s="2701"/>
      <c r="BI286" s="2701"/>
      <c r="BJ286" s="2701"/>
      <c r="BK286" s="2701"/>
      <c r="BL286" s="2701"/>
      <c r="BM286" s="2701"/>
      <c r="BN286" s="2701"/>
      <c r="BO286" s="2701"/>
      <c r="BP286" s="2701"/>
      <c r="BQ286" s="2701"/>
    </row>
    <row r="287" spans="1:69" ht="15.75" thickBot="1">
      <c r="A287" s="2816"/>
      <c r="B287" s="2816"/>
      <c r="C287" s="2816" t="s">
        <v>974</v>
      </c>
      <c r="D287" s="2817">
        <v>952213</v>
      </c>
      <c r="E287" s="2816"/>
      <c r="F287" s="2816"/>
      <c r="G287" s="2816"/>
      <c r="H287" s="2816"/>
      <c r="I287" s="2816"/>
      <c r="J287" s="2816"/>
      <c r="K287" s="2810"/>
      <c r="L287" s="2986"/>
      <c r="M287" s="2986"/>
      <c r="N287" s="2986" t="s">
        <v>974</v>
      </c>
      <c r="O287" s="2987">
        <v>952213</v>
      </c>
      <c r="P287" s="2986"/>
      <c r="Q287" s="2986"/>
      <c r="R287" s="2986"/>
      <c r="S287" s="2986"/>
      <c r="T287" s="2986"/>
      <c r="U287" s="2986"/>
      <c r="W287" s="2996"/>
      <c r="X287" s="2996">
        <v>916067</v>
      </c>
      <c r="Y287" s="2998" t="s">
        <v>464</v>
      </c>
      <c r="Z287" s="2997"/>
      <c r="AA287" s="2996">
        <v>50</v>
      </c>
      <c r="AB287" s="2996">
        <v>800</v>
      </c>
      <c r="AC287" s="2996"/>
      <c r="AD287" s="2996"/>
      <c r="AE287" s="2996">
        <f t="shared" si="106"/>
        <v>50</v>
      </c>
      <c r="AF287" s="2996">
        <f t="shared" si="105"/>
        <v>800</v>
      </c>
      <c r="AJ287" s="2719"/>
      <c r="AK287" s="2720"/>
      <c r="AL287" s="2720"/>
      <c r="AM287" s="2720"/>
      <c r="AN287" s="2720"/>
      <c r="AO287" s="3847" t="s">
        <v>155</v>
      </c>
      <c r="AP287" s="3852"/>
      <c r="AQ287" s="3853"/>
      <c r="AR287" s="3847" t="s">
        <v>156</v>
      </c>
      <c r="AS287" s="3848"/>
      <c r="AT287" s="3841" t="s">
        <v>912</v>
      </c>
      <c r="AU287" s="3841" t="s">
        <v>913</v>
      </c>
      <c r="AV287" s="2701"/>
      <c r="AW287" s="2701"/>
      <c r="AX287" s="2701"/>
      <c r="AY287" s="2701"/>
      <c r="AZ287" s="2701"/>
      <c r="BA287" s="2701"/>
      <c r="BB287" s="2701"/>
      <c r="BC287" s="2701"/>
      <c r="BD287" s="2701"/>
      <c r="BE287" s="2701"/>
      <c r="BF287" s="2701"/>
      <c r="BG287" s="2701"/>
      <c r="BH287" s="2701"/>
      <c r="BI287" s="2701"/>
      <c r="BJ287" s="2701"/>
      <c r="BK287" s="2701"/>
      <c r="BL287" s="2701"/>
      <c r="BM287" s="2701"/>
      <c r="BN287" s="2701"/>
      <c r="BO287" s="2701"/>
      <c r="BP287" s="2701"/>
      <c r="BQ287" s="2701"/>
    </row>
    <row r="288" spans="1:69" ht="13.5" thickBot="1">
      <c r="A288" s="2816"/>
      <c r="B288" s="2816"/>
      <c r="C288" s="2816" t="s">
        <v>975</v>
      </c>
      <c r="D288" s="2817">
        <v>913404</v>
      </c>
      <c r="E288" s="2816"/>
      <c r="F288" s="2816"/>
      <c r="G288" s="2816"/>
      <c r="H288" s="2816"/>
      <c r="I288" s="2816"/>
      <c r="J288" s="2816"/>
      <c r="K288" s="2810"/>
      <c r="L288" s="2986"/>
      <c r="M288" s="2986"/>
      <c r="N288" s="2986" t="s">
        <v>975</v>
      </c>
      <c r="O288" s="2987">
        <v>913404</v>
      </c>
      <c r="P288" s="2986"/>
      <c r="Q288" s="2986"/>
      <c r="R288" s="2986"/>
      <c r="S288" s="2986"/>
      <c r="T288" s="2986"/>
      <c r="U288" s="2986"/>
      <c r="W288" s="2996"/>
      <c r="X288" s="2996">
        <v>925404</v>
      </c>
      <c r="Y288" s="2998" t="s">
        <v>465</v>
      </c>
      <c r="Z288" s="2997"/>
      <c r="AA288" s="2996">
        <v>80</v>
      </c>
      <c r="AB288" s="2996">
        <v>1000</v>
      </c>
      <c r="AC288" s="2996"/>
      <c r="AD288" s="2996"/>
      <c r="AE288" s="2996">
        <f t="shared" si="106"/>
        <v>80</v>
      </c>
      <c r="AF288" s="2996">
        <f t="shared" si="105"/>
        <v>1000</v>
      </c>
      <c r="AJ288" s="2721" t="s">
        <v>158</v>
      </c>
      <c r="AK288" s="2722" t="s">
        <v>159</v>
      </c>
      <c r="AL288" s="2723" t="s">
        <v>136</v>
      </c>
      <c r="AM288" s="2724" t="s">
        <v>134</v>
      </c>
      <c r="AN288" s="2722" t="s">
        <v>160</v>
      </c>
      <c r="AO288" s="2725" t="s">
        <v>8</v>
      </c>
      <c r="AP288" s="2726" t="s">
        <v>161</v>
      </c>
      <c r="AQ288" s="2727" t="s">
        <v>52</v>
      </c>
      <c r="AR288" s="2725" t="s">
        <v>8</v>
      </c>
      <c r="AS288" s="2728" t="s">
        <v>162</v>
      </c>
      <c r="AT288" s="3842"/>
      <c r="AU288" s="3842"/>
      <c r="AV288" s="2701"/>
      <c r="AW288" s="2701"/>
      <c r="AX288" s="2701"/>
      <c r="AY288" s="2701"/>
      <c r="AZ288" s="2701"/>
      <c r="BA288" s="2701"/>
      <c r="BB288" s="2701"/>
      <c r="BC288" s="2701"/>
      <c r="BD288" s="2701"/>
      <c r="BE288" s="2701"/>
      <c r="BF288" s="2701"/>
      <c r="BG288" s="2701"/>
      <c r="BH288" s="2701"/>
      <c r="BI288" s="2701"/>
      <c r="BJ288" s="2701"/>
      <c r="BK288" s="2701"/>
      <c r="BL288" s="2701"/>
      <c r="BM288" s="2701"/>
      <c r="BN288" s="2701"/>
      <c r="BO288" s="2701"/>
      <c r="BP288" s="2701"/>
      <c r="BQ288" s="2701"/>
    </row>
    <row r="289" spans="1:69" ht="15.75" thickBot="1">
      <c r="A289" s="2816"/>
      <c r="B289" s="2816"/>
      <c r="C289" s="2816" t="s">
        <v>976</v>
      </c>
      <c r="D289" s="2817">
        <v>921881</v>
      </c>
      <c r="E289" s="2816"/>
      <c r="F289" s="2816"/>
      <c r="G289" s="2816"/>
      <c r="H289" s="2816"/>
      <c r="I289" s="2816"/>
      <c r="J289" s="2816"/>
      <c r="K289" s="2810"/>
      <c r="L289" s="2986"/>
      <c r="M289" s="2986"/>
      <c r="N289" s="2986" t="s">
        <v>976</v>
      </c>
      <c r="O289" s="2987">
        <v>921881</v>
      </c>
      <c r="P289" s="2986"/>
      <c r="Q289" s="2986"/>
      <c r="R289" s="2986"/>
      <c r="S289" s="2986"/>
      <c r="T289" s="2986"/>
      <c r="U289" s="2986"/>
      <c r="W289" s="2996"/>
      <c r="X289" s="2996">
        <v>951206</v>
      </c>
      <c r="Y289" s="2998" t="s">
        <v>466</v>
      </c>
      <c r="Z289" s="2997"/>
      <c r="AA289" s="2996">
        <v>80</v>
      </c>
      <c r="AB289" s="2996">
        <v>1000</v>
      </c>
      <c r="AC289" s="2996"/>
      <c r="AD289" s="2996"/>
      <c r="AE289" s="2996">
        <f t="shared" si="106"/>
        <v>80</v>
      </c>
      <c r="AF289" s="2996">
        <f t="shared" si="105"/>
        <v>1000</v>
      </c>
      <c r="AJ289" s="2729"/>
      <c r="AK289" s="2730"/>
      <c r="AL289" s="2731"/>
      <c r="AM289" s="2732" t="s">
        <v>533</v>
      </c>
      <c r="AN289" s="2733"/>
      <c r="AO289" s="2729">
        <v>0</v>
      </c>
      <c r="AP289" s="2732"/>
      <c r="AQ289" s="2734">
        <f>SUM(AO289:AP289)</f>
        <v>0</v>
      </c>
      <c r="AR289" s="2737"/>
      <c r="AS289" s="2943">
        <f>(AK265)</f>
        <v>66.87</v>
      </c>
      <c r="AT289" s="2736"/>
      <c r="AU289" s="2736"/>
      <c r="AV289" s="2701"/>
      <c r="AW289" s="2701"/>
      <c r="AX289" s="2701"/>
      <c r="AY289" s="2701"/>
      <c r="AZ289" s="2701"/>
      <c r="BA289" s="2701"/>
      <c r="BB289" s="2701"/>
      <c r="BC289" s="2701"/>
      <c r="BD289" s="2701"/>
      <c r="BE289" s="2701"/>
      <c r="BF289" s="2701"/>
      <c r="BG289" s="2701"/>
      <c r="BH289" s="2701"/>
      <c r="BI289" s="2701"/>
      <c r="BJ289" s="2701"/>
      <c r="BK289" s="2701"/>
      <c r="BL289" s="2701"/>
      <c r="BM289" s="2701"/>
      <c r="BN289" s="2701"/>
      <c r="BO289" s="2701"/>
      <c r="BP289" s="2701"/>
      <c r="BQ289" s="2701"/>
    </row>
    <row r="290" spans="1:69" ht="15.75" thickBot="1">
      <c r="A290" s="2816"/>
      <c r="B290" s="2816"/>
      <c r="C290" s="2816" t="s">
        <v>977</v>
      </c>
      <c r="D290" s="2817">
        <v>955847</v>
      </c>
      <c r="E290" s="2816"/>
      <c r="F290" s="2816"/>
      <c r="G290" s="2816"/>
      <c r="H290" s="2816"/>
      <c r="I290" s="2816"/>
      <c r="J290" s="2816"/>
      <c r="K290" s="2810"/>
      <c r="L290" s="2986"/>
      <c r="M290" s="2986"/>
      <c r="N290" s="2986" t="s">
        <v>977</v>
      </c>
      <c r="O290" s="2987">
        <v>955847</v>
      </c>
      <c r="P290" s="2986"/>
      <c r="Q290" s="2986"/>
      <c r="R290" s="2986"/>
      <c r="S290" s="2986"/>
      <c r="T290" s="2986"/>
      <c r="U290" s="2986"/>
      <c r="W290" s="2996"/>
      <c r="X290" s="2996">
        <v>11972</v>
      </c>
      <c r="Y290" s="2998" t="s">
        <v>1047</v>
      </c>
      <c r="Z290" s="2997"/>
      <c r="AA290" s="2996">
        <v>50</v>
      </c>
      <c r="AB290" s="2996">
        <v>700</v>
      </c>
      <c r="AC290" s="2996"/>
      <c r="AD290" s="2996"/>
      <c r="AE290" s="2996">
        <f t="shared" si="106"/>
        <v>50</v>
      </c>
      <c r="AF290" s="2996">
        <f t="shared" si="105"/>
        <v>700</v>
      </c>
      <c r="AJ290" s="2729"/>
      <c r="AK290" s="2730"/>
      <c r="AL290" s="2731"/>
      <c r="AM290" s="2732" t="s">
        <v>1027</v>
      </c>
      <c r="AN290" s="2733"/>
      <c r="AO290" s="2729">
        <v>0</v>
      </c>
      <c r="AP290" s="2732"/>
      <c r="AQ290" s="2734">
        <f>SUM(AO290:AP290)</f>
        <v>0</v>
      </c>
      <c r="AR290" s="2737"/>
      <c r="AS290" s="2943">
        <f>(AK284)</f>
        <v>20.720000000000002</v>
      </c>
      <c r="AT290" s="2736"/>
      <c r="AU290" s="2736"/>
      <c r="AV290" s="2701"/>
      <c r="AW290" s="2701"/>
      <c r="AX290" s="2701"/>
      <c r="AY290" s="2701"/>
      <c r="AZ290" s="2701"/>
      <c r="BA290" s="2701"/>
      <c r="BB290" s="2701"/>
      <c r="BC290" s="2701"/>
      <c r="BD290" s="2701"/>
      <c r="BE290" s="2701"/>
      <c r="BF290" s="2701"/>
      <c r="BG290" s="2701"/>
      <c r="BH290" s="2701"/>
      <c r="BI290" s="2701"/>
      <c r="BJ290" s="2701"/>
      <c r="BK290" s="2701"/>
      <c r="BL290" s="2701"/>
      <c r="BM290" s="2701"/>
      <c r="BN290" s="2701"/>
      <c r="BO290" s="2701"/>
      <c r="BP290" s="2701"/>
      <c r="BQ290" s="2701"/>
    </row>
    <row r="291" spans="1:69" ht="15.75" thickBot="1">
      <c r="A291" s="2816"/>
      <c r="B291" s="2816"/>
      <c r="C291" s="2816" t="s">
        <v>978</v>
      </c>
      <c r="D291" s="2817">
        <v>955947</v>
      </c>
      <c r="E291" s="2816"/>
      <c r="F291" s="2816"/>
      <c r="G291" s="2816"/>
      <c r="H291" s="2816"/>
      <c r="I291" s="2816"/>
      <c r="J291" s="2816"/>
      <c r="K291" s="2810"/>
      <c r="L291" s="2986"/>
      <c r="M291" s="2986"/>
      <c r="N291" s="2986" t="s">
        <v>978</v>
      </c>
      <c r="O291" s="2987">
        <v>955947</v>
      </c>
      <c r="P291" s="2986"/>
      <c r="Q291" s="2986"/>
      <c r="R291" s="2986"/>
      <c r="S291" s="2986"/>
      <c r="T291" s="2986"/>
      <c r="U291" s="2986"/>
      <c r="W291" s="2996"/>
      <c r="X291" s="2996">
        <v>956970</v>
      </c>
      <c r="Y291" s="2998" t="s">
        <v>291</v>
      </c>
      <c r="Z291" s="2997"/>
      <c r="AA291" s="2996">
        <v>50</v>
      </c>
      <c r="AB291" s="2996">
        <v>700</v>
      </c>
      <c r="AC291" s="2996"/>
      <c r="AD291" s="2996"/>
      <c r="AE291" s="2996">
        <f t="shared" si="106"/>
        <v>50</v>
      </c>
      <c r="AF291" s="2996">
        <f t="shared" si="105"/>
        <v>700</v>
      </c>
      <c r="AJ291" s="2729"/>
      <c r="AK291" s="2730"/>
      <c r="AL291" s="2731"/>
      <c r="AM291" s="2944" t="s">
        <v>74</v>
      </c>
      <c r="AN291" s="2733"/>
      <c r="AO291" s="2729">
        <v>0</v>
      </c>
      <c r="AP291" s="2732">
        <v>600</v>
      </c>
      <c r="AQ291" s="2734">
        <f>SUM(AO291:AP291)</f>
        <v>600</v>
      </c>
      <c r="AR291" s="2737"/>
      <c r="AS291" s="2711">
        <f>SUM(AS289:AS290)</f>
        <v>87.59</v>
      </c>
      <c r="AT291" s="2736"/>
      <c r="AU291" s="2736">
        <f>+AQ291-AS291</f>
        <v>512.41</v>
      </c>
      <c r="AV291" s="2701"/>
      <c r="AW291" s="2701"/>
      <c r="AX291" s="2701"/>
      <c r="AY291" s="2701"/>
      <c r="AZ291" s="2701"/>
      <c r="BA291" s="2701"/>
      <c r="BB291" s="2701"/>
      <c r="BC291" s="2701"/>
      <c r="BD291" s="2701"/>
      <c r="BE291" s="2701"/>
      <c r="BF291" s="2701"/>
      <c r="BG291" s="2701"/>
      <c r="BH291" s="2701"/>
      <c r="BI291" s="2701"/>
      <c r="BJ291" s="2701"/>
      <c r="BK291" s="2701"/>
      <c r="BL291" s="2701"/>
      <c r="BM291" s="2701"/>
      <c r="BN291" s="2701"/>
      <c r="BO291" s="2701"/>
      <c r="BP291" s="2701"/>
      <c r="BQ291" s="2701"/>
    </row>
    <row r="292" spans="1:69">
      <c r="A292" s="2816"/>
      <c r="B292" s="2816"/>
      <c r="C292" s="2816" t="s">
        <v>979</v>
      </c>
      <c r="D292" s="2817">
        <v>922252</v>
      </c>
      <c r="E292" s="2816"/>
      <c r="F292" s="2816"/>
      <c r="G292" s="2816"/>
      <c r="H292" s="2816"/>
      <c r="I292" s="2816"/>
      <c r="J292" s="2816"/>
      <c r="K292" s="2810"/>
      <c r="L292" s="2986"/>
      <c r="M292" s="2986"/>
      <c r="N292" s="2986" t="s">
        <v>979</v>
      </c>
      <c r="O292" s="2987">
        <v>922252</v>
      </c>
      <c r="P292" s="2986"/>
      <c r="Q292" s="2986"/>
      <c r="R292" s="2986"/>
      <c r="S292" s="2986"/>
      <c r="T292" s="2986"/>
      <c r="U292" s="2986"/>
      <c r="W292" s="2996"/>
      <c r="X292" s="2996">
        <v>952178</v>
      </c>
      <c r="Y292" s="2998" t="s">
        <v>295</v>
      </c>
      <c r="Z292" s="2997"/>
      <c r="AA292" s="2996">
        <v>80</v>
      </c>
      <c r="AB292" s="2996">
        <v>1000</v>
      </c>
      <c r="AC292" s="2996"/>
      <c r="AD292" s="2996"/>
      <c r="AE292" s="2996">
        <f t="shared" si="106"/>
        <v>80</v>
      </c>
      <c r="AF292" s="2996">
        <f t="shared" si="105"/>
        <v>1000</v>
      </c>
    </row>
    <row r="293" spans="1:69">
      <c r="A293" s="2816"/>
      <c r="B293" s="2816"/>
      <c r="C293" s="2816" t="s">
        <v>980</v>
      </c>
      <c r="D293" s="2817">
        <v>951184</v>
      </c>
      <c r="E293" s="2816"/>
      <c r="F293" s="2816"/>
      <c r="G293" s="2816"/>
      <c r="H293" s="2816"/>
      <c r="I293" s="2816"/>
      <c r="J293" s="2816"/>
      <c r="K293" s="2810"/>
      <c r="L293" s="2986"/>
      <c r="M293" s="2986"/>
      <c r="N293" s="2986" t="s">
        <v>980</v>
      </c>
      <c r="O293" s="2987">
        <v>951184</v>
      </c>
      <c r="P293" s="2986"/>
      <c r="Q293" s="2986"/>
      <c r="R293" s="2986"/>
      <c r="S293" s="2986"/>
      <c r="T293" s="2986"/>
      <c r="U293" s="2986"/>
      <c r="W293" s="2996"/>
      <c r="X293" s="2996">
        <v>11698</v>
      </c>
      <c r="Y293" s="2998" t="s">
        <v>491</v>
      </c>
      <c r="Z293" s="2997"/>
      <c r="AA293" s="2996">
        <v>30</v>
      </c>
      <c r="AB293" s="2996">
        <v>300</v>
      </c>
      <c r="AC293" s="2996"/>
      <c r="AD293" s="2996"/>
      <c r="AE293" s="2996">
        <f t="shared" si="106"/>
        <v>30</v>
      </c>
      <c r="AF293" s="2996">
        <f t="shared" si="105"/>
        <v>300</v>
      </c>
    </row>
    <row r="294" spans="1:69">
      <c r="A294" s="2816"/>
      <c r="B294" s="2816"/>
      <c r="C294" s="2816" t="s">
        <v>981</v>
      </c>
      <c r="D294" s="2817">
        <v>922266</v>
      </c>
      <c r="E294" s="2816"/>
      <c r="F294" s="2816"/>
      <c r="G294" s="2816"/>
      <c r="H294" s="2816"/>
      <c r="I294" s="2816"/>
      <c r="J294" s="2816"/>
      <c r="K294" s="2810"/>
      <c r="L294" s="2986"/>
      <c r="M294" s="2986"/>
      <c r="N294" s="2986" t="s">
        <v>981</v>
      </c>
      <c r="O294" s="2987">
        <v>922266</v>
      </c>
      <c r="P294" s="2986"/>
      <c r="Q294" s="2986"/>
      <c r="R294" s="2986"/>
      <c r="S294" s="2986"/>
      <c r="T294" s="2986"/>
      <c r="U294" s="2986"/>
      <c r="W294" s="2996"/>
      <c r="X294" s="2996">
        <v>11696</v>
      </c>
      <c r="Y294" s="2998" t="s">
        <v>297</v>
      </c>
      <c r="Z294" s="2997"/>
      <c r="AA294" s="2996">
        <v>30</v>
      </c>
      <c r="AB294" s="2996">
        <v>300</v>
      </c>
      <c r="AC294" s="2996"/>
      <c r="AD294" s="2996"/>
      <c r="AE294" s="2996">
        <f t="shared" si="106"/>
        <v>30</v>
      </c>
      <c r="AF294" s="2996">
        <f t="shared" si="105"/>
        <v>300</v>
      </c>
    </row>
    <row r="295" spans="1:69" ht="23.25">
      <c r="A295" s="2816"/>
      <c r="B295" s="2816"/>
      <c r="C295" s="2816" t="s">
        <v>982</v>
      </c>
      <c r="D295" s="2817">
        <v>901375</v>
      </c>
      <c r="E295" s="2816"/>
      <c r="F295" s="2816"/>
      <c r="G295" s="2816"/>
      <c r="H295" s="2816"/>
      <c r="I295" s="2816"/>
      <c r="J295" s="2816"/>
      <c r="K295" s="2810"/>
      <c r="L295" s="2986"/>
      <c r="M295" s="2986"/>
      <c r="N295" s="2986" t="s">
        <v>982</v>
      </c>
      <c r="O295" s="2987">
        <v>901375</v>
      </c>
      <c r="P295" s="2986"/>
      <c r="Q295" s="2986"/>
      <c r="R295" s="2986"/>
      <c r="S295" s="2986"/>
      <c r="T295" s="2986"/>
      <c r="U295" s="2986"/>
      <c r="W295" s="2999"/>
      <c r="X295" s="2999"/>
      <c r="Y295" s="2999"/>
      <c r="Z295" s="3000"/>
      <c r="AA295" s="3001">
        <f>SUM(AA276:AA294)</f>
        <v>1300</v>
      </c>
      <c r="AB295" s="3001">
        <f>SUM(AB276:AB294)</f>
        <v>16600</v>
      </c>
      <c r="AC295" s="3001">
        <f t="shared" ref="AC295:AD295" si="109">SUM(AC276:AC294)</f>
        <v>3.9830000000000001</v>
      </c>
      <c r="AD295" s="3001">
        <f t="shared" si="109"/>
        <v>686.49299999999994</v>
      </c>
      <c r="AE295" s="3001">
        <f t="shared" ref="AE295" si="110">SUM(AE276:AE294)</f>
        <v>1296.0170000000001</v>
      </c>
      <c r="AF295" s="3001">
        <f t="shared" ref="AF295" si="111">SUM(AF276:AF294)</f>
        <v>15913.507</v>
      </c>
      <c r="AJ295" s="3015" t="s">
        <v>1028</v>
      </c>
      <c r="AK295" s="3013"/>
      <c r="AL295" s="3013"/>
      <c r="AM295" s="1415"/>
      <c r="AN295" s="2945" t="s">
        <v>1029</v>
      </c>
      <c r="AO295" s="2946"/>
      <c r="AP295" s="2945"/>
      <c r="AQ295" s="2946"/>
      <c r="AR295" s="3080"/>
      <c r="AS295" s="2946"/>
      <c r="AT295" s="2945" t="s">
        <v>1030</v>
      </c>
      <c r="AU295" s="2946"/>
      <c r="AV295" s="2946"/>
      <c r="AW295" s="2945"/>
      <c r="AX295" s="2946"/>
      <c r="AY295" s="2946"/>
      <c r="AZ295" s="2946"/>
      <c r="BA295" s="2946"/>
      <c r="BB295" s="2946"/>
      <c r="BC295" s="2946"/>
      <c r="BD295" s="2946"/>
      <c r="BE295" s="2946"/>
      <c r="BF295" s="2946"/>
      <c r="BG295" s="2946"/>
      <c r="BH295" s="2946"/>
      <c r="BI295" s="2946"/>
      <c r="BJ295" s="2946"/>
      <c r="BK295" s="2946"/>
      <c r="BL295" s="2946"/>
      <c r="BM295" s="2946"/>
      <c r="BN295" s="2946"/>
      <c r="BO295" s="2946"/>
      <c r="BP295" s="2946"/>
      <c r="BQ295" s="2946"/>
    </row>
    <row r="296" spans="1:69" ht="15">
      <c r="A296" s="2816"/>
      <c r="B296" s="2816"/>
      <c r="C296" s="2816" t="s">
        <v>983</v>
      </c>
      <c r="D296" s="2817">
        <v>952905</v>
      </c>
      <c r="E296" s="2816"/>
      <c r="F296" s="2816"/>
      <c r="G296" s="2816"/>
      <c r="H296" s="2816"/>
      <c r="I296" s="2816"/>
      <c r="J296" s="2816"/>
      <c r="K296" s="2810"/>
      <c r="L296" s="2986"/>
      <c r="M296" s="2986"/>
      <c r="N296" s="2986" t="s">
        <v>983</v>
      </c>
      <c r="O296" s="2987">
        <v>952905</v>
      </c>
      <c r="P296" s="2986"/>
      <c r="Q296" s="2986"/>
      <c r="R296" s="2986"/>
      <c r="S296" s="2986"/>
      <c r="T296" s="2986"/>
      <c r="U296" s="2986"/>
      <c r="W296" s="1737"/>
      <c r="X296" s="1737"/>
      <c r="Y296" s="1737"/>
      <c r="Z296" s="1502"/>
      <c r="AA296" s="1737"/>
      <c r="AB296" s="1737"/>
      <c r="AC296" s="1737"/>
      <c r="AD296" s="1737"/>
      <c r="AE296" s="1737"/>
      <c r="AF296" s="1737"/>
      <c r="AJ296" s="3905" t="s">
        <v>40</v>
      </c>
      <c r="AK296" s="3906"/>
      <c r="AL296" s="3907"/>
      <c r="AM296" s="2947"/>
      <c r="AN296" s="2947"/>
      <c r="AO296" s="2947"/>
      <c r="AP296" s="2947"/>
      <c r="AQ296" s="2947"/>
      <c r="AR296" s="2947"/>
      <c r="AS296" s="2947"/>
      <c r="AT296" s="2947"/>
      <c r="AU296" s="2947"/>
      <c r="AV296" s="2947"/>
      <c r="AW296" s="2947"/>
      <c r="AX296" s="2947"/>
      <c r="AY296" s="2947"/>
      <c r="AZ296" s="2947"/>
      <c r="BA296" s="2947"/>
      <c r="BB296" s="2948"/>
      <c r="BC296" s="2948"/>
      <c r="BD296" s="2948"/>
      <c r="BE296" s="2948"/>
      <c r="BF296" s="2948"/>
      <c r="BG296" s="2948"/>
      <c r="BH296" s="2948"/>
      <c r="BI296" s="2948"/>
      <c r="BJ296" s="2948"/>
      <c r="BK296" s="2948"/>
      <c r="BL296" s="2948"/>
      <c r="BM296" s="2948"/>
      <c r="BN296" s="2948"/>
      <c r="BO296" s="2948"/>
      <c r="BP296" s="2948"/>
      <c r="BQ296" s="2948"/>
    </row>
    <row r="297" spans="1:69" ht="15">
      <c r="A297" s="2816"/>
      <c r="B297" s="2816"/>
      <c r="C297" s="2816" t="s">
        <v>984</v>
      </c>
      <c r="D297" s="2817">
        <v>957218</v>
      </c>
      <c r="E297" s="2816"/>
      <c r="F297" s="2816"/>
      <c r="G297" s="2816"/>
      <c r="H297" s="2816"/>
      <c r="I297" s="2816"/>
      <c r="J297" s="2816"/>
      <c r="K297" s="2810"/>
      <c r="L297" s="2986"/>
      <c r="M297" s="2986"/>
      <c r="N297" s="2986" t="s">
        <v>984</v>
      </c>
      <c r="O297" s="2987">
        <v>957218</v>
      </c>
      <c r="P297" s="2986"/>
      <c r="Q297" s="2986"/>
      <c r="R297" s="2986"/>
      <c r="S297" s="2986"/>
      <c r="T297" s="2986"/>
      <c r="U297" s="2986"/>
      <c r="W297" s="1737"/>
      <c r="X297" s="1737"/>
      <c r="Y297" s="1737"/>
      <c r="Z297" s="1502"/>
      <c r="AA297" s="1737"/>
      <c r="AB297" s="1737"/>
      <c r="AC297" s="1737"/>
      <c r="AD297" s="1737"/>
      <c r="AE297" s="1737"/>
      <c r="AF297" s="1737"/>
      <c r="AJ297" s="2949" t="s">
        <v>72</v>
      </c>
      <c r="AK297" s="2950" t="s">
        <v>73</v>
      </c>
      <c r="AL297" s="2951">
        <v>1</v>
      </c>
      <c r="AM297" s="2951">
        <v>2</v>
      </c>
      <c r="AN297" s="2951">
        <v>3</v>
      </c>
      <c r="AO297" s="2951">
        <v>4</v>
      </c>
      <c r="AP297" s="2951">
        <v>5</v>
      </c>
      <c r="AQ297" s="2951">
        <v>6</v>
      </c>
      <c r="AR297" s="2951">
        <v>7</v>
      </c>
      <c r="AS297" s="2951">
        <v>8</v>
      </c>
      <c r="AT297" s="2951">
        <v>9</v>
      </c>
      <c r="AU297" s="2951">
        <v>10</v>
      </c>
      <c r="AV297" s="2951">
        <v>11</v>
      </c>
      <c r="AW297" s="2951">
        <v>12</v>
      </c>
      <c r="AX297" s="2951">
        <v>13</v>
      </c>
      <c r="AY297" s="2951">
        <v>14</v>
      </c>
      <c r="AZ297" s="2951">
        <v>15</v>
      </c>
      <c r="BA297" s="2951">
        <v>16</v>
      </c>
      <c r="BB297" s="2949">
        <v>17</v>
      </c>
      <c r="BC297" s="2949">
        <v>18</v>
      </c>
      <c r="BD297" s="2949">
        <v>19</v>
      </c>
      <c r="BE297" s="2949">
        <v>20</v>
      </c>
      <c r="BF297" s="2949">
        <v>21</v>
      </c>
      <c r="BG297" s="2949">
        <v>22</v>
      </c>
      <c r="BH297" s="2949">
        <v>23</v>
      </c>
      <c r="BI297" s="2949">
        <v>24</v>
      </c>
      <c r="BJ297" s="2949">
        <v>25</v>
      </c>
      <c r="BK297" s="2949">
        <v>26</v>
      </c>
      <c r="BL297" s="2949">
        <v>27</v>
      </c>
      <c r="BM297" s="2949">
        <v>28</v>
      </c>
      <c r="BN297" s="2949">
        <v>29</v>
      </c>
      <c r="BO297" s="2949">
        <v>30</v>
      </c>
      <c r="BP297" s="2949">
        <v>31</v>
      </c>
      <c r="BQ297" s="2952" t="s">
        <v>74</v>
      </c>
    </row>
    <row r="298" spans="1:69" ht="15">
      <c r="A298" s="2816"/>
      <c r="B298" s="2816"/>
      <c r="C298" s="2816" t="s">
        <v>985</v>
      </c>
      <c r="D298" s="2817">
        <v>954372</v>
      </c>
      <c r="E298" s="2816"/>
      <c r="F298" s="2816"/>
      <c r="G298" s="2816"/>
      <c r="H298" s="2816"/>
      <c r="I298" s="2816"/>
      <c r="J298" s="2816"/>
      <c r="K298" s="2810"/>
      <c r="L298" s="2986"/>
      <c r="M298" s="2986"/>
      <c r="N298" s="2986" t="s">
        <v>985</v>
      </c>
      <c r="O298" s="2987">
        <v>954372</v>
      </c>
      <c r="P298" s="2986"/>
      <c r="Q298" s="2986"/>
      <c r="R298" s="2986"/>
      <c r="S298" s="2986"/>
      <c r="T298" s="2986"/>
      <c r="U298" s="2986"/>
      <c r="W298" s="1737"/>
      <c r="X298" s="1737"/>
      <c r="Y298" s="1737"/>
      <c r="Z298" s="1502"/>
      <c r="AA298" s="1737"/>
      <c r="AB298" s="1737"/>
      <c r="AC298" s="1737"/>
      <c r="AD298" s="1737"/>
      <c r="AE298" s="1737"/>
      <c r="AF298" s="1737"/>
      <c r="AJ298" s="2949" t="s">
        <v>75</v>
      </c>
      <c r="AK298" s="2950">
        <f t="shared" ref="AK298:AK309" si="112">+BQ298</f>
        <v>0</v>
      </c>
      <c r="AL298" s="2953"/>
      <c r="AM298" s="2953"/>
      <c r="AN298" s="2953"/>
      <c r="AO298" s="2953"/>
      <c r="AP298" s="2953"/>
      <c r="AQ298" s="2953"/>
      <c r="AR298" s="2953"/>
      <c r="AS298" s="2953"/>
      <c r="AT298" s="2953"/>
      <c r="AU298" s="2953"/>
      <c r="AV298" s="2953"/>
      <c r="AW298" s="2953"/>
      <c r="AX298" s="2953"/>
      <c r="AY298" s="2953"/>
      <c r="AZ298" s="2953"/>
      <c r="BA298" s="2953"/>
      <c r="BB298" s="2953"/>
      <c r="BC298" s="2953"/>
      <c r="BD298" s="2953"/>
      <c r="BE298" s="2953"/>
      <c r="BF298" s="2953"/>
      <c r="BG298" s="2953"/>
      <c r="BH298" s="2953"/>
      <c r="BI298" s="2953"/>
      <c r="BJ298" s="2953"/>
      <c r="BK298" s="2953"/>
      <c r="BL298" s="2953"/>
      <c r="BM298" s="2953"/>
      <c r="BN298" s="2953"/>
      <c r="BO298" s="2953"/>
      <c r="BP298" s="2953"/>
      <c r="BQ298" s="2954">
        <f>SUM(AL298:BP298)</f>
        <v>0</v>
      </c>
    </row>
    <row r="299" spans="1:69" ht="15.75" thickBot="1">
      <c r="A299" s="2816"/>
      <c r="B299" s="2816"/>
      <c r="C299" s="2816" t="s">
        <v>986</v>
      </c>
      <c r="D299" s="2817">
        <v>913416</v>
      </c>
      <c r="E299" s="2816"/>
      <c r="F299" s="2816"/>
      <c r="G299" s="2816"/>
      <c r="H299" s="2816"/>
      <c r="I299" s="2816"/>
      <c r="J299" s="2816"/>
      <c r="K299" s="2810"/>
      <c r="L299" s="2986"/>
      <c r="M299" s="2986"/>
      <c r="N299" s="2986" t="s">
        <v>986</v>
      </c>
      <c r="O299" s="2987">
        <v>913416</v>
      </c>
      <c r="P299" s="2986"/>
      <c r="Q299" s="2986"/>
      <c r="R299" s="2986"/>
      <c r="S299" s="2986"/>
      <c r="T299" s="2986"/>
      <c r="U299" s="2986"/>
      <c r="W299" s="1737"/>
      <c r="X299" s="1737"/>
      <c r="Y299" s="1737"/>
      <c r="Z299" s="1502"/>
      <c r="AA299" s="1737"/>
      <c r="AB299" s="1737"/>
      <c r="AC299" s="1737"/>
      <c r="AD299" s="1737"/>
      <c r="AE299" s="1737"/>
      <c r="AF299" s="1737"/>
      <c r="AJ299" s="2949" t="s">
        <v>76</v>
      </c>
      <c r="AK299" s="2950">
        <f t="shared" si="112"/>
        <v>0</v>
      </c>
      <c r="AL299" s="2953"/>
      <c r="AM299" s="2953"/>
      <c r="AN299" s="2953"/>
      <c r="AO299" s="2953"/>
      <c r="AP299" s="2953"/>
      <c r="AQ299" s="2953"/>
      <c r="AR299" s="2953"/>
      <c r="AS299" s="2953"/>
      <c r="AT299" s="2953"/>
      <c r="AU299" s="2953"/>
      <c r="AV299" s="2953"/>
      <c r="AW299" s="2953"/>
      <c r="AX299" s="2953"/>
      <c r="AY299" s="2953"/>
      <c r="AZ299" s="2953"/>
      <c r="BA299" s="2953"/>
      <c r="BB299" s="2953"/>
      <c r="BC299" s="2953"/>
      <c r="BD299" s="2953"/>
      <c r="BE299" s="2953"/>
      <c r="BF299" s="2953"/>
      <c r="BG299" s="2953"/>
      <c r="BH299" s="2953"/>
      <c r="BI299" s="2953"/>
      <c r="BJ299" s="2953"/>
      <c r="BK299" s="2953"/>
      <c r="BL299" s="2953"/>
      <c r="BM299" s="2953"/>
      <c r="BN299" s="2953"/>
      <c r="BO299" s="2953"/>
      <c r="BP299" s="2953"/>
      <c r="BQ299" s="2954">
        <f t="shared" ref="BQ299:BQ309" si="113">SUM(AL299:BP299)</f>
        <v>0</v>
      </c>
    </row>
    <row r="300" spans="1:69" ht="15.75" thickBot="1">
      <c r="A300" s="2816"/>
      <c r="B300" s="2816"/>
      <c r="C300" s="2816" t="s">
        <v>987</v>
      </c>
      <c r="D300" s="2817">
        <v>953967</v>
      </c>
      <c r="E300" s="2816"/>
      <c r="F300" s="2816"/>
      <c r="G300" s="2816"/>
      <c r="H300" s="2816"/>
      <c r="I300" s="2816"/>
      <c r="J300" s="2816"/>
      <c r="K300" s="2810"/>
      <c r="L300" s="2986"/>
      <c r="M300" s="2986"/>
      <c r="N300" s="2986" t="s">
        <v>987</v>
      </c>
      <c r="O300" s="2987">
        <v>953967</v>
      </c>
      <c r="P300" s="2986"/>
      <c r="Q300" s="2986"/>
      <c r="R300" s="2986"/>
      <c r="S300" s="2986"/>
      <c r="T300" s="2986"/>
      <c r="U300" s="2986"/>
      <c r="W300" s="1737"/>
      <c r="X300" s="1737"/>
      <c r="Y300" s="1737"/>
      <c r="Z300" s="1502"/>
      <c r="AA300" s="1737"/>
      <c r="AB300" s="1737"/>
      <c r="AC300" s="1737"/>
      <c r="AD300" s="1737"/>
      <c r="AE300" s="1737"/>
      <c r="AF300" s="1737"/>
      <c r="AJ300" s="2949" t="s">
        <v>77</v>
      </c>
      <c r="AK300" s="2950">
        <f t="shared" si="112"/>
        <v>0</v>
      </c>
      <c r="AL300" s="2953"/>
      <c r="AM300" s="2953"/>
      <c r="AN300" s="2953"/>
      <c r="AO300" s="2953"/>
      <c r="AP300" s="2953"/>
      <c r="AQ300" s="2955"/>
      <c r="AR300" s="2955"/>
      <c r="AS300" s="2955"/>
      <c r="AT300" s="2955"/>
      <c r="AU300" s="2955"/>
      <c r="AV300" s="2955"/>
      <c r="AW300" s="2955"/>
      <c r="AX300" s="2955"/>
      <c r="AY300" s="2955"/>
      <c r="AZ300" s="2955"/>
      <c r="BA300" s="2956"/>
      <c r="BB300" s="2955"/>
      <c r="BC300" s="2955"/>
      <c r="BD300" s="2955"/>
      <c r="BE300" s="2955"/>
      <c r="BF300" s="2955"/>
      <c r="BG300" s="2955"/>
      <c r="BH300" s="2955"/>
      <c r="BI300" s="2955"/>
      <c r="BJ300" s="2955"/>
      <c r="BK300" s="2955"/>
      <c r="BL300" s="2953"/>
      <c r="BM300" s="2953"/>
      <c r="BN300" s="2953"/>
      <c r="BO300" s="2953"/>
      <c r="BP300" s="2953"/>
      <c r="BQ300" s="2954">
        <f t="shared" si="113"/>
        <v>0</v>
      </c>
    </row>
    <row r="301" spans="1:69" ht="15">
      <c r="A301" s="2816"/>
      <c r="B301" s="2816"/>
      <c r="C301" s="2816" t="s">
        <v>988</v>
      </c>
      <c r="D301" s="2817">
        <v>912906</v>
      </c>
      <c r="E301" s="2816"/>
      <c r="F301" s="2816"/>
      <c r="G301" s="2816"/>
      <c r="H301" s="2816"/>
      <c r="I301" s="2816"/>
      <c r="J301" s="2816"/>
      <c r="K301" s="2810"/>
      <c r="L301" s="2986"/>
      <c r="M301" s="2986"/>
      <c r="N301" s="2986" t="s">
        <v>988</v>
      </c>
      <c r="O301" s="2987">
        <v>912906</v>
      </c>
      <c r="P301" s="2986"/>
      <c r="Q301" s="2986"/>
      <c r="R301" s="2986"/>
      <c r="S301" s="2986"/>
      <c r="T301" s="2986"/>
      <c r="U301" s="2986"/>
      <c r="W301" s="1737"/>
      <c r="X301" s="1737"/>
      <c r="Y301" s="1737"/>
      <c r="Z301" s="1502"/>
      <c r="AA301" s="1737"/>
      <c r="AB301" s="1737"/>
      <c r="AC301" s="1737"/>
      <c r="AD301" s="1737"/>
      <c r="AE301" s="1737"/>
      <c r="AF301" s="1737"/>
      <c r="AJ301" s="2949" t="s">
        <v>78</v>
      </c>
      <c r="AK301" s="2950">
        <f t="shared" si="112"/>
        <v>0</v>
      </c>
      <c r="AL301" s="2953"/>
      <c r="AM301" s="2953"/>
      <c r="AN301" s="2953"/>
      <c r="AO301" s="2953"/>
      <c r="AP301" s="2953"/>
      <c r="AQ301" s="2953"/>
      <c r="AR301" s="2953"/>
      <c r="AS301" s="2953"/>
      <c r="AT301" s="2953"/>
      <c r="AU301" s="2957"/>
      <c r="AV301" s="2957"/>
      <c r="AW301" s="2957"/>
      <c r="AX301" s="2957"/>
      <c r="AY301" s="2957"/>
      <c r="AZ301" s="2957"/>
      <c r="BA301" s="2957"/>
      <c r="BB301" s="2957"/>
      <c r="BC301" s="2957"/>
      <c r="BD301" s="2957"/>
      <c r="BE301" s="2957"/>
      <c r="BF301" s="2957"/>
      <c r="BG301" s="2957"/>
      <c r="BH301" s="2957"/>
      <c r="BI301" s="2957"/>
      <c r="BJ301" s="2957"/>
      <c r="BK301" s="2957"/>
      <c r="BL301" s="2957"/>
      <c r="BM301" s="2957"/>
      <c r="BN301" s="2957"/>
      <c r="BO301" s="2957"/>
      <c r="BP301" s="2957"/>
      <c r="BQ301" s="2954">
        <f t="shared" si="113"/>
        <v>0</v>
      </c>
    </row>
    <row r="302" spans="1:69" ht="15">
      <c r="A302" s="2816"/>
      <c r="B302" s="2816"/>
      <c r="C302" s="2816" t="s">
        <v>989</v>
      </c>
      <c r="D302" s="2817">
        <v>953317</v>
      </c>
      <c r="E302" s="2816"/>
      <c r="F302" s="2816"/>
      <c r="G302" s="2816"/>
      <c r="H302" s="2816"/>
      <c r="I302" s="2816"/>
      <c r="J302" s="2816"/>
      <c r="K302" s="2810"/>
      <c r="L302" s="2986"/>
      <c r="M302" s="2986"/>
      <c r="N302" s="2986" t="s">
        <v>989</v>
      </c>
      <c r="O302" s="2987">
        <v>953317</v>
      </c>
      <c r="P302" s="2986"/>
      <c r="Q302" s="2986"/>
      <c r="R302" s="2986"/>
      <c r="S302" s="2986"/>
      <c r="T302" s="2986"/>
      <c r="U302" s="2986"/>
      <c r="W302" s="1737"/>
      <c r="X302" s="1737"/>
      <c r="Y302" s="1737"/>
      <c r="Z302" s="1502"/>
      <c r="AA302" s="1737"/>
      <c r="AB302" s="1737"/>
      <c r="AC302" s="1737"/>
      <c r="AD302" s="1737"/>
      <c r="AE302" s="1737"/>
      <c r="AF302" s="1737"/>
      <c r="AJ302" s="2949" t="s">
        <v>79</v>
      </c>
      <c r="AK302" s="2950">
        <f t="shared" si="112"/>
        <v>0</v>
      </c>
      <c r="AL302" s="2955"/>
      <c r="AM302" s="2955"/>
      <c r="AN302" s="2955"/>
      <c r="AO302" s="2955"/>
      <c r="AP302" s="2955"/>
      <c r="AQ302" s="2955"/>
      <c r="AR302" s="2955"/>
      <c r="AS302" s="2955"/>
      <c r="AT302" s="2955"/>
      <c r="AU302" s="2955"/>
      <c r="AV302" s="2955"/>
      <c r="AW302" s="2955"/>
      <c r="AX302" s="2955"/>
      <c r="AY302" s="2955"/>
      <c r="AZ302" s="2955"/>
      <c r="BA302" s="2955"/>
      <c r="BB302" s="2955"/>
      <c r="BC302" s="2955"/>
      <c r="BD302" s="2955"/>
      <c r="BE302" s="2955"/>
      <c r="BF302" s="2955"/>
      <c r="BG302" s="2955"/>
      <c r="BH302" s="2955"/>
      <c r="BI302" s="2955"/>
      <c r="BJ302" s="2955"/>
      <c r="BK302" s="2955"/>
      <c r="BL302" s="2955"/>
      <c r="BM302" s="2955"/>
      <c r="BN302" s="2955"/>
      <c r="BO302" s="2955"/>
      <c r="BP302" s="2955"/>
      <c r="BQ302" s="2954">
        <f t="shared" si="113"/>
        <v>0</v>
      </c>
    </row>
    <row r="303" spans="1:69" ht="15">
      <c r="A303" s="2816"/>
      <c r="B303" s="2816"/>
      <c r="C303" s="2816" t="s">
        <v>990</v>
      </c>
      <c r="D303" s="2817">
        <v>921880</v>
      </c>
      <c r="E303" s="2816"/>
      <c r="F303" s="2816"/>
      <c r="G303" s="2816"/>
      <c r="H303" s="2816"/>
      <c r="I303" s="2816"/>
      <c r="J303" s="2816"/>
      <c r="K303" s="2810"/>
      <c r="L303" s="2986"/>
      <c r="M303" s="2986"/>
      <c r="N303" s="2986" t="s">
        <v>990</v>
      </c>
      <c r="O303" s="2987">
        <v>921880</v>
      </c>
      <c r="P303" s="2986"/>
      <c r="Q303" s="2986"/>
      <c r="R303" s="2986"/>
      <c r="S303" s="2986"/>
      <c r="T303" s="2986"/>
      <c r="U303" s="2986"/>
      <c r="W303" s="1737"/>
      <c r="X303" s="1737"/>
      <c r="Y303" s="1737"/>
      <c r="Z303" s="1502"/>
      <c r="AA303" s="1737"/>
      <c r="AB303" s="1737"/>
      <c r="AC303" s="1737"/>
      <c r="AD303" s="1737"/>
      <c r="AE303" s="1737"/>
      <c r="AF303" s="1737"/>
      <c r="AJ303" s="2949" t="s">
        <v>80</v>
      </c>
      <c r="AK303" s="2950">
        <f t="shared" si="112"/>
        <v>0</v>
      </c>
      <c r="AL303" s="2955"/>
      <c r="AM303" s="2955"/>
      <c r="AN303" s="2955"/>
      <c r="AO303" s="2955"/>
      <c r="AP303" s="2955"/>
      <c r="AQ303" s="2955"/>
      <c r="AR303" s="2955"/>
      <c r="AS303" s="2955"/>
      <c r="AT303" s="2955"/>
      <c r="AU303" s="2955"/>
      <c r="AV303" s="2955"/>
      <c r="AW303" s="2955"/>
      <c r="AX303" s="2955"/>
      <c r="AY303" s="2955"/>
      <c r="AZ303" s="2955"/>
      <c r="BA303" s="2955"/>
      <c r="BB303" s="2955"/>
      <c r="BC303" s="2955"/>
      <c r="BD303" s="2955"/>
      <c r="BE303" s="2955"/>
      <c r="BF303" s="2955"/>
      <c r="BG303" s="2955"/>
      <c r="BH303" s="2955"/>
      <c r="BI303" s="2955"/>
      <c r="BJ303" s="2955"/>
      <c r="BK303" s="2955"/>
      <c r="BL303" s="2955"/>
      <c r="BM303" s="2955"/>
      <c r="BN303" s="2955"/>
      <c r="BO303" s="2955"/>
      <c r="BP303" s="2955"/>
      <c r="BQ303" s="2954">
        <f t="shared" si="113"/>
        <v>0</v>
      </c>
    </row>
    <row r="304" spans="1:69" ht="15">
      <c r="A304" s="2816"/>
      <c r="B304" s="2816"/>
      <c r="C304" s="2816" t="s">
        <v>991</v>
      </c>
      <c r="D304" s="2817">
        <v>955248</v>
      </c>
      <c r="E304" s="2816"/>
      <c r="F304" s="2816"/>
      <c r="G304" s="2816"/>
      <c r="H304" s="2816"/>
      <c r="I304" s="2816"/>
      <c r="J304" s="2816"/>
      <c r="K304" s="2810"/>
      <c r="L304" s="2986"/>
      <c r="M304" s="2986"/>
      <c r="N304" s="2986" t="s">
        <v>991</v>
      </c>
      <c r="O304" s="2987">
        <v>955248</v>
      </c>
      <c r="P304" s="2986"/>
      <c r="Q304" s="2986"/>
      <c r="R304" s="2986"/>
      <c r="S304" s="2986"/>
      <c r="T304" s="2986"/>
      <c r="U304" s="2986"/>
      <c r="W304" s="1737"/>
      <c r="X304" s="1737"/>
      <c r="Y304" s="1737"/>
      <c r="Z304" s="1502"/>
      <c r="AA304" s="1737"/>
      <c r="AB304" s="1737"/>
      <c r="AC304" s="1737"/>
      <c r="AD304" s="1737"/>
      <c r="AE304" s="1737"/>
      <c r="AF304" s="1737"/>
      <c r="AJ304" s="2949" t="s">
        <v>81</v>
      </c>
      <c r="AK304" s="2950">
        <f t="shared" si="112"/>
        <v>0</v>
      </c>
      <c r="AL304" s="2955"/>
      <c r="AM304" s="2954"/>
      <c r="AN304" s="2954"/>
      <c r="AO304" s="2954"/>
      <c r="AP304" s="2955"/>
      <c r="AQ304" s="2955"/>
      <c r="AR304" s="2955"/>
      <c r="AS304" s="2955"/>
      <c r="AT304" s="2955"/>
      <c r="AU304" s="2955"/>
      <c r="AV304" s="2955"/>
      <c r="AW304" s="2955"/>
      <c r="AX304" s="2955"/>
      <c r="AY304" s="2955"/>
      <c r="AZ304" s="2955"/>
      <c r="BA304" s="2955"/>
      <c r="BB304" s="2955"/>
      <c r="BC304" s="2955"/>
      <c r="BD304" s="2955"/>
      <c r="BE304" s="2955"/>
      <c r="BF304" s="2955"/>
      <c r="BG304" s="2955"/>
      <c r="BH304" s="2955"/>
      <c r="BI304" s="2955"/>
      <c r="BJ304" s="2955"/>
      <c r="BK304" s="2955"/>
      <c r="BL304" s="2955"/>
      <c r="BM304" s="2955"/>
      <c r="BN304" s="2955"/>
      <c r="BO304" s="2955"/>
      <c r="BP304" s="2955"/>
      <c r="BQ304" s="2954">
        <f t="shared" si="113"/>
        <v>0</v>
      </c>
    </row>
    <row r="305" spans="1:69" ht="15">
      <c r="A305" s="2816"/>
      <c r="B305" s="2816"/>
      <c r="C305" s="2816" t="s">
        <v>992</v>
      </c>
      <c r="D305" s="2817">
        <v>950648</v>
      </c>
      <c r="E305" s="2816"/>
      <c r="F305" s="2816"/>
      <c r="G305" s="2816"/>
      <c r="H305" s="2816"/>
      <c r="I305" s="2816"/>
      <c r="J305" s="2816"/>
      <c r="K305" s="2810"/>
      <c r="L305" s="2986"/>
      <c r="M305" s="2986"/>
      <c r="N305" s="2986" t="s">
        <v>992</v>
      </c>
      <c r="O305" s="2987">
        <v>950648</v>
      </c>
      <c r="P305" s="2986"/>
      <c r="Q305" s="2986"/>
      <c r="R305" s="2986"/>
      <c r="S305" s="2986"/>
      <c r="T305" s="2986"/>
      <c r="U305" s="2986"/>
      <c r="W305" s="1737"/>
      <c r="X305" s="1737"/>
      <c r="Y305" s="1737"/>
      <c r="Z305" s="1502"/>
      <c r="AA305" s="1737"/>
      <c r="AB305" s="1737"/>
      <c r="AC305" s="1737"/>
      <c r="AD305" s="1737"/>
      <c r="AE305" s="1737"/>
      <c r="AF305" s="1737"/>
      <c r="AJ305" s="2949" t="s">
        <v>82</v>
      </c>
      <c r="AK305" s="2950">
        <f t="shared" si="112"/>
        <v>0</v>
      </c>
      <c r="AL305" s="2955"/>
      <c r="AM305" s="2955"/>
      <c r="AN305" s="2955"/>
      <c r="AO305" s="2955"/>
      <c r="AP305" s="2955"/>
      <c r="AQ305" s="2955"/>
      <c r="AR305" s="2955"/>
      <c r="AS305" s="2955"/>
      <c r="AT305" s="2955"/>
      <c r="AU305" s="2955"/>
      <c r="AV305" s="2955"/>
      <c r="AW305" s="2955"/>
      <c r="AX305" s="2955"/>
      <c r="AY305" s="2955"/>
      <c r="AZ305" s="2955"/>
      <c r="BA305" s="2955"/>
      <c r="BB305" s="2955"/>
      <c r="BC305" s="2955"/>
      <c r="BD305" s="2955"/>
      <c r="BE305" s="2955"/>
      <c r="BF305" s="2955"/>
      <c r="BG305" s="2955"/>
      <c r="BH305" s="2955"/>
      <c r="BI305" s="2955"/>
      <c r="BJ305" s="2955"/>
      <c r="BK305" s="2955"/>
      <c r="BL305" s="2955"/>
      <c r="BM305" s="2955"/>
      <c r="BN305" s="2955"/>
      <c r="BO305" s="2955"/>
      <c r="BP305" s="2955"/>
      <c r="BQ305" s="2954">
        <f t="shared" si="113"/>
        <v>0</v>
      </c>
    </row>
    <row r="306" spans="1:69" ht="15">
      <c r="A306" s="2816"/>
      <c r="B306" s="2816"/>
      <c r="C306" s="2816" t="s">
        <v>993</v>
      </c>
      <c r="D306" s="2817">
        <v>957497</v>
      </c>
      <c r="E306" s="2816"/>
      <c r="F306" s="2816"/>
      <c r="G306" s="2816"/>
      <c r="H306" s="2816"/>
      <c r="I306" s="2816"/>
      <c r="J306" s="2816"/>
      <c r="K306" s="2810"/>
      <c r="L306" s="2986"/>
      <c r="M306" s="2986"/>
      <c r="N306" s="2986" t="s">
        <v>993</v>
      </c>
      <c r="O306" s="2987">
        <v>957497</v>
      </c>
      <c r="P306" s="2986"/>
      <c r="Q306" s="2986"/>
      <c r="R306" s="2986"/>
      <c r="S306" s="2986"/>
      <c r="T306" s="2986"/>
      <c r="U306" s="2986"/>
      <c r="W306" s="1737"/>
      <c r="X306" s="1737"/>
      <c r="Y306" s="1737"/>
      <c r="Z306" s="1502"/>
      <c r="AA306" s="1737"/>
      <c r="AB306" s="1737"/>
      <c r="AC306" s="1737"/>
      <c r="AD306" s="1737"/>
      <c r="AE306" s="1737"/>
      <c r="AF306" s="1737"/>
      <c r="AJ306" s="2949" t="s">
        <v>83</v>
      </c>
      <c r="AK306" s="2950">
        <f t="shared" si="112"/>
        <v>0</v>
      </c>
      <c r="AL306" s="2955"/>
      <c r="AM306" s="2955"/>
      <c r="AN306" s="2955"/>
      <c r="AO306" s="2955"/>
      <c r="AP306" s="2955"/>
      <c r="AQ306" s="2955"/>
      <c r="AR306" s="2955"/>
      <c r="AS306" s="2955"/>
      <c r="AT306" s="2955"/>
      <c r="AU306" s="2955"/>
      <c r="AV306" s="2955"/>
      <c r="AW306" s="2955"/>
      <c r="AX306" s="2955"/>
      <c r="AY306" s="2955"/>
      <c r="AZ306" s="2955"/>
      <c r="BA306" s="2955"/>
      <c r="BB306" s="2955"/>
      <c r="BC306" s="2955"/>
      <c r="BD306" s="2955"/>
      <c r="BE306" s="2955"/>
      <c r="BF306" s="2955"/>
      <c r="BG306" s="2955"/>
      <c r="BH306" s="2955"/>
      <c r="BI306" s="2955"/>
      <c r="BJ306" s="2955"/>
      <c r="BK306" s="2955"/>
      <c r="BL306" s="2955"/>
      <c r="BM306" s="2955"/>
      <c r="BN306" s="2955"/>
      <c r="BO306" s="2955"/>
      <c r="BP306" s="2955"/>
      <c r="BQ306" s="2954">
        <f t="shared" si="113"/>
        <v>0</v>
      </c>
    </row>
    <row r="307" spans="1:69" ht="15">
      <c r="A307" s="2816"/>
      <c r="B307" s="2816"/>
      <c r="C307" s="2816"/>
      <c r="D307" s="2816"/>
      <c r="E307" s="2818">
        <v>14056.267</v>
      </c>
      <c r="F307" s="2816"/>
      <c r="G307" s="2818">
        <f>3694.377+1393.336+751.846</f>
        <v>5839.5589999999993</v>
      </c>
      <c r="H307" s="2816"/>
      <c r="I307" s="3253">
        <f>(E307-G307)</f>
        <v>8216.7080000000005</v>
      </c>
      <c r="J307" s="2816"/>
      <c r="K307" s="2810"/>
      <c r="L307" s="2986"/>
      <c r="M307" s="2986"/>
      <c r="N307" s="2986"/>
      <c r="O307" s="2986"/>
      <c r="P307" s="2988">
        <v>1000</v>
      </c>
      <c r="Q307" s="2986"/>
      <c r="R307" s="2988">
        <f>373+194+425</f>
        <v>992</v>
      </c>
      <c r="S307" s="2986"/>
      <c r="T307" s="3253">
        <f>(P307-R307)</f>
        <v>8</v>
      </c>
      <c r="U307" s="2986"/>
      <c r="V307" s="1289" t="s">
        <v>1157</v>
      </c>
      <c r="W307" s="1737"/>
      <c r="X307" s="1737"/>
      <c r="Y307" s="1737"/>
      <c r="Z307" s="1737"/>
      <c r="AA307" s="1491"/>
      <c r="AB307" s="1737"/>
      <c r="AC307" s="1491"/>
      <c r="AD307" s="1737"/>
      <c r="AE307" s="1491"/>
      <c r="AF307" s="1737"/>
      <c r="AJ307" s="2949" t="s">
        <v>84</v>
      </c>
      <c r="AK307" s="2950">
        <f t="shared" si="112"/>
        <v>0</v>
      </c>
      <c r="AL307" s="2955"/>
      <c r="AM307" s="2955"/>
      <c r="AN307" s="2955"/>
      <c r="AO307" s="2955"/>
      <c r="AP307" s="2955"/>
      <c r="AQ307" s="2955"/>
      <c r="AR307" s="2955"/>
      <c r="AS307" s="2955"/>
      <c r="AT307" s="2955"/>
      <c r="AU307" s="2955"/>
      <c r="AV307" s="2955"/>
      <c r="AW307" s="2955"/>
      <c r="AX307" s="2955"/>
      <c r="AY307" s="2955"/>
      <c r="AZ307" s="2955"/>
      <c r="BA307" s="2955"/>
      <c r="BB307" s="2955"/>
      <c r="BC307" s="2955"/>
      <c r="BD307" s="2955"/>
      <c r="BE307" s="2955"/>
      <c r="BF307" s="2955"/>
      <c r="BG307" s="2955"/>
      <c r="BH307" s="2955"/>
      <c r="BI307" s="2955"/>
      <c r="BJ307" s="2955"/>
      <c r="BK307" s="2955"/>
      <c r="BL307" s="2955"/>
      <c r="BM307" s="2955"/>
      <c r="BN307" s="2954"/>
      <c r="BO307" s="2955"/>
      <c r="BP307" s="2954"/>
      <c r="BQ307" s="2954">
        <f t="shared" si="113"/>
        <v>0</v>
      </c>
    </row>
    <row r="308" spans="1:69" ht="15">
      <c r="AJ308" s="2949" t="s">
        <v>85</v>
      </c>
      <c r="AK308" s="2950">
        <f t="shared" si="112"/>
        <v>0</v>
      </c>
      <c r="AL308" s="2955"/>
      <c r="AM308" s="2955"/>
      <c r="AN308" s="2955"/>
      <c r="AO308" s="2955"/>
      <c r="AP308" s="2958"/>
      <c r="AQ308" s="2955"/>
      <c r="AR308" s="2955"/>
      <c r="AS308" s="2955"/>
      <c r="AT308" s="2955"/>
      <c r="AU308" s="2955"/>
      <c r="AV308" s="2955"/>
      <c r="AW308" s="2955"/>
      <c r="AX308" s="2955"/>
      <c r="AY308" s="2955"/>
      <c r="AZ308" s="2955"/>
      <c r="BA308" s="2955"/>
      <c r="BB308" s="2955"/>
      <c r="BC308" s="2955"/>
      <c r="BD308" s="2955"/>
      <c r="BE308" s="2955"/>
      <c r="BF308" s="2955"/>
      <c r="BG308" s="2955"/>
      <c r="BH308" s="2955"/>
      <c r="BI308" s="2955"/>
      <c r="BJ308" s="2955"/>
      <c r="BK308" s="2955"/>
      <c r="BL308" s="2955"/>
      <c r="BM308" s="2955"/>
      <c r="BN308" s="2954"/>
      <c r="BO308" s="2955"/>
      <c r="BP308" s="2954"/>
      <c r="BQ308" s="2954">
        <f t="shared" si="113"/>
        <v>0</v>
      </c>
    </row>
    <row r="309" spans="1:69" ht="15">
      <c r="AJ309" s="2949" t="s">
        <v>86</v>
      </c>
      <c r="AK309" s="2950">
        <f t="shared" si="112"/>
        <v>0</v>
      </c>
      <c r="AL309" s="2955"/>
      <c r="AM309" s="2955"/>
      <c r="AN309" s="2955"/>
      <c r="AO309" s="2955"/>
      <c r="AP309" s="2955"/>
      <c r="AQ309" s="2955"/>
      <c r="AR309" s="2955"/>
      <c r="AS309" s="2955"/>
      <c r="AT309" s="2955"/>
      <c r="AU309" s="2955"/>
      <c r="AV309" s="2955"/>
      <c r="AW309" s="2955"/>
      <c r="AX309" s="2955"/>
      <c r="AY309" s="2955"/>
      <c r="AZ309" s="2955"/>
      <c r="BA309" s="2955"/>
      <c r="BB309" s="2955"/>
      <c r="BC309" s="2955"/>
      <c r="BD309" s="2955"/>
      <c r="BE309" s="2955"/>
      <c r="BF309" s="2955"/>
      <c r="BG309" s="2955"/>
      <c r="BH309" s="2955"/>
      <c r="BI309" s="2955"/>
      <c r="BJ309" s="2955"/>
      <c r="BK309" s="2955"/>
      <c r="BL309" s="2955"/>
      <c r="BM309" s="2955"/>
      <c r="BN309" s="2955"/>
      <c r="BO309" s="2955"/>
      <c r="BP309" s="2955"/>
      <c r="BQ309" s="2954">
        <f t="shared" si="113"/>
        <v>0</v>
      </c>
    </row>
    <row r="310" spans="1:69" ht="15">
      <c r="AJ310" s="2959" t="s">
        <v>74</v>
      </c>
      <c r="AK310" s="2960">
        <f t="shared" ref="AK310:BA310" si="114">SUM(AK298:AK309)</f>
        <v>0</v>
      </c>
      <c r="AL310" s="2950">
        <f t="shared" si="114"/>
        <v>0</v>
      </c>
      <c r="AM310" s="2950">
        <f t="shared" si="114"/>
        <v>0</v>
      </c>
      <c r="AN310" s="2950">
        <f t="shared" si="114"/>
        <v>0</v>
      </c>
      <c r="AO310" s="2950">
        <f t="shared" si="114"/>
        <v>0</v>
      </c>
      <c r="AP310" s="2950">
        <f t="shared" si="114"/>
        <v>0</v>
      </c>
      <c r="AQ310" s="2950">
        <f t="shared" si="114"/>
        <v>0</v>
      </c>
      <c r="AR310" s="2950">
        <f t="shared" si="114"/>
        <v>0</v>
      </c>
      <c r="AS310" s="2950">
        <f t="shared" si="114"/>
        <v>0</v>
      </c>
      <c r="AT310" s="2950">
        <f t="shared" si="114"/>
        <v>0</v>
      </c>
      <c r="AU310" s="2950">
        <f t="shared" si="114"/>
        <v>0</v>
      </c>
      <c r="AV310" s="2950">
        <f t="shared" si="114"/>
        <v>0</v>
      </c>
      <c r="AW310" s="2950">
        <f t="shared" si="114"/>
        <v>0</v>
      </c>
      <c r="AX310" s="2950">
        <f t="shared" si="114"/>
        <v>0</v>
      </c>
      <c r="AY310" s="2950">
        <f t="shared" si="114"/>
        <v>0</v>
      </c>
      <c r="AZ310" s="2950">
        <f t="shared" si="114"/>
        <v>0</v>
      </c>
      <c r="BA310" s="2950">
        <f t="shared" si="114"/>
        <v>0</v>
      </c>
      <c r="BB310" s="2954">
        <f t="shared" ref="BB310:BL310" si="115">SUM(BB298:BB308)</f>
        <v>0</v>
      </c>
      <c r="BC310" s="2954">
        <f t="shared" si="115"/>
        <v>0</v>
      </c>
      <c r="BD310" s="2954">
        <f t="shared" si="115"/>
        <v>0</v>
      </c>
      <c r="BE310" s="2954">
        <f t="shared" si="115"/>
        <v>0</v>
      </c>
      <c r="BF310" s="2954">
        <f t="shared" si="115"/>
        <v>0</v>
      </c>
      <c r="BG310" s="2954">
        <f t="shared" si="115"/>
        <v>0</v>
      </c>
      <c r="BH310" s="2954">
        <f t="shared" si="115"/>
        <v>0</v>
      </c>
      <c r="BI310" s="2954">
        <f t="shared" si="115"/>
        <v>0</v>
      </c>
      <c r="BJ310" s="2954">
        <f t="shared" si="115"/>
        <v>0</v>
      </c>
      <c r="BK310" s="2954">
        <f t="shared" si="115"/>
        <v>0</v>
      </c>
      <c r="BL310" s="2954">
        <f t="shared" si="115"/>
        <v>0</v>
      </c>
      <c r="BM310" s="2954">
        <v>0</v>
      </c>
      <c r="BN310" s="2954">
        <f>SUM(BN298:BN308)</f>
        <v>0</v>
      </c>
      <c r="BO310" s="2954">
        <f>SUM(BO298:BO308)</f>
        <v>0</v>
      </c>
      <c r="BP310" s="2954">
        <f>SUM(BP298:BP308)</f>
        <v>0</v>
      </c>
      <c r="BQ310" s="2954">
        <f>SUM(BQ298:BQ308)</f>
        <v>0</v>
      </c>
    </row>
    <row r="311" spans="1:69" s="2622" customFormat="1" ht="33">
      <c r="A311" s="2550" t="s">
        <v>299</v>
      </c>
      <c r="B311" s="2551"/>
      <c r="C311" s="2551" t="s">
        <v>995</v>
      </c>
      <c r="D311" s="2549"/>
      <c r="E311" s="2549"/>
      <c r="F311" s="2549"/>
      <c r="G311" s="2549"/>
      <c r="H311" s="2551" t="s">
        <v>998</v>
      </c>
      <c r="I311" s="2549"/>
      <c r="J311" s="2549"/>
      <c r="K311" s="2549"/>
      <c r="L311" s="3016" t="s">
        <v>1054</v>
      </c>
      <c r="M311" s="1933"/>
      <c r="N311" s="3080"/>
      <c r="O311" s="2549"/>
      <c r="P311" s="2549"/>
      <c r="Q311" s="2549"/>
      <c r="R311" s="2549"/>
      <c r="S311" s="2549"/>
      <c r="T311" s="2549"/>
      <c r="U311" s="2549"/>
      <c r="V311" s="2549"/>
      <c r="W311" s="2549"/>
      <c r="X311" s="2549"/>
      <c r="Y311" s="2549"/>
      <c r="Z311" s="2549"/>
      <c r="AA311" s="2549"/>
      <c r="AB311" s="2549"/>
      <c r="AC311" s="2549"/>
      <c r="AD311" s="2549"/>
      <c r="AE311" s="2549"/>
      <c r="AF311" s="2549"/>
      <c r="AG311" s="2549"/>
      <c r="AH311" s="2549"/>
      <c r="AJ311" s="2946"/>
      <c r="AK311" s="2946"/>
      <c r="AL311" s="2946"/>
      <c r="AM311" s="2946"/>
      <c r="AN311" s="2946"/>
      <c r="AO311" s="2946"/>
      <c r="AP311" s="2946"/>
      <c r="AQ311" s="2946"/>
      <c r="AR311" s="2946"/>
      <c r="AS311" s="2946"/>
      <c r="AT311" s="2946"/>
      <c r="AU311" s="2946"/>
      <c r="AV311" s="2946"/>
      <c r="AW311" s="2946"/>
      <c r="AX311" s="2946"/>
      <c r="AY311" s="2946"/>
      <c r="AZ311" s="2946"/>
      <c r="BA311" s="2946"/>
      <c r="BB311" s="2946"/>
      <c r="BC311" s="2946"/>
      <c r="BD311" s="2946"/>
      <c r="BE311" s="2946"/>
      <c r="BF311" s="2946"/>
      <c r="BG311" s="2946"/>
      <c r="BH311" s="2946"/>
      <c r="BI311" s="2946"/>
      <c r="BJ311" s="2946"/>
      <c r="BK311" s="2946"/>
      <c r="BL311" s="2946"/>
      <c r="BM311" s="2946"/>
      <c r="BN311" s="2946"/>
      <c r="BO311" s="2946"/>
      <c r="BP311" s="2946"/>
      <c r="BQ311" s="2946"/>
    </row>
    <row r="312" spans="1:69" s="2622" customFormat="1" ht="15.75" thickBot="1">
      <c r="A312" s="3569" t="s">
        <v>271</v>
      </c>
      <c r="B312" s="3570"/>
      <c r="C312" s="3571"/>
      <c r="D312" s="34"/>
      <c r="E312" s="34"/>
      <c r="F312" s="34"/>
      <c r="G312" s="34"/>
      <c r="H312" s="34"/>
      <c r="I312" s="34"/>
      <c r="J312" s="34"/>
      <c r="K312" s="34"/>
      <c r="L312" s="34"/>
      <c r="M312" s="34"/>
      <c r="N312" s="34"/>
      <c r="O312" s="34"/>
      <c r="P312" s="34"/>
      <c r="Q312" s="34"/>
      <c r="R312" s="34"/>
      <c r="S312" s="52"/>
      <c r="T312" s="52"/>
      <c r="U312" s="52"/>
      <c r="V312" s="52"/>
      <c r="W312" s="52"/>
      <c r="X312" s="52"/>
      <c r="Y312" s="52"/>
      <c r="Z312" s="52"/>
      <c r="AA312" s="52"/>
      <c r="AB312" s="52"/>
      <c r="AC312" s="52"/>
      <c r="AD312" s="52"/>
      <c r="AE312" s="52"/>
      <c r="AF312" s="52"/>
      <c r="AG312" s="52"/>
      <c r="AH312" s="13"/>
      <c r="AJ312" s="2946"/>
      <c r="AK312" s="2946"/>
      <c r="AL312" s="2946"/>
      <c r="AM312" s="2946"/>
      <c r="AN312" s="2946"/>
      <c r="AO312" s="2946"/>
      <c r="AP312" s="2946"/>
      <c r="AQ312" s="2946"/>
      <c r="AR312" s="2946"/>
      <c r="AS312" s="2946"/>
      <c r="AT312" s="2946"/>
      <c r="AU312" s="2946"/>
      <c r="AV312" s="2946"/>
      <c r="AW312" s="2946"/>
      <c r="AX312" s="2946"/>
      <c r="AY312" s="2946"/>
      <c r="AZ312" s="2946"/>
      <c r="BA312" s="2946"/>
      <c r="BB312" s="2946"/>
      <c r="BC312" s="2946"/>
      <c r="BD312" s="2946"/>
      <c r="BE312" s="2946"/>
      <c r="BF312" s="2946"/>
      <c r="BG312" s="2946"/>
      <c r="BH312" s="2946"/>
      <c r="BI312" s="2946"/>
      <c r="BJ312" s="2946"/>
      <c r="BK312" s="2946"/>
      <c r="BL312" s="2946"/>
      <c r="BM312" s="2946"/>
      <c r="BN312" s="2946"/>
      <c r="BO312" s="2946"/>
      <c r="BP312" s="2946"/>
      <c r="BQ312" s="2946"/>
    </row>
    <row r="313" spans="1:69" s="2622" customFormat="1" ht="16.5" thickBot="1">
      <c r="A313" s="5" t="s">
        <v>72</v>
      </c>
      <c r="B313" s="28" t="s">
        <v>73</v>
      </c>
      <c r="C313" s="72">
        <v>1</v>
      </c>
      <c r="D313" s="35">
        <v>2</v>
      </c>
      <c r="E313" s="35">
        <v>3</v>
      </c>
      <c r="F313" s="35">
        <v>4</v>
      </c>
      <c r="G313" s="35">
        <v>5</v>
      </c>
      <c r="H313" s="35">
        <v>6</v>
      </c>
      <c r="I313" s="35">
        <v>7</v>
      </c>
      <c r="J313" s="35">
        <v>8</v>
      </c>
      <c r="K313" s="35">
        <v>9</v>
      </c>
      <c r="L313" s="35">
        <v>10</v>
      </c>
      <c r="M313" s="35">
        <v>11</v>
      </c>
      <c r="N313" s="35">
        <v>12</v>
      </c>
      <c r="O313" s="35">
        <v>13</v>
      </c>
      <c r="P313" s="35">
        <v>14</v>
      </c>
      <c r="Q313" s="35">
        <v>15</v>
      </c>
      <c r="R313" s="35">
        <v>16</v>
      </c>
      <c r="S313" s="30">
        <v>17</v>
      </c>
      <c r="T313" s="30">
        <v>18</v>
      </c>
      <c r="U313" s="30">
        <v>19</v>
      </c>
      <c r="V313" s="30">
        <v>20</v>
      </c>
      <c r="W313" s="30">
        <v>21</v>
      </c>
      <c r="X313" s="30">
        <v>22</v>
      </c>
      <c r="Y313" s="30">
        <v>23</v>
      </c>
      <c r="Z313" s="30">
        <v>24</v>
      </c>
      <c r="AA313" s="30">
        <v>25</v>
      </c>
      <c r="AB313" s="30">
        <v>26</v>
      </c>
      <c r="AC313" s="30">
        <v>27</v>
      </c>
      <c r="AD313" s="30">
        <v>28</v>
      </c>
      <c r="AE313" s="30">
        <v>29</v>
      </c>
      <c r="AF313" s="30">
        <v>30</v>
      </c>
      <c r="AG313" s="30">
        <v>31</v>
      </c>
      <c r="AH313" s="39" t="s">
        <v>74</v>
      </c>
      <c r="AJ313" s="2961" t="s">
        <v>996</v>
      </c>
      <c r="AK313" s="2962"/>
      <c r="AL313" s="2962"/>
      <c r="AM313" s="2962"/>
      <c r="AN313" s="2962"/>
      <c r="AO313" s="3908" t="s">
        <v>155</v>
      </c>
      <c r="AP313" s="3909"/>
      <c r="AQ313" s="3910"/>
      <c r="AR313" s="3908" t="s">
        <v>156</v>
      </c>
      <c r="AS313" s="3911"/>
      <c r="AT313" s="3912"/>
      <c r="AU313" s="3914" t="s">
        <v>1031</v>
      </c>
      <c r="AV313" s="2946"/>
      <c r="AW313" s="2946"/>
      <c r="AX313" s="2946"/>
      <c r="AY313" s="2946"/>
      <c r="AZ313" s="2946"/>
      <c r="BA313" s="2946"/>
      <c r="BB313" s="2946"/>
      <c r="BC313" s="2946"/>
      <c r="BD313" s="2946"/>
      <c r="BE313" s="2946"/>
      <c r="BF313" s="2946"/>
      <c r="BG313" s="2946"/>
      <c r="BH313" s="2946"/>
      <c r="BI313" s="2946"/>
      <c r="BJ313" s="2946"/>
      <c r="BK313" s="2946"/>
      <c r="BL313" s="2946"/>
      <c r="BM313" s="2946"/>
      <c r="BN313" s="2946"/>
      <c r="BO313" s="2946"/>
      <c r="BP313" s="2946"/>
      <c r="BQ313" s="2946"/>
    </row>
    <row r="314" spans="1:69" s="2622" customFormat="1" ht="15.75" thickBot="1">
      <c r="A314" s="128" t="s">
        <v>75</v>
      </c>
      <c r="B314" s="28">
        <f t="shared" ref="B314:B325" si="116">+AH314</f>
        <v>0</v>
      </c>
      <c r="C314" s="1930"/>
      <c r="D314" s="1930"/>
      <c r="E314" s="1930"/>
      <c r="F314" s="1930"/>
      <c r="G314" s="1930"/>
      <c r="H314" s="1930"/>
      <c r="I314" s="1930"/>
      <c r="J314" s="1930"/>
      <c r="K314" s="1930"/>
      <c r="L314" s="1930"/>
      <c r="M314" s="1930"/>
      <c r="N314" s="1930"/>
      <c r="O314" s="1930"/>
      <c r="P314" s="1930"/>
      <c r="Q314" s="1930"/>
      <c r="R314" s="1930"/>
      <c r="S314" s="1930"/>
      <c r="T314" s="1930"/>
      <c r="U314" s="1930"/>
      <c r="V314" s="1930"/>
      <c r="W314" s="1930"/>
      <c r="X314" s="1930"/>
      <c r="Y314" s="1930"/>
      <c r="Z314" s="1930"/>
      <c r="AA314" s="1930"/>
      <c r="AB314" s="1930"/>
      <c r="AC314" s="1930"/>
      <c r="AD314" s="1930"/>
      <c r="AE314" s="1930"/>
      <c r="AF314" s="1930"/>
      <c r="AG314" s="1930"/>
      <c r="AH314" s="53">
        <f>SUM(C314:AG314)</f>
        <v>0</v>
      </c>
      <c r="AJ314" s="2963" t="s">
        <v>158</v>
      </c>
      <c r="AK314" s="2964" t="s">
        <v>159</v>
      </c>
      <c r="AL314" s="2965" t="s">
        <v>136</v>
      </c>
      <c r="AM314" s="2966" t="s">
        <v>134</v>
      </c>
      <c r="AN314" s="2964" t="s">
        <v>160</v>
      </c>
      <c r="AO314" s="2967"/>
      <c r="AP314" s="2968" t="s">
        <v>40</v>
      </c>
      <c r="AQ314" s="2969" t="s">
        <v>52</v>
      </c>
      <c r="AR314" s="2967"/>
      <c r="AS314" s="2970" t="s">
        <v>40</v>
      </c>
      <c r="AT314" s="3913"/>
      <c r="AU314" s="3913"/>
      <c r="AV314" s="2946"/>
      <c r="AW314" s="2946"/>
      <c r="AX314" s="2946"/>
      <c r="AY314" s="2946"/>
      <c r="AZ314" s="2946"/>
      <c r="BA314" s="2946"/>
      <c r="BB314" s="2946"/>
      <c r="BC314" s="2946"/>
      <c r="BD314" s="2946"/>
      <c r="BE314" s="2946"/>
      <c r="BF314" s="2946"/>
      <c r="BG314" s="2946"/>
      <c r="BH314" s="2946"/>
      <c r="BI314" s="2946"/>
      <c r="BJ314" s="2946"/>
      <c r="BK314" s="2946"/>
      <c r="BL314" s="2946"/>
      <c r="BM314" s="2946"/>
      <c r="BN314" s="2946"/>
      <c r="BO314" s="2946"/>
      <c r="BP314" s="2946"/>
      <c r="BQ314" s="2946"/>
    </row>
    <row r="315" spans="1:69" s="2622" customFormat="1" ht="15.75" thickBot="1">
      <c r="A315" s="128" t="s">
        <v>76</v>
      </c>
      <c r="B315" s="28">
        <f t="shared" si="116"/>
        <v>0</v>
      </c>
      <c r="C315" s="1930"/>
      <c r="D315" s="1930"/>
      <c r="E315" s="1930"/>
      <c r="F315" s="1930"/>
      <c r="G315" s="1930"/>
      <c r="H315" s="1930"/>
      <c r="I315" s="1930"/>
      <c r="J315" s="1930"/>
      <c r="K315" s="1930"/>
      <c r="L315" s="1930"/>
      <c r="M315" s="1930"/>
      <c r="N315" s="1930"/>
      <c r="O315" s="1930"/>
      <c r="P315" s="1930"/>
      <c r="Q315" s="1930"/>
      <c r="R315" s="1930"/>
      <c r="S315" s="1930"/>
      <c r="T315" s="1930"/>
      <c r="U315" s="1930"/>
      <c r="V315" s="1930"/>
      <c r="W315" s="1930"/>
      <c r="X315" s="1930"/>
      <c r="Y315" s="1930"/>
      <c r="Z315" s="1930"/>
      <c r="AA315" s="1930"/>
      <c r="AB315" s="1930"/>
      <c r="AC315" s="1930"/>
      <c r="AD315" s="1930"/>
      <c r="AE315" s="1930"/>
      <c r="AF315" s="1930"/>
      <c r="AG315" s="1930"/>
      <c r="AH315" s="53">
        <f t="shared" ref="AH315:AH325" si="117">SUM(C315:AG315)</f>
        <v>0</v>
      </c>
      <c r="AJ315" s="2971"/>
      <c r="AK315" s="2972"/>
      <c r="AL315" s="2973"/>
      <c r="AM315" s="2974"/>
      <c r="AN315" s="2975"/>
      <c r="AO315" s="2971"/>
      <c r="AP315" s="2974">
        <v>1000</v>
      </c>
      <c r="AQ315" s="2976">
        <f>SUM(AO315:AP315)</f>
        <v>1000</v>
      </c>
      <c r="AR315" s="2977"/>
      <c r="AS315" s="2956">
        <f>(AK310)</f>
        <v>0</v>
      </c>
      <c r="AT315" s="2978">
        <f>+AO315-AR315</f>
        <v>0</v>
      </c>
      <c r="AU315" s="2978">
        <f>+AP315-AS315</f>
        <v>1000</v>
      </c>
      <c r="AV315" s="2946"/>
      <c r="AW315" s="2946"/>
      <c r="AX315" s="2946"/>
      <c r="AY315" s="2946"/>
      <c r="AZ315" s="2946"/>
      <c r="BA315" s="2946"/>
      <c r="BB315" s="2946"/>
      <c r="BC315" s="2946"/>
      <c r="BD315" s="2946"/>
      <c r="BE315" s="2946"/>
      <c r="BF315" s="2946"/>
      <c r="BG315" s="2946"/>
      <c r="BH315" s="2946"/>
      <c r="BI315" s="2946"/>
      <c r="BJ315" s="2946"/>
      <c r="BK315" s="2946"/>
      <c r="BL315" s="2946"/>
      <c r="BM315" s="2946"/>
      <c r="BN315" s="2946"/>
      <c r="BO315" s="2946"/>
      <c r="BP315" s="2946"/>
      <c r="BQ315" s="2946"/>
    </row>
    <row r="316" spans="1:69" s="2622" customFormat="1" ht="15.75" thickBot="1">
      <c r="A316" s="128" t="s">
        <v>77</v>
      </c>
      <c r="B316" s="28">
        <f t="shared" si="116"/>
        <v>0</v>
      </c>
      <c r="C316" s="1930"/>
      <c r="D316" s="1930"/>
      <c r="E316" s="1930"/>
      <c r="F316" s="1930"/>
      <c r="G316" s="1930"/>
      <c r="H316" s="1287"/>
      <c r="I316" s="1287"/>
      <c r="J316" s="1287"/>
      <c r="K316" s="1287"/>
      <c r="L316" s="1287"/>
      <c r="M316" s="1287"/>
      <c r="N316" s="1287"/>
      <c r="O316" s="1287"/>
      <c r="P316" s="1287"/>
      <c r="Q316" s="1287"/>
      <c r="R316" s="1346"/>
      <c r="S316" s="1287"/>
      <c r="T316" s="1287"/>
      <c r="U316" s="1287"/>
      <c r="V316" s="1287"/>
      <c r="W316" s="1287"/>
      <c r="X316" s="1287"/>
      <c r="Y316" s="1287"/>
      <c r="Z316" s="1287"/>
      <c r="AA316" s="1287"/>
      <c r="AB316" s="1287"/>
      <c r="AC316" s="1930"/>
      <c r="AD316" s="1930"/>
      <c r="AE316" s="1930"/>
      <c r="AF316" s="1930"/>
      <c r="AG316" s="1930"/>
      <c r="AH316" s="53">
        <f t="shared" si="117"/>
        <v>0</v>
      </c>
      <c r="AJ316" s="2971"/>
      <c r="AK316" s="2972"/>
      <c r="AL316" s="2973"/>
      <c r="AM316" s="2974"/>
      <c r="AN316" s="2975"/>
      <c r="AO316" s="2971"/>
      <c r="AP316" s="2974"/>
      <c r="AQ316" s="2976">
        <f>SUM(AO316:AP316)</f>
        <v>0</v>
      </c>
      <c r="AR316" s="2977"/>
      <c r="AS316" s="2956"/>
      <c r="AT316" s="2978">
        <f>+AQ316-AR316-AS316</f>
        <v>0</v>
      </c>
      <c r="AU316" s="2978">
        <f>+AR316-AS316-AT316</f>
        <v>0</v>
      </c>
      <c r="AV316" s="2946"/>
      <c r="AW316" s="2946"/>
      <c r="AX316" s="2946"/>
      <c r="AY316" s="2946"/>
      <c r="AZ316" s="2946"/>
      <c r="BA316" s="2946"/>
      <c r="BB316" s="2946"/>
      <c r="BC316" s="2946"/>
      <c r="BD316" s="2946"/>
      <c r="BE316" s="2946"/>
      <c r="BF316" s="2946"/>
      <c r="BG316" s="2946"/>
      <c r="BH316" s="2946"/>
      <c r="BI316" s="2946"/>
      <c r="BJ316" s="2946"/>
      <c r="BK316" s="2946"/>
      <c r="BL316" s="2946"/>
      <c r="BM316" s="2946"/>
      <c r="BN316" s="2946"/>
      <c r="BO316" s="2946"/>
      <c r="BP316" s="2946"/>
      <c r="BQ316" s="2946"/>
    </row>
    <row r="317" spans="1:69" s="2622" customFormat="1" ht="15">
      <c r="A317" s="128" t="s">
        <v>78</v>
      </c>
      <c r="B317" s="28">
        <f t="shared" si="116"/>
        <v>0</v>
      </c>
      <c r="C317" s="1930"/>
      <c r="D317" s="1930"/>
      <c r="E317" s="1930"/>
      <c r="F317" s="1930"/>
      <c r="G317" s="1930"/>
      <c r="H317" s="1930"/>
      <c r="I317" s="1930"/>
      <c r="J317" s="1930"/>
      <c r="K317" s="1930"/>
      <c r="L317" s="2465"/>
      <c r="M317" s="2465"/>
      <c r="N317" s="2465"/>
      <c r="O317" s="2465"/>
      <c r="P317" s="2465"/>
      <c r="Q317" s="2465"/>
      <c r="R317" s="2465"/>
      <c r="S317" s="2465"/>
      <c r="T317" s="2465"/>
      <c r="U317" s="2465"/>
      <c r="V317" s="2465"/>
      <c r="W317" s="2465"/>
      <c r="X317" s="2465"/>
      <c r="Y317" s="2465"/>
      <c r="Z317" s="2465"/>
      <c r="AA317" s="2465"/>
      <c r="AB317" s="2465"/>
      <c r="AC317" s="2465"/>
      <c r="AD317" s="2465"/>
      <c r="AE317" s="2465"/>
      <c r="AF317" s="2465"/>
      <c r="AG317" s="2465"/>
      <c r="AH317" s="53">
        <f t="shared" si="117"/>
        <v>0</v>
      </c>
    </row>
    <row r="318" spans="1:69" s="2622" customFormat="1" ht="15">
      <c r="A318" s="132" t="s">
        <v>79</v>
      </c>
      <c r="B318" s="28">
        <f t="shared" si="116"/>
        <v>0</v>
      </c>
      <c r="C318" s="1287"/>
      <c r="D318" s="1287"/>
      <c r="E318" s="1287"/>
      <c r="F318" s="1287"/>
      <c r="G318" s="1287"/>
      <c r="H318" s="1287"/>
      <c r="I318" s="1287"/>
      <c r="J318" s="1287"/>
      <c r="K318" s="1287"/>
      <c r="L318" s="1287"/>
      <c r="M318" s="1287"/>
      <c r="N318" s="1287"/>
      <c r="O318" s="1287"/>
      <c r="P318" s="1287"/>
      <c r="Q318" s="1287"/>
      <c r="R318" s="1287"/>
      <c r="S318" s="1287"/>
      <c r="T318" s="1287"/>
      <c r="U318" s="1287"/>
      <c r="V318" s="1287"/>
      <c r="W318" s="1287"/>
      <c r="X318" s="1287"/>
      <c r="Y318" s="1287"/>
      <c r="Z318" s="1287"/>
      <c r="AA318" s="1287"/>
      <c r="AB318" s="1287"/>
      <c r="AC318" s="1287"/>
      <c r="AD318" s="1287"/>
      <c r="AE318" s="1287"/>
      <c r="AF318" s="1287"/>
      <c r="AG318" s="1287"/>
      <c r="AH318" s="53">
        <f t="shared" si="117"/>
        <v>0</v>
      </c>
    </row>
    <row r="319" spans="1:69" s="2622" customFormat="1" ht="33">
      <c r="A319" s="132" t="s">
        <v>80</v>
      </c>
      <c r="B319" s="28">
        <f t="shared" si="116"/>
        <v>0</v>
      </c>
      <c r="C319" s="1287"/>
      <c r="D319" s="1287"/>
      <c r="E319" s="1287"/>
      <c r="F319" s="1287"/>
      <c r="G319" s="1287"/>
      <c r="H319" s="1287"/>
      <c r="I319" s="1287"/>
      <c r="J319" s="1287"/>
      <c r="K319" s="1287"/>
      <c r="L319" s="1287"/>
      <c r="M319" s="1287"/>
      <c r="N319" s="1287"/>
      <c r="O319" s="1287"/>
      <c r="P319" s="1287"/>
      <c r="Q319" s="1287"/>
      <c r="R319" s="1287"/>
      <c r="S319" s="1287"/>
      <c r="T319" s="1287"/>
      <c r="U319" s="1287"/>
      <c r="V319" s="1287"/>
      <c r="W319" s="1287"/>
      <c r="X319" s="1287"/>
      <c r="Y319" s="1287"/>
      <c r="Z319" s="1287"/>
      <c r="AA319" s="1287"/>
      <c r="AB319" s="1287"/>
      <c r="AC319" s="1287"/>
      <c r="AD319" s="1287"/>
      <c r="AE319" s="1287"/>
      <c r="AF319" s="1287"/>
      <c r="AG319" s="1287"/>
      <c r="AH319" s="53">
        <f t="shared" si="117"/>
        <v>0</v>
      </c>
      <c r="AJ319" s="3019" t="s">
        <v>1001</v>
      </c>
      <c r="AK319" s="3020"/>
      <c r="AL319" s="3020" t="s">
        <v>1060</v>
      </c>
      <c r="AM319" s="3021"/>
      <c r="AN319" s="3021"/>
      <c r="AO319" s="3080"/>
      <c r="AP319" s="3021"/>
      <c r="AQ319" s="3020" t="s">
        <v>999</v>
      </c>
      <c r="AR319" s="3021"/>
      <c r="AS319" s="3021"/>
      <c r="AT319" s="3021"/>
      <c r="AU319" s="3021"/>
      <c r="AV319" s="3021"/>
      <c r="AW319" s="3021"/>
      <c r="AX319" s="3022" t="s">
        <v>1053</v>
      </c>
      <c r="AY319" s="3021"/>
      <c r="AZ319" s="3021"/>
      <c r="BA319" s="3021"/>
      <c r="BB319" s="3021"/>
      <c r="BC319" s="3021"/>
      <c r="BD319" s="3021"/>
      <c r="BE319" s="3021"/>
      <c r="BF319" s="3021"/>
      <c r="BG319" s="3021"/>
      <c r="BH319" s="3021"/>
      <c r="BI319" s="3021"/>
      <c r="BJ319" s="3021"/>
      <c r="BK319" s="3021"/>
      <c r="BL319" s="3021"/>
      <c r="BM319" s="3021"/>
      <c r="BN319" s="3021"/>
      <c r="BO319" s="3021"/>
      <c r="BP319" s="3021"/>
      <c r="BQ319" s="3021"/>
    </row>
    <row r="320" spans="1:69" s="2622" customFormat="1" ht="15">
      <c r="A320" s="132" t="s">
        <v>81</v>
      </c>
      <c r="B320" s="28">
        <f t="shared" si="116"/>
        <v>0</v>
      </c>
      <c r="C320" s="1287"/>
      <c r="D320" s="1488"/>
      <c r="E320" s="1488"/>
      <c r="F320" s="1488"/>
      <c r="G320" s="1287"/>
      <c r="H320" s="1287"/>
      <c r="I320" s="1287"/>
      <c r="J320" s="1287"/>
      <c r="K320" s="1287"/>
      <c r="L320" s="1287"/>
      <c r="M320" s="1287"/>
      <c r="N320" s="1287"/>
      <c r="O320" s="1287"/>
      <c r="P320" s="1287"/>
      <c r="Q320" s="1287"/>
      <c r="R320" s="1287"/>
      <c r="S320" s="1287"/>
      <c r="T320" s="1287"/>
      <c r="U320" s="1287"/>
      <c r="V320" s="1287"/>
      <c r="W320" s="1287"/>
      <c r="X320" s="1287"/>
      <c r="Y320" s="1287"/>
      <c r="Z320" s="1287"/>
      <c r="AA320" s="1287"/>
      <c r="AB320" s="1287"/>
      <c r="AC320" s="1287"/>
      <c r="AD320" s="1287"/>
      <c r="AE320" s="1287"/>
      <c r="AF320" s="1287"/>
      <c r="AG320" s="1287"/>
      <c r="AH320" s="53">
        <f t="shared" si="117"/>
        <v>0</v>
      </c>
      <c r="AJ320" s="3896" t="s">
        <v>271</v>
      </c>
      <c r="AK320" s="3897"/>
      <c r="AL320" s="3898"/>
      <c r="AM320" s="3023"/>
      <c r="AN320" s="3023"/>
      <c r="AO320" s="3023"/>
      <c r="AP320" s="3023"/>
      <c r="AQ320" s="3023"/>
      <c r="AR320" s="3023"/>
      <c r="AS320" s="3023"/>
      <c r="AT320" s="3023"/>
      <c r="AU320" s="3023"/>
      <c r="AV320" s="3023"/>
      <c r="AW320" s="3023"/>
      <c r="AX320" s="3023"/>
      <c r="AY320" s="3023"/>
      <c r="AZ320" s="3023"/>
      <c r="BA320" s="3023"/>
      <c r="BB320" s="3024"/>
      <c r="BC320" s="3024"/>
      <c r="BD320" s="3024"/>
      <c r="BE320" s="3024"/>
      <c r="BF320" s="3024"/>
      <c r="BG320" s="3024"/>
      <c r="BH320" s="3024"/>
      <c r="BI320" s="3024"/>
      <c r="BJ320" s="3024"/>
      <c r="BK320" s="3024"/>
      <c r="BL320" s="3024"/>
      <c r="BM320" s="3024"/>
      <c r="BN320" s="3024"/>
      <c r="BO320" s="3024"/>
      <c r="BP320" s="3024"/>
      <c r="BQ320" s="3024"/>
    </row>
    <row r="321" spans="1:69" s="2622" customFormat="1" ht="15">
      <c r="A321" s="132" t="s">
        <v>82</v>
      </c>
      <c r="B321" s="28">
        <f t="shared" si="116"/>
        <v>0</v>
      </c>
      <c r="C321" s="1287"/>
      <c r="D321" s="1287"/>
      <c r="E321" s="1287"/>
      <c r="F321" s="1287"/>
      <c r="G321" s="1287"/>
      <c r="H321" s="1287"/>
      <c r="I321" s="1287"/>
      <c r="J321" s="1287"/>
      <c r="K321" s="1287"/>
      <c r="L321" s="1287"/>
      <c r="M321" s="1287"/>
      <c r="N321" s="1287"/>
      <c r="O321" s="1287"/>
      <c r="P321" s="1287"/>
      <c r="Q321" s="1287"/>
      <c r="R321" s="1287"/>
      <c r="S321" s="1287"/>
      <c r="T321" s="1287"/>
      <c r="U321" s="1287"/>
      <c r="V321" s="1287"/>
      <c r="W321" s="1287"/>
      <c r="X321" s="1287"/>
      <c r="Y321" s="1287"/>
      <c r="Z321" s="1287"/>
      <c r="AA321" s="1287"/>
      <c r="AB321" s="1287"/>
      <c r="AC321" s="1287"/>
      <c r="AD321" s="1287"/>
      <c r="AE321" s="1287"/>
      <c r="AF321" s="1287"/>
      <c r="AG321" s="1287"/>
      <c r="AH321" s="53">
        <f t="shared" si="117"/>
        <v>0</v>
      </c>
      <c r="AJ321" s="3025" t="s">
        <v>72</v>
      </c>
      <c r="AK321" s="3026" t="s">
        <v>73</v>
      </c>
      <c r="AL321" s="3027">
        <v>1</v>
      </c>
      <c r="AM321" s="3027">
        <v>2</v>
      </c>
      <c r="AN321" s="3027">
        <v>3</v>
      </c>
      <c r="AO321" s="3027">
        <v>4</v>
      </c>
      <c r="AP321" s="3027">
        <v>5</v>
      </c>
      <c r="AQ321" s="3027">
        <v>6</v>
      </c>
      <c r="AR321" s="3027">
        <v>7</v>
      </c>
      <c r="AS321" s="3027">
        <v>8</v>
      </c>
      <c r="AT321" s="3027">
        <v>9</v>
      </c>
      <c r="AU321" s="3027">
        <v>10</v>
      </c>
      <c r="AV321" s="3027">
        <v>11</v>
      </c>
      <c r="AW321" s="3027">
        <v>12</v>
      </c>
      <c r="AX321" s="3027">
        <v>13</v>
      </c>
      <c r="AY321" s="3027">
        <v>14</v>
      </c>
      <c r="AZ321" s="3027">
        <v>15</v>
      </c>
      <c r="BA321" s="3027">
        <v>16</v>
      </c>
      <c r="BB321" s="3025">
        <v>17</v>
      </c>
      <c r="BC321" s="3025">
        <v>18</v>
      </c>
      <c r="BD321" s="3025">
        <v>19</v>
      </c>
      <c r="BE321" s="3025">
        <v>20</v>
      </c>
      <c r="BF321" s="3025">
        <v>21</v>
      </c>
      <c r="BG321" s="3025">
        <v>22</v>
      </c>
      <c r="BH321" s="3025">
        <v>23</v>
      </c>
      <c r="BI321" s="3025">
        <v>24</v>
      </c>
      <c r="BJ321" s="3025">
        <v>25</v>
      </c>
      <c r="BK321" s="3025">
        <v>26</v>
      </c>
      <c r="BL321" s="3025">
        <v>27</v>
      </c>
      <c r="BM321" s="3025">
        <v>28</v>
      </c>
      <c r="BN321" s="3025">
        <v>29</v>
      </c>
      <c r="BO321" s="3025">
        <v>30</v>
      </c>
      <c r="BP321" s="3025">
        <v>31</v>
      </c>
      <c r="BQ321" s="3028" t="s">
        <v>74</v>
      </c>
    </row>
    <row r="322" spans="1:69" s="2622" customFormat="1" ht="15">
      <c r="A322" s="30" t="s">
        <v>83</v>
      </c>
      <c r="B322" s="28">
        <f t="shared" si="116"/>
        <v>0</v>
      </c>
      <c r="C322" s="1287"/>
      <c r="D322" s="1287"/>
      <c r="E322" s="1287"/>
      <c r="F322" s="1287"/>
      <c r="G322" s="1287"/>
      <c r="H322" s="1287"/>
      <c r="I322" s="1287"/>
      <c r="J322" s="1287"/>
      <c r="K322" s="1287"/>
      <c r="L322" s="1287"/>
      <c r="M322" s="1287"/>
      <c r="N322" s="1287"/>
      <c r="O322" s="1287"/>
      <c r="P322" s="1287"/>
      <c r="Q322" s="1287"/>
      <c r="R322" s="1287"/>
      <c r="S322" s="1287"/>
      <c r="T322" s="1287"/>
      <c r="U322" s="1287"/>
      <c r="V322" s="1287"/>
      <c r="W322" s="1287"/>
      <c r="X322" s="1287"/>
      <c r="Y322" s="1287"/>
      <c r="Z322" s="1287"/>
      <c r="AA322" s="1287"/>
      <c r="AB322" s="1287"/>
      <c r="AC322" s="1287"/>
      <c r="AD322" s="1287"/>
      <c r="AE322" s="1287"/>
      <c r="AF322" s="1287"/>
      <c r="AG322" s="1287"/>
      <c r="AH322" s="53">
        <f t="shared" si="117"/>
        <v>0</v>
      </c>
      <c r="AJ322" s="3025" t="s">
        <v>75</v>
      </c>
      <c r="AK322" s="3026">
        <f t="shared" ref="AK322:AK333" si="118">+BQ322</f>
        <v>0</v>
      </c>
      <c r="AL322" s="3029"/>
      <c r="AM322" s="3029"/>
      <c r="AN322" s="3029"/>
      <c r="AO322" s="3029"/>
      <c r="AP322" s="3029"/>
      <c r="AQ322" s="3029"/>
      <c r="AR322" s="3029"/>
      <c r="AS322" s="3029"/>
      <c r="AT322" s="3029"/>
      <c r="AU322" s="3029"/>
      <c r="AV322" s="3029"/>
      <c r="AW322" s="3029"/>
      <c r="AX322" s="3029"/>
      <c r="AY322" s="3029"/>
      <c r="AZ322" s="3029"/>
      <c r="BA322" s="3029"/>
      <c r="BB322" s="3029"/>
      <c r="BC322" s="3029"/>
      <c r="BD322" s="3029"/>
      <c r="BE322" s="3029"/>
      <c r="BF322" s="3029"/>
      <c r="BG322" s="3029"/>
      <c r="BH322" s="3029"/>
      <c r="BI322" s="3029"/>
      <c r="BJ322" s="3029"/>
      <c r="BK322" s="3029"/>
      <c r="BL322" s="3029"/>
      <c r="BM322" s="3029"/>
      <c r="BN322" s="3029"/>
      <c r="BO322" s="3029"/>
      <c r="BP322" s="3029"/>
      <c r="BQ322" s="3030">
        <f>SUM(AL322:BP322)</f>
        <v>0</v>
      </c>
    </row>
    <row r="323" spans="1:69" s="2622" customFormat="1" ht="15.75" thickBot="1">
      <c r="A323" s="30" t="s">
        <v>84</v>
      </c>
      <c r="B323" s="28">
        <f t="shared" si="116"/>
        <v>0</v>
      </c>
      <c r="C323" s="1287"/>
      <c r="D323" s="1287"/>
      <c r="E323" s="1287"/>
      <c r="F323" s="1287"/>
      <c r="G323" s="1287"/>
      <c r="H323" s="1287"/>
      <c r="I323" s="1287"/>
      <c r="J323" s="1287"/>
      <c r="K323" s="1287"/>
      <c r="L323" s="1287"/>
      <c r="M323" s="1287"/>
      <c r="N323" s="1287"/>
      <c r="O323" s="1287"/>
      <c r="P323" s="1287"/>
      <c r="Q323" s="1287"/>
      <c r="R323" s="1287"/>
      <c r="S323" s="1287"/>
      <c r="T323" s="1287"/>
      <c r="U323" s="1287"/>
      <c r="V323" s="1287"/>
      <c r="W323" s="1287"/>
      <c r="X323" s="1287"/>
      <c r="Y323" s="1287"/>
      <c r="Z323" s="1287"/>
      <c r="AA323" s="1287"/>
      <c r="AB323" s="1287"/>
      <c r="AC323" s="1287"/>
      <c r="AD323" s="1287"/>
      <c r="AE323" s="1488"/>
      <c r="AF323" s="1287"/>
      <c r="AG323" s="1488"/>
      <c r="AH323" s="53">
        <f t="shared" si="117"/>
        <v>0</v>
      </c>
      <c r="AJ323" s="3025" t="s">
        <v>76</v>
      </c>
      <c r="AK323" s="3026">
        <f t="shared" si="118"/>
        <v>0</v>
      </c>
      <c r="AL323" s="3029"/>
      <c r="AM323" s="3029"/>
      <c r="AN323" s="3029"/>
      <c r="AO323" s="3029"/>
      <c r="AP323" s="3029"/>
      <c r="AQ323" s="3029"/>
      <c r="AR323" s="3029"/>
      <c r="AS323" s="3029"/>
      <c r="AT323" s="3029"/>
      <c r="AU323" s="3029"/>
      <c r="AV323" s="3029"/>
      <c r="AW323" s="3029"/>
      <c r="AX323" s="3029"/>
      <c r="AY323" s="3029"/>
      <c r="AZ323" s="3029"/>
      <c r="BA323" s="3029"/>
      <c r="BB323" s="3029"/>
      <c r="BC323" s="3029"/>
      <c r="BD323" s="3029"/>
      <c r="BE323" s="3029"/>
      <c r="BF323" s="3029"/>
      <c r="BG323" s="3029"/>
      <c r="BH323" s="3029"/>
      <c r="BI323" s="3029"/>
      <c r="BJ323" s="3029"/>
      <c r="BK323" s="3029"/>
      <c r="BL323" s="3029"/>
      <c r="BM323" s="3029"/>
      <c r="BN323" s="3029"/>
      <c r="BO323" s="3029"/>
      <c r="BP323" s="3029"/>
      <c r="BQ323" s="3030">
        <f t="shared" ref="BQ323:BQ333" si="119">SUM(AL323:BP323)</f>
        <v>0</v>
      </c>
    </row>
    <row r="324" spans="1:69" s="2622" customFormat="1" ht="15.75" thickBot="1">
      <c r="A324" s="30" t="s">
        <v>85</v>
      </c>
      <c r="B324" s="28">
        <f t="shared" si="116"/>
        <v>0</v>
      </c>
      <c r="C324" s="1287"/>
      <c r="D324" s="1287"/>
      <c r="E324" s="1287"/>
      <c r="F324" s="1287"/>
      <c r="G324" s="1433"/>
      <c r="H324" s="1287"/>
      <c r="I324" s="1287"/>
      <c r="J324" s="1287"/>
      <c r="K324" s="1287"/>
      <c r="L324" s="1287"/>
      <c r="M324" s="1287"/>
      <c r="N324" s="1287"/>
      <c r="O324" s="1287"/>
      <c r="P324" s="1287"/>
      <c r="Q324" s="1287"/>
      <c r="R324" s="1287"/>
      <c r="S324" s="1287"/>
      <c r="T324" s="1287"/>
      <c r="U324" s="1287"/>
      <c r="V324" s="1287"/>
      <c r="W324" s="1287"/>
      <c r="X324" s="1287"/>
      <c r="Y324" s="1287"/>
      <c r="Z324" s="1287"/>
      <c r="AA324" s="1287"/>
      <c r="AB324" s="1287"/>
      <c r="AC324" s="1287"/>
      <c r="AD324" s="1287"/>
      <c r="AE324" s="1488"/>
      <c r="AF324" s="1287"/>
      <c r="AG324" s="1488"/>
      <c r="AH324" s="53">
        <f t="shared" si="117"/>
        <v>0</v>
      </c>
      <c r="AJ324" s="3025" t="s">
        <v>77</v>
      </c>
      <c r="AK324" s="3026">
        <f t="shared" si="118"/>
        <v>0</v>
      </c>
      <c r="AL324" s="3029"/>
      <c r="AM324" s="3029"/>
      <c r="AN324" s="3029"/>
      <c r="AO324" s="3029"/>
      <c r="AP324" s="3029"/>
      <c r="AQ324" s="3031"/>
      <c r="AR324" s="3031"/>
      <c r="AS324" s="3031"/>
      <c r="AT324" s="3031"/>
      <c r="AU324" s="3031"/>
      <c r="AV324" s="3031"/>
      <c r="AW324" s="3031"/>
      <c r="AX324" s="3031"/>
      <c r="AY324" s="3031"/>
      <c r="AZ324" s="3031"/>
      <c r="BA324" s="3032"/>
      <c r="BB324" s="3031"/>
      <c r="BC324" s="3031"/>
      <c r="BD324" s="3031"/>
      <c r="BE324" s="3031"/>
      <c r="BF324" s="3031"/>
      <c r="BG324" s="3031"/>
      <c r="BH324" s="3031"/>
      <c r="BI324" s="3031"/>
      <c r="BJ324" s="3031"/>
      <c r="BK324" s="3031"/>
      <c r="BL324" s="3029"/>
      <c r="BM324" s="3029"/>
      <c r="BN324" s="3029"/>
      <c r="BO324" s="3029"/>
      <c r="BP324" s="3029"/>
      <c r="BQ324" s="3030">
        <f t="shared" si="119"/>
        <v>0</v>
      </c>
    </row>
    <row r="325" spans="1:69" s="2622" customFormat="1" ht="15">
      <c r="A325" s="30" t="s">
        <v>86</v>
      </c>
      <c r="B325" s="28">
        <f t="shared" si="116"/>
        <v>0</v>
      </c>
      <c r="C325" s="1287"/>
      <c r="D325" s="1287"/>
      <c r="E325" s="1287"/>
      <c r="F325" s="1287"/>
      <c r="G325" s="1287"/>
      <c r="H325" s="1287"/>
      <c r="I325" s="1287"/>
      <c r="J325" s="1287"/>
      <c r="K325" s="1287"/>
      <c r="L325" s="1287"/>
      <c r="M325" s="1287"/>
      <c r="N325" s="1287"/>
      <c r="O325" s="1287"/>
      <c r="P325" s="1287"/>
      <c r="Q325" s="1287"/>
      <c r="R325" s="1287"/>
      <c r="S325" s="1287"/>
      <c r="T325" s="1287"/>
      <c r="U325" s="1287"/>
      <c r="V325" s="1287"/>
      <c r="W325" s="1287"/>
      <c r="X325" s="1287"/>
      <c r="Y325" s="1287"/>
      <c r="Z325" s="1287"/>
      <c r="AA325" s="1287"/>
      <c r="AB325" s="1287"/>
      <c r="AC325" s="1287"/>
      <c r="AD325" s="1287"/>
      <c r="AE325" s="1287"/>
      <c r="AF325" s="1287"/>
      <c r="AG325" s="1287"/>
      <c r="AH325" s="53">
        <f t="shared" si="117"/>
        <v>0</v>
      </c>
      <c r="AJ325" s="3025" t="s">
        <v>78</v>
      </c>
      <c r="AK325" s="3026">
        <f t="shared" si="118"/>
        <v>0</v>
      </c>
      <c r="AL325" s="3029"/>
      <c r="AM325" s="3029"/>
      <c r="AN325" s="3029"/>
      <c r="AO325" s="3029"/>
      <c r="AP325" s="3029"/>
      <c r="AQ325" s="3029"/>
      <c r="AR325" s="3029"/>
      <c r="AS325" s="3029"/>
      <c r="AT325" s="3029"/>
      <c r="AU325" s="3033"/>
      <c r="AV325" s="3033"/>
      <c r="AW325" s="3033"/>
      <c r="AX325" s="3033"/>
      <c r="AY325" s="3033"/>
      <c r="AZ325" s="3033"/>
      <c r="BA325" s="3033"/>
      <c r="BB325" s="3033"/>
      <c r="BC325" s="3033"/>
      <c r="BD325" s="3033"/>
      <c r="BE325" s="3033"/>
      <c r="BF325" s="3033"/>
      <c r="BG325" s="3033"/>
      <c r="BH325" s="3033"/>
      <c r="BI325" s="3033"/>
      <c r="BJ325" s="3033"/>
      <c r="BK325" s="3033"/>
      <c r="BL325" s="3033"/>
      <c r="BM325" s="3033"/>
      <c r="BN325" s="3033"/>
      <c r="BO325" s="3033"/>
      <c r="BP325" s="3033"/>
      <c r="BQ325" s="3030">
        <f t="shared" si="119"/>
        <v>0</v>
      </c>
    </row>
    <row r="326" spans="1:69" s="2622" customFormat="1" ht="15">
      <c r="A326" s="88" t="s">
        <v>74</v>
      </c>
      <c r="B326" s="90">
        <f t="shared" ref="B326:R326" si="120">SUM(B314:B325)</f>
        <v>0</v>
      </c>
      <c r="C326" s="71">
        <f t="shared" si="120"/>
        <v>0</v>
      </c>
      <c r="D326" s="71">
        <f t="shared" si="120"/>
        <v>0</v>
      </c>
      <c r="E326" s="71">
        <f t="shared" si="120"/>
        <v>0</v>
      </c>
      <c r="F326" s="71">
        <f t="shared" si="120"/>
        <v>0</v>
      </c>
      <c r="G326" s="71">
        <f t="shared" si="120"/>
        <v>0</v>
      </c>
      <c r="H326" s="71">
        <f t="shared" si="120"/>
        <v>0</v>
      </c>
      <c r="I326" s="71">
        <f t="shared" si="120"/>
        <v>0</v>
      </c>
      <c r="J326" s="71">
        <f t="shared" si="120"/>
        <v>0</v>
      </c>
      <c r="K326" s="71">
        <f t="shared" si="120"/>
        <v>0</v>
      </c>
      <c r="L326" s="71">
        <f t="shared" si="120"/>
        <v>0</v>
      </c>
      <c r="M326" s="71">
        <f t="shared" si="120"/>
        <v>0</v>
      </c>
      <c r="N326" s="71">
        <f t="shared" si="120"/>
        <v>0</v>
      </c>
      <c r="O326" s="71">
        <f t="shared" si="120"/>
        <v>0</v>
      </c>
      <c r="P326" s="71">
        <f t="shared" si="120"/>
        <v>0</v>
      </c>
      <c r="Q326" s="71">
        <f t="shared" si="120"/>
        <v>0</v>
      </c>
      <c r="R326" s="71">
        <f t="shared" si="120"/>
        <v>0</v>
      </c>
      <c r="S326" s="53">
        <f t="shared" ref="S326:AC326" si="121">SUM(S314:S324)</f>
        <v>0</v>
      </c>
      <c r="T326" s="53">
        <f t="shared" si="121"/>
        <v>0</v>
      </c>
      <c r="U326" s="53">
        <f t="shared" si="121"/>
        <v>0</v>
      </c>
      <c r="V326" s="53">
        <f t="shared" si="121"/>
        <v>0</v>
      </c>
      <c r="W326" s="53">
        <f t="shared" si="121"/>
        <v>0</v>
      </c>
      <c r="X326" s="53">
        <f t="shared" si="121"/>
        <v>0</v>
      </c>
      <c r="Y326" s="53">
        <f t="shared" si="121"/>
        <v>0</v>
      </c>
      <c r="Z326" s="53">
        <f t="shared" si="121"/>
        <v>0</v>
      </c>
      <c r="AA326" s="53">
        <f t="shared" si="121"/>
        <v>0</v>
      </c>
      <c r="AB326" s="53">
        <f t="shared" si="121"/>
        <v>0</v>
      </c>
      <c r="AC326" s="53">
        <f t="shared" si="121"/>
        <v>0</v>
      </c>
      <c r="AD326" s="53">
        <v>0</v>
      </c>
      <c r="AE326" s="53">
        <f>SUM(AE314:AE324)</f>
        <v>0</v>
      </c>
      <c r="AF326" s="53">
        <f>SUM(AF314:AF324)</f>
        <v>0</v>
      </c>
      <c r="AG326" s="53">
        <f>SUM(AG314:AG324)</f>
        <v>0</v>
      </c>
      <c r="AH326" s="46">
        <f>SUM(AH314:AH324)</f>
        <v>0</v>
      </c>
      <c r="AJ326" s="3025" t="s">
        <v>79</v>
      </c>
      <c r="AK326" s="3026">
        <f t="shared" si="118"/>
        <v>0</v>
      </c>
      <c r="AL326" s="3031"/>
      <c r="AM326" s="3031"/>
      <c r="AN326" s="3031"/>
      <c r="AO326" s="3031"/>
      <c r="AP326" s="3031"/>
      <c r="AQ326" s="3031"/>
      <c r="AR326" s="3031"/>
      <c r="AS326" s="3031"/>
      <c r="AT326" s="3031"/>
      <c r="AU326" s="3031"/>
      <c r="AV326" s="3031"/>
      <c r="AW326" s="3031"/>
      <c r="AX326" s="3031"/>
      <c r="AY326" s="3031"/>
      <c r="AZ326" s="3031"/>
      <c r="BA326" s="3031"/>
      <c r="BB326" s="3031"/>
      <c r="BC326" s="3031"/>
      <c r="BD326" s="3031"/>
      <c r="BE326" s="3031"/>
      <c r="BF326" s="3031"/>
      <c r="BG326" s="3031"/>
      <c r="BH326" s="3031"/>
      <c r="BI326" s="3031"/>
      <c r="BJ326" s="3031"/>
      <c r="BK326" s="3031"/>
      <c r="BL326" s="3031"/>
      <c r="BM326" s="3031"/>
      <c r="BN326" s="3031"/>
      <c r="BO326" s="3031"/>
      <c r="BP326" s="3031"/>
      <c r="BQ326" s="3030">
        <f t="shared" si="119"/>
        <v>0</v>
      </c>
    </row>
    <row r="327" spans="1:69" s="2622" customFormat="1" ht="15">
      <c r="A327" s="2187"/>
      <c r="B327" s="2187"/>
      <c r="C327" s="2187"/>
      <c r="D327" s="2187"/>
      <c r="E327" s="2187"/>
      <c r="F327" s="2187"/>
      <c r="G327" s="2187"/>
      <c r="H327" s="2187"/>
      <c r="I327" s="2187"/>
      <c r="J327" s="2187"/>
      <c r="K327" s="2187"/>
      <c r="L327" s="2187"/>
      <c r="M327" s="2187"/>
      <c r="N327" s="2187"/>
      <c r="O327" s="2187"/>
      <c r="P327" s="2187"/>
      <c r="Q327" s="2187"/>
      <c r="R327" s="2187"/>
      <c r="S327" s="2187"/>
      <c r="T327" s="2187"/>
      <c r="U327" s="2187"/>
      <c r="V327" s="2187"/>
      <c r="W327" s="2187"/>
      <c r="X327" s="2187"/>
      <c r="Y327" s="2187"/>
      <c r="Z327" s="2187"/>
      <c r="AA327" s="2187"/>
      <c r="AB327" s="2187"/>
      <c r="AC327" s="2187"/>
      <c r="AD327" s="2187"/>
      <c r="AE327" s="2187"/>
      <c r="AF327" s="2187"/>
      <c r="AG327" s="2187"/>
      <c r="AH327" s="2187"/>
      <c r="AJ327" s="3025" t="s">
        <v>80</v>
      </c>
      <c r="AK327" s="3026">
        <f t="shared" si="118"/>
        <v>0</v>
      </c>
      <c r="AL327" s="3031"/>
      <c r="AM327" s="3031"/>
      <c r="AN327" s="3031"/>
      <c r="AO327" s="3031"/>
      <c r="AP327" s="3031"/>
      <c r="AQ327" s="3031"/>
      <c r="AR327" s="3031"/>
      <c r="AS327" s="3031"/>
      <c r="AT327" s="3031"/>
      <c r="AU327" s="3031"/>
      <c r="AV327" s="3031"/>
      <c r="AW327" s="3031"/>
      <c r="AX327" s="3031"/>
      <c r="AY327" s="3031"/>
      <c r="AZ327" s="3031"/>
      <c r="BA327" s="3031"/>
      <c r="BB327" s="3031"/>
      <c r="BC327" s="3031"/>
      <c r="BD327" s="3031"/>
      <c r="BE327" s="3031"/>
      <c r="BF327" s="3031"/>
      <c r="BG327" s="3031"/>
      <c r="BH327" s="3031"/>
      <c r="BI327" s="3031"/>
      <c r="BJ327" s="3031"/>
      <c r="BK327" s="3031"/>
      <c r="BL327" s="3031"/>
      <c r="BM327" s="3031"/>
      <c r="BN327" s="3031"/>
      <c r="BO327" s="3031"/>
      <c r="BP327" s="3031"/>
      <c r="BQ327" s="3030">
        <f t="shared" si="119"/>
        <v>0</v>
      </c>
    </row>
    <row r="328" spans="1:69" s="2622" customFormat="1" ht="15.75" thickBot="1">
      <c r="A328" s="2187"/>
      <c r="B328" s="2187"/>
      <c r="C328" s="2187"/>
      <c r="D328" s="2187"/>
      <c r="E328" s="2187"/>
      <c r="F328" s="2187"/>
      <c r="G328" s="2187"/>
      <c r="H328" s="2187"/>
      <c r="I328" s="2187"/>
      <c r="J328" s="2187"/>
      <c r="K328" s="2187"/>
      <c r="L328" s="2187"/>
      <c r="M328" s="2187"/>
      <c r="N328" s="2187"/>
      <c r="O328" s="2187"/>
      <c r="P328" s="2187"/>
      <c r="Q328" s="2187"/>
      <c r="R328" s="2187"/>
      <c r="S328" s="2187"/>
      <c r="T328" s="2187"/>
      <c r="U328" s="2187"/>
      <c r="V328" s="2187"/>
      <c r="W328" s="2187"/>
      <c r="X328" s="2187"/>
      <c r="Y328" s="2187"/>
      <c r="Z328" s="2187"/>
      <c r="AA328" s="2187"/>
      <c r="AB328" s="2187"/>
      <c r="AC328" s="2187"/>
      <c r="AD328" s="2187"/>
      <c r="AE328" s="2187"/>
      <c r="AF328" s="2187"/>
      <c r="AG328" s="2187"/>
      <c r="AH328" s="2187"/>
      <c r="AJ328" s="3025" t="s">
        <v>81</v>
      </c>
      <c r="AK328" s="3026">
        <f t="shared" si="118"/>
        <v>0</v>
      </c>
      <c r="AL328" s="3031"/>
      <c r="AM328" s="3030"/>
      <c r="AN328" s="3030"/>
      <c r="AO328" s="3030"/>
      <c r="AP328" s="3031"/>
      <c r="AQ328" s="3031"/>
      <c r="AR328" s="3031"/>
      <c r="AS328" s="3031"/>
      <c r="AT328" s="3031"/>
      <c r="AU328" s="3031"/>
      <c r="AV328" s="3031"/>
      <c r="AW328" s="3031"/>
      <c r="AX328" s="3031"/>
      <c r="AY328" s="3031"/>
      <c r="AZ328" s="3031"/>
      <c r="BA328" s="3031"/>
      <c r="BB328" s="3031"/>
      <c r="BC328" s="3031"/>
      <c r="BD328" s="3031"/>
      <c r="BE328" s="3031"/>
      <c r="BF328" s="3031"/>
      <c r="BG328" s="3031"/>
      <c r="BH328" s="3031"/>
      <c r="BI328" s="3031"/>
      <c r="BJ328" s="3031"/>
      <c r="BK328" s="3031"/>
      <c r="BL328" s="3031"/>
      <c r="BM328" s="3031"/>
      <c r="BN328" s="3031"/>
      <c r="BO328" s="3031"/>
      <c r="BP328" s="3031"/>
      <c r="BQ328" s="3030">
        <f t="shared" si="119"/>
        <v>0</v>
      </c>
    </row>
    <row r="329" spans="1:69" s="2622" customFormat="1" ht="16.5" thickBot="1">
      <c r="A329" s="2477" t="s">
        <v>996</v>
      </c>
      <c r="B329" s="2478"/>
      <c r="C329" s="2478"/>
      <c r="D329" s="2478"/>
      <c r="E329" s="2478"/>
      <c r="F329" s="3810" t="s">
        <v>155</v>
      </c>
      <c r="G329" s="3811"/>
      <c r="H329" s="3812"/>
      <c r="I329" s="3810" t="s">
        <v>156</v>
      </c>
      <c r="J329" s="3813"/>
      <c r="K329" s="3814" t="s">
        <v>912</v>
      </c>
      <c r="L329" s="3814" t="s">
        <v>913</v>
      </c>
      <c r="AJ329" s="3025" t="s">
        <v>82</v>
      </c>
      <c r="AK329" s="3026">
        <f t="shared" si="118"/>
        <v>0</v>
      </c>
      <c r="AL329" s="3031"/>
      <c r="AM329" s="3031"/>
      <c r="AN329" s="3031"/>
      <c r="AO329" s="3031"/>
      <c r="AP329" s="3031"/>
      <c r="AQ329" s="3031"/>
      <c r="AR329" s="3031"/>
      <c r="AS329" s="3031"/>
      <c r="AT329" s="3031"/>
      <c r="AU329" s="3031"/>
      <c r="AV329" s="3031"/>
      <c r="AW329" s="3031"/>
      <c r="AX329" s="3031"/>
      <c r="AY329" s="3031"/>
      <c r="AZ329" s="3031"/>
      <c r="BA329" s="3031"/>
      <c r="BB329" s="3031"/>
      <c r="BC329" s="3031"/>
      <c r="BD329" s="3031"/>
      <c r="BE329" s="3031"/>
      <c r="BF329" s="3031"/>
      <c r="BG329" s="3031"/>
      <c r="BH329" s="3031"/>
      <c r="BI329" s="3031"/>
      <c r="BJ329" s="3031"/>
      <c r="BK329" s="3031"/>
      <c r="BL329" s="3031"/>
      <c r="BM329" s="3031"/>
      <c r="BN329" s="3031"/>
      <c r="BO329" s="3031"/>
      <c r="BP329" s="3031"/>
      <c r="BQ329" s="3030">
        <f t="shared" si="119"/>
        <v>0</v>
      </c>
    </row>
    <row r="330" spans="1:69" s="2622" customFormat="1" ht="15.75" thickBot="1">
      <c r="A330" s="2479" t="s">
        <v>158</v>
      </c>
      <c r="B330" s="2480" t="s">
        <v>159</v>
      </c>
      <c r="C330" s="2481" t="s">
        <v>136</v>
      </c>
      <c r="D330" s="2482" t="s">
        <v>134</v>
      </c>
      <c r="E330" s="2480" t="s">
        <v>160</v>
      </c>
      <c r="F330" s="2483" t="s">
        <v>8</v>
      </c>
      <c r="G330" s="2484" t="s">
        <v>161</v>
      </c>
      <c r="H330" s="2485" t="s">
        <v>52</v>
      </c>
      <c r="I330" s="2483" t="s">
        <v>8</v>
      </c>
      <c r="J330" s="2486" t="s">
        <v>162</v>
      </c>
      <c r="K330" s="3815"/>
      <c r="L330" s="3815"/>
      <c r="AJ330" s="3025" t="s">
        <v>83</v>
      </c>
      <c r="AK330" s="3026">
        <f t="shared" si="118"/>
        <v>0</v>
      </c>
      <c r="AL330" s="3031"/>
      <c r="AM330" s="3031"/>
      <c r="AN330" s="3031"/>
      <c r="AO330" s="3031"/>
      <c r="AP330" s="3031"/>
      <c r="AQ330" s="3031"/>
      <c r="AR330" s="3031"/>
      <c r="AS330" s="3031"/>
      <c r="AT330" s="3031"/>
      <c r="AU330" s="3031"/>
      <c r="AV330" s="3031"/>
      <c r="AW330" s="3031"/>
      <c r="AX330" s="3031"/>
      <c r="AY330" s="3031"/>
      <c r="AZ330" s="3031"/>
      <c r="BA330" s="3031"/>
      <c r="BB330" s="3031"/>
      <c r="BC330" s="3031"/>
      <c r="BD330" s="3031"/>
      <c r="BE330" s="3031"/>
      <c r="BF330" s="3031"/>
      <c r="BG330" s="3031"/>
      <c r="BH330" s="3031"/>
      <c r="BI330" s="3031"/>
      <c r="BJ330" s="3031"/>
      <c r="BK330" s="3031"/>
      <c r="BL330" s="3031"/>
      <c r="BM330" s="3031"/>
      <c r="BN330" s="3031"/>
      <c r="BO330" s="3031"/>
      <c r="BP330" s="3031"/>
      <c r="BQ330" s="3030">
        <f t="shared" si="119"/>
        <v>0</v>
      </c>
    </row>
    <row r="331" spans="1:69" s="2622" customFormat="1" ht="15.75" thickBot="1">
      <c r="A331" s="1339"/>
      <c r="B331" s="1340"/>
      <c r="C331" s="1341"/>
      <c r="D331" s="1342"/>
      <c r="E331" s="1343"/>
      <c r="F331" s="1339"/>
      <c r="G331" s="1342">
        <v>680</v>
      </c>
      <c r="H331" s="1344">
        <f>SUM(F331:G331)</f>
        <v>680</v>
      </c>
      <c r="I331" s="1345"/>
      <c r="J331" s="1346">
        <f>(B326)</f>
        <v>0</v>
      </c>
      <c r="K331" s="1347">
        <f>+F331-I331</f>
        <v>0</v>
      </c>
      <c r="L331" s="1347">
        <f>+G331-J331</f>
        <v>680</v>
      </c>
      <c r="AJ331" s="3025" t="s">
        <v>84</v>
      </c>
      <c r="AK331" s="3026">
        <f t="shared" si="118"/>
        <v>0</v>
      </c>
      <c r="AL331" s="3031"/>
      <c r="AM331" s="3031"/>
      <c r="AN331" s="3031"/>
      <c r="AO331" s="3031"/>
      <c r="AP331" s="3031"/>
      <c r="AQ331" s="3031"/>
      <c r="AR331" s="3031"/>
      <c r="AS331" s="3031"/>
      <c r="AT331" s="3031"/>
      <c r="AU331" s="3031"/>
      <c r="AV331" s="3031"/>
      <c r="AW331" s="3031"/>
      <c r="AX331" s="3031"/>
      <c r="AY331" s="3031"/>
      <c r="AZ331" s="3031"/>
      <c r="BA331" s="3031"/>
      <c r="BB331" s="3031"/>
      <c r="BC331" s="3031"/>
      <c r="BD331" s="3031"/>
      <c r="BE331" s="3031"/>
      <c r="BF331" s="3031"/>
      <c r="BG331" s="3031"/>
      <c r="BH331" s="3031"/>
      <c r="BI331" s="3031"/>
      <c r="BJ331" s="3031"/>
      <c r="BK331" s="3031"/>
      <c r="BL331" s="3031"/>
      <c r="BM331" s="3031"/>
      <c r="BN331" s="3030"/>
      <c r="BO331" s="3031"/>
      <c r="BP331" s="3030"/>
      <c r="BQ331" s="3030">
        <f t="shared" si="119"/>
        <v>0</v>
      </c>
    </row>
    <row r="332" spans="1:69" s="2622" customFormat="1" ht="15.75" thickBot="1">
      <c r="A332" s="1339"/>
      <c r="B332" s="1340"/>
      <c r="C332" s="1341"/>
      <c r="D332" s="1342"/>
      <c r="E332" s="1343"/>
      <c r="F332" s="1339"/>
      <c r="G332" s="1342"/>
      <c r="H332" s="1344">
        <f>SUM(F332:G332)</f>
        <v>0</v>
      </c>
      <c r="I332" s="1345"/>
      <c r="J332" s="1346"/>
      <c r="K332" s="1347">
        <f>+H332-I332-J332</f>
        <v>0</v>
      </c>
      <c r="L332" s="1347">
        <f>+I332-J332-K332</f>
        <v>0</v>
      </c>
      <c r="AJ332" s="3025" t="s">
        <v>85</v>
      </c>
      <c r="AK332" s="3026">
        <f t="shared" si="118"/>
        <v>0</v>
      </c>
      <c r="AL332" s="3031"/>
      <c r="AM332" s="3031"/>
      <c r="AN332" s="3031"/>
      <c r="AO332" s="3031"/>
      <c r="AP332" s="3034"/>
      <c r="AQ332" s="3031"/>
      <c r="AR332" s="3031"/>
      <c r="AS332" s="3031"/>
      <c r="AT332" s="3031"/>
      <c r="AU332" s="3031"/>
      <c r="AV332" s="3031"/>
      <c r="AW332" s="3031"/>
      <c r="AX332" s="3031"/>
      <c r="AY332" s="3031"/>
      <c r="AZ332" s="3031"/>
      <c r="BA332" s="3031"/>
      <c r="BB332" s="3031"/>
      <c r="BC332" s="3031"/>
      <c r="BD332" s="3031"/>
      <c r="BE332" s="3031"/>
      <c r="BF332" s="3031"/>
      <c r="BG332" s="3031"/>
      <c r="BH332" s="3031"/>
      <c r="BI332" s="3031"/>
      <c r="BJ332" s="3031"/>
      <c r="BK332" s="3031"/>
      <c r="BL332" s="3031"/>
      <c r="BM332" s="3031"/>
      <c r="BN332" s="3030"/>
      <c r="BO332" s="3031"/>
      <c r="BP332" s="3030"/>
      <c r="BQ332" s="3030">
        <f t="shared" si="119"/>
        <v>0</v>
      </c>
    </row>
    <row r="333" spans="1:69" ht="15">
      <c r="AJ333" s="3025" t="s">
        <v>86</v>
      </c>
      <c r="AK333" s="3026">
        <f t="shared" si="118"/>
        <v>0</v>
      </c>
      <c r="AL333" s="3031"/>
      <c r="AM333" s="3031"/>
      <c r="AN333" s="3031"/>
      <c r="AO333" s="3031"/>
      <c r="AP333" s="3031"/>
      <c r="AQ333" s="3031"/>
      <c r="AR333" s="3031"/>
      <c r="AS333" s="3031"/>
      <c r="AT333" s="3031"/>
      <c r="AU333" s="3031"/>
      <c r="AV333" s="3031"/>
      <c r="AW333" s="3031"/>
      <c r="AX333" s="3031"/>
      <c r="AY333" s="3031"/>
      <c r="AZ333" s="3031"/>
      <c r="BA333" s="3031"/>
      <c r="BB333" s="3031"/>
      <c r="BC333" s="3031"/>
      <c r="BD333" s="3031"/>
      <c r="BE333" s="3031"/>
      <c r="BF333" s="3031"/>
      <c r="BG333" s="3031"/>
      <c r="BH333" s="3031"/>
      <c r="BI333" s="3031"/>
      <c r="BJ333" s="3031"/>
      <c r="BK333" s="3031"/>
      <c r="BL333" s="3031"/>
      <c r="BM333" s="3031"/>
      <c r="BN333" s="3031"/>
      <c r="BO333" s="3031"/>
      <c r="BP333" s="3031"/>
      <c r="BQ333" s="3030">
        <f t="shared" si="119"/>
        <v>0</v>
      </c>
    </row>
    <row r="334" spans="1:69" s="2622" customFormat="1" ht="15">
      <c r="AJ334" s="3035" t="s">
        <v>74</v>
      </c>
      <c r="AK334" s="3036">
        <f t="shared" ref="AK334:BA334" si="122">SUM(AK322:AK333)</f>
        <v>0</v>
      </c>
      <c r="AL334" s="3026">
        <f t="shared" si="122"/>
        <v>0</v>
      </c>
      <c r="AM334" s="3026">
        <f t="shared" si="122"/>
        <v>0</v>
      </c>
      <c r="AN334" s="3026">
        <f t="shared" si="122"/>
        <v>0</v>
      </c>
      <c r="AO334" s="3026">
        <f t="shared" si="122"/>
        <v>0</v>
      </c>
      <c r="AP334" s="3026">
        <f t="shared" si="122"/>
        <v>0</v>
      </c>
      <c r="AQ334" s="3026">
        <f t="shared" si="122"/>
        <v>0</v>
      </c>
      <c r="AR334" s="3026">
        <f t="shared" si="122"/>
        <v>0</v>
      </c>
      <c r="AS334" s="3026">
        <f t="shared" si="122"/>
        <v>0</v>
      </c>
      <c r="AT334" s="3026">
        <f t="shared" si="122"/>
        <v>0</v>
      </c>
      <c r="AU334" s="3026">
        <f t="shared" si="122"/>
        <v>0</v>
      </c>
      <c r="AV334" s="3026">
        <f t="shared" si="122"/>
        <v>0</v>
      </c>
      <c r="AW334" s="3026">
        <f t="shared" si="122"/>
        <v>0</v>
      </c>
      <c r="AX334" s="3026">
        <f t="shared" si="122"/>
        <v>0</v>
      </c>
      <c r="AY334" s="3026">
        <f t="shared" si="122"/>
        <v>0</v>
      </c>
      <c r="AZ334" s="3026">
        <f t="shared" si="122"/>
        <v>0</v>
      </c>
      <c r="BA334" s="3026">
        <f t="shared" si="122"/>
        <v>0</v>
      </c>
      <c r="BB334" s="3030">
        <f t="shared" ref="BB334:BL334" si="123">SUM(BB322:BB332)</f>
        <v>0</v>
      </c>
      <c r="BC334" s="3030">
        <f t="shared" si="123"/>
        <v>0</v>
      </c>
      <c r="BD334" s="3030">
        <f t="shared" si="123"/>
        <v>0</v>
      </c>
      <c r="BE334" s="3030">
        <f t="shared" si="123"/>
        <v>0</v>
      </c>
      <c r="BF334" s="3030">
        <f t="shared" si="123"/>
        <v>0</v>
      </c>
      <c r="BG334" s="3030">
        <f t="shared" si="123"/>
        <v>0</v>
      </c>
      <c r="BH334" s="3030">
        <f t="shared" si="123"/>
        <v>0</v>
      </c>
      <c r="BI334" s="3030">
        <f t="shared" si="123"/>
        <v>0</v>
      </c>
      <c r="BJ334" s="3030">
        <f t="shared" si="123"/>
        <v>0</v>
      </c>
      <c r="BK334" s="3030">
        <f t="shared" si="123"/>
        <v>0</v>
      </c>
      <c r="BL334" s="3030">
        <f t="shared" si="123"/>
        <v>0</v>
      </c>
      <c r="BM334" s="3030">
        <v>0</v>
      </c>
      <c r="BN334" s="3030">
        <f>SUM(BN322:BN332)</f>
        <v>0</v>
      </c>
      <c r="BO334" s="3030">
        <f>SUM(BO322:BO332)</f>
        <v>0</v>
      </c>
      <c r="BP334" s="3030">
        <f>SUM(BP322:BP332)</f>
        <v>0</v>
      </c>
      <c r="BQ334" s="3030">
        <f>SUM(BQ322:BQ332)</f>
        <v>0</v>
      </c>
    </row>
    <row r="335" spans="1:69" s="2622" customFormat="1" ht="33">
      <c r="A335" s="2855" t="s">
        <v>299</v>
      </c>
      <c r="B335" s="2856"/>
      <c r="C335" s="2856" t="s">
        <v>997</v>
      </c>
      <c r="D335" s="2857"/>
      <c r="E335" s="2857"/>
      <c r="F335" s="2857"/>
      <c r="G335" s="2857"/>
      <c r="H335" s="2856" t="s">
        <v>999</v>
      </c>
      <c r="I335" s="2857"/>
      <c r="J335" s="2857"/>
      <c r="K335" s="2857"/>
      <c r="L335" s="2857"/>
      <c r="M335" s="2857"/>
      <c r="N335" s="2857"/>
      <c r="O335" s="3016" t="s">
        <v>1054</v>
      </c>
      <c r="P335" s="1933"/>
      <c r="Q335" s="3080"/>
      <c r="R335" s="2857"/>
      <c r="S335" s="2857"/>
      <c r="T335" s="2857"/>
      <c r="U335" s="2857"/>
      <c r="V335" s="2857"/>
      <c r="W335" s="2857"/>
      <c r="X335" s="2857"/>
      <c r="Y335" s="2857"/>
      <c r="Z335" s="2857"/>
      <c r="AA335" s="2857"/>
      <c r="AB335" s="2857"/>
      <c r="AC335" s="2857"/>
      <c r="AD335" s="2857"/>
      <c r="AE335" s="2857"/>
      <c r="AF335" s="2857"/>
      <c r="AG335" s="2857"/>
      <c r="AH335" s="2857"/>
      <c r="AJ335" s="3021"/>
      <c r="AK335" s="3021"/>
      <c r="AL335" s="3021"/>
      <c r="AM335" s="3021"/>
      <c r="AN335" s="3021"/>
      <c r="AO335" s="3021"/>
      <c r="AP335" s="3021"/>
      <c r="AQ335" s="3021"/>
      <c r="AR335" s="3021"/>
      <c r="AS335" s="3021"/>
      <c r="AT335" s="3021"/>
      <c r="AU335" s="3021"/>
      <c r="AV335" s="3021"/>
      <c r="AW335" s="3021"/>
      <c r="AX335" s="3021"/>
      <c r="AY335" s="3021"/>
      <c r="AZ335" s="3021"/>
      <c r="BA335" s="3021"/>
      <c r="BB335" s="3021"/>
      <c r="BC335" s="3021"/>
      <c r="BD335" s="3021"/>
      <c r="BE335" s="3021"/>
      <c r="BF335" s="3021"/>
      <c r="BG335" s="3021"/>
      <c r="BH335" s="3021"/>
      <c r="BI335" s="3021"/>
      <c r="BJ335" s="3021"/>
      <c r="BK335" s="3021"/>
      <c r="BL335" s="3021"/>
      <c r="BM335" s="3021"/>
      <c r="BN335" s="3021"/>
      <c r="BO335" s="3021"/>
      <c r="BP335" s="3021"/>
      <c r="BQ335" s="3021"/>
    </row>
    <row r="336" spans="1:69" s="2622" customFormat="1" ht="15.75" thickBot="1">
      <c r="A336" s="3877" t="s">
        <v>271</v>
      </c>
      <c r="B336" s="3878"/>
      <c r="C336" s="3879"/>
      <c r="D336" s="2858"/>
      <c r="E336" s="2858"/>
      <c r="F336" s="2858"/>
      <c r="G336" s="2858"/>
      <c r="H336" s="2858"/>
      <c r="I336" s="2858"/>
      <c r="J336" s="2858"/>
      <c r="K336" s="2858"/>
      <c r="L336" s="2858"/>
      <c r="M336" s="2858"/>
      <c r="N336" s="2858"/>
      <c r="O336" s="2858"/>
      <c r="P336" s="2858"/>
      <c r="Q336" s="2858"/>
      <c r="R336" s="2858"/>
      <c r="S336" s="2859"/>
      <c r="T336" s="2859"/>
      <c r="U336" s="2859"/>
      <c r="V336" s="2859"/>
      <c r="W336" s="2859"/>
      <c r="X336" s="2859"/>
      <c r="Y336" s="2859"/>
      <c r="Z336" s="2859"/>
      <c r="AA336" s="2859"/>
      <c r="AB336" s="2859"/>
      <c r="AC336" s="2859"/>
      <c r="AD336" s="2859"/>
      <c r="AE336" s="2859"/>
      <c r="AF336" s="2859"/>
      <c r="AG336" s="2859"/>
      <c r="AH336" s="2859"/>
      <c r="AJ336" s="3021"/>
      <c r="AK336" s="3021"/>
      <c r="AL336" s="3021"/>
      <c r="AM336" s="3021"/>
      <c r="AN336" s="3021"/>
      <c r="AO336" s="3021"/>
      <c r="AP336" s="3021"/>
      <c r="AQ336" s="3021"/>
      <c r="AR336" s="3021"/>
      <c r="AS336" s="3021"/>
      <c r="AT336" s="3021"/>
      <c r="AU336" s="3021"/>
      <c r="AV336" s="3021"/>
      <c r="AW336" s="3021"/>
      <c r="AX336" s="3021"/>
      <c r="AY336" s="3021"/>
      <c r="AZ336" s="3021"/>
      <c r="BA336" s="3021"/>
      <c r="BB336" s="3021"/>
      <c r="BC336" s="3021"/>
      <c r="BD336" s="3021"/>
      <c r="BE336" s="3021"/>
      <c r="BF336" s="3021"/>
      <c r="BG336" s="3021"/>
      <c r="BH336" s="3021"/>
      <c r="BI336" s="3021"/>
      <c r="BJ336" s="3021"/>
      <c r="BK336" s="3021"/>
      <c r="BL336" s="3021"/>
      <c r="BM336" s="3021"/>
      <c r="BN336" s="3021"/>
      <c r="BO336" s="3021"/>
      <c r="BP336" s="3021"/>
      <c r="BQ336" s="3021"/>
    </row>
    <row r="337" spans="1:69" s="2622" customFormat="1" ht="16.5" thickBot="1">
      <c r="A337" s="2860" t="s">
        <v>72</v>
      </c>
      <c r="B337" s="2861" t="s">
        <v>73</v>
      </c>
      <c r="C337" s="2862">
        <v>1</v>
      </c>
      <c r="D337" s="2862">
        <v>2</v>
      </c>
      <c r="E337" s="2862">
        <v>3</v>
      </c>
      <c r="F337" s="2862">
        <v>4</v>
      </c>
      <c r="G337" s="2862">
        <v>5</v>
      </c>
      <c r="H337" s="2862">
        <v>6</v>
      </c>
      <c r="I337" s="2862">
        <v>7</v>
      </c>
      <c r="J337" s="2862">
        <v>8</v>
      </c>
      <c r="K337" s="2862">
        <v>9</v>
      </c>
      <c r="L337" s="2862">
        <v>10</v>
      </c>
      <c r="M337" s="2862">
        <v>11</v>
      </c>
      <c r="N337" s="2862">
        <v>12</v>
      </c>
      <c r="O337" s="2862">
        <v>13</v>
      </c>
      <c r="P337" s="2862">
        <v>14</v>
      </c>
      <c r="Q337" s="2862">
        <v>15</v>
      </c>
      <c r="R337" s="2862">
        <v>16</v>
      </c>
      <c r="S337" s="2860">
        <v>17</v>
      </c>
      <c r="T337" s="2860">
        <v>18</v>
      </c>
      <c r="U337" s="2860">
        <v>19</v>
      </c>
      <c r="V337" s="2860">
        <v>20</v>
      </c>
      <c r="W337" s="2860">
        <v>21</v>
      </c>
      <c r="X337" s="2860">
        <v>22</v>
      </c>
      <c r="Y337" s="2860">
        <v>23</v>
      </c>
      <c r="Z337" s="2860">
        <v>24</v>
      </c>
      <c r="AA337" s="2860">
        <v>25</v>
      </c>
      <c r="AB337" s="2860">
        <v>26</v>
      </c>
      <c r="AC337" s="2860">
        <v>27</v>
      </c>
      <c r="AD337" s="2860">
        <v>28</v>
      </c>
      <c r="AE337" s="2860">
        <v>29</v>
      </c>
      <c r="AF337" s="2860">
        <v>30</v>
      </c>
      <c r="AG337" s="2860">
        <v>31</v>
      </c>
      <c r="AH337" s="2863" t="s">
        <v>74</v>
      </c>
      <c r="AJ337" s="3037" t="s">
        <v>1005</v>
      </c>
      <c r="AK337" s="3038"/>
      <c r="AL337" s="3038"/>
      <c r="AM337" s="3038"/>
      <c r="AN337" s="3038"/>
      <c r="AO337" s="3899" t="s">
        <v>155</v>
      </c>
      <c r="AP337" s="3900"/>
      <c r="AQ337" s="3901"/>
      <c r="AR337" s="3899" t="s">
        <v>156</v>
      </c>
      <c r="AS337" s="3902"/>
      <c r="AT337" s="3903" t="s">
        <v>912</v>
      </c>
      <c r="AU337" s="3903" t="s">
        <v>913</v>
      </c>
      <c r="AV337" s="3021"/>
      <c r="AW337" s="3021"/>
      <c r="AX337" s="3021"/>
      <c r="AY337" s="3021"/>
      <c r="AZ337" s="3021"/>
      <c r="BA337" s="3021"/>
      <c r="BB337" s="3021"/>
      <c r="BC337" s="3021"/>
      <c r="BD337" s="3021"/>
      <c r="BE337" s="3021"/>
      <c r="BF337" s="3021"/>
      <c r="BG337" s="3021"/>
      <c r="BH337" s="3021"/>
      <c r="BI337" s="3021"/>
      <c r="BJ337" s="3021"/>
      <c r="BK337" s="3021"/>
      <c r="BL337" s="3021"/>
      <c r="BM337" s="3021"/>
      <c r="BN337" s="3021"/>
      <c r="BO337" s="3021"/>
      <c r="BP337" s="3021"/>
      <c r="BQ337" s="3021"/>
    </row>
    <row r="338" spans="1:69" s="2622" customFormat="1" ht="15.75" thickBot="1">
      <c r="A338" s="2860" t="s">
        <v>75</v>
      </c>
      <c r="B338" s="2861">
        <f t="shared" ref="B338:B349" si="124">+AH338</f>
        <v>0</v>
      </c>
      <c r="C338" s="2864"/>
      <c r="D338" s="2864"/>
      <c r="E338" s="2864"/>
      <c r="F338" s="2864"/>
      <c r="G338" s="2864"/>
      <c r="H338" s="2864"/>
      <c r="I338" s="2864"/>
      <c r="J338" s="2864"/>
      <c r="K338" s="2864"/>
      <c r="L338" s="2864"/>
      <c r="M338" s="2864"/>
      <c r="N338" s="2864"/>
      <c r="O338" s="2864"/>
      <c r="P338" s="2864"/>
      <c r="Q338" s="2864"/>
      <c r="R338" s="2864"/>
      <c r="S338" s="2864"/>
      <c r="T338" s="2864"/>
      <c r="U338" s="2864"/>
      <c r="V338" s="2864"/>
      <c r="W338" s="2864"/>
      <c r="X338" s="2864"/>
      <c r="Y338" s="2864"/>
      <c r="Z338" s="2864"/>
      <c r="AA338" s="2864"/>
      <c r="AB338" s="2864"/>
      <c r="AC338" s="2864"/>
      <c r="AD338" s="2864"/>
      <c r="AE338" s="2864"/>
      <c r="AF338" s="2864"/>
      <c r="AG338" s="2864"/>
      <c r="AH338" s="2865">
        <f>SUM(C338:AG338)</f>
        <v>0</v>
      </c>
      <c r="AJ338" s="3039" t="s">
        <v>158</v>
      </c>
      <c r="AK338" s="3040" t="s">
        <v>159</v>
      </c>
      <c r="AL338" s="3041" t="s">
        <v>136</v>
      </c>
      <c r="AM338" s="3042" t="s">
        <v>134</v>
      </c>
      <c r="AN338" s="3040" t="s">
        <v>160</v>
      </c>
      <c r="AO338" s="3043" t="s">
        <v>8</v>
      </c>
      <c r="AP338" s="3044" t="s">
        <v>161</v>
      </c>
      <c r="AQ338" s="3045" t="s">
        <v>52</v>
      </c>
      <c r="AR338" s="3043" t="s">
        <v>8</v>
      </c>
      <c r="AS338" s="3046" t="s">
        <v>162</v>
      </c>
      <c r="AT338" s="3904"/>
      <c r="AU338" s="3904"/>
      <c r="AV338" s="3021"/>
      <c r="AW338" s="3021"/>
      <c r="AX338" s="3021"/>
      <c r="AY338" s="3021"/>
      <c r="AZ338" s="3021"/>
      <c r="BA338" s="3021"/>
      <c r="BB338" s="3021"/>
      <c r="BC338" s="3021"/>
      <c r="BD338" s="3021"/>
      <c r="BE338" s="3021"/>
      <c r="BF338" s="3021"/>
      <c r="BG338" s="3021"/>
      <c r="BH338" s="3021"/>
      <c r="BI338" s="3021"/>
      <c r="BJ338" s="3021"/>
      <c r="BK338" s="3021"/>
      <c r="BL338" s="3021"/>
      <c r="BM338" s="3021"/>
      <c r="BN338" s="3021"/>
      <c r="BO338" s="3021"/>
      <c r="BP338" s="3021"/>
      <c r="BQ338" s="3021"/>
    </row>
    <row r="339" spans="1:69" s="2622" customFormat="1" ht="15.75" thickBot="1">
      <c r="A339" s="2860" t="s">
        <v>76</v>
      </c>
      <c r="B339" s="2861">
        <f t="shared" si="124"/>
        <v>0</v>
      </c>
      <c r="C339" s="2864"/>
      <c r="D339" s="2864"/>
      <c r="E339" s="2864"/>
      <c r="F339" s="2864"/>
      <c r="G339" s="2864"/>
      <c r="H339" s="2864"/>
      <c r="I339" s="2864"/>
      <c r="J339" s="2864"/>
      <c r="K339" s="2864"/>
      <c r="L339" s="2864"/>
      <c r="M339" s="2864"/>
      <c r="N339" s="2864"/>
      <c r="O339" s="2864"/>
      <c r="P339" s="2864"/>
      <c r="Q339" s="2864"/>
      <c r="R339" s="2864"/>
      <c r="S339" s="2864"/>
      <c r="T339" s="2864"/>
      <c r="U339" s="2864"/>
      <c r="V339" s="2864"/>
      <c r="W339" s="2864"/>
      <c r="X339" s="2864"/>
      <c r="Y339" s="2864"/>
      <c r="Z339" s="2864"/>
      <c r="AA339" s="2864"/>
      <c r="AB339" s="2864"/>
      <c r="AC339" s="2864"/>
      <c r="AD339" s="2864"/>
      <c r="AE339" s="2864"/>
      <c r="AF339" s="2864"/>
      <c r="AG339" s="2864"/>
      <c r="AH339" s="2865">
        <f t="shared" ref="AH339:AH349" si="125">SUM(C339:AG339)</f>
        <v>0</v>
      </c>
      <c r="AJ339" s="3047"/>
      <c r="AK339" s="3048"/>
      <c r="AL339" s="3049"/>
      <c r="AM339" s="3050"/>
      <c r="AN339" s="3051"/>
      <c r="AO339" s="3047"/>
      <c r="AP339" s="3050">
        <v>600</v>
      </c>
      <c r="AQ339" s="3052">
        <f>SUM(AO339:AP339)</f>
        <v>600</v>
      </c>
      <c r="AR339" s="3053"/>
      <c r="AS339" s="3053">
        <f>(AK334)</f>
        <v>0</v>
      </c>
      <c r="AT339" s="3054"/>
      <c r="AU339" s="3056">
        <f>+AP339-AS339</f>
        <v>600</v>
      </c>
      <c r="AV339" s="3021"/>
      <c r="AW339" s="3021"/>
      <c r="AX339" s="3021"/>
      <c r="AY339" s="3021"/>
      <c r="AZ339" s="3021"/>
      <c r="BA339" s="3021"/>
      <c r="BB339" s="3021"/>
      <c r="BC339" s="3021"/>
      <c r="BD339" s="3021"/>
      <c r="BE339" s="3021"/>
      <c r="BF339" s="3021"/>
      <c r="BG339" s="3021"/>
      <c r="BH339" s="3021"/>
      <c r="BI339" s="3021"/>
      <c r="BJ339" s="3021"/>
      <c r="BK339" s="3021"/>
      <c r="BL339" s="3021"/>
      <c r="BM339" s="3021"/>
      <c r="BN339" s="3021"/>
      <c r="BO339" s="3021"/>
      <c r="BP339" s="3021"/>
      <c r="BQ339" s="3021"/>
    </row>
    <row r="340" spans="1:69" s="2622" customFormat="1" ht="15.75" thickBot="1">
      <c r="A340" s="2860" t="s">
        <v>77</v>
      </c>
      <c r="B340" s="2861">
        <f t="shared" si="124"/>
        <v>0</v>
      </c>
      <c r="C340" s="2864"/>
      <c r="D340" s="2864"/>
      <c r="E340" s="2864"/>
      <c r="F340" s="2864"/>
      <c r="G340" s="2864"/>
      <c r="H340" s="2866"/>
      <c r="I340" s="2866"/>
      <c r="J340" s="2866"/>
      <c r="K340" s="2866"/>
      <c r="L340" s="2866"/>
      <c r="M340" s="2866"/>
      <c r="N340" s="2866"/>
      <c r="O340" s="2866"/>
      <c r="P340" s="2866"/>
      <c r="Q340" s="2866"/>
      <c r="R340" s="2867"/>
      <c r="S340" s="2866"/>
      <c r="T340" s="2866"/>
      <c r="U340" s="2866"/>
      <c r="V340" s="2866"/>
      <c r="W340" s="2866"/>
      <c r="X340" s="2866"/>
      <c r="Y340" s="2866"/>
      <c r="Z340" s="2866"/>
      <c r="AA340" s="2866"/>
      <c r="AB340" s="2866"/>
      <c r="AC340" s="2864"/>
      <c r="AD340" s="2864"/>
      <c r="AE340" s="2864"/>
      <c r="AF340" s="2864"/>
      <c r="AG340" s="2864"/>
      <c r="AH340" s="2865">
        <f t="shared" si="125"/>
        <v>0</v>
      </c>
      <c r="AJ340" s="3047"/>
      <c r="AK340" s="3048"/>
      <c r="AL340" s="3049"/>
      <c r="AM340" s="3050"/>
      <c r="AN340" s="3051"/>
      <c r="AO340" s="3047"/>
      <c r="AP340" s="3050"/>
      <c r="AQ340" s="3052">
        <f>SUM(AO340:AP340)</f>
        <v>0</v>
      </c>
      <c r="AR340" s="3055"/>
      <c r="AS340" s="3032"/>
      <c r="AT340" s="3054"/>
      <c r="AU340" s="3054">
        <f>+AR340-AS340-AT340</f>
        <v>0</v>
      </c>
      <c r="AV340" s="3021"/>
      <c r="AW340" s="3021"/>
      <c r="AX340" s="3021"/>
      <c r="AY340" s="3021"/>
      <c r="AZ340" s="3021"/>
      <c r="BA340" s="3021"/>
      <c r="BB340" s="3021"/>
      <c r="BC340" s="3021"/>
      <c r="BD340" s="3021"/>
      <c r="BE340" s="3021"/>
      <c r="BF340" s="3021"/>
      <c r="BG340" s="3021"/>
      <c r="BH340" s="3021"/>
      <c r="BI340" s="3021"/>
      <c r="BJ340" s="3021"/>
      <c r="BK340" s="3021"/>
      <c r="BL340" s="3021"/>
      <c r="BM340" s="3021"/>
      <c r="BN340" s="3021"/>
      <c r="BO340" s="3021"/>
      <c r="BP340" s="3021"/>
      <c r="BQ340" s="3021"/>
    </row>
    <row r="341" spans="1:69" s="2622" customFormat="1" ht="15">
      <c r="A341" s="2860" t="s">
        <v>78</v>
      </c>
      <c r="B341" s="2861">
        <f t="shared" si="124"/>
        <v>0</v>
      </c>
      <c r="C341" s="2864"/>
      <c r="D341" s="2864"/>
      <c r="E341" s="2864"/>
      <c r="F341" s="2864"/>
      <c r="G341" s="2864"/>
      <c r="H341" s="2864"/>
      <c r="I341" s="2864"/>
      <c r="J341" s="2864"/>
      <c r="K341" s="2864"/>
      <c r="L341" s="2868"/>
      <c r="M341" s="2868"/>
      <c r="N341" s="2868"/>
      <c r="O341" s="2868"/>
      <c r="P341" s="2868"/>
      <c r="Q341" s="2868"/>
      <c r="R341" s="2868"/>
      <c r="S341" s="2868"/>
      <c r="T341" s="2868"/>
      <c r="U341" s="2868"/>
      <c r="V341" s="2868"/>
      <c r="W341" s="2868"/>
      <c r="X341" s="2868"/>
      <c r="Y341" s="2868"/>
      <c r="Z341" s="2868"/>
      <c r="AA341" s="2868"/>
      <c r="AB341" s="2868"/>
      <c r="AC341" s="2868"/>
      <c r="AD341" s="2868"/>
      <c r="AE341" s="2868"/>
      <c r="AF341" s="2868"/>
      <c r="AG341" s="2868"/>
      <c r="AH341" s="2865">
        <f t="shared" si="125"/>
        <v>0</v>
      </c>
    </row>
    <row r="342" spans="1:69" s="2622" customFormat="1" ht="15">
      <c r="A342" s="2860" t="s">
        <v>79</v>
      </c>
      <c r="B342" s="2861">
        <f t="shared" si="124"/>
        <v>0</v>
      </c>
      <c r="C342" s="2866"/>
      <c r="D342" s="2866"/>
      <c r="E342" s="2866"/>
      <c r="F342" s="2866"/>
      <c r="G342" s="2866"/>
      <c r="H342" s="2866"/>
      <c r="I342" s="2866"/>
      <c r="J342" s="2866"/>
      <c r="K342" s="2866"/>
      <c r="L342" s="2866"/>
      <c r="M342" s="2866"/>
      <c r="N342" s="2866"/>
      <c r="O342" s="2866"/>
      <c r="P342" s="2866"/>
      <c r="Q342" s="2866"/>
      <c r="R342" s="2866"/>
      <c r="S342" s="2866"/>
      <c r="T342" s="2866"/>
      <c r="U342" s="2866"/>
      <c r="V342" s="2866"/>
      <c r="W342" s="2866"/>
      <c r="X342" s="2866"/>
      <c r="Y342" s="2866"/>
      <c r="Z342" s="2866"/>
      <c r="AA342" s="2866"/>
      <c r="AB342" s="2866"/>
      <c r="AC342" s="2866"/>
      <c r="AD342" s="2866"/>
      <c r="AE342" s="2866"/>
      <c r="AF342" s="2866"/>
      <c r="AG342" s="2866"/>
      <c r="AH342" s="2865">
        <f t="shared" si="125"/>
        <v>0</v>
      </c>
    </row>
    <row r="343" spans="1:69" s="2622" customFormat="1" ht="15">
      <c r="A343" s="2860" t="s">
        <v>80</v>
      </c>
      <c r="B343" s="2861">
        <f t="shared" si="124"/>
        <v>110.71000000000001</v>
      </c>
      <c r="C343" s="2866"/>
      <c r="D343" s="2866"/>
      <c r="E343" s="2866"/>
      <c r="F343" s="2866"/>
      <c r="G343" s="2866"/>
      <c r="H343" s="2866"/>
      <c r="I343" s="2866"/>
      <c r="J343" s="2866"/>
      <c r="K343" s="2866"/>
      <c r="L343" s="2866"/>
      <c r="M343" s="2866"/>
      <c r="N343" s="2866"/>
      <c r="O343" s="2866"/>
      <c r="P343" s="2866"/>
      <c r="Q343" s="2866"/>
      <c r="R343" s="2866"/>
      <c r="S343" s="2866"/>
      <c r="T343" s="2866"/>
      <c r="U343" s="2866"/>
      <c r="V343" s="2866"/>
      <c r="W343" s="2866"/>
      <c r="X343" s="2866"/>
      <c r="Y343" s="2866"/>
      <c r="Z343" s="2866">
        <v>79.06</v>
      </c>
      <c r="AA343" s="2866">
        <v>31.65</v>
      </c>
      <c r="AB343" s="2866"/>
      <c r="AC343" s="2866"/>
      <c r="AD343" s="2866"/>
      <c r="AE343" s="2866"/>
      <c r="AF343" s="2866"/>
      <c r="AG343" s="2866"/>
      <c r="AH343" s="2865">
        <f t="shared" si="125"/>
        <v>110.71000000000001</v>
      </c>
    </row>
    <row r="344" spans="1:69" s="2622" customFormat="1" ht="27">
      <c r="A344" s="2860" t="s">
        <v>81</v>
      </c>
      <c r="B344" s="2861">
        <f t="shared" si="124"/>
        <v>134.6</v>
      </c>
      <c r="C344" s="2866"/>
      <c r="D344" s="2865"/>
      <c r="E344" s="2865"/>
      <c r="F344" s="2865">
        <v>30.64</v>
      </c>
      <c r="G344" s="2866"/>
      <c r="H344" s="2866"/>
      <c r="I344" s="2866">
        <v>52</v>
      </c>
      <c r="J344" s="2866"/>
      <c r="K344" s="2866"/>
      <c r="L344" s="2866"/>
      <c r="M344" s="2866"/>
      <c r="N344" s="2866"/>
      <c r="O344" s="2866"/>
      <c r="P344" s="2866"/>
      <c r="Q344" s="2866"/>
      <c r="R344" s="2866"/>
      <c r="S344" s="2866">
        <v>46.01</v>
      </c>
      <c r="T344" s="2866"/>
      <c r="U344" s="2866"/>
      <c r="V344" s="2866"/>
      <c r="W344" s="2866"/>
      <c r="X344" s="2866"/>
      <c r="Y344" s="2866">
        <v>5.95</v>
      </c>
      <c r="Z344" s="2866"/>
      <c r="AA344" s="2866"/>
      <c r="AB344" s="2866"/>
      <c r="AC344" s="2866"/>
      <c r="AD344" s="2866"/>
      <c r="AE344" s="2866"/>
      <c r="AF344" s="2866"/>
      <c r="AG344" s="2866"/>
      <c r="AH344" s="2865">
        <f t="shared" si="125"/>
        <v>134.6</v>
      </c>
      <c r="AJ344" s="3067" t="s">
        <v>1062</v>
      </c>
      <c r="AK344" s="3068"/>
      <c r="AL344" s="3068"/>
      <c r="AM344" s="3057"/>
      <c r="AN344" s="3080"/>
      <c r="AO344" s="3057"/>
      <c r="AP344" s="3057"/>
      <c r="AQ344" s="3057"/>
      <c r="AR344" s="3057"/>
      <c r="AS344" s="3057"/>
    </row>
    <row r="345" spans="1:69" s="2622" customFormat="1" ht="27">
      <c r="A345" s="2860" t="s">
        <v>82</v>
      </c>
      <c r="B345" s="2861">
        <f t="shared" si="124"/>
        <v>0</v>
      </c>
      <c r="C345" s="2866"/>
      <c r="D345" s="2866"/>
      <c r="E345" s="2866"/>
      <c r="F345" s="2866"/>
      <c r="G345" s="2866"/>
      <c r="H345" s="2866"/>
      <c r="I345" s="2866"/>
      <c r="J345" s="2866"/>
      <c r="K345" s="2866"/>
      <c r="L345" s="2866"/>
      <c r="M345" s="2866"/>
      <c r="N345" s="2866"/>
      <c r="O345" s="2866"/>
      <c r="P345" s="2866"/>
      <c r="Q345" s="2866"/>
      <c r="R345" s="2866"/>
      <c r="S345" s="2866"/>
      <c r="T345" s="2866"/>
      <c r="U345" s="2866"/>
      <c r="V345" s="2866"/>
      <c r="W345" s="2866"/>
      <c r="X345" s="2866"/>
      <c r="Y345" s="2866"/>
      <c r="Z345" s="2866"/>
      <c r="AA345" s="2866"/>
      <c r="AB345" s="2866"/>
      <c r="AC345" s="2866"/>
      <c r="AD345" s="2866"/>
      <c r="AE345" s="2866"/>
      <c r="AF345" s="2866"/>
      <c r="AG345" s="2866"/>
      <c r="AH345" s="2865">
        <f t="shared" si="125"/>
        <v>0</v>
      </c>
      <c r="AJ345" s="3067" t="s">
        <v>1063</v>
      </c>
      <c r="AK345" s="3068"/>
      <c r="AL345" s="3068"/>
      <c r="AM345" s="3057"/>
      <c r="AN345" s="3057"/>
      <c r="AO345" s="2819" t="s">
        <v>1064</v>
      </c>
      <c r="AP345" s="3057"/>
      <c r="AQ345" s="3057"/>
      <c r="AR345" s="3057"/>
      <c r="AS345" s="3057"/>
    </row>
    <row r="346" spans="1:69" s="2622" customFormat="1" ht="15.75" thickBot="1">
      <c r="A346" s="2860" t="s">
        <v>83</v>
      </c>
      <c r="B346" s="2861">
        <f t="shared" si="124"/>
        <v>0</v>
      </c>
      <c r="C346" s="2866"/>
      <c r="D346" s="2866"/>
      <c r="E346" s="2866"/>
      <c r="F346" s="2866"/>
      <c r="G346" s="2866"/>
      <c r="H346" s="2866"/>
      <c r="I346" s="2866"/>
      <c r="J346" s="2866"/>
      <c r="K346" s="2866"/>
      <c r="L346" s="2866"/>
      <c r="M346" s="2866"/>
      <c r="N346" s="2866"/>
      <c r="O346" s="2866"/>
      <c r="P346" s="2866"/>
      <c r="Q346" s="2866"/>
      <c r="R346" s="2866"/>
      <c r="S346" s="2866"/>
      <c r="T346" s="2866"/>
      <c r="U346" s="2866"/>
      <c r="V346" s="2866"/>
      <c r="W346" s="2866"/>
      <c r="X346" s="2866"/>
      <c r="Y346" s="2866"/>
      <c r="Z346" s="2866"/>
      <c r="AA346" s="2866"/>
      <c r="AB346" s="2866"/>
      <c r="AC346" s="2866"/>
      <c r="AD346" s="2866"/>
      <c r="AE346" s="2866"/>
      <c r="AF346" s="2866"/>
      <c r="AG346" s="2866"/>
      <c r="AH346" s="2865">
        <f t="shared" si="125"/>
        <v>0</v>
      </c>
      <c r="AJ346" s="3057"/>
      <c r="AK346" s="3057"/>
      <c r="AL346" s="3057"/>
      <c r="AM346" s="3057"/>
      <c r="AN346" s="3057"/>
      <c r="AO346" s="3057"/>
      <c r="AP346" s="3057"/>
      <c r="AQ346" s="3057"/>
      <c r="AR346" s="3057"/>
      <c r="AS346" s="3057"/>
    </row>
    <row r="347" spans="1:69" s="2622" customFormat="1" ht="15.75">
      <c r="A347" s="2860" t="s">
        <v>84</v>
      </c>
      <c r="B347" s="2861">
        <f t="shared" si="124"/>
        <v>8.99</v>
      </c>
      <c r="C347" s="2866"/>
      <c r="D347" s="2866"/>
      <c r="E347" s="2866"/>
      <c r="F347" s="2866"/>
      <c r="G347" s="2866"/>
      <c r="H347" s="2866"/>
      <c r="I347" s="2866"/>
      <c r="J347" s="2866"/>
      <c r="K347" s="2866"/>
      <c r="L347" s="2866"/>
      <c r="M347" s="2866"/>
      <c r="N347" s="2866"/>
      <c r="O347" s="2866"/>
      <c r="P347" s="2866"/>
      <c r="Q347" s="2866"/>
      <c r="R347" s="2866"/>
      <c r="S347" s="2866"/>
      <c r="T347" s="2866"/>
      <c r="U347" s="2866"/>
      <c r="V347" s="2866"/>
      <c r="W347" s="2866"/>
      <c r="X347" s="2866"/>
      <c r="Y347" s="2866"/>
      <c r="Z347" s="2866"/>
      <c r="AA347" s="2866">
        <v>8.99</v>
      </c>
      <c r="AB347" s="2866"/>
      <c r="AC347" s="2866"/>
      <c r="AD347" s="2866"/>
      <c r="AE347" s="2865"/>
      <c r="AF347" s="2866"/>
      <c r="AG347" s="2865"/>
      <c r="AH347" s="2865">
        <f t="shared" si="125"/>
        <v>8.99</v>
      </c>
      <c r="AJ347" s="3058"/>
      <c r="AK347" s="3059"/>
      <c r="AL347" s="3059"/>
      <c r="AM347" s="3059"/>
      <c r="AN347" s="3828" t="s">
        <v>155</v>
      </c>
      <c r="AO347" s="3829"/>
      <c r="AP347" s="3828" t="s">
        <v>156</v>
      </c>
      <c r="AQ347" s="3829"/>
      <c r="AR347" s="3828" t="s">
        <v>157</v>
      </c>
      <c r="AS347" s="3830"/>
      <c r="AT347" s="3166" t="s">
        <v>1102</v>
      </c>
    </row>
    <row r="348" spans="1:69" s="2622" customFormat="1" ht="30.75" thickBot="1">
      <c r="A348" s="2860" t="s">
        <v>85</v>
      </c>
      <c r="B348" s="2861">
        <f t="shared" si="124"/>
        <v>0</v>
      </c>
      <c r="C348" s="2866"/>
      <c r="D348" s="2866"/>
      <c r="E348" s="2866"/>
      <c r="F348" s="2866"/>
      <c r="G348" s="2869"/>
      <c r="H348" s="2866"/>
      <c r="I348" s="2866"/>
      <c r="J348" s="2866"/>
      <c r="K348" s="2866"/>
      <c r="L348" s="2866"/>
      <c r="M348" s="2866"/>
      <c r="N348" s="2866"/>
      <c r="O348" s="2866"/>
      <c r="P348" s="2866"/>
      <c r="Q348" s="2866"/>
      <c r="R348" s="2866"/>
      <c r="S348" s="2866"/>
      <c r="T348" s="2866"/>
      <c r="U348" s="2866"/>
      <c r="V348" s="2866"/>
      <c r="W348" s="2866"/>
      <c r="X348" s="2866"/>
      <c r="Y348" s="2866"/>
      <c r="Z348" s="2866"/>
      <c r="AA348" s="2866"/>
      <c r="AB348" s="2866"/>
      <c r="AC348" s="2866"/>
      <c r="AD348" s="2866"/>
      <c r="AE348" s="2865"/>
      <c r="AF348" s="2866"/>
      <c r="AG348" s="2865"/>
      <c r="AH348" s="2865">
        <f t="shared" si="125"/>
        <v>0</v>
      </c>
      <c r="AJ348" s="3060" t="s">
        <v>226</v>
      </c>
      <c r="AK348" s="3060" t="s">
        <v>227</v>
      </c>
      <c r="AL348" s="3060" t="s">
        <v>228</v>
      </c>
      <c r="AM348" s="3060" t="s">
        <v>160</v>
      </c>
      <c r="AN348" s="3060" t="s">
        <v>229</v>
      </c>
      <c r="AO348" s="3060" t="s">
        <v>1065</v>
      </c>
      <c r="AP348" s="3060" t="s">
        <v>921</v>
      </c>
      <c r="AQ348" s="3060" t="s">
        <v>1066</v>
      </c>
      <c r="AR348" s="3061" t="s">
        <v>232</v>
      </c>
      <c r="AS348" s="3165" t="s">
        <v>1067</v>
      </c>
      <c r="AT348" s="3167" t="s">
        <v>1101</v>
      </c>
    </row>
    <row r="349" spans="1:69" s="2622" customFormat="1" ht="15">
      <c r="A349" s="2860" t="s">
        <v>86</v>
      </c>
      <c r="B349" s="2861">
        <f t="shared" si="124"/>
        <v>180.41</v>
      </c>
      <c r="C349" s="2866"/>
      <c r="D349" s="2866"/>
      <c r="E349" s="2866"/>
      <c r="F349" s="2866"/>
      <c r="G349" s="2866"/>
      <c r="H349" s="2866"/>
      <c r="I349" s="2866"/>
      <c r="J349" s="2866"/>
      <c r="K349" s="2866">
        <v>76.989999999999995</v>
      </c>
      <c r="L349" s="2866"/>
      <c r="M349" s="2866"/>
      <c r="N349" s="2866">
        <v>37.36</v>
      </c>
      <c r="O349" s="2866"/>
      <c r="P349" s="2866">
        <v>66.06</v>
      </c>
      <c r="Q349" s="2866"/>
      <c r="R349" s="2866"/>
      <c r="S349" s="2866"/>
      <c r="T349" s="2866"/>
      <c r="U349" s="2866"/>
      <c r="V349" s="2866"/>
      <c r="W349" s="2866"/>
      <c r="X349" s="2866"/>
      <c r="Y349" s="2866"/>
      <c r="Z349" s="2866"/>
      <c r="AA349" s="2866"/>
      <c r="AB349" s="2866"/>
      <c r="AC349" s="2866"/>
      <c r="AD349" s="2866"/>
      <c r="AE349" s="2866"/>
      <c r="AF349" s="2866"/>
      <c r="AG349" s="2866"/>
      <c r="AH349" s="2865">
        <f t="shared" si="125"/>
        <v>180.41</v>
      </c>
      <c r="AJ349" s="3062"/>
      <c r="AK349" s="3063">
        <v>952479</v>
      </c>
      <c r="AL349" s="3062" t="s">
        <v>1061</v>
      </c>
      <c r="AM349" s="3063"/>
      <c r="AN349" s="3062"/>
      <c r="AO349" s="3062"/>
      <c r="AP349" s="3062"/>
      <c r="AQ349" s="3062"/>
      <c r="AR349" s="3062"/>
      <c r="AS349" s="3062"/>
    </row>
    <row r="350" spans="1:69" s="2622" customFormat="1" ht="15">
      <c r="A350" s="2870" t="s">
        <v>74</v>
      </c>
      <c r="B350" s="2871">
        <f t="shared" ref="B350:R350" si="126">SUM(B338:B349)</f>
        <v>434.71000000000004</v>
      </c>
      <c r="C350" s="2861">
        <f t="shared" si="126"/>
        <v>0</v>
      </c>
      <c r="D350" s="2861">
        <f t="shared" si="126"/>
        <v>0</v>
      </c>
      <c r="E350" s="2861">
        <f t="shared" si="126"/>
        <v>0</v>
      </c>
      <c r="F350" s="2861">
        <f t="shared" si="126"/>
        <v>30.64</v>
      </c>
      <c r="G350" s="2861">
        <f t="shared" si="126"/>
        <v>0</v>
      </c>
      <c r="H350" s="2861">
        <f t="shared" si="126"/>
        <v>0</v>
      </c>
      <c r="I350" s="2861">
        <f t="shared" si="126"/>
        <v>52</v>
      </c>
      <c r="J350" s="2861">
        <f t="shared" si="126"/>
        <v>0</v>
      </c>
      <c r="K350" s="2861">
        <f t="shared" si="126"/>
        <v>76.989999999999995</v>
      </c>
      <c r="L350" s="2861">
        <f t="shared" si="126"/>
        <v>0</v>
      </c>
      <c r="M350" s="2861">
        <f t="shared" si="126"/>
        <v>0</v>
      </c>
      <c r="N350" s="2861">
        <f t="shared" si="126"/>
        <v>37.36</v>
      </c>
      <c r="O350" s="2861">
        <f t="shared" si="126"/>
        <v>0</v>
      </c>
      <c r="P350" s="2861">
        <f t="shared" si="126"/>
        <v>66.06</v>
      </c>
      <c r="Q350" s="2861">
        <f t="shared" si="126"/>
        <v>0</v>
      </c>
      <c r="R350" s="2861">
        <f t="shared" si="126"/>
        <v>0</v>
      </c>
      <c r="S350" s="2865">
        <f t="shared" ref="S350:AC350" si="127">SUM(S338:S348)</f>
        <v>46.01</v>
      </c>
      <c r="T350" s="2865">
        <f t="shared" si="127"/>
        <v>0</v>
      </c>
      <c r="U350" s="2865">
        <f t="shared" si="127"/>
        <v>0</v>
      </c>
      <c r="V350" s="2865">
        <f t="shared" si="127"/>
        <v>0</v>
      </c>
      <c r="W350" s="2865">
        <f t="shared" si="127"/>
        <v>0</v>
      </c>
      <c r="X350" s="2865">
        <f t="shared" si="127"/>
        <v>0</v>
      </c>
      <c r="Y350" s="2865">
        <f t="shared" si="127"/>
        <v>5.95</v>
      </c>
      <c r="Z350" s="2865">
        <f t="shared" si="127"/>
        <v>79.06</v>
      </c>
      <c r="AA350" s="2865">
        <f t="shared" si="127"/>
        <v>40.64</v>
      </c>
      <c r="AB350" s="2865">
        <f t="shared" si="127"/>
        <v>0</v>
      </c>
      <c r="AC350" s="2865">
        <f t="shared" si="127"/>
        <v>0</v>
      </c>
      <c r="AD350" s="2865">
        <v>0</v>
      </c>
      <c r="AE350" s="2865">
        <f>SUM(AE338:AE348)</f>
        <v>0</v>
      </c>
      <c r="AF350" s="2865">
        <f>SUM(AF338:AF348)</f>
        <v>0</v>
      </c>
      <c r="AG350" s="2865">
        <f>SUM(AG338:AG348)</f>
        <v>0</v>
      </c>
      <c r="AH350" s="2865">
        <f>SUM(AH338:AH348)</f>
        <v>254.3</v>
      </c>
      <c r="AJ350" s="3062"/>
      <c r="AK350" s="3063">
        <v>28034</v>
      </c>
      <c r="AL350" s="3066" t="s">
        <v>1068</v>
      </c>
      <c r="AM350" s="3063"/>
      <c r="AN350" s="3062"/>
      <c r="AO350" s="3062"/>
      <c r="AP350" s="3062"/>
      <c r="AQ350" s="3062"/>
      <c r="AR350" s="3062"/>
      <c r="AS350" s="3062"/>
    </row>
    <row r="351" spans="1:69" s="2622" customFormat="1">
      <c r="A351" s="2857"/>
      <c r="B351" s="2857"/>
      <c r="C351" s="2857"/>
      <c r="D351" s="2857"/>
      <c r="E351" s="2857"/>
      <c r="F351" s="2857"/>
      <c r="G351" s="2857"/>
      <c r="H351" s="2857"/>
      <c r="I351" s="2857"/>
      <c r="J351" s="2857"/>
      <c r="K351" s="2857"/>
      <c r="L351" s="2857"/>
      <c r="M351" s="2857"/>
      <c r="N351" s="2857"/>
      <c r="O351" s="2857"/>
      <c r="P351" s="2857"/>
      <c r="Q351" s="2857"/>
      <c r="R351" s="2857"/>
      <c r="S351" s="2857"/>
      <c r="T351" s="2857"/>
      <c r="U351" s="2857"/>
      <c r="V351" s="2857"/>
      <c r="W351" s="2857"/>
      <c r="X351" s="2857"/>
      <c r="Y351" s="2857"/>
      <c r="Z351" s="2857"/>
      <c r="AA351" s="2857"/>
      <c r="AB351" s="2857"/>
      <c r="AC351" s="2857"/>
      <c r="AD351" s="2857"/>
      <c r="AE351" s="2857"/>
      <c r="AF351" s="2857"/>
      <c r="AG351" s="2857"/>
      <c r="AH351" s="2857"/>
      <c r="AJ351" s="3062"/>
      <c r="AK351" s="3063">
        <v>901588</v>
      </c>
      <c r="AL351" s="3066" t="s">
        <v>1069</v>
      </c>
      <c r="AM351" s="3063"/>
      <c r="AN351" s="3062"/>
      <c r="AO351" s="3062"/>
      <c r="AP351" s="3062"/>
      <c r="AQ351" s="3062"/>
      <c r="AR351" s="3062"/>
      <c r="AS351" s="3062"/>
    </row>
    <row r="352" spans="1:69" s="2622" customFormat="1" ht="13.5" thickBot="1">
      <c r="A352" s="2857"/>
      <c r="B352" s="2857"/>
      <c r="C352" s="2857"/>
      <c r="D352" s="2857"/>
      <c r="E352" s="2857"/>
      <c r="F352" s="2857"/>
      <c r="G352" s="2857"/>
      <c r="H352" s="2857"/>
      <c r="I352" s="2857"/>
      <c r="J352" s="2857"/>
      <c r="K352" s="2857"/>
      <c r="L352" s="2857"/>
      <c r="M352" s="2857"/>
      <c r="N352" s="2857"/>
      <c r="O352" s="2857"/>
      <c r="P352" s="2857"/>
      <c r="Q352" s="2857"/>
      <c r="R352" s="2857"/>
      <c r="S352" s="2857"/>
      <c r="T352" s="2857"/>
      <c r="U352" s="2857"/>
      <c r="V352" s="2857"/>
      <c r="W352" s="2857"/>
      <c r="X352" s="2857"/>
      <c r="Y352" s="2857"/>
      <c r="Z352" s="2857"/>
      <c r="AA352" s="2857"/>
      <c r="AB352" s="2857"/>
      <c r="AC352" s="2857"/>
      <c r="AD352" s="2857"/>
      <c r="AE352" s="2857"/>
      <c r="AF352" s="2857"/>
      <c r="AG352" s="2857"/>
      <c r="AH352" s="2857"/>
      <c r="AJ352" s="3062"/>
      <c r="AK352" s="3063">
        <v>920745</v>
      </c>
      <c r="AL352" s="3066" t="s">
        <v>1070</v>
      </c>
      <c r="AM352" s="3063"/>
      <c r="AN352" s="3062"/>
      <c r="AO352" s="3062"/>
      <c r="AP352" s="3062"/>
      <c r="AQ352" s="3062"/>
      <c r="AR352" s="3062"/>
      <c r="AS352" s="3062"/>
    </row>
    <row r="353" spans="1:69" s="2622" customFormat="1" ht="15.75" customHeight="1" thickBot="1">
      <c r="A353" s="2872" t="s">
        <v>1004</v>
      </c>
      <c r="B353" s="2873"/>
      <c r="C353" s="2873"/>
      <c r="D353" s="2873"/>
      <c r="E353" s="2873"/>
      <c r="F353" s="3880" t="s">
        <v>155</v>
      </c>
      <c r="G353" s="3881"/>
      <c r="H353" s="3882"/>
      <c r="I353" s="3880" t="s">
        <v>156</v>
      </c>
      <c r="J353" s="3883"/>
      <c r="K353" s="3875" t="s">
        <v>912</v>
      </c>
      <c r="L353" s="3875" t="s">
        <v>913</v>
      </c>
      <c r="M353" s="2857"/>
      <c r="N353" s="2857"/>
      <c r="O353" s="2857"/>
      <c r="P353" s="2857"/>
      <c r="Q353" s="2857"/>
      <c r="R353" s="2857"/>
      <c r="S353" s="2857"/>
      <c r="T353" s="2857"/>
      <c r="U353" s="2857"/>
      <c r="V353" s="2857"/>
      <c r="W353" s="2857"/>
      <c r="X353" s="2857"/>
      <c r="Y353" s="2857"/>
      <c r="Z353" s="2857"/>
      <c r="AA353" s="2857"/>
      <c r="AB353" s="2857"/>
      <c r="AC353" s="2857"/>
      <c r="AD353" s="2857"/>
      <c r="AE353" s="2857"/>
      <c r="AF353" s="2857"/>
      <c r="AG353" s="2857"/>
      <c r="AH353" s="2857"/>
      <c r="AJ353" s="3062"/>
      <c r="AK353" s="3063">
        <v>956427</v>
      </c>
      <c r="AL353" s="3066" t="s">
        <v>1071</v>
      </c>
      <c r="AM353" s="3063"/>
      <c r="AN353" s="3062"/>
      <c r="AO353" s="3062"/>
      <c r="AP353" s="3062"/>
      <c r="AQ353" s="3062"/>
      <c r="AR353" s="3062"/>
      <c r="AS353" s="3062"/>
    </row>
    <row r="354" spans="1:69" s="2622" customFormat="1" ht="13.5" thickBot="1">
      <c r="A354" s="2874" t="s">
        <v>158</v>
      </c>
      <c r="B354" s="2875" t="s">
        <v>159</v>
      </c>
      <c r="C354" s="2876" t="s">
        <v>136</v>
      </c>
      <c r="D354" s="2877" t="s">
        <v>134</v>
      </c>
      <c r="E354" s="2875" t="s">
        <v>160</v>
      </c>
      <c r="F354" s="2878" t="s">
        <v>8</v>
      </c>
      <c r="G354" s="2879" t="s">
        <v>161</v>
      </c>
      <c r="H354" s="2880" t="s">
        <v>52</v>
      </c>
      <c r="I354" s="2878" t="s">
        <v>8</v>
      </c>
      <c r="J354" s="2881" t="s">
        <v>162</v>
      </c>
      <c r="K354" s="3876"/>
      <c r="L354" s="3876"/>
      <c r="M354" s="2857"/>
      <c r="N354" s="2857"/>
      <c r="O354" s="2857"/>
      <c r="P354" s="2857"/>
      <c r="Q354" s="2857"/>
      <c r="R354" s="2857"/>
      <c r="S354" s="2857"/>
      <c r="T354" s="2857"/>
      <c r="U354" s="2857"/>
      <c r="V354" s="2857"/>
      <c r="W354" s="2857"/>
      <c r="X354" s="2857"/>
      <c r="Y354" s="2857"/>
      <c r="Z354" s="2857"/>
      <c r="AA354" s="2857"/>
      <c r="AB354" s="2857"/>
      <c r="AC354" s="2857"/>
      <c r="AD354" s="2857"/>
      <c r="AE354" s="2857"/>
      <c r="AF354" s="2857"/>
      <c r="AG354" s="2857"/>
      <c r="AH354" s="2857"/>
      <c r="AJ354" s="3062"/>
      <c r="AK354" s="3063">
        <v>953023</v>
      </c>
      <c r="AL354" s="3066" t="s">
        <v>1072</v>
      </c>
      <c r="AM354" s="3063"/>
      <c r="AN354" s="3062"/>
      <c r="AO354" s="3062"/>
      <c r="AP354" s="3062"/>
      <c r="AQ354" s="3062"/>
      <c r="AR354" s="3062"/>
      <c r="AS354" s="3062"/>
    </row>
    <row r="355" spans="1:69" s="2622" customFormat="1" ht="15.75" thickBot="1">
      <c r="A355" s="2882"/>
      <c r="B355" s="2883"/>
      <c r="C355" s="2884"/>
      <c r="D355" s="2885"/>
      <c r="E355" s="2886"/>
      <c r="F355" s="2882"/>
      <c r="G355" s="2885">
        <v>450</v>
      </c>
      <c r="H355" s="2887">
        <f>SUM(F355:G355)</f>
        <v>450</v>
      </c>
      <c r="I355" s="2888"/>
      <c r="J355" s="2867">
        <f>(B350)</f>
        <v>434.71000000000004</v>
      </c>
      <c r="K355" s="2889">
        <f>+F355-I355</f>
        <v>0</v>
      </c>
      <c r="L355" s="2889">
        <f>+G355-J355</f>
        <v>15.289999999999964</v>
      </c>
      <c r="M355" s="2628" t="s">
        <v>1254</v>
      </c>
      <c r="N355" s="2857"/>
      <c r="O355" s="2857"/>
      <c r="P355" s="2857"/>
      <c r="Q355" s="2857"/>
      <c r="R355" s="2857"/>
      <c r="S355" s="2857"/>
      <c r="T355" s="2857"/>
      <c r="U355" s="2857"/>
      <c r="V355" s="2857"/>
      <c r="W355" s="2857"/>
      <c r="X355" s="2857"/>
      <c r="Y355" s="2857"/>
      <c r="Z355" s="2857"/>
      <c r="AA355" s="2857"/>
      <c r="AB355" s="2857"/>
      <c r="AC355" s="2857"/>
      <c r="AD355" s="2857"/>
      <c r="AE355" s="2857"/>
      <c r="AF355" s="2857"/>
      <c r="AG355" s="2857"/>
      <c r="AH355" s="2857"/>
      <c r="AJ355" s="3062"/>
      <c r="AK355" s="3063">
        <v>923266</v>
      </c>
      <c r="AL355" s="3066" t="s">
        <v>1073</v>
      </c>
      <c r="AM355" s="3063"/>
      <c r="AN355" s="3062"/>
      <c r="AO355" s="3062"/>
      <c r="AP355" s="3062"/>
      <c r="AQ355" s="3062"/>
      <c r="AR355" s="3062"/>
      <c r="AS355" s="3062"/>
    </row>
    <row r="356" spans="1:69" s="2622" customFormat="1" ht="15.75" thickBot="1">
      <c r="A356" s="2882"/>
      <c r="B356" s="2883"/>
      <c r="C356" s="2884"/>
      <c r="D356" s="2885"/>
      <c r="E356" s="2886"/>
      <c r="F356" s="2882"/>
      <c r="G356" s="2885"/>
      <c r="H356" s="2887">
        <f>SUM(F356:G356)</f>
        <v>0</v>
      </c>
      <c r="I356" s="2888"/>
      <c r="J356" s="2867"/>
      <c r="K356" s="2889">
        <f>+H356-I356-J356</f>
        <v>0</v>
      </c>
      <c r="L356" s="2889">
        <f>+I356-J356-K356</f>
        <v>0</v>
      </c>
      <c r="M356" s="2857"/>
      <c r="N356" s="2857"/>
      <c r="O356" s="2857"/>
      <c r="P356" s="2857"/>
      <c r="Q356" s="2857"/>
      <c r="R356" s="2857"/>
      <c r="S356" s="2857"/>
      <c r="T356" s="2857"/>
      <c r="U356" s="2857"/>
      <c r="V356" s="2857"/>
      <c r="W356" s="2857"/>
      <c r="X356" s="2857"/>
      <c r="Y356" s="2857"/>
      <c r="Z356" s="2857"/>
      <c r="AA356" s="2857"/>
      <c r="AB356" s="2857"/>
      <c r="AC356" s="2857"/>
      <c r="AD356" s="2857"/>
      <c r="AE356" s="2857"/>
      <c r="AF356" s="2857"/>
      <c r="AG356" s="2857"/>
      <c r="AH356" s="2857"/>
      <c r="AJ356" s="3062"/>
      <c r="AK356" s="3063">
        <v>952241</v>
      </c>
      <c r="AL356" s="3066" t="s">
        <v>1074</v>
      </c>
      <c r="AM356" s="3063"/>
      <c r="AN356" s="3062"/>
      <c r="AO356" s="3062"/>
      <c r="AP356" s="3062"/>
      <c r="AQ356" s="3062"/>
      <c r="AR356" s="3062"/>
      <c r="AS356" s="3062"/>
    </row>
    <row r="357" spans="1:69" s="2622" customFormat="1">
      <c r="A357" s="2857"/>
      <c r="B357" s="2857"/>
      <c r="C357" s="2857"/>
      <c r="D357" s="2857"/>
      <c r="E357" s="2857"/>
      <c r="F357" s="2857"/>
      <c r="G357" s="2857"/>
      <c r="H357" s="2857"/>
      <c r="I357" s="2857"/>
      <c r="J357" s="2857"/>
      <c r="K357" s="2857"/>
      <c r="L357" s="2857"/>
      <c r="M357" s="2857"/>
      <c r="N357" s="2857"/>
      <c r="O357" s="2857"/>
      <c r="P357" s="2857"/>
      <c r="Q357" s="2857"/>
      <c r="R357" s="2857"/>
      <c r="S357" s="2857"/>
      <c r="T357" s="2857"/>
      <c r="U357" s="2857"/>
      <c r="V357" s="2857"/>
      <c r="W357" s="2857"/>
      <c r="X357" s="2857"/>
      <c r="Y357" s="2857"/>
      <c r="Z357" s="2857"/>
      <c r="AA357" s="2857"/>
      <c r="AB357" s="2857"/>
      <c r="AC357" s="2857"/>
      <c r="AD357" s="2857"/>
      <c r="AE357" s="2857"/>
      <c r="AF357" s="2857"/>
      <c r="AG357" s="2857"/>
      <c r="AH357" s="2857"/>
      <c r="AJ357" s="3062"/>
      <c r="AK357" s="3063">
        <v>957989</v>
      </c>
      <c r="AL357" s="3066" t="s">
        <v>1075</v>
      </c>
      <c r="AM357" s="3063"/>
      <c r="AN357" s="3062"/>
      <c r="AO357" s="3062"/>
      <c r="AP357" s="3062"/>
      <c r="AQ357" s="3062"/>
      <c r="AR357" s="3062"/>
      <c r="AS357" s="3062"/>
    </row>
    <row r="358" spans="1:69" s="2622" customFormat="1">
      <c r="A358" s="2857"/>
      <c r="B358" s="2857"/>
      <c r="C358" s="2857"/>
      <c r="D358" s="2857"/>
      <c r="E358" s="2857"/>
      <c r="F358" s="2857"/>
      <c r="G358" s="2857"/>
      <c r="H358" s="2857"/>
      <c r="I358" s="2857"/>
      <c r="J358" s="2857"/>
      <c r="K358" s="2857"/>
      <c r="L358" s="2857"/>
      <c r="M358" s="2857"/>
      <c r="N358" s="2857"/>
      <c r="O358" s="2857"/>
      <c r="P358" s="2857"/>
      <c r="Q358" s="2857"/>
      <c r="R358" s="2857"/>
      <c r="S358" s="2857"/>
      <c r="T358" s="2857"/>
      <c r="U358" s="2857"/>
      <c r="V358" s="2857"/>
      <c r="W358" s="2857"/>
      <c r="X358" s="2857"/>
      <c r="Y358" s="2857"/>
      <c r="Z358" s="2857"/>
      <c r="AA358" s="2857"/>
      <c r="AB358" s="2857"/>
      <c r="AC358" s="2857"/>
      <c r="AD358" s="2857"/>
      <c r="AE358" s="2857"/>
      <c r="AF358" s="2857"/>
      <c r="AG358" s="2857"/>
      <c r="AH358" s="2857"/>
      <c r="AJ358" s="3062"/>
      <c r="AK358" s="3063">
        <v>923167</v>
      </c>
      <c r="AL358" s="3066" t="s">
        <v>1076</v>
      </c>
      <c r="AM358" s="3063"/>
      <c r="AN358" s="3062"/>
      <c r="AO358" s="3062"/>
      <c r="AP358" s="3062"/>
      <c r="AQ358" s="3062"/>
      <c r="AR358" s="3062"/>
      <c r="AS358" s="3062"/>
    </row>
    <row r="359" spans="1:69">
      <c r="A359" s="2857"/>
      <c r="B359" s="2857"/>
      <c r="C359" s="2857"/>
      <c r="D359" s="2857"/>
      <c r="E359" s="2857"/>
      <c r="F359" s="2857"/>
      <c r="G359" s="2857"/>
      <c r="H359" s="2857"/>
      <c r="I359" s="2857"/>
      <c r="J359" s="2857"/>
      <c r="K359" s="2857"/>
      <c r="L359" s="2857"/>
      <c r="M359" s="2857"/>
      <c r="N359" s="2857"/>
      <c r="O359" s="2857"/>
      <c r="P359" s="2857"/>
      <c r="Q359" s="2857"/>
      <c r="R359" s="2857"/>
      <c r="S359" s="2857"/>
      <c r="T359" s="2857"/>
      <c r="U359" s="2857"/>
      <c r="V359" s="2857"/>
      <c r="W359" s="2857"/>
      <c r="X359" s="2857"/>
      <c r="Y359" s="2857"/>
      <c r="Z359" s="2857"/>
      <c r="AA359" s="2857"/>
      <c r="AB359" s="2857"/>
      <c r="AC359" s="2857"/>
      <c r="AD359" s="2857"/>
      <c r="AE359" s="2857"/>
      <c r="AF359" s="2857"/>
      <c r="AG359" s="2857"/>
      <c r="AH359" s="2857"/>
      <c r="AJ359" s="3062"/>
      <c r="AK359" s="3063">
        <v>951803</v>
      </c>
      <c r="AL359" s="3066" t="s">
        <v>1077</v>
      </c>
      <c r="AM359" s="3063"/>
      <c r="AN359" s="3062"/>
      <c r="AO359" s="3062"/>
      <c r="AP359" s="3062"/>
      <c r="AQ359" s="3062"/>
      <c r="AR359" s="3062"/>
      <c r="AS359" s="3062"/>
      <c r="AT359" s="2622"/>
      <c r="AU359" s="2622"/>
      <c r="AV359" s="2622"/>
      <c r="AW359" s="2622"/>
      <c r="AX359" s="2622"/>
      <c r="AY359" s="2622"/>
      <c r="AZ359" s="2622"/>
      <c r="BA359" s="2622"/>
      <c r="BB359" s="2622"/>
      <c r="BC359" s="2622"/>
      <c r="BD359" s="2622"/>
      <c r="BE359" s="2622"/>
      <c r="BF359" s="2622"/>
      <c r="BG359" s="2622"/>
      <c r="BH359" s="2622"/>
      <c r="BI359" s="2622"/>
      <c r="BJ359" s="2622"/>
      <c r="BK359" s="2622"/>
      <c r="BL359" s="2622"/>
      <c r="BM359" s="2622"/>
      <c r="BN359" s="2622"/>
      <c r="BO359" s="2622"/>
      <c r="BP359" s="2622"/>
      <c r="BQ359" s="2622"/>
    </row>
    <row r="360" spans="1:69" s="2622" customFormat="1" ht="33">
      <c r="A360" s="2855" t="s">
        <v>1001</v>
      </c>
      <c r="B360" s="2856"/>
      <c r="C360" s="2856" t="s">
        <v>997</v>
      </c>
      <c r="D360" s="2857"/>
      <c r="E360" s="2857"/>
      <c r="F360" s="2857"/>
      <c r="G360" s="2857"/>
      <c r="H360" s="2856" t="s">
        <v>999</v>
      </c>
      <c r="I360" s="2857"/>
      <c r="J360" s="2857"/>
      <c r="K360" s="2857"/>
      <c r="L360" s="2857"/>
      <c r="M360" s="2857"/>
      <c r="N360" s="2857"/>
      <c r="O360" s="3016" t="s">
        <v>1053</v>
      </c>
      <c r="P360" s="1415"/>
      <c r="Q360" s="3080"/>
      <c r="R360" s="2857"/>
      <c r="S360" s="2857"/>
      <c r="T360" s="2857"/>
      <c r="U360" s="2857"/>
      <c r="V360" s="2857"/>
      <c r="W360" s="2857"/>
      <c r="X360" s="2857"/>
      <c r="Y360" s="2857"/>
      <c r="Z360" s="2857"/>
      <c r="AA360" s="2857"/>
      <c r="AB360" s="2857"/>
      <c r="AC360" s="2857"/>
      <c r="AD360" s="2857"/>
      <c r="AE360" s="2857"/>
      <c r="AF360" s="2857"/>
      <c r="AG360" s="2857"/>
      <c r="AH360" s="2857"/>
      <c r="AJ360" s="3062"/>
      <c r="AK360" s="3063">
        <v>958708</v>
      </c>
      <c r="AL360" s="3066" t="s">
        <v>1078</v>
      </c>
      <c r="AM360" s="3063"/>
      <c r="AN360" s="3062"/>
      <c r="AO360" s="3062"/>
      <c r="AP360" s="3062"/>
      <c r="AQ360" s="3062"/>
      <c r="AR360" s="3062"/>
      <c r="AS360" s="3062"/>
    </row>
    <row r="361" spans="1:69" s="2622" customFormat="1" ht="15">
      <c r="A361" s="3877" t="s">
        <v>264</v>
      </c>
      <c r="B361" s="3878"/>
      <c r="C361" s="3879"/>
      <c r="D361" s="2858"/>
      <c r="E361" s="2858"/>
      <c r="F361" s="2858"/>
      <c r="G361" s="2858"/>
      <c r="H361" s="2858"/>
      <c r="I361" s="2858"/>
      <c r="J361" s="2858"/>
      <c r="K361" s="2858"/>
      <c r="L361" s="2858"/>
      <c r="M361" s="2858"/>
      <c r="N361" s="2858"/>
      <c r="O361" s="2858"/>
      <c r="P361" s="2858"/>
      <c r="Q361" s="2858"/>
      <c r="R361" s="2858"/>
      <c r="S361" s="2859"/>
      <c r="T361" s="2859"/>
      <c r="U361" s="2859"/>
      <c r="V361" s="2859"/>
      <c r="W361" s="2859"/>
      <c r="X361" s="2859"/>
      <c r="Y361" s="2859"/>
      <c r="Z361" s="2859"/>
      <c r="AA361" s="2859"/>
      <c r="AB361" s="2859"/>
      <c r="AC361" s="2859"/>
      <c r="AD361" s="2859"/>
      <c r="AE361" s="2859"/>
      <c r="AF361" s="2859"/>
      <c r="AG361" s="2859"/>
      <c r="AH361" s="2859"/>
      <c r="AJ361" s="3062"/>
      <c r="AK361" s="3063">
        <v>950875</v>
      </c>
      <c r="AL361" s="3066" t="s">
        <v>1079</v>
      </c>
      <c r="AM361" s="3063"/>
      <c r="AN361" s="3062"/>
      <c r="AO361" s="3062"/>
      <c r="AP361" s="3062"/>
      <c r="AQ361" s="3062"/>
      <c r="AR361" s="3062"/>
      <c r="AS361" s="3062"/>
    </row>
    <row r="362" spans="1:69" s="2622" customFormat="1" ht="15">
      <c r="A362" s="2860" t="s">
        <v>72</v>
      </c>
      <c r="B362" s="2861" t="s">
        <v>73</v>
      </c>
      <c r="C362" s="2862">
        <v>1</v>
      </c>
      <c r="D362" s="2862">
        <v>2</v>
      </c>
      <c r="E362" s="2862">
        <v>3</v>
      </c>
      <c r="F362" s="2862">
        <v>4</v>
      </c>
      <c r="G362" s="2862">
        <v>5</v>
      </c>
      <c r="H362" s="2862">
        <v>6</v>
      </c>
      <c r="I362" s="2862">
        <v>7</v>
      </c>
      <c r="J362" s="2862">
        <v>8</v>
      </c>
      <c r="K362" s="2862">
        <v>9</v>
      </c>
      <c r="L362" s="2862">
        <v>10</v>
      </c>
      <c r="M362" s="2862">
        <v>11</v>
      </c>
      <c r="N362" s="2862">
        <v>12</v>
      </c>
      <c r="O362" s="2862">
        <v>13</v>
      </c>
      <c r="P362" s="2862">
        <v>14</v>
      </c>
      <c r="Q362" s="2862">
        <v>15</v>
      </c>
      <c r="R362" s="2862">
        <v>16</v>
      </c>
      <c r="S362" s="2860">
        <v>17</v>
      </c>
      <c r="T362" s="2860">
        <v>18</v>
      </c>
      <c r="U362" s="2860">
        <v>19</v>
      </c>
      <c r="V362" s="2860">
        <v>20</v>
      </c>
      <c r="W362" s="2860">
        <v>21</v>
      </c>
      <c r="X362" s="2860">
        <v>22</v>
      </c>
      <c r="Y362" s="2860">
        <v>23</v>
      </c>
      <c r="Z362" s="2860">
        <v>24</v>
      </c>
      <c r="AA362" s="2860">
        <v>25</v>
      </c>
      <c r="AB362" s="2860">
        <v>26</v>
      </c>
      <c r="AC362" s="2860">
        <v>27</v>
      </c>
      <c r="AD362" s="2860">
        <v>28</v>
      </c>
      <c r="AE362" s="2860">
        <v>29</v>
      </c>
      <c r="AF362" s="2860">
        <v>30</v>
      </c>
      <c r="AG362" s="2860">
        <v>31</v>
      </c>
      <c r="AH362" s="2863" t="s">
        <v>74</v>
      </c>
      <c r="AJ362" s="3062"/>
      <c r="AK362" s="3063">
        <v>901571</v>
      </c>
      <c r="AL362" s="3066" t="s">
        <v>1080</v>
      </c>
      <c r="AM362" s="3063"/>
      <c r="AN362" s="3062"/>
      <c r="AO362" s="3062"/>
      <c r="AP362" s="3062"/>
      <c r="AQ362" s="3062"/>
      <c r="AR362" s="3062"/>
      <c r="AS362" s="3062"/>
    </row>
    <row r="363" spans="1:69" s="2622" customFormat="1" ht="15">
      <c r="A363" s="2860" t="s">
        <v>75</v>
      </c>
      <c r="B363" s="2861">
        <f t="shared" ref="B363:B374" si="128">+AH363</f>
        <v>0</v>
      </c>
      <c r="C363" s="2864"/>
      <c r="D363" s="2864"/>
      <c r="E363" s="2864"/>
      <c r="F363" s="2864"/>
      <c r="G363" s="2864"/>
      <c r="H363" s="2864"/>
      <c r="I363" s="2864"/>
      <c r="J363" s="2864"/>
      <c r="K363" s="2864"/>
      <c r="L363" s="2864"/>
      <c r="M363" s="2864"/>
      <c r="N363" s="2864"/>
      <c r="O363" s="2864"/>
      <c r="P363" s="2864"/>
      <c r="Q363" s="2864"/>
      <c r="R363" s="2864"/>
      <c r="S363" s="2864"/>
      <c r="T363" s="2864"/>
      <c r="U363" s="2864"/>
      <c r="V363" s="2864"/>
      <c r="W363" s="2864"/>
      <c r="X363" s="2864"/>
      <c r="Y363" s="2864"/>
      <c r="Z363" s="2864"/>
      <c r="AA363" s="2864"/>
      <c r="AB363" s="2864"/>
      <c r="AC363" s="2864"/>
      <c r="AD363" s="2864"/>
      <c r="AE363" s="2864"/>
      <c r="AF363" s="2864"/>
      <c r="AG363" s="2864"/>
      <c r="AH363" s="2865">
        <f>SUM(C363:AG363)</f>
        <v>0</v>
      </c>
      <c r="AJ363" s="3062"/>
      <c r="AK363" s="3063">
        <v>956295</v>
      </c>
      <c r="AL363" s="3066" t="s">
        <v>1081</v>
      </c>
      <c r="AM363" s="3063"/>
      <c r="AN363" s="3062"/>
      <c r="AO363" s="3062"/>
      <c r="AP363" s="3062"/>
      <c r="AQ363" s="3062"/>
      <c r="AR363" s="3062"/>
      <c r="AS363" s="3062"/>
    </row>
    <row r="364" spans="1:69" s="2622" customFormat="1" ht="15.75" thickBot="1">
      <c r="A364" s="2860" t="s">
        <v>76</v>
      </c>
      <c r="B364" s="2861">
        <f t="shared" si="128"/>
        <v>0</v>
      </c>
      <c r="C364" s="2864"/>
      <c r="D364" s="2864"/>
      <c r="E364" s="2864"/>
      <c r="F364" s="2864"/>
      <c r="G364" s="2864"/>
      <c r="H364" s="2864"/>
      <c r="I364" s="2864"/>
      <c r="J364" s="2864"/>
      <c r="K364" s="2864"/>
      <c r="L364" s="2864"/>
      <c r="M364" s="2864"/>
      <c r="N364" s="2864"/>
      <c r="O364" s="2864"/>
      <c r="P364" s="2864"/>
      <c r="Q364" s="2864"/>
      <c r="R364" s="2864"/>
      <c r="S364" s="2864"/>
      <c r="T364" s="2864"/>
      <c r="U364" s="2864"/>
      <c r="V364" s="2864"/>
      <c r="W364" s="2864"/>
      <c r="X364" s="2864"/>
      <c r="Y364" s="2864"/>
      <c r="Z364" s="2864"/>
      <c r="AA364" s="2864"/>
      <c r="AB364" s="2864"/>
      <c r="AC364" s="2864"/>
      <c r="AD364" s="2864"/>
      <c r="AE364" s="2864"/>
      <c r="AF364" s="2864"/>
      <c r="AG364" s="2864"/>
      <c r="AH364" s="2865">
        <f t="shared" ref="AH364:AH374" si="129">SUM(C364:AG364)</f>
        <v>0</v>
      </c>
      <c r="AJ364" s="3062"/>
      <c r="AK364" s="3063">
        <v>28353</v>
      </c>
      <c r="AL364" s="3066" t="s">
        <v>1082</v>
      </c>
      <c r="AM364" s="3063"/>
      <c r="AN364" s="3062"/>
      <c r="AO364" s="3062"/>
      <c r="AP364" s="3062"/>
      <c r="AQ364" s="3062"/>
      <c r="AR364" s="3062"/>
      <c r="AS364" s="3062"/>
    </row>
    <row r="365" spans="1:69" s="2622" customFormat="1" ht="15.75" thickBot="1">
      <c r="A365" s="2860" t="s">
        <v>77</v>
      </c>
      <c r="B365" s="2861">
        <f t="shared" si="128"/>
        <v>0</v>
      </c>
      <c r="C365" s="2864"/>
      <c r="D365" s="2864"/>
      <c r="E365" s="2864"/>
      <c r="F365" s="2864"/>
      <c r="G365" s="2864"/>
      <c r="H365" s="2866"/>
      <c r="I365" s="2866"/>
      <c r="J365" s="2866"/>
      <c r="K365" s="2866"/>
      <c r="L365" s="2866"/>
      <c r="M365" s="2866"/>
      <c r="N365" s="2866"/>
      <c r="O365" s="2866"/>
      <c r="P365" s="2866"/>
      <c r="Q365" s="2866"/>
      <c r="R365" s="2867"/>
      <c r="S365" s="2866"/>
      <c r="T365" s="2866"/>
      <c r="U365" s="2866"/>
      <c r="V365" s="2866"/>
      <c r="W365" s="2866"/>
      <c r="X365" s="2866"/>
      <c r="Y365" s="2866"/>
      <c r="Z365" s="2866"/>
      <c r="AA365" s="2866"/>
      <c r="AB365" s="2866"/>
      <c r="AC365" s="2864"/>
      <c r="AD365" s="2864"/>
      <c r="AE365" s="2864"/>
      <c r="AF365" s="2864"/>
      <c r="AG365" s="2864"/>
      <c r="AH365" s="2865">
        <f t="shared" si="129"/>
        <v>0</v>
      </c>
      <c r="AJ365" s="3062"/>
      <c r="AK365" s="3063">
        <v>950815</v>
      </c>
      <c r="AL365" s="3066" t="s">
        <v>1083</v>
      </c>
      <c r="AM365" s="3063"/>
      <c r="AN365" s="3062"/>
      <c r="AO365" s="3062"/>
      <c r="AP365" s="3062"/>
      <c r="AQ365" s="3062"/>
      <c r="AR365" s="3062"/>
      <c r="AS365" s="3062"/>
    </row>
    <row r="366" spans="1:69" s="2622" customFormat="1" ht="15">
      <c r="A366" s="2860" t="s">
        <v>78</v>
      </c>
      <c r="B366" s="2861">
        <f t="shared" si="128"/>
        <v>0</v>
      </c>
      <c r="C366" s="2864"/>
      <c r="D366" s="2864"/>
      <c r="E366" s="2864"/>
      <c r="F366" s="2864"/>
      <c r="G366" s="2864"/>
      <c r="H366" s="2864"/>
      <c r="I366" s="2864"/>
      <c r="J366" s="2864"/>
      <c r="K366" s="2864"/>
      <c r="L366" s="2868"/>
      <c r="M366" s="2868"/>
      <c r="N366" s="2868"/>
      <c r="O366" s="2868"/>
      <c r="P366" s="2868"/>
      <c r="Q366" s="2868"/>
      <c r="R366" s="2868"/>
      <c r="S366" s="2868"/>
      <c r="T366" s="2868"/>
      <c r="U366" s="2868"/>
      <c r="V366" s="2868"/>
      <c r="W366" s="2868"/>
      <c r="X366" s="2868"/>
      <c r="Y366" s="2868"/>
      <c r="Z366" s="2868"/>
      <c r="AA366" s="2868"/>
      <c r="AB366" s="2868"/>
      <c r="AC366" s="2868"/>
      <c r="AD366" s="2868"/>
      <c r="AE366" s="2868"/>
      <c r="AF366" s="2868"/>
      <c r="AG366" s="2868"/>
      <c r="AH366" s="2865">
        <f t="shared" si="129"/>
        <v>0</v>
      </c>
      <c r="AJ366" s="3062"/>
      <c r="AK366" s="3063">
        <v>901517</v>
      </c>
      <c r="AL366" s="3066" t="s">
        <v>1084</v>
      </c>
      <c r="AM366" s="3063"/>
      <c r="AN366" s="3062"/>
      <c r="AO366" s="3062"/>
      <c r="AP366" s="3062"/>
      <c r="AQ366" s="3062"/>
      <c r="AR366" s="3062"/>
      <c r="AS366" s="3062"/>
    </row>
    <row r="367" spans="1:69" s="2622" customFormat="1" ht="28.5">
      <c r="A367" s="2860" t="s">
        <v>79</v>
      </c>
      <c r="B367" s="2861">
        <f t="shared" si="128"/>
        <v>91.762</v>
      </c>
      <c r="C367" s="2866"/>
      <c r="D367" s="2866"/>
      <c r="E367" s="2866"/>
      <c r="F367" s="2866"/>
      <c r="G367" s="2866"/>
      <c r="H367" s="2866"/>
      <c r="I367" s="2866"/>
      <c r="J367" s="2866"/>
      <c r="K367" s="2866"/>
      <c r="L367" s="2866"/>
      <c r="M367" s="2866"/>
      <c r="N367" s="2866"/>
      <c r="O367" s="2866"/>
      <c r="P367" s="2866"/>
      <c r="Q367" s="2866"/>
      <c r="R367" s="2866"/>
      <c r="S367" s="2866"/>
      <c r="T367" s="2866"/>
      <c r="U367" s="2866"/>
      <c r="V367" s="2866"/>
      <c r="W367" s="2866"/>
      <c r="X367" s="2866">
        <v>46.302</v>
      </c>
      <c r="Y367" s="2866"/>
      <c r="Z367" s="2866">
        <v>24.045000000000002</v>
      </c>
      <c r="AA367" s="2866"/>
      <c r="AB367" s="2866"/>
      <c r="AC367" s="2866"/>
      <c r="AD367" s="2866"/>
      <c r="AE367" s="2866">
        <v>21.414999999999999</v>
      </c>
      <c r="AF367" s="2866"/>
      <c r="AG367" s="2866"/>
      <c r="AH367" s="2865">
        <f t="shared" si="129"/>
        <v>91.762</v>
      </c>
      <c r="AM367" s="3069" t="s">
        <v>1085</v>
      </c>
      <c r="AP367" s="3070">
        <f>195.92+33.403+46.282+837.137+1085.202+765.277+45.181+70.681+29.478+32.433+194.587+22.695+138.942+133.542+28.998+166.209+40.344+81+291.078</f>
        <v>4238.3890000000001</v>
      </c>
      <c r="AQ367" s="3070"/>
    </row>
    <row r="368" spans="1:69" s="2622" customFormat="1" ht="15">
      <c r="A368" s="2860" t="s">
        <v>80</v>
      </c>
      <c r="B368" s="2861">
        <f t="shared" si="128"/>
        <v>0</v>
      </c>
      <c r="C368" s="2866"/>
      <c r="D368" s="2866"/>
      <c r="E368" s="2866"/>
      <c r="F368" s="2866"/>
      <c r="G368" s="2866"/>
      <c r="H368" s="2866"/>
      <c r="I368" s="2866"/>
      <c r="J368" s="2866"/>
      <c r="K368" s="2866"/>
      <c r="L368" s="2866"/>
      <c r="M368" s="2866"/>
      <c r="N368" s="2866"/>
      <c r="O368" s="2866"/>
      <c r="P368" s="2866"/>
      <c r="Q368" s="2866"/>
      <c r="R368" s="2866"/>
      <c r="S368" s="2866"/>
      <c r="T368" s="2866"/>
      <c r="U368" s="2866"/>
      <c r="V368" s="2866"/>
      <c r="W368" s="2866"/>
      <c r="X368" s="2866"/>
      <c r="Y368" s="2866"/>
      <c r="Z368" s="2866"/>
      <c r="AA368" s="2866"/>
      <c r="AB368" s="2866"/>
      <c r="AC368" s="2866"/>
      <c r="AD368" s="2866"/>
      <c r="AE368" s="2866"/>
      <c r="AF368" s="2866"/>
      <c r="AG368" s="2866"/>
      <c r="AH368" s="2865">
        <f t="shared" si="129"/>
        <v>0</v>
      </c>
      <c r="AJ368" s="3062"/>
      <c r="AK368" s="3062"/>
      <c r="AL368" s="3062"/>
      <c r="AM368" s="3062"/>
      <c r="AN368" s="3064">
        <v>12030.248</v>
      </c>
      <c r="AO368" s="3065">
        <v>159.596</v>
      </c>
      <c r="AP368" s="3064">
        <f>SUM(AP367)</f>
        <v>4238.3890000000001</v>
      </c>
      <c r="AQ368" s="3065">
        <f>SUM(AQ367)</f>
        <v>0</v>
      </c>
      <c r="AR368" s="3065">
        <f>(AN368-AP368)</f>
        <v>7791.8589999999995</v>
      </c>
      <c r="AS368" s="3065">
        <f>(AO368-AQ368)</f>
        <v>159.596</v>
      </c>
    </row>
    <row r="369" spans="1:69" s="2622" customFormat="1" ht="15">
      <c r="A369" s="2860" t="s">
        <v>81</v>
      </c>
      <c r="B369" s="2861">
        <f t="shared" si="128"/>
        <v>0</v>
      </c>
      <c r="C369" s="2866"/>
      <c r="D369" s="2865"/>
      <c r="E369" s="2865"/>
      <c r="F369" s="2865"/>
      <c r="G369" s="2866"/>
      <c r="H369" s="2866"/>
      <c r="I369" s="2866"/>
      <c r="J369" s="2866"/>
      <c r="K369" s="2866"/>
      <c r="L369" s="2866"/>
      <c r="M369" s="2866"/>
      <c r="N369" s="2866"/>
      <c r="O369" s="2866"/>
      <c r="P369" s="2866"/>
      <c r="Q369" s="2866"/>
      <c r="R369" s="2866"/>
      <c r="S369" s="2866"/>
      <c r="T369" s="2866"/>
      <c r="U369" s="2866"/>
      <c r="V369" s="2866"/>
      <c r="W369" s="2866"/>
      <c r="X369" s="2866"/>
      <c r="Y369" s="2866"/>
      <c r="Z369" s="2866"/>
      <c r="AA369" s="2866"/>
      <c r="AB369" s="2866"/>
      <c r="AC369" s="2866"/>
      <c r="AD369" s="2866"/>
      <c r="AE369" s="2866"/>
      <c r="AF369" s="2866"/>
      <c r="AG369" s="2866"/>
      <c r="AH369" s="2865">
        <f t="shared" si="129"/>
        <v>0</v>
      </c>
    </row>
    <row r="370" spans="1:69" s="2622" customFormat="1" ht="15">
      <c r="A370" s="2860" t="s">
        <v>82</v>
      </c>
      <c r="B370" s="2861">
        <f t="shared" si="128"/>
        <v>0</v>
      </c>
      <c r="C370" s="2866"/>
      <c r="D370" s="2866"/>
      <c r="E370" s="2866"/>
      <c r="F370" s="2866"/>
      <c r="G370" s="2866"/>
      <c r="H370" s="2866"/>
      <c r="I370" s="2866"/>
      <c r="J370" s="2866"/>
      <c r="K370" s="2866"/>
      <c r="L370" s="2866"/>
      <c r="M370" s="2866"/>
      <c r="N370" s="2866"/>
      <c r="O370" s="2866"/>
      <c r="P370" s="2866"/>
      <c r="Q370" s="2866"/>
      <c r="R370" s="2866"/>
      <c r="S370" s="2866"/>
      <c r="T370" s="2866"/>
      <c r="U370" s="2866"/>
      <c r="V370" s="2866"/>
      <c r="W370" s="2866"/>
      <c r="X370" s="2866"/>
      <c r="Y370" s="2866"/>
      <c r="Z370" s="2866"/>
      <c r="AA370" s="2866"/>
      <c r="AB370" s="2866"/>
      <c r="AC370" s="2866"/>
      <c r="AD370" s="2866"/>
      <c r="AE370" s="2866"/>
      <c r="AF370" s="2866"/>
      <c r="AG370" s="2866"/>
      <c r="AH370" s="2865">
        <f t="shared" si="129"/>
        <v>0</v>
      </c>
      <c r="AT370"/>
      <c r="AU370"/>
      <c r="AV370"/>
      <c r="AW370"/>
      <c r="AX370"/>
      <c r="AY370"/>
      <c r="AZ370"/>
      <c r="BA370"/>
      <c r="BB370"/>
      <c r="BC370"/>
      <c r="BD370"/>
      <c r="BE370"/>
      <c r="BF370"/>
      <c r="BG370"/>
      <c r="BH370"/>
      <c r="BI370"/>
      <c r="BJ370"/>
      <c r="BK370"/>
      <c r="BL370"/>
      <c r="BM370"/>
      <c r="BN370"/>
      <c r="BO370"/>
      <c r="BP370"/>
      <c r="BQ370"/>
    </row>
    <row r="371" spans="1:69" s="2622" customFormat="1" ht="15">
      <c r="A371" s="2860" t="s">
        <v>83</v>
      </c>
      <c r="B371" s="2861">
        <f t="shared" si="128"/>
        <v>0</v>
      </c>
      <c r="C371" s="2866"/>
      <c r="D371" s="2866"/>
      <c r="E371" s="2866"/>
      <c r="F371" s="2866"/>
      <c r="G371" s="2866"/>
      <c r="H371" s="2866"/>
      <c r="I371" s="2866"/>
      <c r="J371" s="2866"/>
      <c r="K371" s="2866"/>
      <c r="L371" s="2866"/>
      <c r="M371" s="2866"/>
      <c r="N371" s="2866"/>
      <c r="O371" s="2866"/>
      <c r="P371" s="2866"/>
      <c r="Q371" s="2866"/>
      <c r="R371" s="2866"/>
      <c r="S371" s="2866"/>
      <c r="T371" s="2866"/>
      <c r="U371" s="2866"/>
      <c r="V371" s="2866"/>
      <c r="W371" s="2866"/>
      <c r="X371" s="2866"/>
      <c r="Y371" s="2866"/>
      <c r="Z371" s="2866"/>
      <c r="AA371" s="2866"/>
      <c r="AB371" s="2866"/>
      <c r="AC371" s="2866"/>
      <c r="AD371" s="2866"/>
      <c r="AE371" s="2866"/>
      <c r="AF371" s="2866"/>
      <c r="AG371" s="2866"/>
      <c r="AH371" s="2865">
        <f t="shared" si="129"/>
        <v>0</v>
      </c>
    </row>
    <row r="372" spans="1:69" s="2622" customFormat="1" ht="33">
      <c r="A372" s="2860" t="s">
        <v>84</v>
      </c>
      <c r="B372" s="2861">
        <f t="shared" si="128"/>
        <v>0</v>
      </c>
      <c r="C372" s="2866"/>
      <c r="D372" s="2866"/>
      <c r="E372" s="2866"/>
      <c r="F372" s="2866"/>
      <c r="G372" s="2866"/>
      <c r="H372" s="2866"/>
      <c r="I372" s="2866"/>
      <c r="J372" s="2866"/>
      <c r="K372" s="2866"/>
      <c r="L372" s="2866"/>
      <c r="M372" s="2866"/>
      <c r="N372" s="2866"/>
      <c r="O372" s="2866"/>
      <c r="P372" s="2866"/>
      <c r="Q372" s="2866"/>
      <c r="R372" s="2866"/>
      <c r="S372" s="2866"/>
      <c r="T372" s="2866"/>
      <c r="U372" s="2866"/>
      <c r="V372" s="2866"/>
      <c r="W372" s="2866"/>
      <c r="X372" s="2866"/>
      <c r="Y372" s="2866"/>
      <c r="Z372" s="2866"/>
      <c r="AA372" s="2866"/>
      <c r="AB372" s="2866"/>
      <c r="AC372" s="2866"/>
      <c r="AD372" s="2866"/>
      <c r="AE372" s="2865"/>
      <c r="AF372" s="2866"/>
      <c r="AG372" s="2865"/>
      <c r="AH372" s="2865">
        <f t="shared" si="129"/>
        <v>0</v>
      </c>
      <c r="AJ372" s="3123" t="s">
        <v>310</v>
      </c>
      <c r="AK372" s="3124"/>
      <c r="AL372" s="3124" t="s">
        <v>1091</v>
      </c>
      <c r="AM372" s="3125"/>
      <c r="AN372" s="3125"/>
      <c r="AO372" s="3228"/>
      <c r="AP372" s="3125"/>
      <c r="AQ372" s="3124" t="s">
        <v>1092</v>
      </c>
      <c r="AR372" s="3125"/>
      <c r="AS372" s="3125"/>
      <c r="AT372" s="3125"/>
      <c r="AU372" s="3125"/>
      <c r="AV372" s="3125"/>
      <c r="AW372" s="3125"/>
      <c r="AX372" s="3126" t="s">
        <v>1093</v>
      </c>
      <c r="AY372" s="3125"/>
      <c r="AZ372" s="3080"/>
      <c r="BA372" s="3088"/>
      <c r="BB372" s="3088"/>
      <c r="BC372" s="3088"/>
      <c r="BD372" s="3088"/>
      <c r="BE372" s="3088"/>
      <c r="BF372" s="3088"/>
      <c r="BG372" s="3088"/>
      <c r="BH372" s="3088"/>
      <c r="BI372" s="3088"/>
      <c r="BJ372" s="3088"/>
      <c r="BK372" s="3088"/>
      <c r="BL372" s="3088"/>
      <c r="BM372" s="3088"/>
      <c r="BN372" s="3088"/>
      <c r="BO372" s="3088"/>
      <c r="BP372" s="3088"/>
      <c r="BQ372" s="3088"/>
    </row>
    <row r="373" spans="1:69" s="2622" customFormat="1" ht="15">
      <c r="A373" s="2860" t="s">
        <v>85</v>
      </c>
      <c r="B373" s="2861">
        <f t="shared" si="128"/>
        <v>0</v>
      </c>
      <c r="C373" s="2866"/>
      <c r="D373" s="2866"/>
      <c r="E373" s="2866"/>
      <c r="F373" s="2866"/>
      <c r="G373" s="2869"/>
      <c r="H373" s="2866"/>
      <c r="I373" s="2866"/>
      <c r="J373" s="2866"/>
      <c r="K373" s="2866"/>
      <c r="L373" s="2866"/>
      <c r="M373" s="2866"/>
      <c r="N373" s="2866"/>
      <c r="O373" s="2866"/>
      <c r="P373" s="2866"/>
      <c r="Q373" s="2866"/>
      <c r="R373" s="2866"/>
      <c r="S373" s="2866"/>
      <c r="T373" s="2866"/>
      <c r="U373" s="2866"/>
      <c r="V373" s="2866"/>
      <c r="W373" s="2866"/>
      <c r="X373" s="2866"/>
      <c r="Y373" s="2866"/>
      <c r="Z373" s="2866"/>
      <c r="AA373" s="2866"/>
      <c r="AB373" s="2866"/>
      <c r="AC373" s="2866"/>
      <c r="AD373" s="2866"/>
      <c r="AE373" s="2865"/>
      <c r="AF373" s="2866"/>
      <c r="AG373" s="2865"/>
      <c r="AH373" s="2865">
        <f t="shared" si="129"/>
        <v>0</v>
      </c>
      <c r="AJ373" s="3915" t="s">
        <v>271</v>
      </c>
      <c r="AK373" s="3916"/>
      <c r="AL373" s="3917"/>
      <c r="AM373" s="3089"/>
      <c r="AN373" s="3089"/>
      <c r="AO373" s="3089"/>
      <c r="AP373" s="3089"/>
      <c r="AQ373" s="3089"/>
      <c r="AR373" s="3089"/>
      <c r="AS373" s="3089"/>
      <c r="AT373" s="3089"/>
      <c r="AU373" s="3089"/>
      <c r="AV373" s="3089"/>
      <c r="AW373" s="3089"/>
      <c r="AX373" s="3089"/>
      <c r="AY373" s="3089"/>
      <c r="AZ373" s="3089"/>
      <c r="BA373" s="3089"/>
      <c r="BB373" s="3090"/>
      <c r="BC373" s="3090"/>
      <c r="BD373" s="3090"/>
      <c r="BE373" s="3090"/>
      <c r="BF373" s="3090"/>
      <c r="BG373" s="3090"/>
      <c r="BH373" s="3090"/>
      <c r="BI373" s="3090"/>
      <c r="BJ373" s="3090"/>
      <c r="BK373" s="3090"/>
      <c r="BL373" s="3090"/>
      <c r="BM373" s="3090"/>
      <c r="BN373" s="3090"/>
      <c r="BO373" s="3090"/>
      <c r="BP373" s="3090"/>
      <c r="BQ373" s="3090"/>
    </row>
    <row r="374" spans="1:69" s="2622" customFormat="1" ht="15">
      <c r="A374" s="2860" t="s">
        <v>86</v>
      </c>
      <c r="B374" s="2861">
        <f t="shared" si="128"/>
        <v>0</v>
      </c>
      <c r="C374" s="2866"/>
      <c r="D374" s="2866"/>
      <c r="E374" s="2866"/>
      <c r="F374" s="2866"/>
      <c r="G374" s="2866"/>
      <c r="H374" s="2866"/>
      <c r="I374" s="2866"/>
      <c r="J374" s="2866"/>
      <c r="K374" s="2866"/>
      <c r="L374" s="2866"/>
      <c r="M374" s="2866"/>
      <c r="N374" s="2866"/>
      <c r="O374" s="2866"/>
      <c r="P374" s="2866"/>
      <c r="Q374" s="2866"/>
      <c r="R374" s="2866"/>
      <c r="S374" s="2866"/>
      <c r="T374" s="2866"/>
      <c r="U374" s="2866"/>
      <c r="V374" s="2866"/>
      <c r="W374" s="2866"/>
      <c r="X374" s="2866"/>
      <c r="Y374" s="2866"/>
      <c r="Z374" s="2866"/>
      <c r="AA374" s="2866"/>
      <c r="AB374" s="2866"/>
      <c r="AC374" s="2866"/>
      <c r="AD374" s="2866"/>
      <c r="AE374" s="2866"/>
      <c r="AF374" s="2866"/>
      <c r="AG374" s="2866"/>
      <c r="AH374" s="2865">
        <f t="shared" si="129"/>
        <v>0</v>
      </c>
      <c r="AJ374" s="3091" t="s">
        <v>72</v>
      </c>
      <c r="AK374" s="3092" t="s">
        <v>73</v>
      </c>
      <c r="AL374" s="3093">
        <v>1</v>
      </c>
      <c r="AM374" s="3093">
        <v>2</v>
      </c>
      <c r="AN374" s="3093">
        <v>3</v>
      </c>
      <c r="AO374" s="3093">
        <v>4</v>
      </c>
      <c r="AP374" s="3093">
        <v>5</v>
      </c>
      <c r="AQ374" s="3093">
        <v>6</v>
      </c>
      <c r="AR374" s="3093">
        <v>7</v>
      </c>
      <c r="AS374" s="3093">
        <v>8</v>
      </c>
      <c r="AT374" s="3093">
        <v>9</v>
      </c>
      <c r="AU374" s="3093">
        <v>10</v>
      </c>
      <c r="AV374" s="3093">
        <v>11</v>
      </c>
      <c r="AW374" s="3093">
        <v>12</v>
      </c>
      <c r="AX374" s="3093">
        <v>13</v>
      </c>
      <c r="AY374" s="3093">
        <v>14</v>
      </c>
      <c r="AZ374" s="3093">
        <v>15</v>
      </c>
      <c r="BA374" s="3093">
        <v>16</v>
      </c>
      <c r="BB374" s="3091">
        <v>17</v>
      </c>
      <c r="BC374" s="3091">
        <v>18</v>
      </c>
      <c r="BD374" s="3091">
        <v>19</v>
      </c>
      <c r="BE374" s="3091">
        <v>20</v>
      </c>
      <c r="BF374" s="3091">
        <v>21</v>
      </c>
      <c r="BG374" s="3091">
        <v>22</v>
      </c>
      <c r="BH374" s="3091">
        <v>23</v>
      </c>
      <c r="BI374" s="3091">
        <v>24</v>
      </c>
      <c r="BJ374" s="3091">
        <v>25</v>
      </c>
      <c r="BK374" s="3091">
        <v>26</v>
      </c>
      <c r="BL374" s="3091">
        <v>27</v>
      </c>
      <c r="BM374" s="3091">
        <v>28</v>
      </c>
      <c r="BN374" s="3091">
        <v>29</v>
      </c>
      <c r="BO374" s="3091">
        <v>30</v>
      </c>
      <c r="BP374" s="3091">
        <v>31</v>
      </c>
      <c r="BQ374" s="3094" t="s">
        <v>74</v>
      </c>
    </row>
    <row r="375" spans="1:69" s="2622" customFormat="1" ht="15">
      <c r="A375" s="2870" t="s">
        <v>74</v>
      </c>
      <c r="B375" s="2871">
        <f t="shared" ref="B375:R375" si="130">SUM(B363:B374)</f>
        <v>91.762</v>
      </c>
      <c r="C375" s="2861">
        <f t="shared" si="130"/>
        <v>0</v>
      </c>
      <c r="D375" s="2861">
        <f t="shared" si="130"/>
        <v>0</v>
      </c>
      <c r="E375" s="2861">
        <f t="shared" si="130"/>
        <v>0</v>
      </c>
      <c r="F375" s="2861">
        <f t="shared" si="130"/>
        <v>0</v>
      </c>
      <c r="G375" s="2861">
        <f t="shared" si="130"/>
        <v>0</v>
      </c>
      <c r="H375" s="2861">
        <f t="shared" si="130"/>
        <v>0</v>
      </c>
      <c r="I375" s="2861">
        <f t="shared" si="130"/>
        <v>0</v>
      </c>
      <c r="J375" s="2861">
        <f t="shared" si="130"/>
        <v>0</v>
      </c>
      <c r="K375" s="2861">
        <f t="shared" si="130"/>
        <v>0</v>
      </c>
      <c r="L375" s="2861">
        <f t="shared" si="130"/>
        <v>0</v>
      </c>
      <c r="M375" s="2861">
        <f t="shared" si="130"/>
        <v>0</v>
      </c>
      <c r="N375" s="2861">
        <f t="shared" si="130"/>
        <v>0</v>
      </c>
      <c r="O375" s="2861">
        <f t="shared" si="130"/>
        <v>0</v>
      </c>
      <c r="P375" s="2861">
        <f t="shared" si="130"/>
        <v>0</v>
      </c>
      <c r="Q375" s="2861">
        <f t="shared" si="130"/>
        <v>0</v>
      </c>
      <c r="R375" s="2861">
        <f t="shared" si="130"/>
        <v>0</v>
      </c>
      <c r="S375" s="2865">
        <f t="shared" ref="S375:AC375" si="131">SUM(S363:S373)</f>
        <v>0</v>
      </c>
      <c r="T375" s="2865">
        <f t="shared" si="131"/>
        <v>0</v>
      </c>
      <c r="U375" s="2865">
        <f t="shared" si="131"/>
        <v>0</v>
      </c>
      <c r="V375" s="2865">
        <f t="shared" si="131"/>
        <v>0</v>
      </c>
      <c r="W375" s="2865">
        <f t="shared" si="131"/>
        <v>0</v>
      </c>
      <c r="X375" s="2865">
        <f t="shared" si="131"/>
        <v>46.302</v>
      </c>
      <c r="Y375" s="2865">
        <f t="shared" si="131"/>
        <v>0</v>
      </c>
      <c r="Z375" s="2865">
        <f t="shared" si="131"/>
        <v>24.045000000000002</v>
      </c>
      <c r="AA375" s="2865">
        <f t="shared" si="131"/>
        <v>0</v>
      </c>
      <c r="AB375" s="2865">
        <f t="shared" si="131"/>
        <v>0</v>
      </c>
      <c r="AC375" s="2865">
        <f t="shared" si="131"/>
        <v>0</v>
      </c>
      <c r="AD375" s="2865">
        <v>0</v>
      </c>
      <c r="AE375" s="2865">
        <f>SUM(AE363:AE373)</f>
        <v>21.414999999999999</v>
      </c>
      <c r="AF375" s="2865">
        <f>SUM(AF363:AF373)</f>
        <v>0</v>
      </c>
      <c r="AG375" s="2865">
        <f>SUM(AG363:AG373)</f>
        <v>0</v>
      </c>
      <c r="AH375" s="2865">
        <f>SUM(AH363:AH373)</f>
        <v>91.762</v>
      </c>
      <c r="AJ375" s="3091" t="s">
        <v>75</v>
      </c>
      <c r="AK375" s="3092">
        <f t="shared" ref="AK375:AK386" si="132">+BQ375</f>
        <v>0</v>
      </c>
      <c r="AL375" s="3095"/>
      <c r="AM375" s="3095"/>
      <c r="AN375" s="3095"/>
      <c r="AO375" s="3095"/>
      <c r="AP375" s="3095"/>
      <c r="AQ375" s="3095"/>
      <c r="AR375" s="3095"/>
      <c r="AS375" s="3095"/>
      <c r="AT375" s="3095"/>
      <c r="AU375" s="3095"/>
      <c r="AV375" s="3095"/>
      <c r="AW375" s="3095"/>
      <c r="AX375" s="3095"/>
      <c r="AY375" s="3095"/>
      <c r="AZ375" s="3095"/>
      <c r="BA375" s="3095"/>
      <c r="BB375" s="3095"/>
      <c r="BC375" s="3095"/>
      <c r="BD375" s="3095"/>
      <c r="BE375" s="3095"/>
      <c r="BF375" s="3095"/>
      <c r="BG375" s="3095"/>
      <c r="BH375" s="3095"/>
      <c r="BI375" s="3095"/>
      <c r="BJ375" s="3095"/>
      <c r="BK375" s="3095"/>
      <c r="BL375" s="3095"/>
      <c r="BM375" s="3095"/>
      <c r="BN375" s="3095"/>
      <c r="BO375" s="3095"/>
      <c r="BP375" s="3095"/>
      <c r="BQ375" s="3096">
        <f>SUM(AL375:BP375)</f>
        <v>0</v>
      </c>
    </row>
    <row r="376" spans="1:69" s="2622" customFormat="1" ht="15.75" thickBot="1">
      <c r="A376" s="2857"/>
      <c r="B376" s="2857"/>
      <c r="C376" s="2857"/>
      <c r="D376" s="2857"/>
      <c r="E376" s="2857"/>
      <c r="F376" s="2857"/>
      <c r="G376" s="2857"/>
      <c r="H376" s="2857"/>
      <c r="I376" s="2857"/>
      <c r="J376" s="2857"/>
      <c r="K376" s="2857"/>
      <c r="L376" s="2857"/>
      <c r="M376" s="2857"/>
      <c r="N376" s="2857"/>
      <c r="O376" s="2857"/>
      <c r="P376" s="2857"/>
      <c r="Q376" s="2857"/>
      <c r="R376" s="2857"/>
      <c r="S376" s="2857"/>
      <c r="T376" s="2857"/>
      <c r="U376" s="2857"/>
      <c r="V376" s="2857"/>
      <c r="W376" s="2857"/>
      <c r="X376" s="2857"/>
      <c r="Y376" s="2857"/>
      <c r="Z376" s="2857"/>
      <c r="AA376" s="2857"/>
      <c r="AB376" s="2857"/>
      <c r="AC376" s="2857"/>
      <c r="AD376" s="2857"/>
      <c r="AE376" s="2857"/>
      <c r="AF376" s="2857"/>
      <c r="AG376" s="2857"/>
      <c r="AH376" s="2857"/>
      <c r="AJ376" s="3091" t="s">
        <v>76</v>
      </c>
      <c r="AK376" s="3092">
        <f t="shared" si="132"/>
        <v>0</v>
      </c>
      <c r="AL376" s="3095"/>
      <c r="AM376" s="3095"/>
      <c r="AN376" s="3095"/>
      <c r="AO376" s="3095"/>
      <c r="AP376" s="3095"/>
      <c r="AQ376" s="3095"/>
      <c r="AR376" s="3095"/>
      <c r="AS376" s="3095"/>
      <c r="AT376" s="3095"/>
      <c r="AU376" s="3095"/>
      <c r="AV376" s="3095"/>
      <c r="AW376" s="3095"/>
      <c r="AX376" s="3095"/>
      <c r="AY376" s="3095"/>
      <c r="AZ376" s="3095"/>
      <c r="BA376" s="3095"/>
      <c r="BB376" s="3095"/>
      <c r="BC376" s="3095"/>
      <c r="BD376" s="3095"/>
      <c r="BE376" s="3095"/>
      <c r="BF376" s="3095"/>
      <c r="BG376" s="3095"/>
      <c r="BH376" s="3095"/>
      <c r="BI376" s="3095"/>
      <c r="BJ376" s="3095"/>
      <c r="BK376" s="3095"/>
      <c r="BL376" s="3095"/>
      <c r="BM376" s="3095"/>
      <c r="BN376" s="3095"/>
      <c r="BO376" s="3095"/>
      <c r="BP376" s="3095"/>
      <c r="BQ376" s="3096">
        <f t="shared" ref="BQ376:BQ386" si="133">SUM(AL376:BP376)</f>
        <v>0</v>
      </c>
    </row>
    <row r="377" spans="1:69" s="2622" customFormat="1" ht="15.75" thickBot="1">
      <c r="A377" s="2857"/>
      <c r="B377" s="2857"/>
      <c r="C377" s="2857"/>
      <c r="D377" s="2857"/>
      <c r="E377" s="2857"/>
      <c r="F377" s="2857"/>
      <c r="G377" s="2857"/>
      <c r="H377" s="2857"/>
      <c r="I377" s="2857"/>
      <c r="J377" s="2857"/>
      <c r="K377" s="2857"/>
      <c r="L377" s="2857"/>
      <c r="M377" s="2857"/>
      <c r="N377" s="2857"/>
      <c r="O377" s="2857"/>
      <c r="P377" s="2857"/>
      <c r="Q377" s="2857"/>
      <c r="R377" s="2857"/>
      <c r="S377" s="2857"/>
      <c r="T377" s="2857"/>
      <c r="U377" s="2857"/>
      <c r="V377" s="2857"/>
      <c r="W377" s="2857"/>
      <c r="X377" s="2857"/>
      <c r="Y377" s="2857"/>
      <c r="Z377" s="2857"/>
      <c r="AA377" s="2857"/>
      <c r="AB377" s="2857"/>
      <c r="AC377" s="2857"/>
      <c r="AD377" s="2857"/>
      <c r="AE377" s="2857"/>
      <c r="AF377" s="2857"/>
      <c r="AG377" s="2857"/>
      <c r="AH377" s="2857"/>
      <c r="AJ377" s="3091" t="s">
        <v>77</v>
      </c>
      <c r="AK377" s="3092">
        <f t="shared" si="132"/>
        <v>0</v>
      </c>
      <c r="AL377" s="3095"/>
      <c r="AM377" s="3095"/>
      <c r="AN377" s="3095"/>
      <c r="AO377" s="3095"/>
      <c r="AP377" s="3095"/>
      <c r="AQ377" s="3097"/>
      <c r="AR377" s="3097"/>
      <c r="AS377" s="3097"/>
      <c r="AT377" s="3097"/>
      <c r="AU377" s="3097"/>
      <c r="AV377" s="3097"/>
      <c r="AW377" s="3097"/>
      <c r="AX377" s="3097"/>
      <c r="AY377" s="3097"/>
      <c r="AZ377" s="3097"/>
      <c r="BA377" s="3098"/>
      <c r="BB377" s="3097"/>
      <c r="BC377" s="3097"/>
      <c r="BD377" s="3097"/>
      <c r="BE377" s="3097"/>
      <c r="BF377" s="3097"/>
      <c r="BG377" s="3097"/>
      <c r="BH377" s="3097"/>
      <c r="BI377" s="3097"/>
      <c r="BJ377" s="3097"/>
      <c r="BK377" s="3097"/>
      <c r="BL377" s="3095"/>
      <c r="BM377" s="3095"/>
      <c r="BN377" s="3095"/>
      <c r="BO377" s="3095"/>
      <c r="BP377" s="3095"/>
      <c r="BQ377" s="3096">
        <f t="shared" si="133"/>
        <v>0</v>
      </c>
    </row>
    <row r="378" spans="1:69" s="2622" customFormat="1" ht="16.5" thickBot="1">
      <c r="A378" s="2872" t="s">
        <v>1005</v>
      </c>
      <c r="B378" s="2873"/>
      <c r="C378" s="2873"/>
      <c r="D378" s="2873"/>
      <c r="E378" s="2873"/>
      <c r="F378" s="3880" t="s">
        <v>155</v>
      </c>
      <c r="G378" s="3881"/>
      <c r="H378" s="3882"/>
      <c r="I378" s="3880" t="s">
        <v>156</v>
      </c>
      <c r="J378" s="3883"/>
      <c r="K378" s="3875" t="s">
        <v>912</v>
      </c>
      <c r="L378" s="3875" t="s">
        <v>913</v>
      </c>
      <c r="M378" s="2857"/>
      <c r="N378" s="2857"/>
      <c r="O378" s="2857"/>
      <c r="P378" s="2857"/>
      <c r="Q378" s="2857"/>
      <c r="R378" s="2857"/>
      <c r="S378" s="2857"/>
      <c r="T378" s="2857"/>
      <c r="U378" s="2857"/>
      <c r="V378" s="2857"/>
      <c r="W378" s="2857"/>
      <c r="X378" s="2857"/>
      <c r="Y378" s="2857"/>
      <c r="Z378" s="2857"/>
      <c r="AA378" s="2857"/>
      <c r="AB378" s="2857"/>
      <c r="AC378" s="2857"/>
      <c r="AD378" s="2857"/>
      <c r="AE378" s="2857"/>
      <c r="AF378" s="2857"/>
      <c r="AG378" s="2857"/>
      <c r="AH378" s="2857"/>
      <c r="AJ378" s="3091" t="s">
        <v>78</v>
      </c>
      <c r="AK378" s="3092">
        <f t="shared" si="132"/>
        <v>0</v>
      </c>
      <c r="AL378" s="3095"/>
      <c r="AM378" s="3095"/>
      <c r="AN378" s="3095"/>
      <c r="AO378" s="3095"/>
      <c r="AP378" s="3095"/>
      <c r="AQ378" s="3095"/>
      <c r="AR378" s="3095"/>
      <c r="AS378" s="3095"/>
      <c r="AT378" s="3095"/>
      <c r="AU378" s="3099"/>
      <c r="AV378" s="3099"/>
      <c r="AW378" s="3099"/>
      <c r="AX378" s="3099"/>
      <c r="AY378" s="3099"/>
      <c r="AZ378" s="3099"/>
      <c r="BA378" s="3099"/>
      <c r="BB378" s="3099"/>
      <c r="BC378" s="3099"/>
      <c r="BD378" s="3099"/>
      <c r="BE378" s="3099"/>
      <c r="BF378" s="3099"/>
      <c r="BG378" s="3099"/>
      <c r="BH378" s="3099"/>
      <c r="BI378" s="3099"/>
      <c r="BJ378" s="3099"/>
      <c r="BK378" s="3099"/>
      <c r="BL378" s="3099"/>
      <c r="BM378" s="3099"/>
      <c r="BN378" s="3099"/>
      <c r="BO378" s="3099"/>
      <c r="BP378" s="3099"/>
      <c r="BQ378" s="3096">
        <f t="shared" si="133"/>
        <v>0</v>
      </c>
    </row>
    <row r="379" spans="1:69" s="2622" customFormat="1" ht="15.75" thickBot="1">
      <c r="A379" s="2874" t="s">
        <v>158</v>
      </c>
      <c r="B379" s="2875" t="s">
        <v>159</v>
      </c>
      <c r="C379" s="2876" t="s">
        <v>136</v>
      </c>
      <c r="D379" s="2877" t="s">
        <v>134</v>
      </c>
      <c r="E379" s="2875" t="s">
        <v>160</v>
      </c>
      <c r="F379" s="2878" t="s">
        <v>8</v>
      </c>
      <c r="G379" s="2879" t="s">
        <v>161</v>
      </c>
      <c r="H379" s="2880" t="s">
        <v>52</v>
      </c>
      <c r="I379" s="2878" t="s">
        <v>8</v>
      </c>
      <c r="J379" s="2881" t="s">
        <v>162</v>
      </c>
      <c r="K379" s="3876"/>
      <c r="L379" s="3876"/>
      <c r="M379" s="2857"/>
      <c r="N379" s="2857"/>
      <c r="O379" s="2857"/>
      <c r="P379" s="2857"/>
      <c r="Q379" s="2857"/>
      <c r="R379" s="2857"/>
      <c r="S379" s="2857"/>
      <c r="T379" s="2857"/>
      <c r="U379" s="2857"/>
      <c r="V379" s="2857"/>
      <c r="W379" s="2857"/>
      <c r="X379" s="2857"/>
      <c r="Y379" s="2857"/>
      <c r="Z379" s="2857"/>
      <c r="AA379" s="2857"/>
      <c r="AB379" s="2857"/>
      <c r="AC379" s="2857"/>
      <c r="AD379" s="2857"/>
      <c r="AE379" s="2857"/>
      <c r="AF379" s="2857"/>
      <c r="AG379" s="2857"/>
      <c r="AH379" s="2857"/>
      <c r="AJ379" s="3091" t="s">
        <v>79</v>
      </c>
      <c r="AK379" s="3092">
        <f t="shared" si="132"/>
        <v>0</v>
      </c>
      <c r="AL379" s="3097"/>
      <c r="AM379" s="3097"/>
      <c r="AN379" s="3097"/>
      <c r="AO379" s="3097"/>
      <c r="AP379" s="3097"/>
      <c r="AQ379" s="3097"/>
      <c r="AR379" s="3097"/>
      <c r="AS379" s="3097"/>
      <c r="AT379" s="3097"/>
      <c r="AU379" s="3097"/>
      <c r="AV379" s="3097"/>
      <c r="AW379" s="3097"/>
      <c r="AX379" s="3097"/>
      <c r="AY379" s="3097"/>
      <c r="AZ379" s="3097"/>
      <c r="BA379" s="3097"/>
      <c r="BB379" s="3097"/>
      <c r="BC379" s="3097"/>
      <c r="BD379" s="3097"/>
      <c r="BE379" s="3097"/>
      <c r="BF379" s="3097"/>
      <c r="BG379" s="3097"/>
      <c r="BH379" s="3097"/>
      <c r="BI379" s="3097"/>
      <c r="BJ379" s="3097"/>
      <c r="BK379" s="3097"/>
      <c r="BL379" s="3097"/>
      <c r="BM379" s="3097"/>
      <c r="BN379" s="3097"/>
      <c r="BO379" s="3097"/>
      <c r="BP379" s="3097"/>
      <c r="BQ379" s="3096">
        <f t="shared" si="133"/>
        <v>0</v>
      </c>
    </row>
    <row r="380" spans="1:69" s="2622" customFormat="1" ht="15.75" thickBot="1">
      <c r="A380" s="2882"/>
      <c r="B380" s="2883"/>
      <c r="C380" s="2884"/>
      <c r="D380" s="2885"/>
      <c r="E380" s="2886"/>
      <c r="F380" s="2882">
        <v>231</v>
      </c>
      <c r="G380" s="2885"/>
      <c r="H380" s="2887">
        <f>SUM(F380:G380)</f>
        <v>231</v>
      </c>
      <c r="I380" s="2890">
        <f>(B375)</f>
        <v>91.762</v>
      </c>
      <c r="J380" s="2867"/>
      <c r="K380" s="2889">
        <f>+F380-I380</f>
        <v>139.238</v>
      </c>
      <c r="L380" s="2889">
        <f>+G380-J380</f>
        <v>0</v>
      </c>
      <c r="M380" s="2857"/>
      <c r="N380" s="2857"/>
      <c r="O380" s="2857"/>
      <c r="P380" s="2857"/>
      <c r="Q380" s="2857"/>
      <c r="R380" s="2857"/>
      <c r="S380" s="2857"/>
      <c r="T380" s="2857"/>
      <c r="U380" s="2857"/>
      <c r="V380" s="2857"/>
      <c r="W380" s="2857"/>
      <c r="X380" s="2857"/>
      <c r="Y380" s="2857"/>
      <c r="Z380" s="2857"/>
      <c r="AA380" s="2857"/>
      <c r="AB380" s="2857"/>
      <c r="AC380" s="2857"/>
      <c r="AD380" s="2857"/>
      <c r="AE380" s="2857"/>
      <c r="AF380" s="2857"/>
      <c r="AG380" s="2857"/>
      <c r="AH380" s="2857"/>
      <c r="AJ380" s="3091" t="s">
        <v>80</v>
      </c>
      <c r="AK380" s="3092">
        <f t="shared" si="132"/>
        <v>0</v>
      </c>
      <c r="AL380" s="3097"/>
      <c r="AM380" s="3097"/>
      <c r="AN380" s="3097"/>
      <c r="AO380" s="3097"/>
      <c r="AP380" s="3097"/>
      <c r="AQ380" s="3097"/>
      <c r="AR380" s="3097"/>
      <c r="AS380" s="3097"/>
      <c r="AT380" s="3097"/>
      <c r="AU380" s="3097"/>
      <c r="AV380" s="3097"/>
      <c r="AW380" s="3097"/>
      <c r="AX380" s="3097"/>
      <c r="AY380" s="3097"/>
      <c r="AZ380" s="3097"/>
      <c r="BA380" s="3097"/>
      <c r="BB380" s="3097"/>
      <c r="BC380" s="3097"/>
      <c r="BD380" s="3097"/>
      <c r="BE380" s="3097"/>
      <c r="BF380" s="3097"/>
      <c r="BG380" s="3097"/>
      <c r="BH380" s="3097"/>
      <c r="BI380" s="3097"/>
      <c r="BJ380" s="3097"/>
      <c r="BK380" s="3097"/>
      <c r="BL380" s="3097"/>
      <c r="BM380" s="3097"/>
      <c r="BN380" s="3097"/>
      <c r="BO380" s="3097"/>
      <c r="BP380" s="3097"/>
      <c r="BQ380" s="3096">
        <f t="shared" si="133"/>
        <v>0</v>
      </c>
    </row>
    <row r="381" spans="1:69" s="2622" customFormat="1" ht="15.75" thickBot="1">
      <c r="A381" s="2882"/>
      <c r="B381" s="2883"/>
      <c r="C381" s="2884"/>
      <c r="D381" s="2885"/>
      <c r="E381" s="2886"/>
      <c r="F381" s="2882"/>
      <c r="G381" s="2885"/>
      <c r="H381" s="2887">
        <f>SUM(F381:G381)</f>
        <v>0</v>
      </c>
      <c r="I381" s="2888"/>
      <c r="J381" s="2867"/>
      <c r="K381" s="2889">
        <f>+H381-I381-J381</f>
        <v>0</v>
      </c>
      <c r="L381" s="2889">
        <f>+I381-J381-K381</f>
        <v>0</v>
      </c>
      <c r="M381" s="2857"/>
      <c r="N381" s="2857"/>
      <c r="O381" s="2857"/>
      <c r="P381" s="2857"/>
      <c r="Q381" s="2857"/>
      <c r="R381" s="2857"/>
      <c r="S381" s="2857"/>
      <c r="T381" s="2857"/>
      <c r="U381" s="2857"/>
      <c r="V381" s="2857"/>
      <c r="W381" s="2857"/>
      <c r="X381" s="2857"/>
      <c r="Y381" s="2857"/>
      <c r="Z381" s="2857"/>
      <c r="AA381" s="2857"/>
      <c r="AB381" s="2857"/>
      <c r="AC381" s="2857"/>
      <c r="AD381" s="2857"/>
      <c r="AE381" s="2857"/>
      <c r="AF381" s="2857"/>
      <c r="AG381" s="2857"/>
      <c r="AH381" s="2857"/>
      <c r="AJ381" s="3091" t="s">
        <v>81</v>
      </c>
      <c r="AK381" s="3092">
        <f t="shared" si="132"/>
        <v>0</v>
      </c>
      <c r="AL381" s="3097"/>
      <c r="AM381" s="3096"/>
      <c r="AN381" s="3096"/>
      <c r="AO381" s="3096"/>
      <c r="AP381" s="3097"/>
      <c r="AQ381" s="3097"/>
      <c r="AR381" s="3097"/>
      <c r="AS381" s="3097"/>
      <c r="AT381" s="3097"/>
      <c r="AU381" s="3097"/>
      <c r="AV381" s="3097"/>
      <c r="AW381" s="3097"/>
      <c r="AX381" s="3097"/>
      <c r="AY381" s="3097"/>
      <c r="AZ381" s="3097"/>
      <c r="BA381" s="3097"/>
      <c r="BB381" s="3097"/>
      <c r="BC381" s="3097"/>
      <c r="BD381" s="3097"/>
      <c r="BE381" s="3097"/>
      <c r="BF381" s="3097"/>
      <c r="BG381" s="3097"/>
      <c r="BH381" s="3097"/>
      <c r="BI381" s="3097"/>
      <c r="BJ381" s="3097"/>
      <c r="BK381" s="3097"/>
      <c r="BL381" s="3097"/>
      <c r="BM381" s="3097"/>
      <c r="BN381" s="3097"/>
      <c r="BO381" s="3097"/>
      <c r="BP381" s="3097"/>
      <c r="BQ381" s="3096">
        <f t="shared" si="133"/>
        <v>0</v>
      </c>
    </row>
    <row r="382" spans="1:69" ht="15">
      <c r="AJ382" s="3091" t="s">
        <v>82</v>
      </c>
      <c r="AK382" s="3092">
        <f t="shared" si="132"/>
        <v>0</v>
      </c>
      <c r="AL382" s="3097"/>
      <c r="AM382" s="3097"/>
      <c r="AN382" s="3097"/>
      <c r="AO382" s="3097"/>
      <c r="AP382" s="3097"/>
      <c r="AQ382" s="3097"/>
      <c r="AR382" s="3097"/>
      <c r="AS382" s="3097"/>
      <c r="AT382" s="3097"/>
      <c r="AU382" s="3097"/>
      <c r="AV382" s="3097"/>
      <c r="AW382" s="3097"/>
      <c r="AX382" s="3097"/>
      <c r="AY382" s="3097"/>
      <c r="AZ382" s="3097"/>
      <c r="BA382" s="3097"/>
      <c r="BB382" s="3097"/>
      <c r="BC382" s="3097"/>
      <c r="BD382" s="3097"/>
      <c r="BE382" s="3097"/>
      <c r="BF382" s="3097"/>
      <c r="BG382" s="3097"/>
      <c r="BH382" s="3097"/>
      <c r="BI382" s="3097"/>
      <c r="BJ382" s="3097"/>
      <c r="BK382" s="3097"/>
      <c r="BL382" s="3097"/>
      <c r="BM382" s="3097"/>
      <c r="BN382" s="3097"/>
      <c r="BO382" s="3097"/>
      <c r="BP382" s="3097"/>
      <c r="BQ382" s="3096">
        <f t="shared" si="133"/>
        <v>0</v>
      </c>
    </row>
    <row r="383" spans="1:69" s="2622" customFormat="1" ht="33">
      <c r="A383" s="2891" t="s">
        <v>1001</v>
      </c>
      <c r="B383" s="2892"/>
      <c r="C383" s="2892" t="s">
        <v>1002</v>
      </c>
      <c r="D383" s="2893"/>
      <c r="E383" s="2893"/>
      <c r="F383" s="2893"/>
      <c r="G383" s="2893"/>
      <c r="H383" s="2892" t="s">
        <v>1003</v>
      </c>
      <c r="I383" s="2893"/>
      <c r="J383" s="2893"/>
      <c r="K383" s="2893"/>
      <c r="L383" s="3016" t="s">
        <v>1053</v>
      </c>
      <c r="M383" s="1415"/>
      <c r="N383" s="3080"/>
      <c r="O383" s="2893"/>
      <c r="P383" s="2893"/>
      <c r="Q383" s="2893"/>
      <c r="R383" s="2893"/>
      <c r="S383" s="2893"/>
      <c r="T383" s="2893"/>
      <c r="U383" s="2893"/>
      <c r="V383" s="2893"/>
      <c r="W383" s="2893"/>
      <c r="X383" s="2893"/>
      <c r="Y383" s="2893"/>
      <c r="Z383" s="2893"/>
      <c r="AA383" s="2893"/>
      <c r="AB383" s="2893"/>
      <c r="AC383" s="2893"/>
      <c r="AD383" s="2893"/>
      <c r="AE383" s="2893"/>
      <c r="AF383" s="2893"/>
      <c r="AG383" s="2893"/>
      <c r="AH383" s="2893"/>
      <c r="AJ383" s="3091" t="s">
        <v>83</v>
      </c>
      <c r="AK383" s="3092">
        <f t="shared" si="132"/>
        <v>0</v>
      </c>
      <c r="AL383" s="3097"/>
      <c r="AM383" s="3097"/>
      <c r="AN383" s="3097"/>
      <c r="AO383" s="3097"/>
      <c r="AP383" s="3097"/>
      <c r="AQ383" s="3097"/>
      <c r="AR383" s="3097"/>
      <c r="AS383" s="3097"/>
      <c r="AT383" s="3097"/>
      <c r="AU383" s="3097"/>
      <c r="AV383" s="3097"/>
      <c r="AW383" s="3097"/>
      <c r="AX383" s="3097"/>
      <c r="AY383" s="3097"/>
      <c r="AZ383" s="3097"/>
      <c r="BA383" s="3097"/>
      <c r="BB383" s="3097"/>
      <c r="BC383" s="3097"/>
      <c r="BD383" s="3097"/>
      <c r="BE383" s="3097"/>
      <c r="BF383" s="3097"/>
      <c r="BG383" s="3097"/>
      <c r="BH383" s="3097"/>
      <c r="BI383" s="3097"/>
      <c r="BJ383" s="3097"/>
      <c r="BK383" s="3097"/>
      <c r="BL383" s="3097"/>
      <c r="BM383" s="3097"/>
      <c r="BN383" s="3097"/>
      <c r="BO383" s="3097"/>
      <c r="BP383" s="3097"/>
      <c r="BQ383" s="3096">
        <f t="shared" si="133"/>
        <v>0</v>
      </c>
    </row>
    <row r="384" spans="1:69" s="2622" customFormat="1" ht="15">
      <c r="A384" s="3862" t="s">
        <v>264</v>
      </c>
      <c r="B384" s="3863"/>
      <c r="C384" s="3864"/>
      <c r="D384" s="2894"/>
      <c r="E384" s="2894"/>
      <c r="F384" s="2894"/>
      <c r="G384" s="2894"/>
      <c r="H384" s="2894"/>
      <c r="I384" s="2894"/>
      <c r="J384" s="2894"/>
      <c r="K384" s="2894"/>
      <c r="L384" s="2894"/>
      <c r="M384" s="2894"/>
      <c r="N384" s="2894"/>
      <c r="O384" s="2894"/>
      <c r="P384" s="2894"/>
      <c r="Q384" s="2894"/>
      <c r="R384" s="2894"/>
      <c r="S384" s="2895"/>
      <c r="T384" s="2895"/>
      <c r="U384" s="2895"/>
      <c r="V384" s="2895"/>
      <c r="W384" s="2895"/>
      <c r="X384" s="2895"/>
      <c r="Y384" s="2895"/>
      <c r="Z384" s="2895"/>
      <c r="AA384" s="2895"/>
      <c r="AB384" s="2895"/>
      <c r="AC384" s="2895"/>
      <c r="AD384" s="2895"/>
      <c r="AE384" s="2895"/>
      <c r="AF384" s="2895"/>
      <c r="AG384" s="2895"/>
      <c r="AH384" s="2895"/>
      <c r="AJ384" s="3091" t="s">
        <v>84</v>
      </c>
      <c r="AK384" s="3092">
        <f t="shared" si="132"/>
        <v>0</v>
      </c>
      <c r="AL384" s="3097"/>
      <c r="AM384" s="3097"/>
      <c r="AN384" s="3097"/>
      <c r="AO384" s="3097"/>
      <c r="AP384" s="3097"/>
      <c r="AQ384" s="3097"/>
      <c r="AR384" s="3097"/>
      <c r="AS384" s="3097"/>
      <c r="AT384" s="3097"/>
      <c r="AU384" s="3097"/>
      <c r="AV384" s="3097"/>
      <c r="AW384" s="3097"/>
      <c r="AX384" s="3097"/>
      <c r="AY384" s="3097"/>
      <c r="AZ384" s="3097"/>
      <c r="BA384" s="3097"/>
      <c r="BB384" s="3097"/>
      <c r="BC384" s="3097"/>
      <c r="BD384" s="3097"/>
      <c r="BE384" s="3097"/>
      <c r="BF384" s="3097"/>
      <c r="BG384" s="3097"/>
      <c r="BH384" s="3097"/>
      <c r="BI384" s="3097"/>
      <c r="BJ384" s="3097"/>
      <c r="BK384" s="3097"/>
      <c r="BL384" s="3097"/>
      <c r="BM384" s="3097"/>
      <c r="BN384" s="3096"/>
      <c r="BO384" s="3097"/>
      <c r="BP384" s="3096"/>
      <c r="BQ384" s="3096">
        <f t="shared" si="133"/>
        <v>0</v>
      </c>
    </row>
    <row r="385" spans="1:69" s="2622" customFormat="1" ht="15">
      <c r="A385" s="2896" t="s">
        <v>72</v>
      </c>
      <c r="B385" s="2897" t="s">
        <v>73</v>
      </c>
      <c r="C385" s="2898">
        <v>1</v>
      </c>
      <c r="D385" s="2898">
        <v>2</v>
      </c>
      <c r="E385" s="2898">
        <v>3</v>
      </c>
      <c r="F385" s="2898">
        <v>4</v>
      </c>
      <c r="G385" s="2898">
        <v>5</v>
      </c>
      <c r="H385" s="2898">
        <v>6</v>
      </c>
      <c r="I385" s="2898">
        <v>7</v>
      </c>
      <c r="J385" s="2898">
        <v>8</v>
      </c>
      <c r="K385" s="2898">
        <v>9</v>
      </c>
      <c r="L385" s="2898">
        <v>10</v>
      </c>
      <c r="M385" s="2898">
        <v>11</v>
      </c>
      <c r="N385" s="2898">
        <v>12</v>
      </c>
      <c r="O385" s="2898">
        <v>13</v>
      </c>
      <c r="P385" s="2898">
        <v>14</v>
      </c>
      <c r="Q385" s="2898">
        <v>15</v>
      </c>
      <c r="R385" s="2898">
        <v>16</v>
      </c>
      <c r="S385" s="2896">
        <v>17</v>
      </c>
      <c r="T385" s="2896">
        <v>18</v>
      </c>
      <c r="U385" s="2896">
        <v>19</v>
      </c>
      <c r="V385" s="2896">
        <v>20</v>
      </c>
      <c r="W385" s="2896">
        <v>21</v>
      </c>
      <c r="X385" s="2896">
        <v>22</v>
      </c>
      <c r="Y385" s="2896">
        <v>23</v>
      </c>
      <c r="Z385" s="2896">
        <v>24</v>
      </c>
      <c r="AA385" s="2896">
        <v>25</v>
      </c>
      <c r="AB385" s="2896">
        <v>26</v>
      </c>
      <c r="AC385" s="2896">
        <v>27</v>
      </c>
      <c r="AD385" s="2896">
        <v>28</v>
      </c>
      <c r="AE385" s="2896">
        <v>29</v>
      </c>
      <c r="AF385" s="2896">
        <v>30</v>
      </c>
      <c r="AG385" s="2896">
        <v>31</v>
      </c>
      <c r="AH385" s="2899" t="s">
        <v>74</v>
      </c>
      <c r="AJ385" s="3091" t="s">
        <v>85</v>
      </c>
      <c r="AK385" s="3092">
        <f t="shared" si="132"/>
        <v>0</v>
      </c>
      <c r="AL385" s="3097"/>
      <c r="AM385" s="3097"/>
      <c r="AN385" s="3097"/>
      <c r="AO385" s="3097"/>
      <c r="AP385" s="3100"/>
      <c r="AQ385" s="3097"/>
      <c r="AR385" s="3097"/>
      <c r="AS385" s="3097"/>
      <c r="AT385" s="3097"/>
      <c r="AU385" s="3097"/>
      <c r="AV385" s="3097"/>
      <c r="AW385" s="3097"/>
      <c r="AX385" s="3097"/>
      <c r="AY385" s="3097"/>
      <c r="AZ385" s="3097"/>
      <c r="BA385" s="3097"/>
      <c r="BB385" s="3097"/>
      <c r="BC385" s="3097"/>
      <c r="BD385" s="3097"/>
      <c r="BE385" s="3097"/>
      <c r="BF385" s="3097"/>
      <c r="BG385" s="3097"/>
      <c r="BH385" s="3097"/>
      <c r="BI385" s="3097"/>
      <c r="BJ385" s="3097"/>
      <c r="BK385" s="3097"/>
      <c r="BL385" s="3097"/>
      <c r="BM385" s="3097"/>
      <c r="BN385" s="3096"/>
      <c r="BO385" s="3097"/>
      <c r="BP385" s="3096"/>
      <c r="BQ385" s="3096">
        <f t="shared" si="133"/>
        <v>0</v>
      </c>
    </row>
    <row r="386" spans="1:69" s="2622" customFormat="1" ht="15">
      <c r="A386" s="2896" t="s">
        <v>75</v>
      </c>
      <c r="B386" s="2897">
        <f t="shared" ref="B386:B397" si="134">+AH386</f>
        <v>0</v>
      </c>
      <c r="C386" s="2900"/>
      <c r="D386" s="2900"/>
      <c r="E386" s="2900"/>
      <c r="F386" s="2900"/>
      <c r="G386" s="2900"/>
      <c r="H386" s="2900"/>
      <c r="I386" s="2900"/>
      <c r="J386" s="2900"/>
      <c r="K386" s="2900"/>
      <c r="L386" s="2900"/>
      <c r="M386" s="2900"/>
      <c r="N386" s="2900"/>
      <c r="O386" s="2900"/>
      <c r="P386" s="2900"/>
      <c r="Q386" s="2900"/>
      <c r="R386" s="2900"/>
      <c r="S386" s="2900"/>
      <c r="T386" s="2900"/>
      <c r="U386" s="2900"/>
      <c r="V386" s="2900"/>
      <c r="W386" s="2900"/>
      <c r="X386" s="2900"/>
      <c r="Y386" s="2900"/>
      <c r="Z386" s="2900"/>
      <c r="AA386" s="2900"/>
      <c r="AB386" s="2900"/>
      <c r="AC386" s="2900"/>
      <c r="AD386" s="2900"/>
      <c r="AE386" s="2900"/>
      <c r="AF386" s="2900"/>
      <c r="AG386" s="2900"/>
      <c r="AH386" s="2901">
        <f>SUM(C386:AG386)</f>
        <v>0</v>
      </c>
      <c r="AJ386" s="3091" t="s">
        <v>86</v>
      </c>
      <c r="AK386" s="3092">
        <f t="shared" si="132"/>
        <v>0</v>
      </c>
      <c r="AL386" s="3097"/>
      <c r="AM386" s="3097"/>
      <c r="AN386" s="3097"/>
      <c r="AO386" s="3097"/>
      <c r="AP386" s="3097"/>
      <c r="AQ386" s="3097"/>
      <c r="AR386" s="3097"/>
      <c r="AS386" s="3097"/>
      <c r="AT386" s="3097"/>
      <c r="AU386" s="3097"/>
      <c r="AV386" s="3097"/>
      <c r="AW386" s="3097"/>
      <c r="AX386" s="3097"/>
      <c r="AY386" s="3097"/>
      <c r="AZ386" s="3097"/>
      <c r="BA386" s="3097"/>
      <c r="BB386" s="3097"/>
      <c r="BC386" s="3097"/>
      <c r="BD386" s="3097"/>
      <c r="BE386" s="3097"/>
      <c r="BF386" s="3097"/>
      <c r="BG386" s="3097"/>
      <c r="BH386" s="3097"/>
      <c r="BI386" s="3097"/>
      <c r="BJ386" s="3097"/>
      <c r="BK386" s="3097"/>
      <c r="BL386" s="3097"/>
      <c r="BM386" s="3097"/>
      <c r="BN386" s="3097"/>
      <c r="BO386" s="3097"/>
      <c r="BP386" s="3097"/>
      <c r="BQ386" s="3096">
        <f t="shared" si="133"/>
        <v>0</v>
      </c>
    </row>
    <row r="387" spans="1:69" s="2622" customFormat="1" ht="15.75" thickBot="1">
      <c r="A387" s="2896" t="s">
        <v>76</v>
      </c>
      <c r="B387" s="2897">
        <f t="shared" si="134"/>
        <v>0</v>
      </c>
      <c r="C387" s="2900"/>
      <c r="D387" s="2900"/>
      <c r="E387" s="2900"/>
      <c r="F387" s="2900"/>
      <c r="G387" s="2900"/>
      <c r="H387" s="2900"/>
      <c r="I387" s="2900"/>
      <c r="J387" s="2900"/>
      <c r="K387" s="2900"/>
      <c r="L387" s="2900"/>
      <c r="M387" s="2900"/>
      <c r="N387" s="2900"/>
      <c r="O387" s="2900"/>
      <c r="P387" s="2900"/>
      <c r="Q387" s="2900"/>
      <c r="R387" s="2900"/>
      <c r="S387" s="2900"/>
      <c r="T387" s="2900"/>
      <c r="U387" s="2900"/>
      <c r="V387" s="2900"/>
      <c r="W387" s="2900"/>
      <c r="X387" s="2900"/>
      <c r="Y387" s="2900"/>
      <c r="Z387" s="2900"/>
      <c r="AA387" s="2900"/>
      <c r="AB387" s="2900"/>
      <c r="AC387" s="2900"/>
      <c r="AD387" s="2900"/>
      <c r="AE387" s="2900"/>
      <c r="AF387" s="2900"/>
      <c r="AG387" s="2900"/>
      <c r="AH387" s="2901">
        <f t="shared" ref="AH387:AH397" si="135">SUM(C387:AG387)</f>
        <v>0</v>
      </c>
      <c r="AJ387" s="3101" t="s">
        <v>74</v>
      </c>
      <c r="AK387" s="3102">
        <f t="shared" ref="AK387:BA387" si="136">SUM(AK375:AK386)</f>
        <v>0</v>
      </c>
      <c r="AL387" s="3092">
        <f t="shared" si="136"/>
        <v>0</v>
      </c>
      <c r="AM387" s="3092">
        <f t="shared" si="136"/>
        <v>0</v>
      </c>
      <c r="AN387" s="3092">
        <f t="shared" si="136"/>
        <v>0</v>
      </c>
      <c r="AO387" s="3092">
        <f t="shared" si="136"/>
        <v>0</v>
      </c>
      <c r="AP387" s="3092">
        <f t="shared" si="136"/>
        <v>0</v>
      </c>
      <c r="AQ387" s="3092">
        <f t="shared" si="136"/>
        <v>0</v>
      </c>
      <c r="AR387" s="3092">
        <f t="shared" si="136"/>
        <v>0</v>
      </c>
      <c r="AS387" s="3092">
        <f t="shared" si="136"/>
        <v>0</v>
      </c>
      <c r="AT387" s="3092">
        <f t="shared" si="136"/>
        <v>0</v>
      </c>
      <c r="AU387" s="3092">
        <f t="shared" si="136"/>
        <v>0</v>
      </c>
      <c r="AV387" s="3092">
        <f t="shared" si="136"/>
        <v>0</v>
      </c>
      <c r="AW387" s="3092">
        <f t="shared" si="136"/>
        <v>0</v>
      </c>
      <c r="AX387" s="3092">
        <f t="shared" si="136"/>
        <v>0</v>
      </c>
      <c r="AY387" s="3092">
        <f t="shared" si="136"/>
        <v>0</v>
      </c>
      <c r="AZ387" s="3092">
        <f t="shared" si="136"/>
        <v>0</v>
      </c>
      <c r="BA387" s="3092">
        <f t="shared" si="136"/>
        <v>0</v>
      </c>
      <c r="BB387" s="3096">
        <f t="shared" ref="BB387:BL387" si="137">SUM(BB375:BB385)</f>
        <v>0</v>
      </c>
      <c r="BC387" s="3096">
        <f t="shared" si="137"/>
        <v>0</v>
      </c>
      <c r="BD387" s="3096">
        <f t="shared" si="137"/>
        <v>0</v>
      </c>
      <c r="BE387" s="3096">
        <f t="shared" si="137"/>
        <v>0</v>
      </c>
      <c r="BF387" s="3096">
        <f t="shared" si="137"/>
        <v>0</v>
      </c>
      <c r="BG387" s="3096">
        <f t="shared" si="137"/>
        <v>0</v>
      </c>
      <c r="BH387" s="3096">
        <f t="shared" si="137"/>
        <v>0</v>
      </c>
      <c r="BI387" s="3096">
        <f t="shared" si="137"/>
        <v>0</v>
      </c>
      <c r="BJ387" s="3096">
        <f t="shared" si="137"/>
        <v>0</v>
      </c>
      <c r="BK387" s="3096">
        <f t="shared" si="137"/>
        <v>0</v>
      </c>
      <c r="BL387" s="3096">
        <f t="shared" si="137"/>
        <v>0</v>
      </c>
      <c r="BM387" s="3096">
        <v>0</v>
      </c>
      <c r="BN387" s="3096">
        <f>SUM(BN375:BN385)</f>
        <v>0</v>
      </c>
      <c r="BO387" s="3096">
        <f>SUM(BO375:BO385)</f>
        <v>0</v>
      </c>
      <c r="BP387" s="3096">
        <f>SUM(BP375:BP385)</f>
        <v>0</v>
      </c>
      <c r="BQ387" s="3096">
        <f>SUM(BQ375:BQ385)</f>
        <v>0</v>
      </c>
    </row>
    <row r="388" spans="1:69" s="2622" customFormat="1" ht="15.75" thickBot="1">
      <c r="A388" s="2896" t="s">
        <v>77</v>
      </c>
      <c r="B388" s="2897">
        <f t="shared" si="134"/>
        <v>0</v>
      </c>
      <c r="C388" s="2900"/>
      <c r="D388" s="2900"/>
      <c r="E388" s="2900"/>
      <c r="F388" s="2900"/>
      <c r="G388" s="2900"/>
      <c r="H388" s="2902"/>
      <c r="I388" s="2902"/>
      <c r="J388" s="2902"/>
      <c r="K388" s="2902"/>
      <c r="L388" s="2902"/>
      <c r="M388" s="2902"/>
      <c r="N388" s="2902"/>
      <c r="O388" s="2902"/>
      <c r="P388" s="2902"/>
      <c r="Q388" s="2902"/>
      <c r="R388" s="2903"/>
      <c r="S388" s="2902"/>
      <c r="T388" s="2902"/>
      <c r="U388" s="2902"/>
      <c r="V388" s="2902"/>
      <c r="W388" s="2902"/>
      <c r="X388" s="2902"/>
      <c r="Y388" s="2902"/>
      <c r="Z388" s="2902"/>
      <c r="AA388" s="2902"/>
      <c r="AB388" s="2902"/>
      <c r="AC388" s="2900"/>
      <c r="AD388" s="2900"/>
      <c r="AE388" s="2900"/>
      <c r="AF388" s="2900"/>
      <c r="AG388" s="2900"/>
      <c r="AH388" s="2901">
        <f t="shared" si="135"/>
        <v>0</v>
      </c>
      <c r="AJ388" s="3088"/>
      <c r="AK388" s="3088"/>
      <c r="AL388" s="3088"/>
      <c r="AM388" s="3088"/>
      <c r="AN388" s="3088"/>
      <c r="AO388" s="3088"/>
      <c r="AP388" s="3088"/>
      <c r="AQ388" s="3088"/>
      <c r="AR388" s="3088"/>
      <c r="AS388" s="3088"/>
      <c r="AT388" s="3088"/>
      <c r="AU388" s="3088"/>
      <c r="AV388" s="3088"/>
      <c r="AW388" s="3088"/>
      <c r="AX388" s="3088"/>
      <c r="AY388" s="3088"/>
      <c r="AZ388" s="3088"/>
      <c r="BA388" s="3088"/>
      <c r="BB388" s="3088"/>
      <c r="BC388" s="3088"/>
      <c r="BD388" s="3088"/>
      <c r="BE388" s="3088"/>
      <c r="BF388" s="3088"/>
      <c r="BG388" s="3088"/>
      <c r="BH388" s="3088"/>
      <c r="BI388" s="3088"/>
      <c r="BJ388" s="3088"/>
      <c r="BK388" s="3088"/>
      <c r="BL388" s="3088"/>
      <c r="BM388" s="3088"/>
      <c r="BN388" s="3088"/>
      <c r="BO388" s="3088"/>
      <c r="BP388" s="3088"/>
      <c r="BQ388" s="3088"/>
    </row>
    <row r="389" spans="1:69" s="2622" customFormat="1" ht="15.75" thickBot="1">
      <c r="A389" s="2896" t="s">
        <v>78</v>
      </c>
      <c r="B389" s="2897">
        <f t="shared" si="134"/>
        <v>0</v>
      </c>
      <c r="C389" s="2900"/>
      <c r="D389" s="2900"/>
      <c r="E389" s="2900"/>
      <c r="F389" s="2900"/>
      <c r="G389" s="2900"/>
      <c r="H389" s="2900"/>
      <c r="I389" s="2900"/>
      <c r="J389" s="2900"/>
      <c r="K389" s="2900"/>
      <c r="L389" s="2904"/>
      <c r="M389" s="2904"/>
      <c r="N389" s="2904"/>
      <c r="O389" s="2904"/>
      <c r="P389" s="2904"/>
      <c r="Q389" s="2904"/>
      <c r="R389" s="2904"/>
      <c r="S389" s="2904"/>
      <c r="T389" s="2904"/>
      <c r="U389" s="2904"/>
      <c r="V389" s="2904"/>
      <c r="W389" s="2904"/>
      <c r="X389" s="2904"/>
      <c r="Y389" s="2904"/>
      <c r="Z389" s="2904"/>
      <c r="AA389" s="2904"/>
      <c r="AB389" s="2904"/>
      <c r="AC389" s="2904"/>
      <c r="AD389" s="2904"/>
      <c r="AE389" s="2904"/>
      <c r="AF389" s="2904"/>
      <c r="AG389" s="2904"/>
      <c r="AH389" s="2901">
        <f t="shared" si="135"/>
        <v>0</v>
      </c>
      <c r="AJ389" s="3088"/>
      <c r="AK389" s="3088"/>
      <c r="AL389" s="3088"/>
      <c r="AM389" s="3088"/>
      <c r="AN389" s="3088"/>
      <c r="AO389" s="3088"/>
      <c r="AP389" s="3088"/>
      <c r="AQ389" s="3088"/>
      <c r="AR389" s="3088"/>
      <c r="AS389" s="3088"/>
      <c r="AT389" s="3088"/>
      <c r="AU389" s="3088"/>
      <c r="AV389" s="3088"/>
      <c r="AW389" s="3088"/>
      <c r="AX389" s="3088"/>
      <c r="AY389" s="3088"/>
      <c r="AZ389" s="3088"/>
      <c r="BA389" s="3088"/>
      <c r="BB389" s="3088"/>
      <c r="BC389" s="3088"/>
      <c r="BD389" s="3088"/>
      <c r="BE389" s="3088"/>
      <c r="BF389" s="3088"/>
      <c r="BG389" s="3088"/>
      <c r="BH389" s="3088"/>
      <c r="BI389" s="3088"/>
      <c r="BJ389" s="3088"/>
      <c r="BK389" s="3088"/>
      <c r="BL389" s="3088"/>
      <c r="BM389" s="3088"/>
      <c r="BN389" s="3088"/>
      <c r="BO389" s="3088"/>
      <c r="BP389" s="3088"/>
      <c r="BQ389" s="3088"/>
    </row>
    <row r="390" spans="1:69" s="2622" customFormat="1" ht="16.5" thickBot="1">
      <c r="A390" s="2896" t="s">
        <v>79</v>
      </c>
      <c r="B390" s="2897">
        <f t="shared" si="134"/>
        <v>0</v>
      </c>
      <c r="C390" s="2902"/>
      <c r="D390" s="2902"/>
      <c r="E390" s="2902"/>
      <c r="F390" s="2902"/>
      <c r="G390" s="2902"/>
      <c r="H390" s="2902"/>
      <c r="I390" s="2902"/>
      <c r="J390" s="2902"/>
      <c r="K390" s="2902"/>
      <c r="L390" s="2902"/>
      <c r="M390" s="2902"/>
      <c r="N390" s="2902"/>
      <c r="O390" s="2902"/>
      <c r="P390" s="2902"/>
      <c r="Q390" s="2902"/>
      <c r="R390" s="2902"/>
      <c r="S390" s="2902"/>
      <c r="T390" s="2902"/>
      <c r="U390" s="2902"/>
      <c r="V390" s="2902"/>
      <c r="W390" s="2902"/>
      <c r="X390" s="2902"/>
      <c r="Y390" s="2902"/>
      <c r="Z390" s="2902"/>
      <c r="AA390" s="2902"/>
      <c r="AB390" s="2902"/>
      <c r="AC390" s="2902"/>
      <c r="AD390" s="2902"/>
      <c r="AE390" s="2902"/>
      <c r="AF390" s="2902"/>
      <c r="AG390" s="2902"/>
      <c r="AH390" s="2901">
        <f t="shared" si="135"/>
        <v>0</v>
      </c>
      <c r="AJ390" s="3103" t="s">
        <v>1005</v>
      </c>
      <c r="AK390" s="3104"/>
      <c r="AL390" s="3104"/>
      <c r="AM390" s="3104"/>
      <c r="AN390" s="3104"/>
      <c r="AO390" s="3918" t="s">
        <v>155</v>
      </c>
      <c r="AP390" s="3919"/>
      <c r="AQ390" s="3920"/>
      <c r="AR390" s="3918" t="s">
        <v>156</v>
      </c>
      <c r="AS390" s="3921"/>
      <c r="AT390" s="3894" t="s">
        <v>912</v>
      </c>
      <c r="AU390" s="3894" t="s">
        <v>913</v>
      </c>
      <c r="AV390" s="3088"/>
      <c r="AW390" s="3088"/>
      <c r="AX390" s="3088"/>
      <c r="AY390" s="3088"/>
      <c r="AZ390" s="3088"/>
      <c r="BA390" s="3088"/>
      <c r="BB390" s="3088"/>
      <c r="BC390" s="3088"/>
      <c r="BD390" s="3088"/>
      <c r="BE390" s="3088"/>
      <c r="BF390" s="3088"/>
      <c r="BG390" s="3088"/>
      <c r="BH390" s="3088"/>
      <c r="BI390" s="3088"/>
      <c r="BJ390" s="3088"/>
      <c r="BK390" s="3088"/>
      <c r="BL390" s="3088"/>
      <c r="BM390" s="3088"/>
      <c r="BN390" s="3088"/>
      <c r="BO390" s="3088"/>
      <c r="BP390" s="3088"/>
      <c r="BQ390" s="3088"/>
    </row>
    <row r="391" spans="1:69" s="2622" customFormat="1" ht="15.75" thickBot="1">
      <c r="A391" s="2896" t="s">
        <v>80</v>
      </c>
      <c r="B391" s="2897">
        <f t="shared" si="134"/>
        <v>0</v>
      </c>
      <c r="C391" s="2902"/>
      <c r="D391" s="2902"/>
      <c r="E391" s="2902"/>
      <c r="F391" s="2902"/>
      <c r="G391" s="2902"/>
      <c r="H391" s="2902"/>
      <c r="I391" s="2902"/>
      <c r="J391" s="2902"/>
      <c r="K391" s="2902"/>
      <c r="L391" s="2902"/>
      <c r="M391" s="2902"/>
      <c r="N391" s="2902"/>
      <c r="O391" s="2902"/>
      <c r="P391" s="2902"/>
      <c r="Q391" s="2902"/>
      <c r="R391" s="2902"/>
      <c r="S391" s="2902"/>
      <c r="T391" s="2902"/>
      <c r="U391" s="2902"/>
      <c r="V391" s="2902"/>
      <c r="W391" s="2902"/>
      <c r="X391" s="2902"/>
      <c r="Y391" s="2902"/>
      <c r="Z391" s="2902"/>
      <c r="AA391" s="2902"/>
      <c r="AB391" s="2902"/>
      <c r="AC391" s="2902"/>
      <c r="AD391" s="2902"/>
      <c r="AE391" s="2902"/>
      <c r="AF391" s="2902"/>
      <c r="AG391" s="2902"/>
      <c r="AH391" s="2901">
        <f t="shared" si="135"/>
        <v>0</v>
      </c>
      <c r="AJ391" s="3105" t="s">
        <v>158</v>
      </c>
      <c r="AK391" s="3106" t="s">
        <v>159</v>
      </c>
      <c r="AL391" s="3107" t="s">
        <v>136</v>
      </c>
      <c r="AM391" s="3108" t="s">
        <v>134</v>
      </c>
      <c r="AN391" s="3106" t="s">
        <v>160</v>
      </c>
      <c r="AO391" s="3109" t="s">
        <v>8</v>
      </c>
      <c r="AP391" s="3110" t="s">
        <v>161</v>
      </c>
      <c r="AQ391" s="3111" t="s">
        <v>52</v>
      </c>
      <c r="AR391" s="3109" t="s">
        <v>8</v>
      </c>
      <c r="AS391" s="3112" t="s">
        <v>162</v>
      </c>
      <c r="AT391" s="3895"/>
      <c r="AU391" s="3895"/>
      <c r="AV391" s="3088"/>
      <c r="AW391" s="3088"/>
      <c r="AX391" s="3088"/>
      <c r="AY391" s="3088"/>
      <c r="AZ391" s="3088"/>
      <c r="BA391" s="3088"/>
      <c r="BB391" s="3088"/>
      <c r="BC391" s="3088"/>
      <c r="BD391" s="3088"/>
      <c r="BE391" s="3088"/>
      <c r="BF391" s="3088"/>
      <c r="BG391" s="3088"/>
      <c r="BH391" s="3088"/>
      <c r="BI391" s="3088"/>
      <c r="BJ391" s="3088"/>
      <c r="BK391" s="3088"/>
      <c r="BL391" s="3088"/>
      <c r="BM391" s="3088"/>
      <c r="BN391" s="3088"/>
      <c r="BO391" s="3088"/>
      <c r="BP391" s="3088"/>
      <c r="BQ391" s="3088"/>
    </row>
    <row r="392" spans="1:69" s="2622" customFormat="1" ht="15.75" thickBot="1">
      <c r="A392" s="2896" t="s">
        <v>81</v>
      </c>
      <c r="B392" s="2897">
        <f t="shared" si="134"/>
        <v>0</v>
      </c>
      <c r="C392" s="2902"/>
      <c r="D392" s="2901"/>
      <c r="E392" s="2901"/>
      <c r="F392" s="2901"/>
      <c r="G392" s="2902"/>
      <c r="H392" s="2902"/>
      <c r="I392" s="2902"/>
      <c r="J392" s="2902"/>
      <c r="K392" s="2902"/>
      <c r="L392" s="2902"/>
      <c r="M392" s="2902"/>
      <c r="N392" s="2902"/>
      <c r="O392" s="2902"/>
      <c r="P392" s="2902"/>
      <c r="Q392" s="2902"/>
      <c r="R392" s="2902"/>
      <c r="S392" s="2902"/>
      <c r="T392" s="2902"/>
      <c r="U392" s="2902"/>
      <c r="V392" s="2902"/>
      <c r="W392" s="2902"/>
      <c r="X392" s="2902"/>
      <c r="Y392" s="2902"/>
      <c r="Z392" s="2902"/>
      <c r="AA392" s="2902"/>
      <c r="AB392" s="2902"/>
      <c r="AC392" s="2902"/>
      <c r="AD392" s="2902"/>
      <c r="AE392" s="2902"/>
      <c r="AF392" s="2902"/>
      <c r="AG392" s="2902"/>
      <c r="AH392" s="2901">
        <f t="shared" si="135"/>
        <v>0</v>
      </c>
      <c r="AJ392" s="3113"/>
      <c r="AK392" s="3114"/>
      <c r="AL392" s="3115"/>
      <c r="AM392" s="3116"/>
      <c r="AN392" s="3117"/>
      <c r="AO392" s="3113">
        <v>50</v>
      </c>
      <c r="AP392" s="3116"/>
      <c r="AQ392" s="3118">
        <f>SUM(AO392:AP392)</f>
        <v>50</v>
      </c>
      <c r="AR392" s="3119">
        <f>(AK387)</f>
        <v>0</v>
      </c>
      <c r="AS392" s="3119"/>
      <c r="AT392" s="3120"/>
      <c r="AU392" s="3121">
        <f>+AO392-AR392</f>
        <v>50</v>
      </c>
      <c r="AV392" s="3088"/>
      <c r="AW392" s="3088"/>
      <c r="AX392" s="3088"/>
      <c r="AY392" s="3088"/>
      <c r="AZ392" s="3088"/>
      <c r="BA392" s="3088"/>
      <c r="BB392" s="3088"/>
      <c r="BC392" s="3088"/>
      <c r="BD392" s="3088"/>
      <c r="BE392" s="3088"/>
      <c r="BF392" s="3088"/>
      <c r="BG392" s="3088"/>
      <c r="BH392" s="3088"/>
      <c r="BI392" s="3088"/>
      <c r="BJ392" s="3088"/>
      <c r="BK392" s="3088"/>
      <c r="BL392" s="3088"/>
      <c r="BM392" s="3088"/>
      <c r="BN392" s="3088"/>
      <c r="BO392" s="3088"/>
      <c r="BP392" s="3088"/>
      <c r="BQ392" s="3088"/>
    </row>
    <row r="393" spans="1:69" s="2622" customFormat="1" ht="15.75" thickBot="1">
      <c r="A393" s="2896" t="s">
        <v>82</v>
      </c>
      <c r="B393" s="2897">
        <f t="shared" si="134"/>
        <v>0</v>
      </c>
      <c r="C393" s="2902"/>
      <c r="D393" s="2902"/>
      <c r="E393" s="2902"/>
      <c r="F393" s="2902"/>
      <c r="G393" s="2902"/>
      <c r="H393" s="2902"/>
      <c r="I393" s="2902"/>
      <c r="J393" s="2902"/>
      <c r="K393" s="2902"/>
      <c r="L393" s="2902"/>
      <c r="M393" s="2902"/>
      <c r="N393" s="2902"/>
      <c r="O393" s="2902"/>
      <c r="P393" s="2902"/>
      <c r="Q393" s="2902"/>
      <c r="R393" s="2902"/>
      <c r="S393" s="2902"/>
      <c r="T393" s="2902"/>
      <c r="U393" s="2902"/>
      <c r="V393" s="2902"/>
      <c r="W393" s="2902"/>
      <c r="X393" s="2902"/>
      <c r="Y393" s="2902"/>
      <c r="Z393" s="2902"/>
      <c r="AA393" s="2902"/>
      <c r="AB393" s="2902"/>
      <c r="AC393" s="2902"/>
      <c r="AD393" s="2902"/>
      <c r="AE393" s="2902"/>
      <c r="AF393" s="2902"/>
      <c r="AG393" s="2902"/>
      <c r="AH393" s="2901">
        <f t="shared" si="135"/>
        <v>0</v>
      </c>
      <c r="AJ393" s="3113"/>
      <c r="AK393" s="3114"/>
      <c r="AL393" s="3115"/>
      <c r="AM393" s="3116"/>
      <c r="AN393" s="3117"/>
      <c r="AO393" s="3113"/>
      <c r="AP393" s="3116"/>
      <c r="AQ393" s="3118">
        <f>SUM(AO393:AP393)</f>
        <v>0</v>
      </c>
      <c r="AR393" s="3122"/>
      <c r="AS393" s="3098"/>
      <c r="AT393" s="3120"/>
      <c r="AU393" s="3120">
        <f>+AR393-AS393-AT393</f>
        <v>0</v>
      </c>
      <c r="AV393" s="3088"/>
      <c r="AW393" s="3088"/>
      <c r="AX393" s="3088"/>
      <c r="AY393" s="3088"/>
      <c r="AZ393" s="3088"/>
      <c r="BA393" s="3088"/>
      <c r="BB393" s="3088"/>
      <c r="BC393" s="3088"/>
      <c r="BD393" s="3088"/>
      <c r="BE393" s="3088"/>
      <c r="BF393" s="3088"/>
      <c r="BG393" s="3088"/>
      <c r="BH393" s="3088"/>
      <c r="BI393" s="3088"/>
      <c r="BJ393" s="3088"/>
      <c r="BK393" s="3088"/>
      <c r="BL393" s="3088"/>
      <c r="BM393" s="3088"/>
      <c r="BN393" s="3088"/>
      <c r="BO393" s="3088"/>
      <c r="BP393" s="3088"/>
      <c r="BQ393" s="3088"/>
    </row>
    <row r="394" spans="1:69" s="2622" customFormat="1" ht="15">
      <c r="A394" s="2896" t="s">
        <v>83</v>
      </c>
      <c r="B394" s="2897">
        <f t="shared" si="134"/>
        <v>0</v>
      </c>
      <c r="C394" s="2902"/>
      <c r="D394" s="2902"/>
      <c r="E394" s="2902"/>
      <c r="F394" s="2902"/>
      <c r="G394" s="2902"/>
      <c r="H394" s="2902"/>
      <c r="I394" s="2902"/>
      <c r="J394" s="2902"/>
      <c r="K394" s="2902"/>
      <c r="L394" s="2902"/>
      <c r="M394" s="2902"/>
      <c r="N394" s="2902"/>
      <c r="O394" s="2902"/>
      <c r="P394" s="2902"/>
      <c r="Q394" s="2902"/>
      <c r="R394" s="2902"/>
      <c r="S394" s="2902"/>
      <c r="T394" s="2902"/>
      <c r="U394" s="2902"/>
      <c r="V394" s="2902"/>
      <c r="W394" s="2902"/>
      <c r="X394" s="2902"/>
      <c r="Y394" s="2902"/>
      <c r="Z394" s="2902"/>
      <c r="AA394" s="2902"/>
      <c r="AB394" s="2902"/>
      <c r="AC394" s="2902"/>
      <c r="AD394" s="2902"/>
      <c r="AE394" s="2902"/>
      <c r="AF394" s="2902"/>
      <c r="AG394" s="2902"/>
      <c r="AH394" s="2901">
        <f t="shared" si="135"/>
        <v>0</v>
      </c>
      <c r="AT394"/>
      <c r="AU394"/>
      <c r="AV394"/>
      <c r="AW394"/>
      <c r="AX394"/>
      <c r="AY394"/>
      <c r="AZ394"/>
      <c r="BA394"/>
      <c r="BB394"/>
      <c r="BC394"/>
      <c r="BD394"/>
      <c r="BE394"/>
      <c r="BF394"/>
      <c r="BG394"/>
      <c r="BH394"/>
      <c r="BI394"/>
      <c r="BJ394"/>
      <c r="BK394"/>
      <c r="BL394"/>
      <c r="BM394"/>
      <c r="BN394"/>
      <c r="BO394"/>
      <c r="BP394"/>
      <c r="BQ394"/>
    </row>
    <row r="395" spans="1:69" s="2622" customFormat="1" ht="15">
      <c r="A395" s="2896" t="s">
        <v>84</v>
      </c>
      <c r="B395" s="2897">
        <f t="shared" si="134"/>
        <v>0</v>
      </c>
      <c r="C395" s="2902"/>
      <c r="D395" s="2902"/>
      <c r="E395" s="2902"/>
      <c r="F395" s="2902"/>
      <c r="G395" s="2902"/>
      <c r="H395" s="2902"/>
      <c r="I395" s="2902"/>
      <c r="J395" s="2902"/>
      <c r="K395" s="2902"/>
      <c r="L395" s="2902"/>
      <c r="M395" s="2902"/>
      <c r="N395" s="2902"/>
      <c r="O395" s="2902"/>
      <c r="P395" s="2902"/>
      <c r="Q395" s="2902"/>
      <c r="R395" s="2902"/>
      <c r="S395" s="2902"/>
      <c r="T395" s="2902"/>
      <c r="U395" s="2902"/>
      <c r="V395" s="2902"/>
      <c r="W395" s="2902"/>
      <c r="X395" s="2902"/>
      <c r="Y395" s="2902"/>
      <c r="Z395" s="2902"/>
      <c r="AA395" s="2902"/>
      <c r="AB395" s="2902"/>
      <c r="AC395" s="2902"/>
      <c r="AD395" s="2902"/>
      <c r="AE395" s="2901"/>
      <c r="AF395" s="2902"/>
      <c r="AG395" s="2901"/>
      <c r="AH395" s="2901">
        <f t="shared" si="135"/>
        <v>0</v>
      </c>
    </row>
    <row r="396" spans="1:69" s="2622" customFormat="1" ht="15">
      <c r="A396" s="2896" t="s">
        <v>85</v>
      </c>
      <c r="B396" s="2897">
        <f t="shared" si="134"/>
        <v>0</v>
      </c>
      <c r="C396" s="2902"/>
      <c r="D396" s="2902"/>
      <c r="E396" s="2902"/>
      <c r="F396" s="2902"/>
      <c r="G396" s="2905"/>
      <c r="H396" s="2902"/>
      <c r="I396" s="2902"/>
      <c r="J396" s="2902"/>
      <c r="K396" s="2902"/>
      <c r="L396" s="2902"/>
      <c r="M396" s="2902"/>
      <c r="N396" s="2902"/>
      <c r="O396" s="2902"/>
      <c r="P396" s="2902"/>
      <c r="Q396" s="2902"/>
      <c r="R396" s="2902"/>
      <c r="S396" s="2902"/>
      <c r="T396" s="2902"/>
      <c r="U396" s="2902"/>
      <c r="V396" s="2902"/>
      <c r="W396" s="2902"/>
      <c r="X396" s="2902"/>
      <c r="Y396" s="2902"/>
      <c r="Z396" s="2902"/>
      <c r="AA396" s="2902"/>
      <c r="AB396" s="2902"/>
      <c r="AC396" s="2902"/>
      <c r="AD396" s="2902"/>
      <c r="AE396" s="2901"/>
      <c r="AF396" s="2902"/>
      <c r="AG396" s="2901"/>
      <c r="AH396" s="2901">
        <f t="shared" si="135"/>
        <v>0</v>
      </c>
    </row>
    <row r="397" spans="1:69" s="2622" customFormat="1" ht="27">
      <c r="A397" s="2896" t="s">
        <v>86</v>
      </c>
      <c r="B397" s="2897">
        <f t="shared" si="134"/>
        <v>0</v>
      </c>
      <c r="C397" s="2902"/>
      <c r="D397" s="2902"/>
      <c r="E397" s="2902"/>
      <c r="F397" s="2902"/>
      <c r="G397" s="2902"/>
      <c r="H397" s="2902"/>
      <c r="I397" s="2902"/>
      <c r="J397" s="2902"/>
      <c r="K397" s="2902"/>
      <c r="L397" s="2902"/>
      <c r="M397" s="2902"/>
      <c r="N397" s="2902"/>
      <c r="O397" s="2902"/>
      <c r="P397" s="2902"/>
      <c r="Q397" s="2902"/>
      <c r="R397" s="2902"/>
      <c r="S397" s="2902"/>
      <c r="T397" s="2902"/>
      <c r="U397" s="2902"/>
      <c r="V397" s="2902"/>
      <c r="W397" s="2902"/>
      <c r="X397" s="2902"/>
      <c r="Y397" s="2902"/>
      <c r="Z397" s="2902"/>
      <c r="AA397" s="2902"/>
      <c r="AB397" s="2902"/>
      <c r="AC397" s="2902"/>
      <c r="AD397" s="2902"/>
      <c r="AE397" s="2902"/>
      <c r="AF397" s="2902"/>
      <c r="AG397" s="2902"/>
      <c r="AH397" s="2901">
        <f t="shared" si="135"/>
        <v>0</v>
      </c>
      <c r="AJ397" s="3067" t="s">
        <v>1109</v>
      </c>
      <c r="AK397" s="3068"/>
      <c r="AL397" s="3068"/>
      <c r="AM397" s="3057"/>
      <c r="AN397" s="3057"/>
      <c r="AO397" s="3080"/>
      <c r="AP397" s="3057"/>
      <c r="AQ397" s="3057"/>
      <c r="AR397" s="3057"/>
      <c r="AS397" s="3057"/>
    </row>
    <row r="398" spans="1:69" s="2622" customFormat="1" ht="27">
      <c r="A398" s="2906" t="s">
        <v>74</v>
      </c>
      <c r="B398" s="2907">
        <f t="shared" ref="B398:R398" si="138">SUM(B386:B397)</f>
        <v>0</v>
      </c>
      <c r="C398" s="2897">
        <f t="shared" si="138"/>
        <v>0</v>
      </c>
      <c r="D398" s="2897">
        <f t="shared" si="138"/>
        <v>0</v>
      </c>
      <c r="E398" s="2897">
        <f t="shared" si="138"/>
        <v>0</v>
      </c>
      <c r="F398" s="2897">
        <f t="shared" si="138"/>
        <v>0</v>
      </c>
      <c r="G398" s="2897">
        <f t="shared" si="138"/>
        <v>0</v>
      </c>
      <c r="H398" s="2897">
        <f t="shared" si="138"/>
        <v>0</v>
      </c>
      <c r="I398" s="2897">
        <f t="shared" si="138"/>
        <v>0</v>
      </c>
      <c r="J398" s="2897">
        <f t="shared" si="138"/>
        <v>0</v>
      </c>
      <c r="K398" s="2897">
        <f t="shared" si="138"/>
        <v>0</v>
      </c>
      <c r="L398" s="2897">
        <f t="shared" si="138"/>
        <v>0</v>
      </c>
      <c r="M398" s="2897">
        <f t="shared" si="138"/>
        <v>0</v>
      </c>
      <c r="N398" s="2897">
        <f t="shared" si="138"/>
        <v>0</v>
      </c>
      <c r="O398" s="2897">
        <f t="shared" si="138"/>
        <v>0</v>
      </c>
      <c r="P398" s="2897">
        <f t="shared" si="138"/>
        <v>0</v>
      </c>
      <c r="Q398" s="2897">
        <f t="shared" si="138"/>
        <v>0</v>
      </c>
      <c r="R398" s="2897">
        <f t="shared" si="138"/>
        <v>0</v>
      </c>
      <c r="S398" s="2901">
        <f t="shared" ref="S398:AC398" si="139">SUM(S386:S396)</f>
        <v>0</v>
      </c>
      <c r="T398" s="2901">
        <f t="shared" si="139"/>
        <v>0</v>
      </c>
      <c r="U398" s="2901">
        <f t="shared" si="139"/>
        <v>0</v>
      </c>
      <c r="V398" s="2901">
        <f t="shared" si="139"/>
        <v>0</v>
      </c>
      <c r="W398" s="2901">
        <f t="shared" si="139"/>
        <v>0</v>
      </c>
      <c r="X398" s="2901">
        <f t="shared" si="139"/>
        <v>0</v>
      </c>
      <c r="Y398" s="2901">
        <f t="shared" si="139"/>
        <v>0</v>
      </c>
      <c r="Z398" s="2901">
        <f t="shared" si="139"/>
        <v>0</v>
      </c>
      <c r="AA398" s="2901">
        <f t="shared" si="139"/>
        <v>0</v>
      </c>
      <c r="AB398" s="2901">
        <f t="shared" si="139"/>
        <v>0</v>
      </c>
      <c r="AC398" s="2901">
        <f t="shared" si="139"/>
        <v>0</v>
      </c>
      <c r="AD398" s="2901">
        <v>0</v>
      </c>
      <c r="AE398" s="2901">
        <f>SUM(AE386:AE396)</f>
        <v>0</v>
      </c>
      <c r="AF398" s="2901">
        <f>SUM(AF386:AF396)</f>
        <v>0</v>
      </c>
      <c r="AG398" s="2901">
        <f>SUM(AG386:AG396)</f>
        <v>0</v>
      </c>
      <c r="AH398" s="2901">
        <f>SUM(AH386:AH396)</f>
        <v>0</v>
      </c>
      <c r="AJ398" s="3067" t="s">
        <v>1110</v>
      </c>
      <c r="AK398" s="3068"/>
      <c r="AL398" s="3068"/>
      <c r="AM398" s="3057"/>
      <c r="AN398" s="3057"/>
      <c r="AO398" s="2819" t="s">
        <v>264</v>
      </c>
      <c r="AP398" s="3057"/>
      <c r="AQ398" s="3057"/>
      <c r="AR398" s="3057"/>
      <c r="AS398" s="3057"/>
    </row>
    <row r="399" spans="1:69" s="2622" customFormat="1" ht="13.5" thickBot="1">
      <c r="A399" s="2893"/>
      <c r="B399" s="2893"/>
      <c r="C399" s="2893"/>
      <c r="D399" s="2893"/>
      <c r="E399" s="2893"/>
      <c r="F399" s="2893"/>
      <c r="G399" s="2893"/>
      <c r="H399" s="2893"/>
      <c r="I399" s="2893"/>
      <c r="J399" s="2893"/>
      <c r="K399" s="2893"/>
      <c r="L399" s="2893"/>
      <c r="M399" s="2893"/>
      <c r="N399" s="2893"/>
      <c r="O399" s="2893"/>
      <c r="P399" s="2893"/>
      <c r="Q399" s="2893"/>
      <c r="R399" s="2893"/>
      <c r="S399" s="2893"/>
      <c r="T399" s="2893"/>
      <c r="U399" s="2893"/>
      <c r="V399" s="2893"/>
      <c r="W399" s="2893"/>
      <c r="X399" s="2893"/>
      <c r="Y399" s="2893"/>
      <c r="Z399" s="2893"/>
      <c r="AA399" s="2893"/>
      <c r="AB399" s="2893"/>
      <c r="AC399" s="2893"/>
      <c r="AD399" s="2893"/>
      <c r="AE399" s="2893"/>
      <c r="AF399" s="2893"/>
      <c r="AG399" s="2893"/>
      <c r="AH399" s="2893"/>
      <c r="AJ399" s="3057"/>
      <c r="AK399" s="3057"/>
      <c r="AL399" s="3057"/>
      <c r="AM399" s="3057"/>
      <c r="AN399" s="3057"/>
      <c r="AO399" s="3057"/>
      <c r="AP399" s="3057"/>
      <c r="AQ399" s="3057"/>
      <c r="AR399" s="3057"/>
      <c r="AS399" s="3057"/>
    </row>
    <row r="400" spans="1:69" s="2622" customFormat="1" ht="15.75" thickBot="1">
      <c r="A400" s="2893"/>
      <c r="B400" s="2893"/>
      <c r="C400" s="2893"/>
      <c r="D400" s="2893"/>
      <c r="E400" s="2893"/>
      <c r="F400" s="2893"/>
      <c r="G400" s="2893"/>
      <c r="H400" s="2893"/>
      <c r="I400" s="2893"/>
      <c r="J400" s="2893"/>
      <c r="K400" s="2893"/>
      <c r="L400" s="2893"/>
      <c r="M400" s="2893"/>
      <c r="N400" s="2893"/>
      <c r="O400" s="2893"/>
      <c r="P400" s="2893"/>
      <c r="Q400" s="2893"/>
      <c r="R400" s="2893"/>
      <c r="S400" s="2893"/>
      <c r="T400" s="2893"/>
      <c r="U400" s="2893"/>
      <c r="V400" s="2893"/>
      <c r="W400" s="2893"/>
      <c r="X400" s="2893"/>
      <c r="Y400" s="2893"/>
      <c r="Z400" s="2893"/>
      <c r="AA400" s="2893"/>
      <c r="AB400" s="2893"/>
      <c r="AC400" s="2893"/>
      <c r="AD400" s="2893"/>
      <c r="AE400" s="2893"/>
      <c r="AF400" s="2893"/>
      <c r="AG400" s="2893"/>
      <c r="AH400" s="2893"/>
      <c r="AJ400" s="3058"/>
      <c r="AK400" s="3059"/>
      <c r="AL400" s="3059"/>
      <c r="AM400" s="3059"/>
      <c r="AN400" s="3828" t="s">
        <v>155</v>
      </c>
      <c r="AO400" s="3829"/>
      <c r="AP400" s="3828" t="s">
        <v>156</v>
      </c>
      <c r="AQ400" s="3829"/>
      <c r="AR400" s="3828" t="s">
        <v>157</v>
      </c>
      <c r="AS400" s="3830"/>
    </row>
    <row r="401" spans="1:69" s="2622" customFormat="1" ht="30.75" thickBot="1">
      <c r="A401" s="2908" t="s">
        <v>1004</v>
      </c>
      <c r="B401" s="2909"/>
      <c r="C401" s="2909"/>
      <c r="D401" s="2909"/>
      <c r="E401" s="2909"/>
      <c r="F401" s="3865" t="s">
        <v>155</v>
      </c>
      <c r="G401" s="3866"/>
      <c r="H401" s="3867"/>
      <c r="I401" s="3865" t="s">
        <v>156</v>
      </c>
      <c r="J401" s="3868"/>
      <c r="K401" s="3869" t="s">
        <v>912</v>
      </c>
      <c r="L401" s="3869" t="s">
        <v>913</v>
      </c>
      <c r="M401" s="2893"/>
      <c r="N401" s="2893"/>
      <c r="O401" s="2893"/>
      <c r="P401" s="2893"/>
      <c r="Q401" s="2893"/>
      <c r="R401" s="2893"/>
      <c r="S401" s="2893"/>
      <c r="T401" s="2893"/>
      <c r="U401" s="2893"/>
      <c r="V401" s="2893"/>
      <c r="W401" s="2893"/>
      <c r="X401" s="2893"/>
      <c r="Y401" s="2893"/>
      <c r="Z401" s="2893"/>
      <c r="AA401" s="2893"/>
      <c r="AB401" s="2893"/>
      <c r="AC401" s="2893"/>
      <c r="AD401" s="2893"/>
      <c r="AE401" s="2893"/>
      <c r="AF401" s="2893"/>
      <c r="AG401" s="2893"/>
      <c r="AH401" s="2893"/>
      <c r="AJ401" s="3060" t="s">
        <v>226</v>
      </c>
      <c r="AK401" s="3060" t="s">
        <v>227</v>
      </c>
      <c r="AL401" s="3060" t="s">
        <v>228</v>
      </c>
      <c r="AM401" s="3060" t="s">
        <v>160</v>
      </c>
      <c r="AN401" s="3060" t="s">
        <v>229</v>
      </c>
      <c r="AO401" s="3060"/>
      <c r="AP401" s="3060" t="s">
        <v>921</v>
      </c>
      <c r="AQ401" s="3060"/>
      <c r="AR401" s="3061" t="s">
        <v>232</v>
      </c>
      <c r="AS401" s="3165"/>
    </row>
    <row r="402" spans="1:69" s="2622" customFormat="1" ht="13.5" thickBot="1">
      <c r="A402" s="2910" t="s">
        <v>158</v>
      </c>
      <c r="B402" s="2911" t="s">
        <v>159</v>
      </c>
      <c r="C402" s="2912" t="s">
        <v>136</v>
      </c>
      <c r="D402" s="2913" t="s">
        <v>134</v>
      </c>
      <c r="E402" s="2911" t="s">
        <v>160</v>
      </c>
      <c r="F402" s="2914" t="s">
        <v>8</v>
      </c>
      <c r="G402" s="2915" t="s">
        <v>161</v>
      </c>
      <c r="H402" s="2916" t="s">
        <v>52</v>
      </c>
      <c r="I402" s="2914" t="s">
        <v>8</v>
      </c>
      <c r="J402" s="2917" t="s">
        <v>162</v>
      </c>
      <c r="K402" s="3870"/>
      <c r="L402" s="3870"/>
      <c r="M402" s="2893"/>
      <c r="N402" s="2893"/>
      <c r="O402" s="2893"/>
      <c r="P402" s="2893"/>
      <c r="Q402" s="2893"/>
      <c r="R402" s="2893"/>
      <c r="S402" s="2893"/>
      <c r="T402" s="2893"/>
      <c r="U402" s="2893"/>
      <c r="V402" s="2893"/>
      <c r="W402" s="2893"/>
      <c r="X402" s="2893"/>
      <c r="Y402" s="2893"/>
      <c r="Z402" s="2893"/>
      <c r="AA402" s="2893"/>
      <c r="AB402" s="2893"/>
      <c r="AC402" s="2893"/>
      <c r="AD402" s="2893"/>
      <c r="AE402" s="2893"/>
      <c r="AF402" s="2893"/>
      <c r="AG402" s="2893"/>
      <c r="AH402" s="2893"/>
      <c r="AJ402" s="3062"/>
      <c r="AK402" s="3063">
        <v>954241</v>
      </c>
      <c r="AL402" s="3062" t="s">
        <v>1106</v>
      </c>
      <c r="AM402" s="3063"/>
      <c r="AN402" s="3062">
        <v>25</v>
      </c>
      <c r="AO402" s="3062"/>
      <c r="AP402" s="3062"/>
      <c r="AQ402" s="3062"/>
      <c r="AR402" s="3062"/>
      <c r="AS402" s="3062"/>
    </row>
    <row r="403" spans="1:69" s="2622" customFormat="1" ht="15.75" thickBot="1">
      <c r="A403" s="2918"/>
      <c r="B403" s="2919"/>
      <c r="C403" s="2920"/>
      <c r="D403" s="2921"/>
      <c r="E403" s="2922"/>
      <c r="F403" s="2918">
        <v>240</v>
      </c>
      <c r="G403" s="2921"/>
      <c r="H403" s="2923">
        <f>SUM(F403:G403)</f>
        <v>240</v>
      </c>
      <c r="I403" s="2924">
        <f>(B398)</f>
        <v>0</v>
      </c>
      <c r="J403" s="2903"/>
      <c r="K403" s="2925">
        <f>+F403-I403</f>
        <v>240</v>
      </c>
      <c r="L403" s="2925"/>
      <c r="M403" s="2893"/>
      <c r="N403" s="2893"/>
      <c r="O403" s="2893"/>
      <c r="P403" s="2893"/>
      <c r="Q403" s="2893"/>
      <c r="R403" s="2893"/>
      <c r="S403" s="2893"/>
      <c r="T403" s="2893"/>
      <c r="U403" s="2893"/>
      <c r="V403" s="2893"/>
      <c r="W403" s="2893"/>
      <c r="X403" s="2893"/>
      <c r="Y403" s="2893"/>
      <c r="Z403" s="2893"/>
      <c r="AA403" s="2893"/>
      <c r="AB403" s="2893"/>
      <c r="AC403" s="2893"/>
      <c r="AD403" s="2893"/>
      <c r="AE403" s="2893"/>
      <c r="AF403" s="2893"/>
      <c r="AG403" s="2893"/>
      <c r="AH403" s="2893"/>
      <c r="AJ403" s="3062"/>
      <c r="AK403" s="3063">
        <v>926460</v>
      </c>
      <c r="AL403" s="3066" t="s">
        <v>1107</v>
      </c>
      <c r="AM403" s="3063"/>
      <c r="AN403" s="3062">
        <v>25</v>
      </c>
      <c r="AO403" s="3062"/>
      <c r="AP403" s="3062"/>
      <c r="AQ403" s="3062"/>
      <c r="AR403" s="3062"/>
      <c r="AS403" s="3062"/>
    </row>
    <row r="404" spans="1:69" s="2622" customFormat="1" ht="15.75" thickBot="1">
      <c r="A404" s="2918"/>
      <c r="B404" s="2919"/>
      <c r="C404" s="2920"/>
      <c r="D404" s="2921"/>
      <c r="E404" s="2922"/>
      <c r="F404" s="2918"/>
      <c r="G404" s="2921"/>
      <c r="H404" s="2923">
        <f>SUM(F404:G404)</f>
        <v>0</v>
      </c>
      <c r="I404" s="2926"/>
      <c r="J404" s="2903"/>
      <c r="K404" s="2925">
        <f>+H404-I404-J404</f>
        <v>0</v>
      </c>
      <c r="L404" s="2925"/>
      <c r="M404" s="2893"/>
      <c r="N404" s="2893"/>
      <c r="O404" s="2893"/>
      <c r="P404" s="2893"/>
      <c r="Q404" s="2893"/>
      <c r="R404" s="2893"/>
      <c r="S404" s="2893"/>
      <c r="T404" s="2893"/>
      <c r="U404" s="2893"/>
      <c r="V404" s="2893"/>
      <c r="W404" s="2893"/>
      <c r="X404" s="2893"/>
      <c r="Y404" s="2893"/>
      <c r="Z404" s="2893"/>
      <c r="AA404" s="2893"/>
      <c r="AB404" s="2893"/>
      <c r="AC404" s="2893"/>
      <c r="AD404" s="2893"/>
      <c r="AE404" s="2893"/>
      <c r="AF404" s="2893"/>
      <c r="AG404" s="2893"/>
      <c r="AH404" s="2893"/>
      <c r="AJ404" s="3062"/>
      <c r="AK404" s="3063">
        <v>959995</v>
      </c>
      <c r="AL404" s="3066" t="s">
        <v>1108</v>
      </c>
      <c r="AM404" s="3063"/>
      <c r="AN404" s="3062">
        <v>25</v>
      </c>
      <c r="AO404" s="3062"/>
      <c r="AP404" s="3062">
        <v>0.67100000000000004</v>
      </c>
      <c r="AQ404" s="3062"/>
      <c r="AR404" s="3062">
        <f>+AN404-AP404</f>
        <v>24.329000000000001</v>
      </c>
      <c r="AS404" s="3062"/>
    </row>
    <row r="405" spans="1:69" s="2622" customFormat="1" ht="28.5">
      <c r="A405" s="2893"/>
      <c r="B405" s="2893"/>
      <c r="C405" s="2893"/>
      <c r="D405" s="2893"/>
      <c r="E405" s="2893"/>
      <c r="F405" s="2893"/>
      <c r="G405" s="2893"/>
      <c r="H405" s="2893"/>
      <c r="I405" s="2893"/>
      <c r="J405" s="2893"/>
      <c r="K405" s="2893"/>
      <c r="L405" s="2893"/>
      <c r="M405" s="2893"/>
      <c r="N405" s="2893"/>
      <c r="O405" s="2893"/>
      <c r="P405" s="2893"/>
      <c r="Q405" s="2893"/>
      <c r="R405" s="2893"/>
      <c r="S405" s="2893"/>
      <c r="T405" s="2893"/>
      <c r="U405" s="2893"/>
      <c r="V405" s="2893"/>
      <c r="W405" s="2893"/>
      <c r="X405" s="2893"/>
      <c r="Y405" s="2893"/>
      <c r="Z405" s="2893"/>
      <c r="AA405" s="2893"/>
      <c r="AB405" s="2893"/>
      <c r="AC405" s="2893"/>
      <c r="AD405" s="2893"/>
      <c r="AE405" s="2893"/>
      <c r="AF405" s="2893"/>
      <c r="AG405" s="2893"/>
      <c r="AH405" s="2893"/>
      <c r="AJ405" s="3177"/>
      <c r="AK405" s="3177"/>
      <c r="AL405" s="3177"/>
      <c r="AM405" s="3069" t="s">
        <v>1085</v>
      </c>
      <c r="AN405" s="3177"/>
      <c r="AO405" s="3177"/>
      <c r="AP405" s="3070"/>
      <c r="AQ405" s="3070"/>
      <c r="AR405" s="3177"/>
      <c r="AS405" s="3177"/>
    </row>
    <row r="406" spans="1:69">
      <c r="A406" s="2893"/>
      <c r="B406" s="2893"/>
      <c r="C406" s="2893"/>
      <c r="D406" s="2893"/>
      <c r="E406" s="2893"/>
      <c r="F406" s="2893"/>
      <c r="G406" s="2893"/>
      <c r="H406" s="2893"/>
      <c r="I406" s="2893"/>
      <c r="J406" s="2893"/>
      <c r="K406" s="2893"/>
      <c r="L406" s="2893"/>
      <c r="M406" s="2893"/>
      <c r="N406" s="2893"/>
      <c r="O406" s="2893"/>
      <c r="P406" s="2893"/>
      <c r="Q406" s="2893"/>
      <c r="R406" s="2893"/>
      <c r="S406" s="2893"/>
      <c r="T406" s="2893"/>
      <c r="U406" s="2893"/>
      <c r="V406" s="2893"/>
      <c r="W406" s="2893"/>
      <c r="X406" s="2893"/>
      <c r="Y406" s="2893"/>
      <c r="Z406" s="2893"/>
      <c r="AA406" s="2893"/>
      <c r="AB406" s="2893"/>
      <c r="AC406" s="2893"/>
      <c r="AD406" s="2893"/>
      <c r="AE406" s="2893"/>
      <c r="AF406" s="2893"/>
      <c r="AG406" s="2893"/>
      <c r="AH406" s="2893"/>
      <c r="AJ406" s="3062"/>
      <c r="AK406" s="3062"/>
      <c r="AL406" s="3062"/>
      <c r="AM406" s="3062"/>
      <c r="AN406" s="3064">
        <f>SUM(AN402:AN404)</f>
        <v>75</v>
      </c>
      <c r="AO406" s="3065"/>
      <c r="AP406" s="3064">
        <f>SUM(AP402:AP404)</f>
        <v>0.67100000000000004</v>
      </c>
      <c r="AQ406" s="3065">
        <f>SUM(AQ405)</f>
        <v>0</v>
      </c>
      <c r="AR406" s="3065">
        <f>(AN406-AP406)</f>
        <v>74.328999999999994</v>
      </c>
      <c r="AS406" s="3065">
        <f>(AO406-AQ406)</f>
        <v>0</v>
      </c>
      <c r="AT406" s="2622"/>
      <c r="AU406" s="2622"/>
      <c r="AV406" s="2622"/>
      <c r="AW406" s="2622"/>
      <c r="AX406" s="2622"/>
      <c r="AY406" s="2622"/>
      <c r="AZ406" s="2622"/>
      <c r="BA406" s="2622"/>
      <c r="BB406" s="2622"/>
      <c r="BC406" s="2622"/>
      <c r="BD406" s="2622"/>
      <c r="BE406" s="2622"/>
      <c r="BF406" s="2622"/>
      <c r="BG406" s="2622"/>
      <c r="BH406" s="2622"/>
      <c r="BI406" s="2622"/>
      <c r="BJ406" s="2622"/>
      <c r="BK406" s="2622"/>
      <c r="BL406" s="2622"/>
      <c r="BM406" s="2622"/>
      <c r="BN406" s="2622"/>
      <c r="BO406" s="2622"/>
      <c r="BP406" s="2622"/>
      <c r="BQ406" s="2622"/>
    </row>
    <row r="407" spans="1:69" s="2622" customFormat="1" ht="33">
      <c r="A407" s="2927" t="s">
        <v>299</v>
      </c>
      <c r="B407" s="2892"/>
      <c r="C407" s="2892" t="s">
        <v>1002</v>
      </c>
      <c r="D407" s="2893"/>
      <c r="E407" s="2893"/>
      <c r="F407" s="2893"/>
      <c r="G407" s="2893"/>
      <c r="H407" s="2892" t="s">
        <v>1006</v>
      </c>
      <c r="I407" s="2893"/>
      <c r="J407" s="2893"/>
      <c r="K407" s="2893"/>
      <c r="L407" s="3016" t="s">
        <v>1054</v>
      </c>
      <c r="M407" s="1933"/>
      <c r="N407" s="3080"/>
      <c r="O407" s="2893"/>
      <c r="P407" s="2893"/>
      <c r="Q407" s="2893"/>
      <c r="R407" s="2893"/>
      <c r="S407" s="2893"/>
      <c r="T407" s="2893"/>
      <c r="U407" s="2893"/>
      <c r="V407" s="2893"/>
      <c r="W407" s="2893"/>
      <c r="X407" s="2893"/>
      <c r="Y407" s="2893"/>
      <c r="Z407" s="2893"/>
      <c r="AA407" s="2893"/>
      <c r="AB407" s="2893"/>
      <c r="AC407" s="2893"/>
      <c r="AD407" s="2893"/>
      <c r="AE407" s="2893"/>
      <c r="AF407" s="2893"/>
      <c r="AG407" s="2893"/>
      <c r="AH407" s="2893"/>
    </row>
    <row r="408" spans="1:69" s="2622" customFormat="1" ht="15">
      <c r="A408" s="3862" t="s">
        <v>271</v>
      </c>
      <c r="B408" s="3863"/>
      <c r="C408" s="3864"/>
      <c r="D408" s="2894"/>
      <c r="E408" s="2894"/>
      <c r="F408" s="2894"/>
      <c r="G408" s="2894"/>
      <c r="H408" s="2894"/>
      <c r="I408" s="2894"/>
      <c r="J408" s="2894"/>
      <c r="K408" s="2894"/>
      <c r="L408" s="2894"/>
      <c r="M408" s="2894"/>
      <c r="N408" s="2894"/>
      <c r="O408" s="2894"/>
      <c r="P408" s="2894"/>
      <c r="Q408" s="2894"/>
      <c r="R408" s="2894"/>
      <c r="S408" s="2895"/>
      <c r="T408" s="2895"/>
      <c r="U408" s="2895"/>
      <c r="V408" s="2895"/>
      <c r="W408" s="2895"/>
      <c r="X408" s="2895"/>
      <c r="Y408" s="2895"/>
      <c r="Z408" s="2895"/>
      <c r="AA408" s="2895"/>
      <c r="AB408" s="2895"/>
      <c r="AC408" s="2895"/>
      <c r="AD408" s="2895"/>
      <c r="AE408" s="2895"/>
      <c r="AF408" s="2895"/>
      <c r="AG408" s="2895"/>
      <c r="AH408" s="2895"/>
    </row>
    <row r="409" spans="1:69" s="2622" customFormat="1" ht="33">
      <c r="A409" s="2896" t="s">
        <v>72</v>
      </c>
      <c r="B409" s="2897" t="s">
        <v>73</v>
      </c>
      <c r="C409" s="2898">
        <v>1</v>
      </c>
      <c r="D409" s="2898">
        <v>2</v>
      </c>
      <c r="E409" s="2898">
        <v>3</v>
      </c>
      <c r="F409" s="2898">
        <v>4</v>
      </c>
      <c r="G409" s="2898">
        <v>5</v>
      </c>
      <c r="H409" s="2898">
        <v>6</v>
      </c>
      <c r="I409" s="2898">
        <v>7</v>
      </c>
      <c r="J409" s="2898">
        <v>8</v>
      </c>
      <c r="K409" s="2898">
        <v>9</v>
      </c>
      <c r="L409" s="2898">
        <v>10</v>
      </c>
      <c r="M409" s="2898">
        <v>11</v>
      </c>
      <c r="N409" s="2898">
        <v>12</v>
      </c>
      <c r="O409" s="2898">
        <v>13</v>
      </c>
      <c r="P409" s="2898">
        <v>14</v>
      </c>
      <c r="Q409" s="2898">
        <v>15</v>
      </c>
      <c r="R409" s="2898">
        <v>16</v>
      </c>
      <c r="S409" s="2896">
        <v>17</v>
      </c>
      <c r="T409" s="2896">
        <v>18</v>
      </c>
      <c r="U409" s="2896">
        <v>19</v>
      </c>
      <c r="V409" s="2896">
        <v>20</v>
      </c>
      <c r="W409" s="2896">
        <v>21</v>
      </c>
      <c r="X409" s="2896">
        <v>22</v>
      </c>
      <c r="Y409" s="2896">
        <v>23</v>
      </c>
      <c r="Z409" s="2896">
        <v>24</v>
      </c>
      <c r="AA409" s="2896">
        <v>25</v>
      </c>
      <c r="AB409" s="2896">
        <v>26</v>
      </c>
      <c r="AC409" s="2896">
        <v>27</v>
      </c>
      <c r="AD409" s="2896">
        <v>28</v>
      </c>
      <c r="AE409" s="2896">
        <v>29</v>
      </c>
      <c r="AF409" s="2896">
        <v>30</v>
      </c>
      <c r="AG409" s="2896">
        <v>31</v>
      </c>
      <c r="AH409" s="2899" t="s">
        <v>74</v>
      </c>
      <c r="AJ409" s="2547" t="s">
        <v>930</v>
      </c>
      <c r="AK409" s="2548"/>
      <c r="AL409" s="2548" t="s">
        <v>1111</v>
      </c>
      <c r="AM409" s="2187"/>
      <c r="AN409" s="2187"/>
      <c r="AO409" s="3080"/>
      <c r="AP409" s="3016" t="s">
        <v>1112</v>
      </c>
      <c r="AQ409" s="1415"/>
      <c r="AR409" s="1415"/>
      <c r="AS409" s="1415"/>
      <c r="AT409" s="2187"/>
      <c r="AU409" s="2187"/>
      <c r="AV409" s="2187"/>
      <c r="AW409" s="2187"/>
      <c r="AX409" s="2187"/>
      <c r="AY409" s="2187"/>
      <c r="AZ409" s="2187"/>
      <c r="BA409" s="2187"/>
      <c r="BB409" s="2187"/>
      <c r="BC409" s="2187"/>
      <c r="BD409" s="2187"/>
      <c r="BE409" s="2187"/>
      <c r="BF409" s="2187"/>
      <c r="BG409" s="2187"/>
      <c r="BH409" s="2187"/>
      <c r="BI409" s="2187"/>
      <c r="BJ409" s="2187"/>
      <c r="BK409" s="2187"/>
      <c r="BL409" s="2187"/>
      <c r="BM409" s="2187"/>
      <c r="BN409" s="2187"/>
      <c r="BO409" s="2187"/>
      <c r="BP409" s="2187"/>
    </row>
    <row r="410" spans="1:69" s="2622" customFormat="1" ht="15">
      <c r="A410" s="2896" t="s">
        <v>75</v>
      </c>
      <c r="B410" s="2897">
        <f t="shared" ref="B410:B421" si="140">+AH410</f>
        <v>0</v>
      </c>
      <c r="C410" s="2900"/>
      <c r="D410" s="2900"/>
      <c r="E410" s="2900"/>
      <c r="F410" s="2900"/>
      <c r="G410" s="2900"/>
      <c r="H410" s="2900"/>
      <c r="I410" s="2900"/>
      <c r="J410" s="2900"/>
      <c r="K410" s="2900"/>
      <c r="L410" s="2900"/>
      <c r="M410" s="2900"/>
      <c r="N410" s="2900"/>
      <c r="O410" s="2900"/>
      <c r="P410" s="2900"/>
      <c r="Q410" s="2900"/>
      <c r="R410" s="2900"/>
      <c r="S410" s="2900"/>
      <c r="T410" s="2900"/>
      <c r="U410" s="2900"/>
      <c r="V410" s="2900"/>
      <c r="W410" s="2900"/>
      <c r="X410" s="2900"/>
      <c r="Y410" s="2900"/>
      <c r="Z410" s="2900"/>
      <c r="AA410" s="2900"/>
      <c r="AB410" s="2900"/>
      <c r="AC410" s="2900"/>
      <c r="AD410" s="2900"/>
      <c r="AE410" s="2900"/>
      <c r="AF410" s="2900"/>
      <c r="AG410" s="2900"/>
      <c r="AH410" s="2901">
        <f>SUM(C410:AG410)</f>
        <v>0</v>
      </c>
      <c r="AJ410" s="3772" t="s">
        <v>271</v>
      </c>
      <c r="AK410" s="3773"/>
      <c r="AL410" s="3774"/>
      <c r="AM410" s="2671"/>
      <c r="AN410" s="2671"/>
      <c r="AO410" s="2671"/>
      <c r="AP410" s="2671"/>
      <c r="AQ410" s="2671"/>
      <c r="AR410" s="2671"/>
      <c r="AS410" s="2671"/>
      <c r="AT410" s="2671"/>
      <c r="AU410" s="2671"/>
      <c r="AV410" s="2671"/>
      <c r="AW410" s="2671"/>
      <c r="AX410" s="2671"/>
      <c r="AY410" s="2671"/>
      <c r="AZ410" s="2671"/>
      <c r="BA410" s="2671"/>
      <c r="BB410" s="2245"/>
      <c r="BC410" s="2245"/>
      <c r="BD410" s="2245"/>
      <c r="BE410" s="2245"/>
      <c r="BF410" s="2245"/>
      <c r="BG410" s="2245"/>
      <c r="BH410" s="2245"/>
      <c r="BI410" s="2245"/>
      <c r="BJ410" s="2245"/>
      <c r="BK410" s="2245"/>
      <c r="BL410" s="2245"/>
      <c r="BM410" s="2245"/>
      <c r="BN410" s="2245"/>
      <c r="BO410" s="2245"/>
      <c r="BP410" s="2245"/>
    </row>
    <row r="411" spans="1:69" s="2622" customFormat="1" ht="15.75" thickBot="1">
      <c r="A411" s="2896" t="s">
        <v>76</v>
      </c>
      <c r="B411" s="2897">
        <f t="shared" si="140"/>
        <v>0</v>
      </c>
      <c r="C411" s="2900"/>
      <c r="D411" s="2900"/>
      <c r="E411" s="2900"/>
      <c r="F411" s="2900"/>
      <c r="G411" s="2900"/>
      <c r="H411" s="2900"/>
      <c r="I411" s="2900"/>
      <c r="J411" s="2900"/>
      <c r="K411" s="2900"/>
      <c r="L411" s="2900"/>
      <c r="M411" s="2900"/>
      <c r="N411" s="2900"/>
      <c r="O411" s="2900"/>
      <c r="P411" s="2900"/>
      <c r="Q411" s="2900"/>
      <c r="R411" s="2900"/>
      <c r="S411" s="2900"/>
      <c r="T411" s="2900"/>
      <c r="U411" s="2900"/>
      <c r="V411" s="2900"/>
      <c r="W411" s="2900"/>
      <c r="X411" s="2900"/>
      <c r="Y411" s="2900"/>
      <c r="Z411" s="2900"/>
      <c r="AA411" s="2900"/>
      <c r="AB411" s="2900"/>
      <c r="AC411" s="2900"/>
      <c r="AD411" s="2900"/>
      <c r="AE411" s="2900"/>
      <c r="AF411" s="2900"/>
      <c r="AG411" s="2900"/>
      <c r="AH411" s="2901">
        <f t="shared" ref="AH411:AH421" si="141">SUM(C411:AG411)</f>
        <v>0</v>
      </c>
      <c r="AJ411" s="1845" t="s">
        <v>72</v>
      </c>
      <c r="AK411" s="2672" t="s">
        <v>73</v>
      </c>
      <c r="AL411" s="2063">
        <v>1</v>
      </c>
      <c r="AM411" s="2063">
        <v>2</v>
      </c>
      <c r="AN411" s="2063">
        <v>3</v>
      </c>
      <c r="AO411" s="2063">
        <v>4</v>
      </c>
      <c r="AP411" s="2063">
        <v>5</v>
      </c>
      <c r="AQ411" s="2063">
        <v>6</v>
      </c>
      <c r="AR411" s="2063">
        <v>7</v>
      </c>
      <c r="AS411" s="2063">
        <v>8</v>
      </c>
      <c r="AT411" s="2063">
        <v>9</v>
      </c>
      <c r="AU411" s="2063">
        <v>10</v>
      </c>
      <c r="AV411" s="2063">
        <v>11</v>
      </c>
      <c r="AW411" s="2063">
        <v>12</v>
      </c>
      <c r="AX411" s="2063">
        <v>13</v>
      </c>
      <c r="AY411" s="2063">
        <v>14</v>
      </c>
      <c r="AZ411" s="2063">
        <v>15</v>
      </c>
      <c r="BA411" s="2063">
        <v>16</v>
      </c>
      <c r="BB411" s="1845">
        <v>17</v>
      </c>
      <c r="BC411" s="1845">
        <v>18</v>
      </c>
      <c r="BD411" s="1845">
        <v>19</v>
      </c>
      <c r="BE411" s="1845">
        <v>20</v>
      </c>
      <c r="BF411" s="1845">
        <v>21</v>
      </c>
      <c r="BG411" s="1845">
        <v>22</v>
      </c>
      <c r="BH411" s="1845">
        <v>23</v>
      </c>
      <c r="BI411" s="1845">
        <v>24</v>
      </c>
      <c r="BJ411" s="1845">
        <v>25</v>
      </c>
      <c r="BK411" s="1845">
        <v>26</v>
      </c>
      <c r="BL411" s="1845">
        <v>27</v>
      </c>
      <c r="BM411" s="1845">
        <v>28</v>
      </c>
      <c r="BN411" s="1845">
        <v>29</v>
      </c>
      <c r="BO411" s="1845">
        <v>30</v>
      </c>
      <c r="BP411" s="1845">
        <v>31</v>
      </c>
    </row>
    <row r="412" spans="1:69" s="2622" customFormat="1" ht="15.75" thickBot="1">
      <c r="A412" s="2896" t="s">
        <v>77</v>
      </c>
      <c r="B412" s="2897">
        <f t="shared" si="140"/>
        <v>0</v>
      </c>
      <c r="C412" s="2900"/>
      <c r="D412" s="2900"/>
      <c r="E412" s="2900"/>
      <c r="F412" s="2900"/>
      <c r="G412" s="2900"/>
      <c r="H412" s="2902"/>
      <c r="I412" s="2902"/>
      <c r="J412" s="2902"/>
      <c r="K412" s="2902"/>
      <c r="L412" s="2902"/>
      <c r="M412" s="2902"/>
      <c r="N412" s="2902"/>
      <c r="O412" s="2902"/>
      <c r="P412" s="2902"/>
      <c r="Q412" s="2902"/>
      <c r="R412" s="2903"/>
      <c r="S412" s="2902"/>
      <c r="T412" s="2902"/>
      <c r="U412" s="2902"/>
      <c r="V412" s="2902"/>
      <c r="W412" s="2902"/>
      <c r="X412" s="2902"/>
      <c r="Y412" s="2902"/>
      <c r="Z412" s="2902"/>
      <c r="AA412" s="2902"/>
      <c r="AB412" s="2902"/>
      <c r="AC412" s="2900"/>
      <c r="AD412" s="2900"/>
      <c r="AE412" s="2900"/>
      <c r="AF412" s="2900"/>
      <c r="AG412" s="2900"/>
      <c r="AH412" s="2901">
        <f t="shared" si="141"/>
        <v>0</v>
      </c>
      <c r="AJ412" s="1845" t="s">
        <v>75</v>
      </c>
      <c r="AK412" s="2672">
        <f t="shared" ref="AK412:AK423" si="142">+BQ412</f>
        <v>0</v>
      </c>
      <c r="AL412" s="2673"/>
      <c r="AM412" s="2673"/>
      <c r="AN412" s="2673"/>
      <c r="AO412" s="2673"/>
      <c r="AP412" s="2673"/>
      <c r="AQ412" s="2673"/>
      <c r="AR412" s="2673"/>
      <c r="AS412" s="2673"/>
      <c r="AT412" s="2673"/>
      <c r="AU412" s="2673"/>
      <c r="AV412" s="2673"/>
      <c r="AW412" s="2673"/>
      <c r="AX412" s="2673"/>
      <c r="AY412" s="2673"/>
      <c r="AZ412" s="2673"/>
      <c r="BA412" s="2673"/>
      <c r="BB412" s="2673"/>
      <c r="BC412" s="2673"/>
      <c r="BD412" s="2673"/>
      <c r="BE412" s="2673"/>
      <c r="BF412" s="2673"/>
      <c r="BG412" s="2673"/>
      <c r="BH412" s="2673"/>
      <c r="BI412" s="2673"/>
      <c r="BJ412" s="2673"/>
      <c r="BK412" s="2673"/>
      <c r="BL412" s="2673"/>
      <c r="BM412" s="2673"/>
      <c r="BN412" s="2673"/>
      <c r="BO412" s="2673"/>
      <c r="BP412" s="2673"/>
    </row>
    <row r="413" spans="1:69" s="2622" customFormat="1" ht="15.75" thickBot="1">
      <c r="A413" s="2896" t="s">
        <v>78</v>
      </c>
      <c r="B413" s="2897">
        <f t="shared" si="140"/>
        <v>137.672</v>
      </c>
      <c r="C413" s="2900"/>
      <c r="D413" s="2900"/>
      <c r="E413" s="2900"/>
      <c r="F413" s="2900"/>
      <c r="G413" s="2900"/>
      <c r="H413" s="2900"/>
      <c r="I413" s="2900"/>
      <c r="J413" s="2900"/>
      <c r="K413" s="2900"/>
      <c r="L413" s="2904"/>
      <c r="M413" s="2904"/>
      <c r="N413" s="2904"/>
      <c r="O413" s="2904"/>
      <c r="P413" s="2904"/>
      <c r="Q413" s="2904"/>
      <c r="R413" s="2904"/>
      <c r="S413" s="2904"/>
      <c r="T413" s="2904"/>
      <c r="U413" s="2904"/>
      <c r="V413" s="2904"/>
      <c r="W413" s="2904"/>
      <c r="X413" s="2904"/>
      <c r="Y413" s="2904"/>
      <c r="Z413" s="2904"/>
      <c r="AA413" s="2904"/>
      <c r="AB413" s="2904"/>
      <c r="AC413" s="2904"/>
      <c r="AD413" s="2904">
        <v>67.58</v>
      </c>
      <c r="AE413" s="2904">
        <v>70.091999999999999</v>
      </c>
      <c r="AF413" s="2904"/>
      <c r="AG413" s="2904"/>
      <c r="AH413" s="2901">
        <f t="shared" si="141"/>
        <v>137.672</v>
      </c>
      <c r="AJ413" s="1845" t="s">
        <v>76</v>
      </c>
      <c r="AK413" s="2672">
        <f t="shared" si="142"/>
        <v>0</v>
      </c>
      <c r="AL413" s="2673"/>
      <c r="AM413" s="2673"/>
      <c r="AN413" s="2673"/>
      <c r="AO413" s="2673"/>
      <c r="AP413" s="2673"/>
      <c r="AQ413" s="2673"/>
      <c r="AR413" s="2673"/>
      <c r="AS413" s="2673"/>
      <c r="AT413" s="2673"/>
      <c r="AU413" s="2673"/>
      <c r="AV413" s="2673"/>
      <c r="AW413" s="2673"/>
      <c r="AX413" s="2673"/>
      <c r="AY413" s="2673"/>
      <c r="AZ413" s="2673"/>
      <c r="BA413" s="2673"/>
      <c r="BB413" s="2673"/>
      <c r="BC413" s="2673"/>
      <c r="BD413" s="2673"/>
      <c r="BE413" s="2673"/>
      <c r="BF413" s="2673"/>
      <c r="BG413" s="2673"/>
      <c r="BH413" s="2673"/>
      <c r="BI413" s="2673"/>
      <c r="BJ413" s="2673"/>
      <c r="BK413" s="2673"/>
      <c r="BL413" s="2673"/>
      <c r="BM413" s="2673"/>
      <c r="BN413" s="2673"/>
      <c r="BO413" s="2673"/>
      <c r="BP413" s="2673"/>
    </row>
    <row r="414" spans="1:69" s="2622" customFormat="1" ht="15.75" thickBot="1">
      <c r="A414" s="2896" t="s">
        <v>79</v>
      </c>
      <c r="B414" s="2897">
        <f t="shared" si="140"/>
        <v>429.28999999999996</v>
      </c>
      <c r="C414" s="2902"/>
      <c r="D414" s="2902"/>
      <c r="E414" s="2902"/>
      <c r="F414" s="2902"/>
      <c r="G414" s="2902">
        <v>70.260000000000005</v>
      </c>
      <c r="H414" s="2902">
        <v>71.989999999999995</v>
      </c>
      <c r="I414" s="2902">
        <v>76.87</v>
      </c>
      <c r="J414" s="2902"/>
      <c r="K414" s="2902"/>
      <c r="L414" s="2902"/>
      <c r="M414" s="2902"/>
      <c r="N414" s="2902">
        <v>77.959999999999994</v>
      </c>
      <c r="O414" s="2902"/>
      <c r="P414" s="2902"/>
      <c r="Q414" s="2902"/>
      <c r="R414" s="2902">
        <v>74.63</v>
      </c>
      <c r="S414" s="2902">
        <v>43.93</v>
      </c>
      <c r="T414" s="2902"/>
      <c r="U414" s="2902">
        <v>13.65</v>
      </c>
      <c r="V414" s="2902"/>
      <c r="W414" s="2902"/>
      <c r="X414" s="2902"/>
      <c r="Y414" s="2902"/>
      <c r="Z414" s="2902"/>
      <c r="AA414" s="2902"/>
      <c r="AB414" s="2902"/>
      <c r="AC414" s="2902"/>
      <c r="AD414" s="2902"/>
      <c r="AE414" s="2902"/>
      <c r="AF414" s="2902"/>
      <c r="AG414" s="2902"/>
      <c r="AH414" s="2901">
        <f t="shared" si="141"/>
        <v>429.28999999999996</v>
      </c>
      <c r="AJ414" s="1845" t="s">
        <v>77</v>
      </c>
      <c r="AK414" s="2672">
        <f t="shared" si="142"/>
        <v>0</v>
      </c>
      <c r="AL414" s="2673"/>
      <c r="AM414" s="2673"/>
      <c r="AN414" s="2673"/>
      <c r="AO414" s="2673"/>
      <c r="AP414" s="2673"/>
      <c r="AQ414" s="1846"/>
      <c r="AR414" s="1846"/>
      <c r="AS414" s="1846"/>
      <c r="AT414" s="1846"/>
      <c r="AU414" s="1846"/>
      <c r="AV414" s="1846"/>
      <c r="AW414" s="1846"/>
      <c r="AX414" s="1846"/>
      <c r="AY414" s="1846"/>
      <c r="AZ414" s="1846"/>
      <c r="BA414" s="2674"/>
      <c r="BB414" s="1846"/>
      <c r="BC414" s="1846"/>
      <c r="BD414" s="1846"/>
      <c r="BE414" s="1846"/>
      <c r="BF414" s="1846"/>
      <c r="BG414" s="1846"/>
      <c r="BH414" s="1846"/>
      <c r="BI414" s="1846"/>
      <c r="BJ414" s="1846"/>
      <c r="BK414" s="1846"/>
      <c r="BL414" s="2673"/>
      <c r="BM414" s="2673"/>
      <c r="BN414" s="2673"/>
      <c r="BO414" s="2673"/>
      <c r="BP414" s="2673"/>
    </row>
    <row r="415" spans="1:69" s="2622" customFormat="1" ht="15">
      <c r="A415" s="2896" t="s">
        <v>80</v>
      </c>
      <c r="B415" s="2897">
        <f t="shared" si="140"/>
        <v>482.22</v>
      </c>
      <c r="C415" s="2902"/>
      <c r="D415" s="2902"/>
      <c r="E415" s="2902"/>
      <c r="F415" s="2902"/>
      <c r="G415" s="2902"/>
      <c r="H415" s="2902">
        <v>62.45</v>
      </c>
      <c r="I415" s="2902">
        <v>73.59</v>
      </c>
      <c r="J415" s="2902">
        <v>78.89</v>
      </c>
      <c r="K415" s="2902">
        <v>76.31</v>
      </c>
      <c r="L415" s="2902"/>
      <c r="M415" s="2902"/>
      <c r="N415" s="2902"/>
      <c r="O415" s="2902"/>
      <c r="P415" s="2902"/>
      <c r="Q415" s="2902"/>
      <c r="R415" s="2902"/>
      <c r="S415" s="2902"/>
      <c r="T415" s="2902"/>
      <c r="U415" s="2902">
        <v>43.12</v>
      </c>
      <c r="V415" s="2902"/>
      <c r="W415" s="2902">
        <v>77.430000000000007</v>
      </c>
      <c r="X415" s="2902"/>
      <c r="Y415" s="2902">
        <v>62.43</v>
      </c>
      <c r="Z415" s="2902"/>
      <c r="AA415" s="2902">
        <v>8</v>
      </c>
      <c r="AB415" s="2902"/>
      <c r="AC415" s="2902"/>
      <c r="AD415" s="2902"/>
      <c r="AE415" s="2902"/>
      <c r="AF415" s="2902"/>
      <c r="AG415" s="2902"/>
      <c r="AH415" s="2901">
        <f t="shared" si="141"/>
        <v>482.22</v>
      </c>
      <c r="AJ415" s="1845" t="s">
        <v>78</v>
      </c>
      <c r="AK415" s="2672">
        <f t="shared" si="142"/>
        <v>0</v>
      </c>
      <c r="AL415" s="2673"/>
      <c r="AM415" s="2673"/>
      <c r="AN415" s="2673"/>
      <c r="AO415" s="2673"/>
      <c r="AP415" s="2673"/>
      <c r="AQ415" s="2673"/>
      <c r="AR415" s="2673"/>
      <c r="AS415" s="2673"/>
      <c r="AT415" s="2673"/>
      <c r="AU415" s="2675"/>
      <c r="AV415" s="2675"/>
      <c r="AW415" s="2675"/>
      <c r="AX415" s="2675"/>
      <c r="AY415" s="2675"/>
      <c r="AZ415" s="2675"/>
      <c r="BA415" s="2675"/>
      <c r="BB415" s="2675"/>
      <c r="BC415" s="2675"/>
      <c r="BD415" s="2675"/>
      <c r="BE415" s="2675"/>
      <c r="BF415" s="2675"/>
      <c r="BG415" s="2675"/>
      <c r="BH415" s="2675"/>
      <c r="BI415" s="2675"/>
      <c r="BJ415" s="2675"/>
      <c r="BK415" s="2675"/>
      <c r="BL415" s="2675"/>
      <c r="BM415" s="2675"/>
      <c r="BN415" s="2675"/>
      <c r="BO415" s="2675"/>
      <c r="BP415" s="2675"/>
    </row>
    <row r="416" spans="1:69" s="2622" customFormat="1" ht="15">
      <c r="A416" s="2896" t="s">
        <v>81</v>
      </c>
      <c r="B416" s="2897">
        <f t="shared" si="140"/>
        <v>0</v>
      </c>
      <c r="C416" s="2902"/>
      <c r="D416" s="2901"/>
      <c r="E416" s="2901"/>
      <c r="F416" s="2901"/>
      <c r="G416" s="2902"/>
      <c r="H416" s="2902"/>
      <c r="I416" s="2902"/>
      <c r="J416" s="2902"/>
      <c r="K416" s="2902"/>
      <c r="L416" s="2902"/>
      <c r="M416" s="2902"/>
      <c r="N416" s="2902"/>
      <c r="O416" s="2902"/>
      <c r="P416" s="2902"/>
      <c r="Q416" s="2902"/>
      <c r="R416" s="2902"/>
      <c r="S416" s="2902"/>
      <c r="T416" s="2902"/>
      <c r="U416" s="2902"/>
      <c r="V416" s="2902"/>
      <c r="W416" s="2902"/>
      <c r="X416" s="2902"/>
      <c r="Y416" s="2902"/>
      <c r="Z416" s="2902"/>
      <c r="AA416" s="2902"/>
      <c r="AB416" s="2902"/>
      <c r="AC416" s="2902"/>
      <c r="AD416" s="2902"/>
      <c r="AE416" s="2902"/>
      <c r="AF416" s="2902"/>
      <c r="AG416" s="2902"/>
      <c r="AH416" s="2901">
        <f t="shared" si="141"/>
        <v>0</v>
      </c>
      <c r="AJ416" s="1845" t="s">
        <v>79</v>
      </c>
      <c r="AK416" s="2672">
        <f t="shared" si="142"/>
        <v>0</v>
      </c>
      <c r="AL416" s="1846"/>
      <c r="AM416" s="1846"/>
      <c r="AN416" s="1846"/>
      <c r="AO416" s="1846"/>
      <c r="AP416" s="1846"/>
      <c r="AQ416" s="1846"/>
      <c r="AR416" s="1846"/>
      <c r="AS416" s="1846"/>
      <c r="AT416" s="1846"/>
      <c r="AU416" s="1846"/>
      <c r="AV416" s="1846"/>
      <c r="AW416" s="1846"/>
      <c r="AX416" s="1846"/>
      <c r="AY416" s="1846"/>
      <c r="AZ416" s="1846"/>
      <c r="BA416" s="1846"/>
      <c r="BB416" s="1846"/>
      <c r="BC416" s="1846"/>
      <c r="BD416" s="1846"/>
      <c r="BE416" s="1846"/>
      <c r="BF416" s="1846"/>
      <c r="BG416" s="1846"/>
      <c r="BH416" s="1846"/>
      <c r="BI416" s="1846"/>
      <c r="BJ416" s="1846"/>
      <c r="BK416" s="1846"/>
      <c r="BL416" s="1846"/>
      <c r="BM416" s="1846"/>
      <c r="BN416" s="1846"/>
      <c r="BO416" s="1846"/>
      <c r="BP416" s="1846"/>
    </row>
    <row r="417" spans="1:69" s="2622" customFormat="1" ht="15">
      <c r="A417" s="2896" t="s">
        <v>82</v>
      </c>
      <c r="B417" s="2897">
        <f t="shared" si="140"/>
        <v>0</v>
      </c>
      <c r="C417" s="2902"/>
      <c r="D417" s="2902"/>
      <c r="E417" s="2902"/>
      <c r="F417" s="2902"/>
      <c r="G417" s="2902"/>
      <c r="H417" s="2902"/>
      <c r="I417" s="2902"/>
      <c r="J417" s="2902"/>
      <c r="K417" s="2902"/>
      <c r="L417" s="2902"/>
      <c r="M417" s="2902"/>
      <c r="N417" s="2902"/>
      <c r="O417" s="2902"/>
      <c r="P417" s="2902"/>
      <c r="Q417" s="2902"/>
      <c r="R417" s="2902"/>
      <c r="S417" s="2902"/>
      <c r="T417" s="2902"/>
      <c r="U417" s="2902"/>
      <c r="V417" s="2902"/>
      <c r="W417" s="2902"/>
      <c r="X417" s="2902"/>
      <c r="Y417" s="2902"/>
      <c r="Z417" s="2902"/>
      <c r="AA417" s="2902"/>
      <c r="AB417" s="2902"/>
      <c r="AC417" s="2902"/>
      <c r="AD417" s="2902"/>
      <c r="AE417" s="2902"/>
      <c r="AF417" s="2902"/>
      <c r="AG417" s="2902"/>
      <c r="AH417" s="2901">
        <f t="shared" si="141"/>
        <v>0</v>
      </c>
      <c r="AJ417" s="1845" t="s">
        <v>80</v>
      </c>
      <c r="AK417" s="2672">
        <f t="shared" si="142"/>
        <v>0</v>
      </c>
      <c r="AL417" s="1846"/>
      <c r="AM417" s="1846"/>
      <c r="AN417" s="1846"/>
      <c r="AO417" s="1846"/>
      <c r="AP417" s="1846"/>
      <c r="AQ417" s="1846"/>
      <c r="AR417" s="1846"/>
      <c r="AS417" s="1846"/>
      <c r="AT417" s="1846"/>
      <c r="AU417" s="1846"/>
      <c r="AV417" s="1846"/>
      <c r="AW417" s="1846"/>
      <c r="AX417" s="1846"/>
      <c r="AY417" s="1846"/>
      <c r="AZ417" s="1846"/>
      <c r="BA417" s="1846"/>
      <c r="BB417" s="1846"/>
      <c r="BC417" s="1846"/>
      <c r="BD417" s="1846"/>
      <c r="BE417" s="1846"/>
      <c r="BF417" s="1846"/>
      <c r="BG417" s="1846"/>
      <c r="BH417" s="1846"/>
      <c r="BI417" s="1846"/>
      <c r="BJ417" s="1846"/>
      <c r="BK417" s="1846"/>
      <c r="BL417" s="1846"/>
      <c r="BM417" s="1846"/>
      <c r="BN417" s="1846"/>
      <c r="BO417" s="1846"/>
      <c r="BP417" s="1846"/>
    </row>
    <row r="418" spans="1:69" s="2622" customFormat="1" ht="15">
      <c r="A418" s="2896" t="s">
        <v>83</v>
      </c>
      <c r="B418" s="2897">
        <f t="shared" si="140"/>
        <v>0</v>
      </c>
      <c r="C418" s="2902"/>
      <c r="D418" s="2902"/>
      <c r="E418" s="2902"/>
      <c r="F418" s="2902"/>
      <c r="G418" s="2902"/>
      <c r="H418" s="2902"/>
      <c r="I418" s="2902"/>
      <c r="J418" s="2902"/>
      <c r="K418" s="2902"/>
      <c r="L418" s="2902"/>
      <c r="M418" s="2902"/>
      <c r="N418" s="2902"/>
      <c r="O418" s="2902"/>
      <c r="P418" s="2902"/>
      <c r="Q418" s="2902"/>
      <c r="R418" s="2902"/>
      <c r="S418" s="2902"/>
      <c r="T418" s="2902"/>
      <c r="U418" s="2902"/>
      <c r="V418" s="2902"/>
      <c r="W418" s="2902"/>
      <c r="X418" s="2902"/>
      <c r="Y418" s="2902"/>
      <c r="Z418" s="2902"/>
      <c r="AA418" s="2902"/>
      <c r="AB418" s="2902"/>
      <c r="AC418" s="2902"/>
      <c r="AD418" s="2902"/>
      <c r="AE418" s="2902"/>
      <c r="AF418" s="2902"/>
      <c r="AG418" s="2902"/>
      <c r="AH418" s="2901">
        <f t="shared" si="141"/>
        <v>0</v>
      </c>
      <c r="AJ418" s="1845" t="s">
        <v>81</v>
      </c>
      <c r="AK418" s="2672">
        <f t="shared" si="142"/>
        <v>0</v>
      </c>
      <c r="AL418" s="1846"/>
      <c r="AM418" s="2180"/>
      <c r="AN418" s="2180"/>
      <c r="AO418" s="2180"/>
      <c r="AP418" s="1846"/>
      <c r="AQ418" s="1846"/>
      <c r="AR418" s="1846"/>
      <c r="AS418" s="1846"/>
      <c r="AT418" s="1846"/>
      <c r="AU418" s="1846"/>
      <c r="AV418" s="1846"/>
      <c r="AW418" s="1846"/>
      <c r="AX418" s="1846"/>
      <c r="AY418" s="1846"/>
      <c r="AZ418" s="1846"/>
      <c r="BA418" s="1846"/>
      <c r="BB418" s="1846"/>
      <c r="BC418" s="1846"/>
      <c r="BD418" s="1846"/>
      <c r="BE418" s="1846"/>
      <c r="BF418" s="1846"/>
      <c r="BG418" s="1846"/>
      <c r="BH418" s="1846"/>
      <c r="BI418" s="1846"/>
      <c r="BJ418" s="1846"/>
      <c r="BK418" s="1846"/>
      <c r="BL418" s="1846"/>
      <c r="BM418" s="1846"/>
      <c r="BN418" s="1846"/>
      <c r="BO418" s="1846"/>
      <c r="BP418" s="1846"/>
    </row>
    <row r="419" spans="1:69" s="2622" customFormat="1" ht="15">
      <c r="A419" s="2896" t="s">
        <v>84</v>
      </c>
      <c r="B419" s="2897">
        <f t="shared" si="140"/>
        <v>0</v>
      </c>
      <c r="C419" s="2902"/>
      <c r="D419" s="2902"/>
      <c r="E419" s="2902"/>
      <c r="F419" s="2902"/>
      <c r="G419" s="2902"/>
      <c r="H419" s="2902"/>
      <c r="I419" s="2902"/>
      <c r="J419" s="2902"/>
      <c r="K419" s="2902"/>
      <c r="L419" s="2902"/>
      <c r="M419" s="2902"/>
      <c r="N419" s="2902"/>
      <c r="O419" s="2902"/>
      <c r="P419" s="2902"/>
      <c r="Q419" s="2902"/>
      <c r="R419" s="2902"/>
      <c r="S419" s="2902"/>
      <c r="T419" s="2902"/>
      <c r="U419" s="2902"/>
      <c r="V419" s="2902"/>
      <c r="W419" s="2902"/>
      <c r="X419" s="2902"/>
      <c r="Y419" s="2902"/>
      <c r="Z419" s="2902"/>
      <c r="AA419" s="2902"/>
      <c r="AB419" s="2902"/>
      <c r="AC419" s="2902"/>
      <c r="AD419" s="2902"/>
      <c r="AE419" s="2901"/>
      <c r="AF419" s="2902"/>
      <c r="AG419" s="2901"/>
      <c r="AH419" s="2901">
        <f t="shared" si="141"/>
        <v>0</v>
      </c>
      <c r="AJ419" s="1845" t="s">
        <v>82</v>
      </c>
      <c r="AK419" s="2672">
        <f t="shared" si="142"/>
        <v>0</v>
      </c>
      <c r="AL419" s="1846"/>
      <c r="AM419" s="1846"/>
      <c r="AN419" s="1846"/>
      <c r="AO419" s="1846"/>
      <c r="AP419" s="1846"/>
      <c r="AQ419" s="1846"/>
      <c r="AR419" s="1846"/>
      <c r="AS419" s="1846"/>
      <c r="AT419" s="1846"/>
      <c r="AU419" s="1846"/>
      <c r="AV419" s="1846"/>
      <c r="AW419" s="1846"/>
      <c r="AX419" s="1846"/>
      <c r="AY419" s="1846"/>
      <c r="AZ419" s="1846"/>
      <c r="BA419" s="1846"/>
      <c r="BB419" s="1846"/>
      <c r="BC419" s="1846"/>
      <c r="BD419" s="1846"/>
      <c r="BE419" s="1846"/>
      <c r="BF419" s="1846"/>
      <c r="BG419" s="1846"/>
      <c r="BH419" s="1846"/>
      <c r="BI419" s="1846"/>
      <c r="BJ419" s="1846"/>
      <c r="BK419" s="1846"/>
      <c r="BL419" s="1846"/>
      <c r="BM419" s="1846"/>
      <c r="BN419" s="1846"/>
      <c r="BO419" s="1846"/>
      <c r="BP419" s="1846"/>
      <c r="BQ419"/>
    </row>
    <row r="420" spans="1:69" s="2622" customFormat="1" ht="15">
      <c r="A420" s="2896" t="s">
        <v>85</v>
      </c>
      <c r="B420" s="2897">
        <f t="shared" si="140"/>
        <v>0</v>
      </c>
      <c r="C420" s="2902"/>
      <c r="D420" s="2902"/>
      <c r="E420" s="2902"/>
      <c r="F420" s="2902"/>
      <c r="G420" s="2905"/>
      <c r="H420" s="2902"/>
      <c r="I420" s="2902"/>
      <c r="J420" s="2902"/>
      <c r="K420" s="2902"/>
      <c r="L420" s="2902"/>
      <c r="M420" s="2902"/>
      <c r="N420" s="2902"/>
      <c r="O420" s="2902"/>
      <c r="P420" s="2902"/>
      <c r="Q420" s="2902"/>
      <c r="R420" s="2902"/>
      <c r="S420" s="2902"/>
      <c r="T420" s="2902"/>
      <c r="U420" s="2902"/>
      <c r="V420" s="2902"/>
      <c r="W420" s="2902"/>
      <c r="X420" s="2902"/>
      <c r="Y420" s="2902"/>
      <c r="Z420" s="2902"/>
      <c r="AA420" s="2902"/>
      <c r="AB420" s="2902"/>
      <c r="AC420" s="2902"/>
      <c r="AD420" s="2902"/>
      <c r="AE420" s="2901"/>
      <c r="AF420" s="2902"/>
      <c r="AG420" s="2901"/>
      <c r="AH420" s="2901">
        <f t="shared" si="141"/>
        <v>0</v>
      </c>
      <c r="AJ420" s="1845" t="s">
        <v>83</v>
      </c>
      <c r="AK420" s="2672">
        <f t="shared" si="142"/>
        <v>0</v>
      </c>
      <c r="AL420" s="1846"/>
      <c r="AM420" s="1846"/>
      <c r="AN420" s="1846"/>
      <c r="AO420" s="1846"/>
      <c r="AP420" s="1846"/>
      <c r="AQ420" s="1846"/>
      <c r="AR420" s="1846"/>
      <c r="AS420" s="1846"/>
      <c r="AT420" s="1846"/>
      <c r="AU420" s="1846"/>
      <c r="AV420" s="1846"/>
      <c r="AW420" s="1846"/>
      <c r="AX420" s="1846"/>
      <c r="AY420" s="1846"/>
      <c r="AZ420" s="1846"/>
      <c r="BA420" s="1846"/>
      <c r="BB420" s="1846"/>
      <c r="BC420" s="1846"/>
      <c r="BD420" s="1846"/>
      <c r="BE420" s="1846"/>
      <c r="BF420" s="1846"/>
      <c r="BG420" s="1846"/>
      <c r="BH420" s="1846"/>
      <c r="BI420" s="1846"/>
      <c r="BJ420" s="1846"/>
      <c r="BK420" s="1846"/>
      <c r="BL420" s="1846"/>
      <c r="BM420" s="1846"/>
      <c r="BN420" s="1846"/>
      <c r="BO420" s="1846"/>
      <c r="BP420" s="1846"/>
    </row>
    <row r="421" spans="1:69" s="2622" customFormat="1" ht="15">
      <c r="A421" s="2896" t="s">
        <v>86</v>
      </c>
      <c r="B421" s="2897">
        <f t="shared" si="140"/>
        <v>0</v>
      </c>
      <c r="C421" s="2902"/>
      <c r="D421" s="2902"/>
      <c r="E421" s="2902"/>
      <c r="F421" s="2902"/>
      <c r="G421" s="2902"/>
      <c r="H421" s="2902"/>
      <c r="I421" s="2902"/>
      <c r="J421" s="2902"/>
      <c r="K421" s="2902"/>
      <c r="L421" s="2902"/>
      <c r="M421" s="2902"/>
      <c r="N421" s="2902"/>
      <c r="O421" s="2902"/>
      <c r="P421" s="2902"/>
      <c r="Q421" s="2902"/>
      <c r="R421" s="2902"/>
      <c r="S421" s="2902"/>
      <c r="T421" s="2902"/>
      <c r="U421" s="2902"/>
      <c r="V421" s="2902"/>
      <c r="W421" s="2902"/>
      <c r="X421" s="2902"/>
      <c r="Y421" s="2902"/>
      <c r="Z421" s="2902"/>
      <c r="AA421" s="2902"/>
      <c r="AB421" s="2902"/>
      <c r="AC421" s="2902"/>
      <c r="AD421" s="2902"/>
      <c r="AE421" s="2902"/>
      <c r="AF421" s="2902"/>
      <c r="AG421" s="2902"/>
      <c r="AH421" s="2901">
        <f t="shared" si="141"/>
        <v>0</v>
      </c>
      <c r="AJ421" s="1845" t="s">
        <v>84</v>
      </c>
      <c r="AK421" s="2672">
        <f t="shared" si="142"/>
        <v>0</v>
      </c>
      <c r="AL421" s="1846"/>
      <c r="AM421" s="1846"/>
      <c r="AN421" s="1846"/>
      <c r="AO421" s="1846"/>
      <c r="AP421" s="1846"/>
      <c r="AQ421" s="1846"/>
      <c r="AR421" s="1846"/>
      <c r="AS421" s="1846"/>
      <c r="AT421" s="1846"/>
      <c r="AU421" s="1846"/>
      <c r="AV421" s="1846"/>
      <c r="AW421" s="1846"/>
      <c r="AX421" s="1846"/>
      <c r="AY421" s="1846"/>
      <c r="AZ421" s="1846"/>
      <c r="BA421" s="1846"/>
      <c r="BB421" s="1846"/>
      <c r="BC421" s="1846"/>
      <c r="BD421" s="1846"/>
      <c r="BE421" s="1846"/>
      <c r="BF421" s="1846"/>
      <c r="BG421" s="1846"/>
      <c r="BH421" s="1846"/>
      <c r="BI421" s="1846"/>
      <c r="BJ421" s="1846"/>
      <c r="BK421" s="1846"/>
      <c r="BL421" s="1846"/>
      <c r="BM421" s="1846"/>
      <c r="BN421" s="2180"/>
      <c r="BO421" s="1846"/>
      <c r="BP421" s="2180"/>
    </row>
    <row r="422" spans="1:69" s="2622" customFormat="1" ht="15">
      <c r="A422" s="2906" t="s">
        <v>74</v>
      </c>
      <c r="B422" s="2907">
        <f t="shared" ref="B422:R422" si="143">SUM(B410:B421)</f>
        <v>1049.182</v>
      </c>
      <c r="C422" s="2897">
        <f t="shared" si="143"/>
        <v>0</v>
      </c>
      <c r="D422" s="2897">
        <f t="shared" si="143"/>
        <v>0</v>
      </c>
      <c r="E422" s="2897">
        <f t="shared" si="143"/>
        <v>0</v>
      </c>
      <c r="F422" s="2897">
        <f t="shared" si="143"/>
        <v>0</v>
      </c>
      <c r="G422" s="2897">
        <f t="shared" si="143"/>
        <v>70.260000000000005</v>
      </c>
      <c r="H422" s="2897">
        <f t="shared" si="143"/>
        <v>134.44</v>
      </c>
      <c r="I422" s="2897">
        <f t="shared" si="143"/>
        <v>150.46</v>
      </c>
      <c r="J422" s="2897">
        <f t="shared" si="143"/>
        <v>78.89</v>
      </c>
      <c r="K422" s="2897">
        <f t="shared" si="143"/>
        <v>76.31</v>
      </c>
      <c r="L422" s="2897">
        <f t="shared" si="143"/>
        <v>0</v>
      </c>
      <c r="M422" s="2897">
        <f t="shared" si="143"/>
        <v>0</v>
      </c>
      <c r="N422" s="2897">
        <f t="shared" si="143"/>
        <v>77.959999999999994</v>
      </c>
      <c r="O422" s="2897">
        <f t="shared" si="143"/>
        <v>0</v>
      </c>
      <c r="P422" s="2897">
        <f t="shared" si="143"/>
        <v>0</v>
      </c>
      <c r="Q422" s="2897">
        <f t="shared" si="143"/>
        <v>0</v>
      </c>
      <c r="R422" s="2897">
        <f t="shared" si="143"/>
        <v>74.63</v>
      </c>
      <c r="S422" s="2901">
        <f t="shared" ref="S422:AC422" si="144">SUM(S410:S420)</f>
        <v>43.93</v>
      </c>
      <c r="T422" s="2901">
        <f t="shared" si="144"/>
        <v>0</v>
      </c>
      <c r="U422" s="2901">
        <f t="shared" si="144"/>
        <v>56.769999999999996</v>
      </c>
      <c r="V422" s="2901">
        <f t="shared" si="144"/>
        <v>0</v>
      </c>
      <c r="W422" s="2901">
        <f t="shared" si="144"/>
        <v>77.430000000000007</v>
      </c>
      <c r="X422" s="2901">
        <f t="shared" si="144"/>
        <v>0</v>
      </c>
      <c r="Y422" s="2901">
        <f t="shared" si="144"/>
        <v>62.43</v>
      </c>
      <c r="Z422" s="2901">
        <f t="shared" si="144"/>
        <v>0</v>
      </c>
      <c r="AA422" s="2901">
        <f t="shared" si="144"/>
        <v>8</v>
      </c>
      <c r="AB422" s="2901">
        <f t="shared" si="144"/>
        <v>0</v>
      </c>
      <c r="AC422" s="2901">
        <f t="shared" si="144"/>
        <v>0</v>
      </c>
      <c r="AD422" s="2901">
        <v>0</v>
      </c>
      <c r="AE422" s="2901">
        <f>SUM(AE410:AE420)</f>
        <v>70.091999999999999</v>
      </c>
      <c r="AF422" s="2901">
        <f>SUM(AF410:AF420)</f>
        <v>0</v>
      </c>
      <c r="AG422" s="2901">
        <f>SUM(AG410:AG420)</f>
        <v>0</v>
      </c>
      <c r="AH422" s="2901">
        <f>SUM(AH410:AH420)</f>
        <v>1049.182</v>
      </c>
      <c r="AJ422" s="1845" t="s">
        <v>85</v>
      </c>
      <c r="AK422" s="2672">
        <f t="shared" si="142"/>
        <v>0</v>
      </c>
      <c r="AL422" s="1846"/>
      <c r="AM422" s="1846"/>
      <c r="AN422" s="1846"/>
      <c r="AO422" s="1846"/>
      <c r="AP422" s="2185"/>
      <c r="AQ422" s="1846"/>
      <c r="AR422" s="1846"/>
      <c r="AS422" s="1846"/>
      <c r="AT422" s="1846"/>
      <c r="AU422" s="1846"/>
      <c r="AV422" s="1846"/>
      <c r="AW422" s="1846"/>
      <c r="AX422" s="1846"/>
      <c r="AY422" s="1846"/>
      <c r="AZ422" s="1846"/>
      <c r="BA422" s="1846"/>
      <c r="BB422" s="1846"/>
      <c r="BC422" s="1846"/>
      <c r="BD422" s="1846"/>
      <c r="BE422" s="1846"/>
      <c r="BF422" s="1846"/>
      <c r="BG422" s="1846"/>
      <c r="BH422" s="1846"/>
      <c r="BI422" s="1846"/>
      <c r="BJ422" s="1846"/>
      <c r="BK422" s="1846"/>
      <c r="BL422" s="1846"/>
      <c r="BM422" s="1846"/>
      <c r="BN422" s="2180"/>
      <c r="BO422" s="1846"/>
      <c r="BP422" s="2180"/>
    </row>
    <row r="423" spans="1:69" s="2622" customFormat="1" ht="15">
      <c r="A423" s="2893"/>
      <c r="B423" s="2893"/>
      <c r="C423" s="2893"/>
      <c r="D423" s="2893"/>
      <c r="E423" s="2893"/>
      <c r="F423" s="2893"/>
      <c r="G423" s="2893"/>
      <c r="H423" s="2893"/>
      <c r="I423" s="2893"/>
      <c r="J423" s="2893"/>
      <c r="K423" s="2893"/>
      <c r="L423" s="2893"/>
      <c r="M423" s="2893"/>
      <c r="N423" s="2893"/>
      <c r="O423" s="2893"/>
      <c r="P423" s="2893"/>
      <c r="Q423" s="2893"/>
      <c r="R423" s="2893"/>
      <c r="S423" s="2893"/>
      <c r="T423" s="2893"/>
      <c r="U423" s="2893"/>
      <c r="V423" s="2893"/>
      <c r="W423" s="2893"/>
      <c r="X423" s="2893"/>
      <c r="Y423" s="2893"/>
      <c r="Z423" s="2893"/>
      <c r="AA423" s="2893"/>
      <c r="AB423" s="2893"/>
      <c r="AC423" s="2893"/>
      <c r="AD423" s="2893"/>
      <c r="AE423" s="2893"/>
      <c r="AF423" s="2893"/>
      <c r="AG423" s="2893"/>
      <c r="AH423" s="2893"/>
      <c r="AJ423" s="1845" t="s">
        <v>86</v>
      </c>
      <c r="AK423" s="2672">
        <f t="shared" si="142"/>
        <v>0</v>
      </c>
      <c r="AL423" s="1846"/>
      <c r="AM423" s="1846"/>
      <c r="AN423" s="1846"/>
      <c r="AO423" s="1846"/>
      <c r="AP423" s="1846"/>
      <c r="AQ423" s="1846"/>
      <c r="AR423" s="1846"/>
      <c r="AS423" s="1846"/>
      <c r="AT423" s="1846"/>
      <c r="AU423" s="1846"/>
      <c r="AV423" s="1846"/>
      <c r="AW423" s="1846"/>
      <c r="AX423" s="1846"/>
      <c r="AY423" s="1846"/>
      <c r="AZ423" s="1846"/>
      <c r="BA423" s="1846"/>
      <c r="BB423" s="1846"/>
      <c r="BC423" s="1846"/>
      <c r="BD423" s="1846"/>
      <c r="BE423" s="1846"/>
      <c r="BF423" s="1846"/>
      <c r="BG423" s="1846"/>
      <c r="BH423" s="1846"/>
      <c r="BI423" s="1846"/>
      <c r="BJ423" s="1846"/>
      <c r="BK423" s="1846"/>
      <c r="BL423" s="1846"/>
      <c r="BM423" s="1846"/>
      <c r="BN423" s="1846"/>
      <c r="BO423" s="1846"/>
      <c r="BP423" s="1846"/>
    </row>
    <row r="424" spans="1:69" s="2622" customFormat="1" ht="15.75" thickBot="1">
      <c r="A424" s="2893"/>
      <c r="B424" s="2893"/>
      <c r="C424" s="2893"/>
      <c r="D424" s="2893"/>
      <c r="E424" s="2893"/>
      <c r="F424" s="2893"/>
      <c r="G424" s="2893"/>
      <c r="H424" s="2893"/>
      <c r="I424" s="2893"/>
      <c r="J424" s="2893"/>
      <c r="K424" s="2893"/>
      <c r="L424" s="2893"/>
      <c r="M424" s="2893"/>
      <c r="N424" s="2893"/>
      <c r="O424" s="2893"/>
      <c r="P424" s="2893"/>
      <c r="Q424" s="2893"/>
      <c r="R424" s="2893"/>
      <c r="S424" s="2893"/>
      <c r="T424" s="2893"/>
      <c r="U424" s="2893"/>
      <c r="V424" s="2893"/>
      <c r="W424" s="2893"/>
      <c r="X424" s="2893"/>
      <c r="Y424" s="2893"/>
      <c r="Z424" s="2893"/>
      <c r="AA424" s="2893"/>
      <c r="AB424" s="2893"/>
      <c r="AC424" s="2893"/>
      <c r="AD424" s="2893"/>
      <c r="AE424" s="2893"/>
      <c r="AF424" s="2893"/>
      <c r="AG424" s="2893"/>
      <c r="AH424" s="2893"/>
      <c r="AJ424" s="2183" t="s">
        <v>74</v>
      </c>
      <c r="AK424" s="2676">
        <f t="shared" ref="AK424:BA424" si="145">SUM(AK412:AK423)</f>
        <v>0</v>
      </c>
      <c r="AL424" s="2672">
        <f t="shared" si="145"/>
        <v>0</v>
      </c>
      <c r="AM424" s="2672">
        <f t="shared" si="145"/>
        <v>0</v>
      </c>
      <c r="AN424" s="2672">
        <f t="shared" si="145"/>
        <v>0</v>
      </c>
      <c r="AO424" s="2672">
        <f t="shared" si="145"/>
        <v>0</v>
      </c>
      <c r="AP424" s="2672">
        <f t="shared" si="145"/>
        <v>0</v>
      </c>
      <c r="AQ424" s="2672">
        <f t="shared" si="145"/>
        <v>0</v>
      </c>
      <c r="AR424" s="2672">
        <f t="shared" si="145"/>
        <v>0</v>
      </c>
      <c r="AS424" s="2672">
        <f t="shared" si="145"/>
        <v>0</v>
      </c>
      <c r="AT424" s="2672">
        <f t="shared" si="145"/>
        <v>0</v>
      </c>
      <c r="AU424" s="2672">
        <f t="shared" si="145"/>
        <v>0</v>
      </c>
      <c r="AV424" s="2672">
        <f t="shared" si="145"/>
        <v>0</v>
      </c>
      <c r="AW424" s="2672">
        <f t="shared" si="145"/>
        <v>0</v>
      </c>
      <c r="AX424" s="2672">
        <f t="shared" si="145"/>
        <v>0</v>
      </c>
      <c r="AY424" s="2672">
        <f t="shared" si="145"/>
        <v>0</v>
      </c>
      <c r="AZ424" s="2672">
        <f t="shared" si="145"/>
        <v>0</v>
      </c>
      <c r="BA424" s="2672">
        <f t="shared" si="145"/>
        <v>0</v>
      </c>
      <c r="BB424" s="2180">
        <f t="shared" ref="BB424:BL424" si="146">SUM(BB412:BB422)</f>
        <v>0</v>
      </c>
      <c r="BC424" s="2180">
        <f t="shared" si="146"/>
        <v>0</v>
      </c>
      <c r="BD424" s="2180">
        <f t="shared" si="146"/>
        <v>0</v>
      </c>
      <c r="BE424" s="2180">
        <f t="shared" si="146"/>
        <v>0</v>
      </c>
      <c r="BF424" s="2180">
        <f t="shared" si="146"/>
        <v>0</v>
      </c>
      <c r="BG424" s="2180">
        <f t="shared" si="146"/>
        <v>0</v>
      </c>
      <c r="BH424" s="2180">
        <f t="shared" si="146"/>
        <v>0</v>
      </c>
      <c r="BI424" s="2180">
        <f t="shared" si="146"/>
        <v>0</v>
      </c>
      <c r="BJ424" s="2180">
        <f t="shared" si="146"/>
        <v>0</v>
      </c>
      <c r="BK424" s="2180">
        <f t="shared" si="146"/>
        <v>0</v>
      </c>
      <c r="BL424" s="2180">
        <f t="shared" si="146"/>
        <v>0</v>
      </c>
      <c r="BM424" s="2180">
        <v>0</v>
      </c>
      <c r="BN424" s="2180">
        <f>SUM(BN412:BN422)</f>
        <v>0</v>
      </c>
      <c r="BO424" s="2180">
        <f>SUM(BO412:BO422)</f>
        <v>0</v>
      </c>
      <c r="BP424" s="2180">
        <f>SUM(BP412:BP422)</f>
        <v>0</v>
      </c>
    </row>
    <row r="425" spans="1:69" s="2622" customFormat="1" ht="15.75" thickBot="1">
      <c r="A425" s="2908" t="s">
        <v>996</v>
      </c>
      <c r="B425" s="2909"/>
      <c r="C425" s="2909"/>
      <c r="D425" s="2909"/>
      <c r="E425" s="2909"/>
      <c r="F425" s="3865" t="s">
        <v>155</v>
      </c>
      <c r="G425" s="3866"/>
      <c r="H425" s="3867"/>
      <c r="I425" s="3865" t="s">
        <v>156</v>
      </c>
      <c r="J425" s="3868"/>
      <c r="K425" s="3869" t="s">
        <v>912</v>
      </c>
      <c r="L425" s="3869" t="s">
        <v>913</v>
      </c>
      <c r="M425" s="2893"/>
      <c r="N425" s="2893"/>
      <c r="O425" s="2893"/>
      <c r="P425" s="2893"/>
      <c r="Q425" s="2893"/>
      <c r="R425" s="2893"/>
      <c r="S425" s="2893"/>
      <c r="T425" s="2893"/>
      <c r="U425" s="2893"/>
      <c r="V425" s="2893"/>
      <c r="W425" s="2893"/>
      <c r="X425" s="2893"/>
      <c r="Y425" s="2893"/>
      <c r="Z425" s="2893"/>
      <c r="AA425" s="2893"/>
      <c r="AB425" s="2893"/>
      <c r="AC425" s="2893"/>
      <c r="AD425" s="2893"/>
      <c r="AE425" s="2893"/>
      <c r="AF425" s="2893"/>
      <c r="AG425" s="2893"/>
      <c r="AH425" s="2893"/>
      <c r="AJ425" s="2187"/>
      <c r="AK425" s="2187"/>
      <c r="AL425" s="2187"/>
      <c r="AM425" s="2187"/>
      <c r="AN425" s="2187"/>
      <c r="AO425" s="2187"/>
      <c r="AP425" s="2187"/>
      <c r="AQ425" s="2187"/>
      <c r="AR425" s="2187"/>
      <c r="AS425" s="2187"/>
      <c r="AT425" s="2187"/>
      <c r="AU425" s="2187"/>
      <c r="AV425" s="2187"/>
      <c r="AW425" s="2187"/>
      <c r="AX425" s="2187"/>
      <c r="AY425" s="2187"/>
      <c r="AZ425" s="2187"/>
      <c r="BA425" s="2187"/>
      <c r="BB425" s="2187"/>
      <c r="BC425" s="2187"/>
      <c r="BD425" s="2187"/>
      <c r="BE425" s="2187"/>
      <c r="BF425" s="2187"/>
      <c r="BG425" s="2187"/>
      <c r="BH425" s="2187"/>
      <c r="BI425" s="2187"/>
      <c r="BJ425" s="2187"/>
      <c r="BK425" s="2187"/>
      <c r="BL425" s="2187"/>
      <c r="BM425" s="2187"/>
      <c r="BN425" s="2187"/>
      <c r="BO425" s="2187"/>
      <c r="BP425" s="2187"/>
    </row>
    <row r="426" spans="1:69" s="2622" customFormat="1" ht="33.75" thickBot="1">
      <c r="A426" s="2910" t="s">
        <v>158</v>
      </c>
      <c r="B426" s="2911" t="s">
        <v>159</v>
      </c>
      <c r="C426" s="2912" t="s">
        <v>136</v>
      </c>
      <c r="D426" s="2913" t="s">
        <v>134</v>
      </c>
      <c r="E426" s="2911" t="s">
        <v>160</v>
      </c>
      <c r="F426" s="2914" t="s">
        <v>8</v>
      </c>
      <c r="G426" s="2915" t="s">
        <v>161</v>
      </c>
      <c r="H426" s="2916" t="s">
        <v>52</v>
      </c>
      <c r="I426" s="2914" t="s">
        <v>8</v>
      </c>
      <c r="J426" s="2917" t="s">
        <v>162</v>
      </c>
      <c r="K426" s="3870"/>
      <c r="L426" s="3870"/>
      <c r="M426" s="2893"/>
      <c r="N426" s="2893"/>
      <c r="O426" s="2893"/>
      <c r="P426" s="2893"/>
      <c r="Q426" s="2893"/>
      <c r="R426" s="2893"/>
      <c r="S426" s="2893"/>
      <c r="T426" s="2893"/>
      <c r="U426" s="2893"/>
      <c r="V426" s="2893"/>
      <c r="W426" s="2893"/>
      <c r="X426" s="2893"/>
      <c r="Y426" s="2893"/>
      <c r="Z426" s="2893"/>
      <c r="AA426" s="2893"/>
      <c r="AB426" s="2893"/>
      <c r="AC426" s="2893"/>
      <c r="AD426" s="2893"/>
      <c r="AE426" s="2893"/>
      <c r="AF426" s="2893"/>
      <c r="AG426" s="2893"/>
      <c r="AH426" s="2893"/>
      <c r="AJ426" s="2547" t="s">
        <v>930</v>
      </c>
      <c r="AK426" s="2548"/>
      <c r="AL426" s="2548" t="s">
        <v>1111</v>
      </c>
      <c r="AM426" s="2187"/>
      <c r="AN426" s="2187"/>
      <c r="AO426" s="3080"/>
      <c r="AP426" s="3016" t="s">
        <v>1112</v>
      </c>
      <c r="AQ426" s="1415"/>
      <c r="AR426" s="1415"/>
      <c r="AS426" s="1415"/>
      <c r="AT426" s="2187"/>
      <c r="AU426" s="2187"/>
      <c r="AV426" s="2187"/>
      <c r="AW426" s="2187"/>
      <c r="AX426" s="2187"/>
      <c r="AY426" s="2187"/>
      <c r="AZ426" s="2187"/>
      <c r="BA426" s="2187"/>
      <c r="BB426" s="2187"/>
      <c r="BC426" s="2187"/>
      <c r="BD426" s="2187"/>
      <c r="BE426" s="2187"/>
      <c r="BF426" s="2187"/>
      <c r="BG426" s="2187"/>
      <c r="BH426" s="2187"/>
      <c r="BI426" s="2187"/>
      <c r="BJ426" s="2187"/>
      <c r="BK426" s="2187"/>
      <c r="BL426" s="2187"/>
      <c r="BM426" s="2187"/>
      <c r="BN426" s="2187"/>
      <c r="BO426" s="2187"/>
      <c r="BP426" s="2187"/>
    </row>
    <row r="427" spans="1:69" s="2622" customFormat="1" ht="15.75" thickBot="1">
      <c r="A427" s="2918"/>
      <c r="B427" s="2919"/>
      <c r="C427" s="2920"/>
      <c r="D427" s="2921"/>
      <c r="E427" s="2922"/>
      <c r="F427" s="2918"/>
      <c r="G427" s="2921">
        <v>1050</v>
      </c>
      <c r="H427" s="2923">
        <f>SUM(F427:G427)</f>
        <v>1050</v>
      </c>
      <c r="I427" s="2926"/>
      <c r="J427" s="2903">
        <f>(B422)</f>
        <v>1049.182</v>
      </c>
      <c r="K427" s="2925"/>
      <c r="L427" s="2925">
        <f>+G427-J427</f>
        <v>0.81799999999998363</v>
      </c>
      <c r="M427" s="2893"/>
      <c r="N427" s="2893"/>
      <c r="O427" s="2893"/>
      <c r="P427" s="2893"/>
      <c r="Q427" s="2893"/>
      <c r="R427" s="2893"/>
      <c r="S427" s="2893"/>
      <c r="T427" s="2893"/>
      <c r="U427" s="2893"/>
      <c r="V427" s="2893"/>
      <c r="W427" s="2893"/>
      <c r="X427" s="2893"/>
      <c r="Y427" s="2893"/>
      <c r="Z427" s="2893"/>
      <c r="AA427" s="2893"/>
      <c r="AB427" s="2893"/>
      <c r="AC427" s="2893"/>
      <c r="AD427" s="2893"/>
      <c r="AE427" s="2893"/>
      <c r="AF427" s="2893"/>
      <c r="AG427" s="2893"/>
      <c r="AH427" s="2893"/>
      <c r="AJ427" s="3772" t="s">
        <v>264</v>
      </c>
      <c r="AK427" s="3773"/>
      <c r="AL427" s="3774"/>
      <c r="AM427" s="2671"/>
      <c r="AN427" s="2671"/>
      <c r="AO427" s="2671"/>
      <c r="AP427" s="2671"/>
      <c r="AQ427" s="2671"/>
      <c r="AR427" s="2671"/>
      <c r="AS427" s="2671"/>
      <c r="AT427" s="2671"/>
      <c r="AU427" s="2671"/>
      <c r="AV427" s="2671"/>
      <c r="AW427" s="2671"/>
      <c r="AX427" s="2671"/>
      <c r="AY427" s="2671"/>
      <c r="AZ427" s="2671"/>
      <c r="BA427" s="2671"/>
      <c r="BB427" s="2245"/>
      <c r="BC427" s="2245"/>
      <c r="BD427" s="2245"/>
      <c r="BE427" s="2245"/>
      <c r="BF427" s="2245"/>
      <c r="BG427" s="2245"/>
      <c r="BH427" s="2245"/>
      <c r="BI427" s="2245"/>
      <c r="BJ427" s="2245"/>
      <c r="BK427" s="2245"/>
      <c r="BL427" s="2245"/>
      <c r="BM427" s="2245"/>
      <c r="BN427" s="2245"/>
      <c r="BO427" s="2245"/>
      <c r="BP427" s="2245"/>
    </row>
    <row r="428" spans="1:69" s="2622" customFormat="1" ht="15.75" thickBot="1">
      <c r="A428" s="2918"/>
      <c r="B428" s="2919"/>
      <c r="C428" s="2920"/>
      <c r="D428" s="2921"/>
      <c r="E428" s="2922"/>
      <c r="F428" s="2918"/>
      <c r="G428" s="2921"/>
      <c r="H428" s="2923">
        <f>SUM(F428:G428)</f>
        <v>0</v>
      </c>
      <c r="I428" s="2926"/>
      <c r="J428" s="2903"/>
      <c r="K428" s="2925"/>
      <c r="L428" s="2925">
        <f>+I428-J428-K428</f>
        <v>0</v>
      </c>
      <c r="M428" s="2893"/>
      <c r="N428" s="2893"/>
      <c r="O428" s="2893"/>
      <c r="P428" s="2893"/>
      <c r="Q428" s="2893"/>
      <c r="R428" s="2893"/>
      <c r="S428" s="2893"/>
      <c r="T428" s="2893"/>
      <c r="U428" s="2893"/>
      <c r="V428" s="2893"/>
      <c r="W428" s="2893"/>
      <c r="X428" s="2893"/>
      <c r="Y428" s="2893"/>
      <c r="Z428" s="2893"/>
      <c r="AA428" s="2893"/>
      <c r="AB428" s="2893"/>
      <c r="AC428" s="2893"/>
      <c r="AD428" s="2893"/>
      <c r="AE428" s="2893"/>
      <c r="AF428" s="2893"/>
      <c r="AG428" s="2893"/>
      <c r="AH428" s="2893"/>
      <c r="AJ428" s="1845" t="s">
        <v>72</v>
      </c>
      <c r="AK428" s="2672" t="s">
        <v>73</v>
      </c>
      <c r="AL428" s="2063">
        <v>1</v>
      </c>
      <c r="AM428" s="2063">
        <v>2</v>
      </c>
      <c r="AN428" s="2063">
        <v>3</v>
      </c>
      <c r="AO428" s="2063">
        <v>4</v>
      </c>
      <c r="AP428" s="2063">
        <v>5</v>
      </c>
      <c r="AQ428" s="2063">
        <v>6</v>
      </c>
      <c r="AR428" s="2063">
        <v>7</v>
      </c>
      <c r="AS428" s="2063">
        <v>8</v>
      </c>
      <c r="AT428" s="2063">
        <v>9</v>
      </c>
      <c r="AU428" s="2063">
        <v>10</v>
      </c>
      <c r="AV428" s="2063">
        <v>11</v>
      </c>
      <c r="AW428" s="2063">
        <v>12</v>
      </c>
      <c r="AX428" s="2063">
        <v>13</v>
      </c>
      <c r="AY428" s="2063">
        <v>14</v>
      </c>
      <c r="AZ428" s="2063">
        <v>15</v>
      </c>
      <c r="BA428" s="2063">
        <v>16</v>
      </c>
      <c r="BB428" s="1845">
        <v>17</v>
      </c>
      <c r="BC428" s="1845">
        <v>18</v>
      </c>
      <c r="BD428" s="1845">
        <v>19</v>
      </c>
      <c r="BE428" s="1845">
        <v>20</v>
      </c>
      <c r="BF428" s="1845">
        <v>21</v>
      </c>
      <c r="BG428" s="1845">
        <v>22</v>
      </c>
      <c r="BH428" s="1845">
        <v>23</v>
      </c>
      <c r="BI428" s="1845">
        <v>24</v>
      </c>
      <c r="BJ428" s="1845">
        <v>25</v>
      </c>
      <c r="BK428" s="1845">
        <v>26</v>
      </c>
      <c r="BL428" s="1845">
        <v>27</v>
      </c>
      <c r="BM428" s="1845">
        <v>28</v>
      </c>
      <c r="BN428" s="1845">
        <v>29</v>
      </c>
      <c r="BO428" s="1845">
        <v>30</v>
      </c>
      <c r="BP428" s="1845">
        <v>31</v>
      </c>
    </row>
    <row r="429" spans="1:69" s="2622" customFormat="1" ht="15">
      <c r="A429" s="1022"/>
      <c r="B429" s="1023"/>
      <c r="C429" s="1022"/>
      <c r="D429" s="1022"/>
      <c r="E429" s="1022"/>
      <c r="F429" s="1022"/>
      <c r="G429" s="1022"/>
      <c r="H429" s="1022"/>
      <c r="I429" s="2624"/>
      <c r="J429" s="2625"/>
      <c r="K429" s="1022"/>
      <c r="L429" s="1022"/>
      <c r="AJ429" s="1845" t="s">
        <v>75</v>
      </c>
      <c r="AK429" s="2672">
        <f t="shared" ref="AK429:AK440" si="147">+BQ429</f>
        <v>0</v>
      </c>
      <c r="AL429" s="2673"/>
      <c r="AM429" s="2673"/>
      <c r="AN429" s="2673"/>
      <c r="AO429" s="2673"/>
      <c r="AP429" s="2673"/>
      <c r="AQ429" s="2673"/>
      <c r="AR429" s="2673"/>
      <c r="AS429" s="2673"/>
      <c r="AT429" s="2673"/>
      <c r="AU429" s="2673"/>
      <c r="AV429" s="2673"/>
      <c r="AW429" s="2673"/>
      <c r="AX429" s="2673"/>
      <c r="AY429" s="2673"/>
      <c r="AZ429" s="2673"/>
      <c r="BA429" s="2673"/>
      <c r="BB429" s="2673"/>
      <c r="BC429" s="2673"/>
      <c r="BD429" s="2673"/>
      <c r="BE429" s="2673"/>
      <c r="BF429" s="2673"/>
      <c r="BG429" s="2673"/>
      <c r="BH429" s="2673"/>
      <c r="BI429" s="2673"/>
      <c r="BJ429" s="2673"/>
      <c r="BK429" s="2673"/>
      <c r="BL429" s="2673"/>
      <c r="BM429" s="2673"/>
      <c r="BN429" s="2673"/>
      <c r="BO429" s="2673"/>
      <c r="BP429" s="2673"/>
    </row>
    <row r="430" spans="1:69" s="2622" customFormat="1" ht="15">
      <c r="A430" s="1022"/>
      <c r="B430" s="1023"/>
      <c r="C430" s="1022"/>
      <c r="D430" s="1022"/>
      <c r="E430" s="1022"/>
      <c r="F430" s="1022"/>
      <c r="G430" s="1022"/>
      <c r="H430" s="1022"/>
      <c r="I430" s="2624"/>
      <c r="J430" s="2625"/>
      <c r="K430" s="1022"/>
      <c r="L430" s="1022"/>
      <c r="AJ430" s="1845" t="s">
        <v>76</v>
      </c>
      <c r="AK430" s="2672">
        <f t="shared" si="147"/>
        <v>0</v>
      </c>
      <c r="AL430" s="2673"/>
      <c r="AM430" s="2673"/>
      <c r="AN430" s="2673"/>
      <c r="AO430" s="2673"/>
      <c r="AP430" s="2673"/>
      <c r="AQ430" s="2673"/>
      <c r="AR430" s="2673"/>
      <c r="AS430" s="2673"/>
      <c r="AT430" s="2673"/>
      <c r="AU430" s="2673"/>
      <c r="AV430" s="2673"/>
      <c r="AW430" s="2673"/>
      <c r="AX430" s="2673"/>
      <c r="AY430" s="2673"/>
      <c r="AZ430" s="2673"/>
      <c r="BA430" s="2673"/>
      <c r="BB430" s="2673"/>
      <c r="BC430" s="2673"/>
      <c r="BD430" s="2673"/>
      <c r="BE430" s="2673"/>
      <c r="BF430" s="2673"/>
      <c r="BG430" s="2673"/>
      <c r="BH430" s="2673"/>
      <c r="BI430" s="2673"/>
      <c r="BJ430" s="2673"/>
      <c r="BK430" s="2673"/>
      <c r="BL430" s="2673"/>
      <c r="BM430" s="2673"/>
      <c r="BN430" s="2673"/>
      <c r="BO430" s="2673"/>
      <c r="BP430" s="2673"/>
    </row>
    <row r="431" spans="1:69" ht="15">
      <c r="AJ431" s="1845" t="s">
        <v>77</v>
      </c>
      <c r="AK431" s="2677">
        <f t="shared" si="147"/>
        <v>0</v>
      </c>
      <c r="AL431" s="2673"/>
      <c r="AM431" s="2673"/>
      <c r="AN431" s="2673"/>
      <c r="AO431" s="2673"/>
      <c r="AP431" s="2673"/>
      <c r="AQ431" s="1846"/>
      <c r="AR431" s="1846"/>
      <c r="AS431" s="1846"/>
      <c r="AT431" s="1846"/>
      <c r="AU431" s="1846"/>
      <c r="AV431" s="1846"/>
      <c r="AW431" s="1846"/>
      <c r="AX431" s="1846"/>
      <c r="AY431" s="1846"/>
      <c r="AZ431" s="1846"/>
      <c r="BA431" s="1846"/>
      <c r="BB431" s="1846"/>
      <c r="BC431" s="1846"/>
      <c r="BD431" s="1846"/>
      <c r="BE431" s="1846"/>
      <c r="BF431" s="1846"/>
      <c r="BG431" s="1846"/>
      <c r="BH431" s="1846"/>
      <c r="BI431" s="1846"/>
      <c r="BJ431" s="1846"/>
      <c r="BK431" s="2678"/>
      <c r="BL431" s="2673"/>
      <c r="BM431" s="1846"/>
      <c r="BN431" s="2673"/>
      <c r="BO431" s="2673"/>
      <c r="BP431" s="2673"/>
      <c r="BQ431" s="2622"/>
    </row>
    <row r="432" spans="1:69" s="2622" customFormat="1" ht="33">
      <c r="A432" s="2819" t="s">
        <v>256</v>
      </c>
      <c r="B432" s="2820"/>
      <c r="C432" s="2820" t="s">
        <v>1008</v>
      </c>
      <c r="D432" s="2821"/>
      <c r="E432" s="2821"/>
      <c r="F432" s="2821"/>
      <c r="G432" s="2820" t="s">
        <v>1009</v>
      </c>
      <c r="H432" s="2822"/>
      <c r="I432" s="2821"/>
      <c r="J432" s="2821"/>
      <c r="K432" s="2821"/>
      <c r="L432" s="2821"/>
      <c r="M432" s="2821"/>
      <c r="N432" s="2821"/>
      <c r="O432" s="3016" t="s">
        <v>1051</v>
      </c>
      <c r="P432" s="1933"/>
      <c r="Q432" s="1933"/>
      <c r="R432" s="1933"/>
      <c r="S432" s="2821"/>
      <c r="T432" s="3228"/>
      <c r="U432" s="2821"/>
      <c r="V432" s="2821"/>
      <c r="W432" s="2821"/>
      <c r="X432" s="2821"/>
      <c r="Y432" s="2821"/>
      <c r="Z432" s="2821"/>
      <c r="AA432" s="2821"/>
      <c r="AB432" s="2821"/>
      <c r="AC432" s="2821"/>
      <c r="AD432" s="2821"/>
      <c r="AE432" s="2821"/>
      <c r="AF432" s="2821"/>
      <c r="AG432" s="2821"/>
      <c r="AH432" s="2821"/>
      <c r="AJ432" s="1845" t="s">
        <v>78</v>
      </c>
      <c r="AK432" s="2672">
        <f t="shared" si="147"/>
        <v>0</v>
      </c>
      <c r="AL432" s="2673"/>
      <c r="AM432" s="2673"/>
      <c r="AN432" s="2673"/>
      <c r="AO432" s="2673"/>
      <c r="AP432" s="2673"/>
      <c r="AQ432" s="2673"/>
      <c r="AR432" s="2673"/>
      <c r="AS432" s="2673"/>
      <c r="AT432" s="2673"/>
      <c r="AU432" s="2675"/>
      <c r="AV432" s="2675"/>
      <c r="AW432" s="2679"/>
      <c r="AX432" s="2675"/>
      <c r="AY432" s="2675"/>
      <c r="AZ432" s="2675"/>
      <c r="BA432" s="2675"/>
      <c r="BB432" s="2675"/>
      <c r="BC432" s="2675"/>
      <c r="BD432" s="2675"/>
      <c r="BE432" s="2675"/>
      <c r="BF432" s="2675"/>
      <c r="BG432" s="2675"/>
      <c r="BH432" s="2675"/>
      <c r="BI432" s="2675"/>
      <c r="BJ432" s="2675"/>
      <c r="BK432" s="2675"/>
      <c r="BL432" s="2675"/>
      <c r="BM432" s="2675"/>
      <c r="BN432" s="2675"/>
      <c r="BO432" s="2675"/>
      <c r="BP432" s="2675"/>
    </row>
    <row r="433" spans="1:68" s="2622" customFormat="1" ht="15">
      <c r="A433" s="3954" t="s">
        <v>271</v>
      </c>
      <c r="B433" s="3955"/>
      <c r="C433" s="3956"/>
      <c r="D433" s="2822"/>
      <c r="E433" s="2822"/>
      <c r="F433" s="2822"/>
      <c r="G433" s="2822"/>
      <c r="H433" s="2822"/>
      <c r="I433" s="2822"/>
      <c r="J433" s="2822"/>
      <c r="K433" s="2822"/>
      <c r="L433" s="2822"/>
      <c r="M433" s="2822"/>
      <c r="N433" s="2822"/>
      <c r="O433" s="2822"/>
      <c r="P433" s="2822"/>
      <c r="Q433" s="2822"/>
      <c r="R433" s="2822"/>
      <c r="S433" s="2823"/>
      <c r="T433" s="2823"/>
      <c r="U433" s="2823"/>
      <c r="V433" s="2823"/>
      <c r="W433" s="2823"/>
      <c r="X433" s="2823"/>
      <c r="Y433" s="2823"/>
      <c r="Z433" s="2823"/>
      <c r="AA433" s="2823"/>
      <c r="AB433" s="2823"/>
      <c r="AC433" s="2823"/>
      <c r="AD433" s="2823"/>
      <c r="AE433" s="2823"/>
      <c r="AF433" s="2823"/>
      <c r="AG433" s="2823"/>
      <c r="AH433" s="2823"/>
      <c r="AJ433" s="1845" t="s">
        <v>79</v>
      </c>
      <c r="AK433" s="2672">
        <f t="shared" si="147"/>
        <v>0</v>
      </c>
      <c r="AL433" s="1846"/>
      <c r="AM433" s="1846"/>
      <c r="AN433" s="1846"/>
      <c r="AO433" s="1846"/>
      <c r="AP433" s="1846"/>
      <c r="AQ433" s="1846"/>
      <c r="AR433" s="1846"/>
      <c r="AS433" s="1846"/>
      <c r="AT433" s="1846"/>
      <c r="AU433" s="1846"/>
      <c r="AV433" s="1846"/>
      <c r="AW433" s="1846"/>
      <c r="AX433" s="1846"/>
      <c r="AY433" s="1846"/>
      <c r="AZ433" s="1846"/>
      <c r="BA433" s="1846"/>
      <c r="BB433" s="1846"/>
      <c r="BC433" s="1846"/>
      <c r="BD433" s="1846"/>
      <c r="BE433" s="1846"/>
      <c r="BF433" s="1846"/>
      <c r="BG433" s="1846"/>
      <c r="BH433" s="1846"/>
      <c r="BI433" s="1846"/>
      <c r="BJ433" s="1846"/>
      <c r="BK433" s="1846"/>
      <c r="BL433" s="1846"/>
      <c r="BM433" s="1846"/>
      <c r="BN433" s="1846"/>
      <c r="BO433" s="1846"/>
      <c r="BP433" s="1846"/>
    </row>
    <row r="434" spans="1:68" s="2622" customFormat="1" ht="15">
      <c r="A434" s="2824" t="s">
        <v>72</v>
      </c>
      <c r="B434" s="2825" t="s">
        <v>73</v>
      </c>
      <c r="C434" s="2826">
        <v>1</v>
      </c>
      <c r="D434" s="2826">
        <v>2</v>
      </c>
      <c r="E434" s="2826">
        <v>3</v>
      </c>
      <c r="F434" s="2826">
        <v>4</v>
      </c>
      <c r="G434" s="2826">
        <v>5</v>
      </c>
      <c r="H434" s="2826">
        <v>6</v>
      </c>
      <c r="I434" s="2826">
        <v>7</v>
      </c>
      <c r="J434" s="2826">
        <v>8</v>
      </c>
      <c r="K434" s="2826">
        <v>9</v>
      </c>
      <c r="L434" s="2826">
        <v>10</v>
      </c>
      <c r="M434" s="2826">
        <v>11</v>
      </c>
      <c r="N434" s="2826">
        <v>12</v>
      </c>
      <c r="O434" s="2826">
        <v>13</v>
      </c>
      <c r="P434" s="2826">
        <v>14</v>
      </c>
      <c r="Q434" s="2826">
        <v>15</v>
      </c>
      <c r="R434" s="2826">
        <v>16</v>
      </c>
      <c r="S434" s="2824">
        <v>17</v>
      </c>
      <c r="T434" s="2824">
        <v>18</v>
      </c>
      <c r="U434" s="2824">
        <v>19</v>
      </c>
      <c r="V434" s="2824">
        <v>20</v>
      </c>
      <c r="W434" s="2824">
        <v>21</v>
      </c>
      <c r="X434" s="2824">
        <v>22</v>
      </c>
      <c r="Y434" s="2824">
        <v>23</v>
      </c>
      <c r="Z434" s="2824">
        <v>24</v>
      </c>
      <c r="AA434" s="2824">
        <v>25</v>
      </c>
      <c r="AB434" s="2824">
        <v>26</v>
      </c>
      <c r="AC434" s="2824">
        <v>27</v>
      </c>
      <c r="AD434" s="2824">
        <v>28</v>
      </c>
      <c r="AE434" s="2824">
        <v>29</v>
      </c>
      <c r="AF434" s="2824">
        <v>30</v>
      </c>
      <c r="AG434" s="2824">
        <v>31</v>
      </c>
      <c r="AH434" s="2827" t="s">
        <v>74</v>
      </c>
      <c r="AJ434" s="1845" t="s">
        <v>80</v>
      </c>
      <c r="AK434" s="2672">
        <f t="shared" si="147"/>
        <v>0</v>
      </c>
      <c r="AL434" s="1846"/>
      <c r="AM434" s="1846"/>
      <c r="AN434" s="1846"/>
      <c r="AO434" s="1846"/>
      <c r="AP434" s="1846"/>
      <c r="AQ434" s="1846"/>
      <c r="AR434" s="1846"/>
      <c r="AS434" s="1846"/>
      <c r="AT434" s="1846"/>
      <c r="AU434" s="1846"/>
      <c r="AV434" s="1846"/>
      <c r="AW434" s="1846"/>
      <c r="AX434" s="1846"/>
      <c r="AY434" s="1846"/>
      <c r="AZ434" s="1846"/>
      <c r="BA434" s="1846"/>
      <c r="BB434" s="1846"/>
      <c r="BC434" s="1846"/>
      <c r="BD434" s="1846"/>
      <c r="BE434" s="1846"/>
      <c r="BF434" s="1846"/>
      <c r="BG434" s="1846"/>
      <c r="BH434" s="1846"/>
      <c r="BI434" s="1846"/>
      <c r="BJ434" s="1846"/>
      <c r="BK434" s="1846"/>
      <c r="BL434" s="1846"/>
      <c r="BM434" s="1846"/>
      <c r="BN434" s="1846"/>
      <c r="BO434" s="1846"/>
      <c r="BP434" s="1846"/>
    </row>
    <row r="435" spans="1:68" s="2622" customFormat="1" ht="15">
      <c r="A435" s="2824" t="s">
        <v>75</v>
      </c>
      <c r="B435" s="2825">
        <f t="shared" ref="B435:B446" si="148">+AH435</f>
        <v>0</v>
      </c>
      <c r="C435" s="2828"/>
      <c r="D435" s="2828"/>
      <c r="E435" s="2828"/>
      <c r="F435" s="2828"/>
      <c r="G435" s="2828"/>
      <c r="H435" s="2828"/>
      <c r="I435" s="2828"/>
      <c r="J435" s="2828"/>
      <c r="K435" s="2828"/>
      <c r="L435" s="2828"/>
      <c r="M435" s="2828"/>
      <c r="N435" s="2828"/>
      <c r="O435" s="2828"/>
      <c r="P435" s="2828"/>
      <c r="Q435" s="2828"/>
      <c r="R435" s="2828"/>
      <c r="S435" s="2828"/>
      <c r="T435" s="2828"/>
      <c r="U435" s="2828"/>
      <c r="V435" s="2828"/>
      <c r="W435" s="2828"/>
      <c r="X435" s="2828"/>
      <c r="Y435" s="2828"/>
      <c r="Z435" s="2828"/>
      <c r="AA435" s="2828"/>
      <c r="AB435" s="2828"/>
      <c r="AC435" s="2828"/>
      <c r="AD435" s="2828"/>
      <c r="AE435" s="2828"/>
      <c r="AF435" s="2828"/>
      <c r="AG435" s="2828"/>
      <c r="AH435" s="2829">
        <f>SUM(C435:AG435)</f>
        <v>0</v>
      </c>
      <c r="AJ435" s="1845" t="s">
        <v>81</v>
      </c>
      <c r="AK435" s="2672">
        <f t="shared" si="147"/>
        <v>0</v>
      </c>
      <c r="AL435" s="1846"/>
      <c r="AM435" s="2180"/>
      <c r="AN435" s="2180"/>
      <c r="AO435" s="2180"/>
      <c r="AP435" s="1846"/>
      <c r="AQ435" s="1846"/>
      <c r="AR435" s="1846"/>
      <c r="AS435" s="1846"/>
      <c r="AT435" s="1846"/>
      <c r="AU435" s="1846"/>
      <c r="AV435" s="1846"/>
      <c r="AW435" s="1846"/>
      <c r="AX435" s="1846"/>
      <c r="AY435" s="1846"/>
      <c r="AZ435" s="1846"/>
      <c r="BA435" s="1846"/>
      <c r="BB435" s="1846"/>
      <c r="BC435" s="1846"/>
      <c r="BD435" s="1846"/>
      <c r="BE435" s="1846"/>
      <c r="BF435" s="1846"/>
      <c r="BG435" s="1846"/>
      <c r="BH435" s="1846"/>
      <c r="BI435" s="1846"/>
      <c r="BJ435" s="1846"/>
      <c r="BK435" s="1846"/>
      <c r="BL435" s="1846"/>
      <c r="BM435" s="1846"/>
      <c r="BN435" s="1846"/>
      <c r="BO435" s="1846"/>
      <c r="BP435" s="1846"/>
    </row>
    <row r="436" spans="1:68" s="2622" customFormat="1" ht="15">
      <c r="A436" s="2824" t="s">
        <v>76</v>
      </c>
      <c r="B436" s="2825">
        <f t="shared" si="148"/>
        <v>0</v>
      </c>
      <c r="C436" s="2828"/>
      <c r="D436" s="2828"/>
      <c r="E436" s="2828"/>
      <c r="F436" s="2828"/>
      <c r="G436" s="2828"/>
      <c r="H436" s="2828"/>
      <c r="I436" s="2828"/>
      <c r="J436" s="2828"/>
      <c r="K436" s="2828"/>
      <c r="L436" s="2828"/>
      <c r="M436" s="2828"/>
      <c r="N436" s="2828"/>
      <c r="O436" s="2828"/>
      <c r="P436" s="2828"/>
      <c r="Q436" s="2828"/>
      <c r="R436" s="2828"/>
      <c r="S436" s="2828"/>
      <c r="T436" s="2828"/>
      <c r="U436" s="2828"/>
      <c r="V436" s="2828"/>
      <c r="W436" s="2828"/>
      <c r="X436" s="2828"/>
      <c r="Y436" s="2828"/>
      <c r="Z436" s="2828"/>
      <c r="AA436" s="2828"/>
      <c r="AB436" s="2828"/>
      <c r="AC436" s="2828"/>
      <c r="AD436" s="2828"/>
      <c r="AE436" s="2828"/>
      <c r="AF436" s="2828"/>
      <c r="AG436" s="2828"/>
      <c r="AH436" s="2829">
        <f t="shared" ref="AH436:AH446" si="149">SUM(C436:AG436)</f>
        <v>0</v>
      </c>
      <c r="AJ436" s="1845" t="s">
        <v>82</v>
      </c>
      <c r="AK436" s="2672">
        <f t="shared" si="147"/>
        <v>0</v>
      </c>
      <c r="AL436" s="1846"/>
      <c r="AM436" s="1846"/>
      <c r="AN436" s="1846"/>
      <c r="AO436" s="1846"/>
      <c r="AP436" s="1846"/>
      <c r="AQ436" s="1846"/>
      <c r="AR436" s="1846"/>
      <c r="AS436" s="1846"/>
      <c r="AT436" s="1846"/>
      <c r="AU436" s="1846"/>
      <c r="AV436" s="1846"/>
      <c r="AW436" s="1846"/>
      <c r="AX436" s="1846"/>
      <c r="AY436" s="1846"/>
      <c r="AZ436" s="1846"/>
      <c r="BA436" s="1846"/>
      <c r="BB436" s="1846"/>
      <c r="BC436" s="1846"/>
      <c r="BD436" s="1846"/>
      <c r="BE436" s="1846"/>
      <c r="BF436" s="1846"/>
      <c r="BG436" s="1846"/>
      <c r="BH436" s="1846"/>
      <c r="BI436" s="1846"/>
      <c r="BJ436" s="1846"/>
      <c r="BK436" s="1846"/>
      <c r="BL436" s="1846"/>
      <c r="BM436" s="1846"/>
      <c r="BN436" s="1846"/>
      <c r="BO436" s="1846"/>
      <c r="BP436" s="1846"/>
    </row>
    <row r="437" spans="1:68" s="2622" customFormat="1" ht="15">
      <c r="A437" s="2824" t="s">
        <v>77</v>
      </c>
      <c r="B437" s="2825">
        <f t="shared" si="148"/>
        <v>0</v>
      </c>
      <c r="C437" s="2828"/>
      <c r="D437" s="2828"/>
      <c r="E437" s="2828"/>
      <c r="F437" s="2828"/>
      <c r="G437" s="2828"/>
      <c r="H437" s="2830"/>
      <c r="I437" s="2830"/>
      <c r="J437" s="2830"/>
      <c r="K437" s="2830"/>
      <c r="L437" s="2830"/>
      <c r="M437" s="2830"/>
      <c r="N437" s="2830"/>
      <c r="O437" s="2830"/>
      <c r="P437" s="2830"/>
      <c r="Q437" s="2830"/>
      <c r="R437" s="2830"/>
      <c r="S437" s="2830"/>
      <c r="T437" s="2830"/>
      <c r="U437" s="2830"/>
      <c r="V437" s="2830"/>
      <c r="W437" s="2830"/>
      <c r="X437" s="2830"/>
      <c r="Y437" s="2830"/>
      <c r="Z437" s="2830"/>
      <c r="AA437" s="2830"/>
      <c r="AB437" s="2830"/>
      <c r="AC437" s="2828"/>
      <c r="AD437" s="2828"/>
      <c r="AE437" s="2828"/>
      <c r="AF437" s="2828"/>
      <c r="AG437" s="2828"/>
      <c r="AH437" s="2829">
        <f t="shared" si="149"/>
        <v>0</v>
      </c>
      <c r="AJ437" s="1845" t="s">
        <v>83</v>
      </c>
      <c r="AK437" s="2672">
        <f t="shared" si="147"/>
        <v>0</v>
      </c>
      <c r="AL437" s="1846"/>
      <c r="AM437" s="1846"/>
      <c r="AN437" s="1846"/>
      <c r="AO437" s="1846"/>
      <c r="AP437" s="1846"/>
      <c r="AQ437" s="1846"/>
      <c r="AR437" s="1846"/>
      <c r="AS437" s="1846"/>
      <c r="AT437" s="1846"/>
      <c r="AU437" s="1846"/>
      <c r="AV437" s="1846"/>
      <c r="AW437" s="1846"/>
      <c r="AX437" s="1846"/>
      <c r="AY437" s="1846"/>
      <c r="AZ437" s="1846"/>
      <c r="BA437" s="1846"/>
      <c r="BB437" s="1846"/>
      <c r="BC437" s="1846"/>
      <c r="BD437" s="1846"/>
      <c r="BE437" s="1846"/>
      <c r="BF437" s="1846"/>
      <c r="BG437" s="1846"/>
      <c r="BH437" s="1846"/>
      <c r="BI437" s="1846"/>
      <c r="BJ437" s="1846"/>
      <c r="BK437" s="1846"/>
      <c r="BL437" s="1846"/>
      <c r="BM437" s="1846"/>
      <c r="BN437" s="1846"/>
      <c r="BO437" s="1846"/>
      <c r="BP437" s="1846"/>
    </row>
    <row r="438" spans="1:68" s="2622" customFormat="1" ht="15">
      <c r="A438" s="2824" t="s">
        <v>78</v>
      </c>
      <c r="B438" s="2825">
        <f t="shared" si="148"/>
        <v>0</v>
      </c>
      <c r="C438" s="2828"/>
      <c r="D438" s="2828"/>
      <c r="E438" s="2828"/>
      <c r="F438" s="2828"/>
      <c r="G438" s="2828"/>
      <c r="H438" s="2828"/>
      <c r="I438" s="2828"/>
      <c r="J438" s="2828"/>
      <c r="K438" s="2828"/>
      <c r="L438" s="2831"/>
      <c r="M438" s="2831"/>
      <c r="N438" s="2831"/>
      <c r="O438" s="2831"/>
      <c r="P438" s="2831"/>
      <c r="Q438" s="2831"/>
      <c r="R438" s="2831"/>
      <c r="S438" s="2831"/>
      <c r="T438" s="2831"/>
      <c r="U438" s="2831"/>
      <c r="V438" s="2831"/>
      <c r="W438" s="2831"/>
      <c r="X438" s="2831"/>
      <c r="Y438" s="2831"/>
      <c r="Z438" s="2831"/>
      <c r="AA438" s="2831"/>
      <c r="AB438" s="2831"/>
      <c r="AC438" s="2831"/>
      <c r="AD438" s="2831"/>
      <c r="AE438" s="2831"/>
      <c r="AF438" s="2831"/>
      <c r="AG438" s="2831"/>
      <c r="AH438" s="2829">
        <f t="shared" si="149"/>
        <v>0</v>
      </c>
      <c r="AJ438" s="1845" t="s">
        <v>84</v>
      </c>
      <c r="AK438" s="2672">
        <f t="shared" si="147"/>
        <v>0</v>
      </c>
      <c r="AL438" s="1846"/>
      <c r="AM438" s="1846"/>
      <c r="AN438" s="1846"/>
      <c r="AO438" s="1846"/>
      <c r="AP438" s="1846"/>
      <c r="AQ438" s="1846"/>
      <c r="AR438" s="1846"/>
      <c r="AS438" s="1846"/>
      <c r="AT438" s="1846"/>
      <c r="AU438" s="1846"/>
      <c r="AV438" s="1846"/>
      <c r="AW438" s="1846"/>
      <c r="AX438" s="1846"/>
      <c r="AY438" s="1846"/>
      <c r="AZ438" s="1846"/>
      <c r="BA438" s="1846"/>
      <c r="BB438" s="1846"/>
      <c r="BC438" s="1846"/>
      <c r="BD438" s="1846"/>
      <c r="BE438" s="1846"/>
      <c r="BF438" s="1846"/>
      <c r="BG438" s="1846"/>
      <c r="BH438" s="1846"/>
      <c r="BI438" s="1846"/>
      <c r="BJ438" s="1846"/>
      <c r="BK438" s="1846"/>
      <c r="BL438" s="1846"/>
      <c r="BM438" s="1846"/>
      <c r="BN438" s="2180"/>
      <c r="BO438" s="1846"/>
      <c r="BP438" s="2180"/>
    </row>
    <row r="439" spans="1:68" s="2622" customFormat="1" ht="15">
      <c r="A439" s="2824" t="s">
        <v>79</v>
      </c>
      <c r="B439" s="2825">
        <f t="shared" si="148"/>
        <v>0</v>
      </c>
      <c r="C439" s="2830"/>
      <c r="D439" s="2830"/>
      <c r="E439" s="2830"/>
      <c r="F439" s="2830"/>
      <c r="G439" s="2830"/>
      <c r="H439" s="2830"/>
      <c r="I439" s="2830"/>
      <c r="J439" s="2830"/>
      <c r="K439" s="2830"/>
      <c r="L439" s="2830"/>
      <c r="M439" s="2830"/>
      <c r="N439" s="2830"/>
      <c r="O439" s="2830"/>
      <c r="P439" s="2830"/>
      <c r="Q439" s="2830"/>
      <c r="R439" s="2830"/>
      <c r="S439" s="2830"/>
      <c r="T439" s="2830"/>
      <c r="U439" s="2830"/>
      <c r="V439" s="2830"/>
      <c r="W439" s="2830"/>
      <c r="X439" s="2830"/>
      <c r="Y439" s="2830"/>
      <c r="Z439" s="2830"/>
      <c r="AA439" s="2830"/>
      <c r="AB439" s="2830"/>
      <c r="AC439" s="2830"/>
      <c r="AD439" s="2830"/>
      <c r="AE439" s="2830"/>
      <c r="AF439" s="2830"/>
      <c r="AG439" s="2830"/>
      <c r="AH439" s="2829">
        <f t="shared" si="149"/>
        <v>0</v>
      </c>
      <c r="AJ439" s="1845" t="s">
        <v>85</v>
      </c>
      <c r="AK439" s="2672">
        <f t="shared" si="147"/>
        <v>0</v>
      </c>
      <c r="AL439" s="1846"/>
      <c r="AM439" s="1846"/>
      <c r="AN439" s="1846"/>
      <c r="AO439" s="1846"/>
      <c r="AP439" s="2185"/>
      <c r="AQ439" s="1846"/>
      <c r="AR439" s="1846"/>
      <c r="AS439" s="1846"/>
      <c r="AT439" s="1846"/>
      <c r="AU439" s="1846"/>
      <c r="AV439" s="1846"/>
      <c r="AW439" s="1846"/>
      <c r="AX439" s="1846"/>
      <c r="AY439" s="1846"/>
      <c r="AZ439" s="1846"/>
      <c r="BA439" s="1846"/>
      <c r="BB439" s="1846"/>
      <c r="BC439" s="1846"/>
      <c r="BD439" s="1846"/>
      <c r="BE439" s="1846"/>
      <c r="BF439" s="1846"/>
      <c r="BG439" s="1846"/>
      <c r="BH439" s="1846"/>
      <c r="BI439" s="1846"/>
      <c r="BJ439" s="1846"/>
      <c r="BK439" s="1846"/>
      <c r="BL439" s="1846"/>
      <c r="BM439" s="1846"/>
      <c r="BN439" s="2180"/>
      <c r="BO439" s="1846"/>
      <c r="BP439" s="2180"/>
    </row>
    <row r="440" spans="1:68" s="2622" customFormat="1" ht="15">
      <c r="A440" s="2824" t="s">
        <v>80</v>
      </c>
      <c r="B440" s="2825">
        <f t="shared" si="148"/>
        <v>0</v>
      </c>
      <c r="C440" s="2830"/>
      <c r="D440" s="2830"/>
      <c r="E440" s="2830"/>
      <c r="F440" s="2830"/>
      <c r="G440" s="2830"/>
      <c r="H440" s="2830"/>
      <c r="I440" s="2830"/>
      <c r="J440" s="2830"/>
      <c r="K440" s="2830"/>
      <c r="L440" s="2830"/>
      <c r="M440" s="2830"/>
      <c r="N440" s="2830"/>
      <c r="O440" s="2830"/>
      <c r="P440" s="2830"/>
      <c r="Q440" s="2830"/>
      <c r="R440" s="2830"/>
      <c r="S440" s="2830"/>
      <c r="T440" s="2830"/>
      <c r="U440" s="2830"/>
      <c r="V440" s="2830"/>
      <c r="W440" s="2830"/>
      <c r="X440" s="2830"/>
      <c r="Y440" s="2830"/>
      <c r="Z440" s="2830"/>
      <c r="AA440" s="2830"/>
      <c r="AB440" s="2830"/>
      <c r="AC440" s="2830"/>
      <c r="AD440" s="2830"/>
      <c r="AE440" s="2830"/>
      <c r="AF440" s="2830"/>
      <c r="AG440" s="2830"/>
      <c r="AH440" s="2829">
        <f t="shared" si="149"/>
        <v>0</v>
      </c>
      <c r="AJ440" s="1845" t="s">
        <v>86</v>
      </c>
      <c r="AK440" s="2672">
        <f t="shared" si="147"/>
        <v>0</v>
      </c>
      <c r="AL440" s="1846"/>
      <c r="AM440" s="1846"/>
      <c r="AN440" s="1846"/>
      <c r="AO440" s="1846"/>
      <c r="AP440" s="1846"/>
      <c r="AQ440" s="1846"/>
      <c r="AR440" s="1846"/>
      <c r="AS440" s="1846"/>
      <c r="AT440" s="1846"/>
      <c r="AU440" s="1846"/>
      <c r="AV440" s="1846"/>
      <c r="AW440" s="1846"/>
      <c r="AX440" s="1846"/>
      <c r="AY440" s="1846"/>
      <c r="AZ440" s="1846"/>
      <c r="BA440" s="1846"/>
      <c r="BB440" s="1846"/>
      <c r="BC440" s="1846"/>
      <c r="BD440" s="1846"/>
      <c r="BE440" s="1846"/>
      <c r="BF440" s="1846"/>
      <c r="BG440" s="1846"/>
      <c r="BH440" s="1846"/>
      <c r="BI440" s="1846"/>
      <c r="BJ440" s="1846"/>
      <c r="BK440" s="1846"/>
      <c r="BL440" s="1846"/>
      <c r="BM440" s="1846"/>
      <c r="BN440" s="1846"/>
      <c r="BO440" s="1846"/>
      <c r="BP440" s="1846"/>
    </row>
    <row r="441" spans="1:68" s="2622" customFormat="1" ht="15">
      <c r="A441" s="2824" t="s">
        <v>81</v>
      </c>
      <c r="B441" s="2825">
        <f t="shared" si="148"/>
        <v>0</v>
      </c>
      <c r="C441" s="2830"/>
      <c r="D441" s="2829"/>
      <c r="E441" s="2829"/>
      <c r="F441" s="2829"/>
      <c r="G441" s="2830"/>
      <c r="H441" s="2830"/>
      <c r="I441" s="2830"/>
      <c r="J441" s="2830"/>
      <c r="K441" s="2830"/>
      <c r="L441" s="2830"/>
      <c r="M441" s="2830"/>
      <c r="N441" s="2830"/>
      <c r="O441" s="2830"/>
      <c r="P441" s="2830"/>
      <c r="Q441" s="2830"/>
      <c r="R441" s="2830"/>
      <c r="S441" s="2830"/>
      <c r="T441" s="2830"/>
      <c r="U441" s="2830"/>
      <c r="V441" s="2830"/>
      <c r="W441" s="2830"/>
      <c r="X441" s="2830"/>
      <c r="Y441" s="2830"/>
      <c r="Z441" s="2830"/>
      <c r="AA441" s="2830"/>
      <c r="AB441" s="2830"/>
      <c r="AC441" s="2830"/>
      <c r="AD441" s="2830"/>
      <c r="AE441" s="2830"/>
      <c r="AF441" s="2830"/>
      <c r="AG441" s="2830"/>
      <c r="AH441" s="2829">
        <f t="shared" si="149"/>
        <v>0</v>
      </c>
      <c r="AJ441" s="2183" t="s">
        <v>74</v>
      </c>
      <c r="AK441" s="2676">
        <f t="shared" ref="AK441:BA441" si="150">SUM(AK429:AK440)</f>
        <v>0</v>
      </c>
      <c r="AL441" s="2672">
        <f t="shared" si="150"/>
        <v>0</v>
      </c>
      <c r="AM441" s="2672">
        <f t="shared" si="150"/>
        <v>0</v>
      </c>
      <c r="AN441" s="2672">
        <f t="shared" si="150"/>
        <v>0</v>
      </c>
      <c r="AO441" s="2672">
        <f t="shared" si="150"/>
        <v>0</v>
      </c>
      <c r="AP441" s="2672">
        <f t="shared" si="150"/>
        <v>0</v>
      </c>
      <c r="AQ441" s="2672">
        <f t="shared" si="150"/>
        <v>0</v>
      </c>
      <c r="AR441" s="2672">
        <f t="shared" si="150"/>
        <v>0</v>
      </c>
      <c r="AS441" s="2672">
        <f t="shared" si="150"/>
        <v>0</v>
      </c>
      <c r="AT441" s="2672">
        <f t="shared" si="150"/>
        <v>0</v>
      </c>
      <c r="AU441" s="2672">
        <f t="shared" si="150"/>
        <v>0</v>
      </c>
      <c r="AV441" s="2672">
        <f t="shared" si="150"/>
        <v>0</v>
      </c>
      <c r="AW441" s="2672">
        <f t="shared" si="150"/>
        <v>0</v>
      </c>
      <c r="AX441" s="2672">
        <f t="shared" si="150"/>
        <v>0</v>
      </c>
      <c r="AY441" s="2672">
        <f t="shared" si="150"/>
        <v>0</v>
      </c>
      <c r="AZ441" s="2672">
        <f t="shared" si="150"/>
        <v>0</v>
      </c>
      <c r="BA441" s="2672">
        <f t="shared" si="150"/>
        <v>0</v>
      </c>
      <c r="BB441" s="2180">
        <f t="shared" ref="BB441:BL441" si="151">SUM(BB429:BB439)</f>
        <v>0</v>
      </c>
      <c r="BC441" s="2180">
        <f t="shared" si="151"/>
        <v>0</v>
      </c>
      <c r="BD441" s="2180">
        <f t="shared" si="151"/>
        <v>0</v>
      </c>
      <c r="BE441" s="2180">
        <f t="shared" si="151"/>
        <v>0</v>
      </c>
      <c r="BF441" s="2180">
        <f t="shared" si="151"/>
        <v>0</v>
      </c>
      <c r="BG441" s="2180">
        <f t="shared" si="151"/>
        <v>0</v>
      </c>
      <c r="BH441" s="2180">
        <f t="shared" si="151"/>
        <v>0</v>
      </c>
      <c r="BI441" s="2180">
        <f t="shared" si="151"/>
        <v>0</v>
      </c>
      <c r="BJ441" s="2180">
        <f t="shared" si="151"/>
        <v>0</v>
      </c>
      <c r="BK441" s="2180">
        <f t="shared" si="151"/>
        <v>0</v>
      </c>
      <c r="BL441" s="2180">
        <f t="shared" si="151"/>
        <v>0</v>
      </c>
      <c r="BM441" s="2180">
        <v>0</v>
      </c>
      <c r="BN441" s="2180">
        <f>SUM(BN429:BN439)</f>
        <v>0</v>
      </c>
      <c r="BO441" s="2180">
        <f>SUM(BO429:BO439)</f>
        <v>0</v>
      </c>
      <c r="BP441" s="2180">
        <f>SUM(BP429:BP439)</f>
        <v>0</v>
      </c>
    </row>
    <row r="442" spans="1:68" s="2622" customFormat="1" ht="15">
      <c r="A442" s="2824" t="s">
        <v>82</v>
      </c>
      <c r="B442" s="2825">
        <f t="shared" si="148"/>
        <v>0</v>
      </c>
      <c r="C442" s="2830"/>
      <c r="D442" s="2830"/>
      <c r="E442" s="2830"/>
      <c r="F442" s="2830"/>
      <c r="G442" s="2830"/>
      <c r="H442" s="2830"/>
      <c r="I442" s="2830"/>
      <c r="J442" s="2830"/>
      <c r="K442" s="2830"/>
      <c r="L442" s="2830"/>
      <c r="M442" s="2830"/>
      <c r="N442" s="2830"/>
      <c r="O442" s="2830"/>
      <c r="P442" s="2830"/>
      <c r="Q442" s="2830"/>
      <c r="R442" s="2830"/>
      <c r="S442" s="2830"/>
      <c r="T442" s="2830"/>
      <c r="U442" s="2830"/>
      <c r="V442" s="2830"/>
      <c r="W442" s="2830"/>
      <c r="X442" s="2830"/>
      <c r="Y442" s="2830"/>
      <c r="Z442" s="2830"/>
      <c r="AA442" s="2830"/>
      <c r="AB442" s="2830"/>
      <c r="AC442" s="2830"/>
      <c r="AD442" s="2830"/>
      <c r="AE442" s="2830"/>
      <c r="AF442" s="2830"/>
      <c r="AG442" s="2830"/>
      <c r="AH442" s="2829">
        <f t="shared" si="149"/>
        <v>0</v>
      </c>
      <c r="AJ442" s="2187"/>
      <c r="AK442" s="2187"/>
      <c r="AL442" s="2187"/>
      <c r="AM442" s="2187"/>
      <c r="AN442" s="2187"/>
      <c r="AO442" s="2187"/>
      <c r="AP442" s="2187"/>
      <c r="AQ442" s="2187"/>
      <c r="AR442" s="2187"/>
      <c r="AS442" s="2187"/>
      <c r="AT442" s="2187"/>
      <c r="AU442" s="2187"/>
      <c r="AV442" s="2187"/>
      <c r="AW442" s="2187"/>
      <c r="AX442" s="2187"/>
      <c r="AY442" s="2187"/>
      <c r="AZ442" s="2187"/>
      <c r="BA442" s="2187"/>
      <c r="BB442" s="2187"/>
      <c r="BC442" s="2187"/>
      <c r="BD442" s="2187"/>
      <c r="BE442" s="2187"/>
      <c r="BF442" s="2187"/>
      <c r="BG442" s="2187"/>
      <c r="BH442" s="2187"/>
      <c r="BI442" s="2187"/>
      <c r="BJ442" s="2187"/>
      <c r="BK442" s="2187"/>
      <c r="BL442" s="2187"/>
      <c r="BM442" s="2187"/>
      <c r="BN442" s="2187"/>
      <c r="BO442" s="2187"/>
      <c r="BP442" s="2187"/>
    </row>
    <row r="443" spans="1:68" s="2622" customFormat="1" ht="15">
      <c r="A443" s="2824" t="s">
        <v>83</v>
      </c>
      <c r="B443" s="2825">
        <f t="shared" si="148"/>
        <v>0</v>
      </c>
      <c r="C443" s="2830"/>
      <c r="D443" s="2830"/>
      <c r="E443" s="2830"/>
      <c r="F443" s="2830"/>
      <c r="G443" s="2830"/>
      <c r="H443" s="2830"/>
      <c r="I443" s="2830"/>
      <c r="J443" s="2830"/>
      <c r="K443" s="2830"/>
      <c r="L443" s="2830"/>
      <c r="M443" s="2830"/>
      <c r="N443" s="2830"/>
      <c r="O443" s="2830"/>
      <c r="P443" s="2830"/>
      <c r="Q443" s="2830"/>
      <c r="R443" s="2830"/>
      <c r="S443" s="2830"/>
      <c r="T443" s="2830"/>
      <c r="U443" s="2830"/>
      <c r="V443" s="2830"/>
      <c r="W443" s="2830"/>
      <c r="X443" s="2830"/>
      <c r="Y443" s="2830"/>
      <c r="Z443" s="2830"/>
      <c r="AA443" s="2830"/>
      <c r="AB443" s="2830"/>
      <c r="AC443" s="2830"/>
      <c r="AD443" s="2830"/>
      <c r="AE443" s="2830"/>
      <c r="AF443" s="2830"/>
      <c r="AG443" s="2830"/>
      <c r="AH443" s="2829">
        <f t="shared" si="149"/>
        <v>0</v>
      </c>
      <c r="AJ443" s="2187"/>
      <c r="AK443" s="2187"/>
      <c r="AL443" s="2187"/>
      <c r="AM443" s="2187"/>
      <c r="AN443" s="2187"/>
      <c r="AO443" s="2187"/>
      <c r="AP443" s="2187"/>
      <c r="AQ443" s="2187"/>
      <c r="AR443" s="2187"/>
      <c r="AS443" s="2187"/>
      <c r="AT443" s="2187"/>
      <c r="AU443" s="2187"/>
      <c r="AV443" s="2187"/>
      <c r="AW443" s="2187"/>
      <c r="AX443" s="2187"/>
      <c r="AY443" s="2187"/>
      <c r="AZ443" s="2187"/>
      <c r="BA443" s="2187"/>
      <c r="BB443" s="2187"/>
      <c r="BC443" s="2187"/>
      <c r="BD443" s="2187"/>
      <c r="BE443" s="2187"/>
      <c r="BF443" s="2187"/>
      <c r="BG443" s="2187"/>
      <c r="BH443" s="2187"/>
      <c r="BI443" s="2187"/>
      <c r="BJ443" s="2187"/>
      <c r="BK443" s="2187"/>
      <c r="BL443" s="2187"/>
      <c r="BM443" s="2187"/>
      <c r="BN443" s="2187"/>
      <c r="BO443" s="2187"/>
      <c r="BP443" s="2187"/>
    </row>
    <row r="444" spans="1:68" s="2622" customFormat="1" ht="15.75" thickBot="1">
      <c r="A444" s="2824" t="s">
        <v>84</v>
      </c>
      <c r="B444" s="2825">
        <f t="shared" si="148"/>
        <v>0</v>
      </c>
      <c r="C444" s="2830"/>
      <c r="D444" s="2830"/>
      <c r="E444" s="2830"/>
      <c r="F444" s="2830"/>
      <c r="G444" s="2830"/>
      <c r="H444" s="2830"/>
      <c r="I444" s="2830"/>
      <c r="J444" s="2830"/>
      <c r="K444" s="2830"/>
      <c r="L444" s="2830"/>
      <c r="M444" s="2830"/>
      <c r="N444" s="2830"/>
      <c r="O444" s="2830"/>
      <c r="P444" s="2830"/>
      <c r="Q444" s="2830"/>
      <c r="R444" s="2830"/>
      <c r="S444" s="2830"/>
      <c r="T444" s="2830"/>
      <c r="U444" s="2830"/>
      <c r="V444" s="2830"/>
      <c r="W444" s="2830"/>
      <c r="X444" s="2830"/>
      <c r="Y444" s="2830"/>
      <c r="Z444" s="2830"/>
      <c r="AA444" s="2830"/>
      <c r="AB444" s="2830"/>
      <c r="AC444" s="2830"/>
      <c r="AD444" s="2830"/>
      <c r="AE444" s="2829"/>
      <c r="AF444" s="2830"/>
      <c r="AG444" s="2829"/>
      <c r="AH444" s="2829">
        <f t="shared" si="149"/>
        <v>0</v>
      </c>
      <c r="AJ444" s="2187"/>
      <c r="AK444" s="2187"/>
      <c r="AL444" s="2187"/>
      <c r="AM444" s="2187"/>
      <c r="AN444" s="2187"/>
      <c r="AO444" s="2187"/>
      <c r="AP444" s="2187"/>
      <c r="AQ444" s="2187"/>
      <c r="AR444" s="2187"/>
      <c r="AS444" s="2187"/>
      <c r="AT444" s="2187"/>
      <c r="AU444" s="2187"/>
      <c r="AV444" s="2187"/>
      <c r="AW444" s="2187"/>
      <c r="AX444" s="2187"/>
      <c r="AY444" s="2187"/>
      <c r="AZ444" s="2187"/>
      <c r="BA444" s="2187"/>
      <c r="BB444" s="2187"/>
      <c r="BC444" s="2187"/>
      <c r="BD444" s="2187"/>
      <c r="BE444" s="2187"/>
      <c r="BF444" s="2187"/>
      <c r="BG444" s="2187"/>
      <c r="BH444" s="2187"/>
      <c r="BI444" s="2187"/>
      <c r="BJ444" s="2187"/>
      <c r="BK444" s="2187"/>
      <c r="BL444" s="2187"/>
      <c r="BM444" s="2187"/>
      <c r="BN444" s="2187"/>
      <c r="BO444" s="2187"/>
      <c r="BP444" s="2187"/>
    </row>
    <row r="445" spans="1:68" s="2622" customFormat="1" ht="16.5" thickBot="1">
      <c r="A445" s="2824" t="s">
        <v>85</v>
      </c>
      <c r="B445" s="2825">
        <f t="shared" si="148"/>
        <v>0</v>
      </c>
      <c r="C445" s="2830"/>
      <c r="D445" s="2830"/>
      <c r="E445" s="2830"/>
      <c r="F445" s="2830"/>
      <c r="G445" s="2832"/>
      <c r="H445" s="2830"/>
      <c r="I445" s="2830"/>
      <c r="J445" s="2830"/>
      <c r="K445" s="2830"/>
      <c r="L445" s="2830"/>
      <c r="M445" s="2830"/>
      <c r="N445" s="2830"/>
      <c r="O445" s="2830"/>
      <c r="P445" s="2830"/>
      <c r="Q445" s="2830"/>
      <c r="R445" s="2830"/>
      <c r="S445" s="2830"/>
      <c r="T445" s="2830"/>
      <c r="U445" s="2830"/>
      <c r="V445" s="2830"/>
      <c r="W445" s="2830"/>
      <c r="X445" s="2830"/>
      <c r="Y445" s="2830"/>
      <c r="Z445" s="2830"/>
      <c r="AA445" s="2830"/>
      <c r="AB445" s="2830"/>
      <c r="AC445" s="2830"/>
      <c r="AD445" s="2830"/>
      <c r="AE445" s="2829"/>
      <c r="AF445" s="2830"/>
      <c r="AG445" s="2829"/>
      <c r="AH445" s="2829">
        <f t="shared" si="149"/>
        <v>0</v>
      </c>
      <c r="AJ445" s="2680"/>
      <c r="AK445" s="2681"/>
      <c r="AL445" s="2681"/>
      <c r="AM445" s="2681"/>
      <c r="AN445" s="2681"/>
      <c r="AO445" s="3831" t="s">
        <v>155</v>
      </c>
      <c r="AP445" s="3832"/>
      <c r="AQ445" s="3833"/>
      <c r="AR445" s="3831" t="s">
        <v>156</v>
      </c>
      <c r="AS445" s="3834"/>
      <c r="AT445" s="3835" t="s">
        <v>912</v>
      </c>
      <c r="AU445" s="3835" t="s">
        <v>913</v>
      </c>
      <c r="AV445" s="2187"/>
      <c r="AW445" s="2187"/>
      <c r="AX445" s="2187"/>
      <c r="AY445" s="2187"/>
      <c r="AZ445" s="2187"/>
      <c r="BA445" s="2187"/>
      <c r="BB445" s="2187"/>
      <c r="BC445" s="2187"/>
      <c r="BD445" s="2187"/>
      <c r="BE445" s="2187"/>
      <c r="BF445" s="2187"/>
      <c r="BG445" s="2187"/>
      <c r="BH445" s="2187"/>
      <c r="BI445" s="2187"/>
      <c r="BJ445" s="2187"/>
      <c r="BK445" s="2187"/>
      <c r="BL445" s="2187"/>
      <c r="BM445" s="2187"/>
      <c r="BN445" s="2187"/>
      <c r="BO445" s="2187"/>
      <c r="BP445" s="2187"/>
    </row>
    <row r="446" spans="1:68" s="2622" customFormat="1" ht="15.75" thickBot="1">
      <c r="A446" s="2824" t="s">
        <v>86</v>
      </c>
      <c r="B446" s="2825">
        <f t="shared" si="148"/>
        <v>0</v>
      </c>
      <c r="C446" s="2830"/>
      <c r="D446" s="2830"/>
      <c r="E446" s="2830"/>
      <c r="F446" s="2830"/>
      <c r="G446" s="2830"/>
      <c r="H446" s="2830"/>
      <c r="I446" s="2830"/>
      <c r="J446" s="2830"/>
      <c r="K446" s="2830"/>
      <c r="L446" s="2830"/>
      <c r="M446" s="2830"/>
      <c r="N446" s="2830"/>
      <c r="O446" s="2830"/>
      <c r="P446" s="2830"/>
      <c r="Q446" s="2830"/>
      <c r="R446" s="2830"/>
      <c r="S446" s="2830"/>
      <c r="T446" s="2830"/>
      <c r="U446" s="2830"/>
      <c r="V446" s="2830"/>
      <c r="W446" s="2830"/>
      <c r="X446" s="2830"/>
      <c r="Y446" s="2830"/>
      <c r="Z446" s="2830"/>
      <c r="AA446" s="2830"/>
      <c r="AB446" s="2830"/>
      <c r="AC446" s="2830"/>
      <c r="AD446" s="2830"/>
      <c r="AE446" s="2830"/>
      <c r="AF446" s="2830"/>
      <c r="AG446" s="2830"/>
      <c r="AH446" s="2829">
        <f t="shared" si="149"/>
        <v>0</v>
      </c>
      <c r="AJ446" s="2682" t="s">
        <v>158</v>
      </c>
      <c r="AK446" s="2683" t="s">
        <v>159</v>
      </c>
      <c r="AL446" s="2684" t="s">
        <v>136</v>
      </c>
      <c r="AM446" s="2685" t="s">
        <v>134</v>
      </c>
      <c r="AN446" s="2683" t="s">
        <v>160</v>
      </c>
      <c r="AO446" s="2686" t="s">
        <v>8</v>
      </c>
      <c r="AP446" s="2687" t="s">
        <v>161</v>
      </c>
      <c r="AQ446" s="2688" t="s">
        <v>52</v>
      </c>
      <c r="AR446" s="2686" t="s">
        <v>8</v>
      </c>
      <c r="AS446" s="2689" t="s">
        <v>162</v>
      </c>
      <c r="AT446" s="3836"/>
      <c r="AU446" s="3836"/>
      <c r="AV446" s="3824"/>
      <c r="AW446" s="3825"/>
      <c r="AX446" s="3825"/>
      <c r="AY446" s="3825"/>
      <c r="AZ446" s="2187"/>
      <c r="BA446" s="2187"/>
      <c r="BB446" s="2187"/>
      <c r="BC446" s="2187"/>
      <c r="BD446" s="2187"/>
      <c r="BE446" s="2187"/>
      <c r="BF446" s="2187"/>
      <c r="BG446" s="2187"/>
      <c r="BH446" s="2187"/>
      <c r="BI446" s="2187"/>
      <c r="BJ446" s="2187"/>
      <c r="BK446" s="2187"/>
      <c r="BL446" s="2187"/>
      <c r="BM446" s="2187"/>
      <c r="BN446" s="2187"/>
      <c r="BO446" s="2187"/>
      <c r="BP446" s="2187"/>
    </row>
    <row r="447" spans="1:68" s="2622" customFormat="1" ht="15.75" thickBot="1">
      <c r="A447" s="2833" t="s">
        <v>74</v>
      </c>
      <c r="B447" s="2834">
        <f t="shared" ref="B447:R447" si="152">SUM(B435:B446)</f>
        <v>0</v>
      </c>
      <c r="C447" s="2825">
        <f t="shared" si="152"/>
        <v>0</v>
      </c>
      <c r="D447" s="2825">
        <f t="shared" si="152"/>
        <v>0</v>
      </c>
      <c r="E447" s="2825">
        <f t="shared" si="152"/>
        <v>0</v>
      </c>
      <c r="F447" s="2825">
        <f t="shared" si="152"/>
        <v>0</v>
      </c>
      <c r="G447" s="2825">
        <f t="shared" si="152"/>
        <v>0</v>
      </c>
      <c r="H447" s="2825">
        <f t="shared" si="152"/>
        <v>0</v>
      </c>
      <c r="I447" s="2825">
        <f t="shared" si="152"/>
        <v>0</v>
      </c>
      <c r="J447" s="2825">
        <f t="shared" si="152"/>
        <v>0</v>
      </c>
      <c r="K447" s="2825">
        <f t="shared" si="152"/>
        <v>0</v>
      </c>
      <c r="L447" s="2825">
        <f t="shared" si="152"/>
        <v>0</v>
      </c>
      <c r="M447" s="2825">
        <f t="shared" si="152"/>
        <v>0</v>
      </c>
      <c r="N447" s="2825">
        <f t="shared" si="152"/>
        <v>0</v>
      </c>
      <c r="O447" s="2825">
        <f t="shared" si="152"/>
        <v>0</v>
      </c>
      <c r="P447" s="2825">
        <f t="shared" si="152"/>
        <v>0</v>
      </c>
      <c r="Q447" s="2825">
        <f t="shared" si="152"/>
        <v>0</v>
      </c>
      <c r="R447" s="2825">
        <f t="shared" si="152"/>
        <v>0</v>
      </c>
      <c r="S447" s="2829">
        <f t="shared" ref="S447:AC447" si="153">SUM(S435:S445)</f>
        <v>0</v>
      </c>
      <c r="T447" s="2829">
        <f t="shared" si="153"/>
        <v>0</v>
      </c>
      <c r="U447" s="2829">
        <f t="shared" si="153"/>
        <v>0</v>
      </c>
      <c r="V447" s="2829">
        <f t="shared" si="153"/>
        <v>0</v>
      </c>
      <c r="W447" s="2829">
        <f t="shared" si="153"/>
        <v>0</v>
      </c>
      <c r="X447" s="2829">
        <f t="shared" si="153"/>
        <v>0</v>
      </c>
      <c r="Y447" s="2829">
        <f t="shared" si="153"/>
        <v>0</v>
      </c>
      <c r="Z447" s="2829">
        <f t="shared" si="153"/>
        <v>0</v>
      </c>
      <c r="AA447" s="2829">
        <f t="shared" si="153"/>
        <v>0</v>
      </c>
      <c r="AB447" s="2829">
        <f t="shared" si="153"/>
        <v>0</v>
      </c>
      <c r="AC447" s="2829">
        <f t="shared" si="153"/>
        <v>0</v>
      </c>
      <c r="AD447" s="2829">
        <v>0</v>
      </c>
      <c r="AE447" s="2829">
        <f>SUM(AE435:AE445)</f>
        <v>0</v>
      </c>
      <c r="AF447" s="2829">
        <f>SUM(AF435:AF445)</f>
        <v>0</v>
      </c>
      <c r="AG447" s="2829">
        <f>SUM(AG435:AG445)</f>
        <v>0</v>
      </c>
      <c r="AH447" s="2829">
        <f>SUM(AH435:AH445)</f>
        <v>0</v>
      </c>
      <c r="AJ447" s="2690">
        <v>1803</v>
      </c>
      <c r="AK447" s="2691"/>
      <c r="AL447" s="2692">
        <v>958905</v>
      </c>
      <c r="AM447" s="2693" t="s">
        <v>930</v>
      </c>
      <c r="AN447" s="2694">
        <v>1930</v>
      </c>
      <c r="AO447" s="2690">
        <v>1</v>
      </c>
      <c r="AP447" s="2693">
        <v>499</v>
      </c>
      <c r="AQ447" s="2695">
        <f>SUM(AO447:AP447)</f>
        <v>500</v>
      </c>
      <c r="AR447" s="2696">
        <f>(AK441)</f>
        <v>0</v>
      </c>
      <c r="AS447" s="2674">
        <f>(AK424)</f>
        <v>0</v>
      </c>
      <c r="AT447" s="2697">
        <f>+AO447-AR447</f>
        <v>1</v>
      </c>
      <c r="AU447" s="2698">
        <f>+AP447-AS447</f>
        <v>499</v>
      </c>
      <c r="AV447" s="3826"/>
      <c r="AW447" s="3827"/>
      <c r="AX447" s="3827"/>
      <c r="AY447" s="3827"/>
      <c r="AZ447" s="2187"/>
      <c r="BA447" s="2187"/>
      <c r="BB447" s="2187"/>
      <c r="BC447" s="2187"/>
      <c r="BD447" s="2187"/>
      <c r="BE447" s="2187"/>
      <c r="BF447" s="2187"/>
      <c r="BG447" s="2187"/>
      <c r="BH447" s="2187"/>
      <c r="BI447" s="2187"/>
      <c r="BJ447" s="2187"/>
      <c r="BK447" s="2187"/>
      <c r="BL447" s="2187"/>
      <c r="BM447" s="2187"/>
      <c r="BN447" s="2187"/>
      <c r="BO447" s="2187"/>
      <c r="BP447" s="2187"/>
    </row>
    <row r="448" spans="1:68" s="2622" customFormat="1" ht="15.75" thickBot="1">
      <c r="A448" s="2821"/>
      <c r="B448" s="2821"/>
      <c r="C448" s="2821"/>
      <c r="D448" s="2821"/>
      <c r="E448" s="2821"/>
      <c r="F448" s="2821"/>
      <c r="G448" s="2821"/>
      <c r="H448" s="2821"/>
      <c r="I448" s="2821"/>
      <c r="J448" s="2821"/>
      <c r="K448" s="2821"/>
      <c r="L448" s="2821"/>
      <c r="M448" s="2821"/>
      <c r="N448" s="2821"/>
      <c r="O448" s="2821"/>
      <c r="P448" s="2821"/>
      <c r="Q448" s="2821"/>
      <c r="R448" s="2821"/>
      <c r="S448" s="2821"/>
      <c r="T448" s="2821"/>
      <c r="U448" s="2821"/>
      <c r="V448" s="2821"/>
      <c r="W448" s="2821"/>
      <c r="X448" s="2821"/>
      <c r="Y448" s="2821"/>
      <c r="Z448" s="2821"/>
      <c r="AA448" s="2821"/>
      <c r="AB448" s="2821"/>
      <c r="AC448" s="2821"/>
      <c r="AD448" s="2821"/>
      <c r="AE448" s="2821"/>
      <c r="AF448" s="2821"/>
      <c r="AG448" s="2821"/>
      <c r="AH448" s="2821"/>
      <c r="AJ448" s="2690"/>
      <c r="AK448" s="2691"/>
      <c r="AL448" s="2692"/>
      <c r="AM448" s="2693"/>
      <c r="AN448" s="2694"/>
      <c r="AO448" s="2690"/>
      <c r="AP448" s="2693"/>
      <c r="AQ448" s="2695">
        <f>SUM(AO448:AP448)</f>
        <v>0</v>
      </c>
      <c r="AR448" s="2696"/>
      <c r="AS448" s="2674"/>
      <c r="AT448" s="2698">
        <f>+AQ448-AR448-AS448</f>
        <v>0</v>
      </c>
      <c r="AU448" s="2698">
        <f>+AR448-AS448-AT448</f>
        <v>0</v>
      </c>
      <c r="AV448" s="3826"/>
      <c r="AW448" s="3827"/>
      <c r="AX448" s="3827"/>
      <c r="AY448" s="3827"/>
      <c r="AZ448" s="2187"/>
      <c r="BA448" s="2187"/>
      <c r="BB448" s="2187"/>
      <c r="BC448" s="2187"/>
      <c r="BD448" s="2187"/>
      <c r="BE448" s="2187"/>
      <c r="BF448" s="2187"/>
      <c r="BG448" s="2187"/>
      <c r="BH448" s="2187"/>
      <c r="BI448" s="2187"/>
      <c r="BJ448" s="2187"/>
      <c r="BK448" s="2187"/>
      <c r="BL448" s="2187"/>
      <c r="BM448" s="2187"/>
      <c r="BN448" s="2187"/>
      <c r="BO448" s="2187"/>
      <c r="BP448" s="2187"/>
    </row>
    <row r="449" spans="1:69" s="2622" customFormat="1" ht="33">
      <c r="A449" s="2819" t="s">
        <v>256</v>
      </c>
      <c r="B449" s="2820"/>
      <c r="C449" s="2820" t="s">
        <v>1008</v>
      </c>
      <c r="D449" s="2821"/>
      <c r="E449" s="2821"/>
      <c r="F449" s="2821"/>
      <c r="G449" s="2820" t="s">
        <v>1009</v>
      </c>
      <c r="H449" s="2821"/>
      <c r="I449" s="2821"/>
      <c r="J449" s="2821"/>
      <c r="K449" s="2821"/>
      <c r="L449" s="2821"/>
      <c r="M449" s="2821"/>
      <c r="N449" s="2821"/>
      <c r="O449" s="3016" t="s">
        <v>1051</v>
      </c>
      <c r="P449" s="1933"/>
      <c r="Q449" s="1933"/>
      <c r="R449" s="1933"/>
      <c r="S449" s="2821"/>
      <c r="T449" s="3228"/>
      <c r="U449" s="2821"/>
      <c r="V449" s="2821"/>
      <c r="W449" s="2821"/>
      <c r="X449" s="2821"/>
      <c r="Y449" s="2821"/>
      <c r="Z449" s="2821"/>
      <c r="AA449" s="2821"/>
      <c r="AB449" s="2821"/>
      <c r="AC449" s="2821"/>
      <c r="AD449" s="2821"/>
      <c r="AE449" s="2821"/>
      <c r="AF449" s="2821"/>
      <c r="AG449" s="2821"/>
      <c r="AH449" s="2821"/>
      <c r="AJ449" s="2627"/>
      <c r="AK449" s="2627"/>
      <c r="AL449" s="2627"/>
      <c r="AM449" s="2627"/>
      <c r="AN449" s="2627"/>
      <c r="AO449" s="2627"/>
      <c r="AP449" s="2627"/>
      <c r="AQ449" s="2627"/>
      <c r="AR449" s="2627"/>
      <c r="AS449" s="2627"/>
    </row>
    <row r="450" spans="1:69" s="2622" customFormat="1" ht="15">
      <c r="A450" s="3954" t="s">
        <v>264</v>
      </c>
      <c r="B450" s="3955"/>
      <c r="C450" s="3956"/>
      <c r="D450" s="2822"/>
      <c r="E450" s="2822"/>
      <c r="F450" s="2822"/>
      <c r="G450" s="2822"/>
      <c r="H450" s="2822"/>
      <c r="I450" s="2822"/>
      <c r="J450" s="2822"/>
      <c r="K450" s="2822"/>
      <c r="L450" s="2822"/>
      <c r="M450" s="2822"/>
      <c r="N450" s="2822"/>
      <c r="O450" s="2822"/>
      <c r="P450" s="2822"/>
      <c r="Q450" s="2822"/>
      <c r="R450" s="2822"/>
      <c r="S450" s="2823"/>
      <c r="T450" s="2823"/>
      <c r="U450" s="2823"/>
      <c r="V450" s="2823"/>
      <c r="W450" s="2823"/>
      <c r="X450" s="2823"/>
      <c r="Y450" s="2823"/>
      <c r="Z450" s="2823"/>
      <c r="AA450" s="2823"/>
      <c r="AB450" s="2823"/>
      <c r="AC450" s="2823"/>
      <c r="AD450" s="2823"/>
      <c r="AE450" s="2823"/>
      <c r="AF450" s="2823"/>
      <c r="AG450" s="2823"/>
      <c r="AH450" s="2823"/>
      <c r="AJ450" s="2627"/>
      <c r="AK450" s="2627"/>
      <c r="AL450" s="2627"/>
      <c r="AM450" s="2627"/>
      <c r="AN450" s="2627"/>
      <c r="AO450" s="2627"/>
      <c r="AP450" s="2627"/>
      <c r="AQ450" s="2627"/>
      <c r="AR450" s="2627"/>
      <c r="AS450" s="2627"/>
    </row>
    <row r="451" spans="1:69" s="2622" customFormat="1" ht="33">
      <c r="A451" s="2824" t="s">
        <v>72</v>
      </c>
      <c r="B451" s="2825" t="s">
        <v>73</v>
      </c>
      <c r="C451" s="2826">
        <v>1</v>
      </c>
      <c r="D451" s="2826">
        <v>2</v>
      </c>
      <c r="E451" s="2826">
        <v>3</v>
      </c>
      <c r="F451" s="2826">
        <v>4</v>
      </c>
      <c r="G451" s="2826">
        <v>5</v>
      </c>
      <c r="H451" s="2826">
        <v>6</v>
      </c>
      <c r="I451" s="2826">
        <v>7</v>
      </c>
      <c r="J451" s="2826">
        <v>8</v>
      </c>
      <c r="K451" s="2826">
        <v>9</v>
      </c>
      <c r="L451" s="2826">
        <v>10</v>
      </c>
      <c r="M451" s="2826">
        <v>11</v>
      </c>
      <c r="N451" s="2826">
        <v>12</v>
      </c>
      <c r="O451" s="2826">
        <v>13</v>
      </c>
      <c r="P451" s="2826">
        <v>14</v>
      </c>
      <c r="Q451" s="2826">
        <v>15</v>
      </c>
      <c r="R451" s="2826">
        <v>16</v>
      </c>
      <c r="S451" s="2824">
        <v>17</v>
      </c>
      <c r="T451" s="2824">
        <v>18</v>
      </c>
      <c r="U451" s="2824">
        <v>19</v>
      </c>
      <c r="V451" s="2824">
        <v>20</v>
      </c>
      <c r="W451" s="2824">
        <v>21</v>
      </c>
      <c r="X451" s="2824">
        <v>22</v>
      </c>
      <c r="Y451" s="2824">
        <v>23</v>
      </c>
      <c r="Z451" s="2824">
        <v>24</v>
      </c>
      <c r="AA451" s="2824">
        <v>25</v>
      </c>
      <c r="AB451" s="2824">
        <v>26</v>
      </c>
      <c r="AC451" s="2824">
        <v>27</v>
      </c>
      <c r="AD451" s="2824">
        <v>28</v>
      </c>
      <c r="AE451" s="2824">
        <v>29</v>
      </c>
      <c r="AF451" s="2824">
        <v>30</v>
      </c>
      <c r="AG451" s="2824">
        <v>31</v>
      </c>
      <c r="AH451" s="2827" t="s">
        <v>74</v>
      </c>
      <c r="AJ451" s="3220" t="s">
        <v>288</v>
      </c>
      <c r="AK451" s="3184"/>
      <c r="AL451" s="3219" t="s">
        <v>1117</v>
      </c>
      <c r="AM451" s="3185"/>
      <c r="AN451" s="3185"/>
      <c r="AO451" s="3185"/>
      <c r="AP451" s="3080"/>
      <c r="AQ451" s="3184" t="s">
        <v>1003</v>
      </c>
      <c r="AR451" s="3185"/>
      <c r="AS451" s="3185"/>
      <c r="AT451" s="3185"/>
      <c r="AU451" s="3186" t="s">
        <v>1119</v>
      </c>
      <c r="AV451" s="3185"/>
      <c r="AW451" s="3185"/>
      <c r="AX451" s="3185"/>
      <c r="AY451" s="3185"/>
      <c r="AZ451" s="3185"/>
      <c r="BA451" s="3185"/>
      <c r="BB451" s="3185"/>
      <c r="BC451" s="3185"/>
      <c r="BD451" s="3185"/>
      <c r="BE451" s="3185"/>
      <c r="BF451" s="3185"/>
      <c r="BG451" s="3185"/>
      <c r="BH451" s="3185"/>
      <c r="BI451" s="3185"/>
      <c r="BJ451" s="3185"/>
      <c r="BK451" s="3185"/>
      <c r="BL451" s="3185"/>
      <c r="BM451" s="3185"/>
      <c r="BN451" s="3185"/>
      <c r="BO451" s="3185"/>
      <c r="BP451" s="3185"/>
      <c r="BQ451" s="3185"/>
    </row>
    <row r="452" spans="1:69" s="2622" customFormat="1" ht="15">
      <c r="A452" s="2824" t="s">
        <v>75</v>
      </c>
      <c r="B452" s="2825">
        <f t="shared" ref="B452:B463" si="154">+AH452</f>
        <v>0</v>
      </c>
      <c r="C452" s="2828"/>
      <c r="D452" s="2828"/>
      <c r="E452" s="2828"/>
      <c r="F452" s="2828"/>
      <c r="G452" s="2828"/>
      <c r="H452" s="2828"/>
      <c r="I452" s="2828"/>
      <c r="J452" s="2828"/>
      <c r="K452" s="2828"/>
      <c r="L452" s="2828"/>
      <c r="M452" s="2828"/>
      <c r="N452" s="2828"/>
      <c r="O452" s="2828"/>
      <c r="P452" s="2828"/>
      <c r="Q452" s="2828"/>
      <c r="R452" s="2828"/>
      <c r="S452" s="2828"/>
      <c r="T452" s="2828"/>
      <c r="U452" s="2828"/>
      <c r="V452" s="2828"/>
      <c r="W452" s="2828"/>
      <c r="X452" s="2828"/>
      <c r="Y452" s="2828"/>
      <c r="Z452" s="2828"/>
      <c r="AA452" s="2828"/>
      <c r="AB452" s="2828"/>
      <c r="AC452" s="2828"/>
      <c r="AD452" s="2828"/>
      <c r="AE452" s="2828"/>
      <c r="AF452" s="2828"/>
      <c r="AG452" s="2828"/>
      <c r="AH452" s="2829">
        <f>SUM(C452:AG452)</f>
        <v>0</v>
      </c>
      <c r="AJ452" s="3807" t="s">
        <v>271</v>
      </c>
      <c r="AK452" s="3808"/>
      <c r="AL452" s="3809"/>
      <c r="AM452" s="3187"/>
      <c r="AN452" s="3187"/>
      <c r="AO452" s="3187"/>
      <c r="AP452" s="3187"/>
      <c r="AQ452" s="3187"/>
      <c r="AR452" s="3187"/>
      <c r="AS452" s="3187"/>
      <c r="AT452" s="3187"/>
      <c r="AU452" s="3187"/>
      <c r="AV452" s="3187"/>
      <c r="AW452" s="3187"/>
      <c r="AX452" s="3187"/>
      <c r="AY452" s="3187"/>
      <c r="AZ452" s="3187"/>
      <c r="BA452" s="3187"/>
      <c r="BB452" s="3188"/>
      <c r="BC452" s="3188"/>
      <c r="BD452" s="3188"/>
      <c r="BE452" s="3188"/>
      <c r="BF452" s="3188"/>
      <c r="BG452" s="3188"/>
      <c r="BH452" s="3188"/>
      <c r="BI452" s="3188"/>
      <c r="BJ452" s="3188"/>
      <c r="BK452" s="3188"/>
      <c r="BL452" s="3188"/>
      <c r="BM452" s="3188"/>
      <c r="BN452" s="3188"/>
      <c r="BO452" s="3188"/>
      <c r="BP452" s="3188"/>
      <c r="BQ452" s="3188"/>
    </row>
    <row r="453" spans="1:69" s="2622" customFormat="1" ht="15">
      <c r="A453" s="2824" t="s">
        <v>76</v>
      </c>
      <c r="B453" s="2825">
        <f t="shared" si="154"/>
        <v>0</v>
      </c>
      <c r="C453" s="2828"/>
      <c r="D453" s="2828"/>
      <c r="E453" s="2828"/>
      <c r="F453" s="2828"/>
      <c r="G453" s="2828"/>
      <c r="H453" s="2828"/>
      <c r="I453" s="2828"/>
      <c r="J453" s="2828"/>
      <c r="K453" s="2828"/>
      <c r="L453" s="2828"/>
      <c r="M453" s="2828"/>
      <c r="N453" s="2828"/>
      <c r="O453" s="2828"/>
      <c r="P453" s="2828"/>
      <c r="Q453" s="2828"/>
      <c r="R453" s="2828"/>
      <c r="S453" s="2828"/>
      <c r="T453" s="2828"/>
      <c r="U453" s="2828"/>
      <c r="V453" s="2828"/>
      <c r="W453" s="2828"/>
      <c r="X453" s="2828"/>
      <c r="Y453" s="2828"/>
      <c r="Z453" s="2828"/>
      <c r="AA453" s="2828"/>
      <c r="AB453" s="2828"/>
      <c r="AC453" s="2828"/>
      <c r="AD453" s="2828"/>
      <c r="AE453" s="2828"/>
      <c r="AF453" s="2828"/>
      <c r="AG453" s="2828"/>
      <c r="AH453" s="2829">
        <f t="shared" ref="AH453:AH463" si="155">SUM(C453:AG453)</f>
        <v>0</v>
      </c>
      <c r="AJ453" s="3077" t="s">
        <v>72</v>
      </c>
      <c r="AK453" s="3189" t="s">
        <v>73</v>
      </c>
      <c r="AL453" s="3073">
        <v>1</v>
      </c>
      <c r="AM453" s="3073">
        <v>2</v>
      </c>
      <c r="AN453" s="3073">
        <v>3</v>
      </c>
      <c r="AO453" s="3073">
        <v>4</v>
      </c>
      <c r="AP453" s="3073">
        <v>5</v>
      </c>
      <c r="AQ453" s="3073">
        <v>6</v>
      </c>
      <c r="AR453" s="3073">
        <v>7</v>
      </c>
      <c r="AS453" s="3073">
        <v>8</v>
      </c>
      <c r="AT453" s="3073">
        <v>9</v>
      </c>
      <c r="AU453" s="3073">
        <v>10</v>
      </c>
      <c r="AV453" s="3073">
        <v>11</v>
      </c>
      <c r="AW453" s="3073">
        <v>12</v>
      </c>
      <c r="AX453" s="3073">
        <v>13</v>
      </c>
      <c r="AY453" s="3073">
        <v>14</v>
      </c>
      <c r="AZ453" s="3073">
        <v>15</v>
      </c>
      <c r="BA453" s="3073">
        <v>16</v>
      </c>
      <c r="BB453" s="3077">
        <v>17</v>
      </c>
      <c r="BC453" s="3077">
        <v>18</v>
      </c>
      <c r="BD453" s="3077">
        <v>19</v>
      </c>
      <c r="BE453" s="3077">
        <v>20</v>
      </c>
      <c r="BF453" s="3077">
        <v>21</v>
      </c>
      <c r="BG453" s="3077">
        <v>22</v>
      </c>
      <c r="BH453" s="3077">
        <v>23</v>
      </c>
      <c r="BI453" s="3077">
        <v>24</v>
      </c>
      <c r="BJ453" s="3077">
        <v>25</v>
      </c>
      <c r="BK453" s="3077">
        <v>26</v>
      </c>
      <c r="BL453" s="3077">
        <v>27</v>
      </c>
      <c r="BM453" s="3077">
        <v>28</v>
      </c>
      <c r="BN453" s="3077">
        <v>29</v>
      </c>
      <c r="BO453" s="3077">
        <v>30</v>
      </c>
      <c r="BP453" s="3077">
        <v>31</v>
      </c>
      <c r="BQ453" s="3190" t="s">
        <v>74</v>
      </c>
    </row>
    <row r="454" spans="1:69" s="2622" customFormat="1" ht="15">
      <c r="A454" s="2824" t="s">
        <v>77</v>
      </c>
      <c r="B454" s="2835">
        <f t="shared" si="154"/>
        <v>0</v>
      </c>
      <c r="C454" s="2828"/>
      <c r="D454" s="2828"/>
      <c r="E454" s="2828"/>
      <c r="F454" s="2828"/>
      <c r="G454" s="2828"/>
      <c r="H454" s="2830"/>
      <c r="I454" s="2830"/>
      <c r="J454" s="2830"/>
      <c r="K454" s="2830"/>
      <c r="L454" s="2830"/>
      <c r="M454" s="2830"/>
      <c r="N454" s="2830"/>
      <c r="O454" s="2830"/>
      <c r="P454" s="2830"/>
      <c r="Q454" s="2830"/>
      <c r="R454" s="2830"/>
      <c r="S454" s="2830"/>
      <c r="T454" s="2830"/>
      <c r="U454" s="2830"/>
      <c r="V454" s="2830"/>
      <c r="W454" s="2830"/>
      <c r="X454" s="2830"/>
      <c r="Y454" s="2830"/>
      <c r="Z454" s="2830"/>
      <c r="AA454" s="2830"/>
      <c r="AB454" s="2836"/>
      <c r="AC454" s="2828"/>
      <c r="AD454" s="2830"/>
      <c r="AE454" s="2828"/>
      <c r="AF454" s="2828"/>
      <c r="AG454" s="2828"/>
      <c r="AH454" s="2829">
        <f t="shared" si="155"/>
        <v>0</v>
      </c>
      <c r="AJ454" s="3077" t="s">
        <v>75</v>
      </c>
      <c r="AK454" s="3189">
        <f t="shared" ref="AK454:AK465" si="156">+BQ454</f>
        <v>0</v>
      </c>
      <c r="AL454" s="3191"/>
      <c r="AM454" s="3191"/>
      <c r="AN454" s="3191"/>
      <c r="AO454" s="3191"/>
      <c r="AP454" s="3191"/>
      <c r="AQ454" s="3191"/>
      <c r="AR454" s="3191"/>
      <c r="AS454" s="3191"/>
      <c r="AT454" s="3191"/>
      <c r="AU454" s="3191"/>
      <c r="AV454" s="3191"/>
      <c r="AW454" s="3191"/>
      <c r="AX454" s="3191"/>
      <c r="AY454" s="3191"/>
      <c r="AZ454" s="3191"/>
      <c r="BA454" s="3191"/>
      <c r="BB454" s="3191"/>
      <c r="BC454" s="3191"/>
      <c r="BD454" s="3191"/>
      <c r="BE454" s="3191"/>
      <c r="BF454" s="3191"/>
      <c r="BG454" s="3191"/>
      <c r="BH454" s="3191"/>
      <c r="BI454" s="3191"/>
      <c r="BJ454" s="3191"/>
      <c r="BK454" s="3191"/>
      <c r="BL454" s="3191"/>
      <c r="BM454" s="3191"/>
      <c r="BN454" s="3191"/>
      <c r="BO454" s="3191"/>
      <c r="BP454" s="3191"/>
      <c r="BQ454" s="3192">
        <f>SUM(AL454:BP454)</f>
        <v>0</v>
      </c>
    </row>
    <row r="455" spans="1:69" s="2622" customFormat="1" ht="15.75" thickBot="1">
      <c r="A455" s="2824" t="s">
        <v>78</v>
      </c>
      <c r="B455" s="2825">
        <f t="shared" si="154"/>
        <v>0</v>
      </c>
      <c r="C455" s="2828"/>
      <c r="D455" s="2828"/>
      <c r="E455" s="2828"/>
      <c r="F455" s="2828"/>
      <c r="G455" s="2828"/>
      <c r="H455" s="2828"/>
      <c r="I455" s="2828"/>
      <c r="J455" s="2828"/>
      <c r="K455" s="2828"/>
      <c r="L455" s="2831"/>
      <c r="M455" s="2831"/>
      <c r="N455" s="2831"/>
      <c r="O455" s="2831"/>
      <c r="P455" s="2831"/>
      <c r="Q455" s="2831"/>
      <c r="R455" s="2831"/>
      <c r="S455" s="2831"/>
      <c r="T455" s="2831"/>
      <c r="U455" s="2831"/>
      <c r="V455" s="2831"/>
      <c r="W455" s="2831"/>
      <c r="X455" s="2831"/>
      <c r="Y455" s="2831"/>
      <c r="Z455" s="2831"/>
      <c r="AA455" s="2831"/>
      <c r="AB455" s="2831"/>
      <c r="AC455" s="2831"/>
      <c r="AD455" s="2831"/>
      <c r="AE455" s="2831"/>
      <c r="AF455" s="2831"/>
      <c r="AG455" s="2831"/>
      <c r="AH455" s="2829">
        <f t="shared" si="155"/>
        <v>0</v>
      </c>
      <c r="AJ455" s="3077" t="s">
        <v>76</v>
      </c>
      <c r="AK455" s="3189">
        <f t="shared" si="156"/>
        <v>0</v>
      </c>
      <c r="AL455" s="3191"/>
      <c r="AM455" s="3191"/>
      <c r="AN455" s="3191"/>
      <c r="AO455" s="3191"/>
      <c r="AP455" s="3191"/>
      <c r="AQ455" s="3191"/>
      <c r="AR455" s="3191"/>
      <c r="AS455" s="3191"/>
      <c r="AT455" s="3191"/>
      <c r="AU455" s="3191"/>
      <c r="AV455" s="3191"/>
      <c r="AW455" s="3191"/>
      <c r="AX455" s="3191"/>
      <c r="AY455" s="3191"/>
      <c r="AZ455" s="3191"/>
      <c r="BA455" s="3191"/>
      <c r="BB455" s="3191"/>
      <c r="BC455" s="3191"/>
      <c r="BD455" s="3191"/>
      <c r="BE455" s="3191"/>
      <c r="BF455" s="3191"/>
      <c r="BG455" s="3191"/>
      <c r="BH455" s="3191"/>
      <c r="BI455" s="3191"/>
      <c r="BJ455" s="3191"/>
      <c r="BK455" s="3191"/>
      <c r="BL455" s="3191"/>
      <c r="BM455" s="3191"/>
      <c r="BN455" s="3191"/>
      <c r="BO455" s="3191"/>
      <c r="BP455" s="3191"/>
      <c r="BQ455" s="3192">
        <f t="shared" ref="BQ455:BQ465" si="157">SUM(AL455:BP455)</f>
        <v>0</v>
      </c>
    </row>
    <row r="456" spans="1:69" s="2622" customFormat="1" ht="15.75" thickBot="1">
      <c r="A456" s="2824" t="s">
        <v>79</v>
      </c>
      <c r="B456" s="2825">
        <f t="shared" si="154"/>
        <v>0</v>
      </c>
      <c r="C456" s="2830"/>
      <c r="D456" s="2830"/>
      <c r="E456" s="2830"/>
      <c r="F456" s="2830"/>
      <c r="G456" s="2830"/>
      <c r="H456" s="2830"/>
      <c r="I456" s="2830"/>
      <c r="J456" s="2830"/>
      <c r="K456" s="2830"/>
      <c r="L456" s="2830"/>
      <c r="M456" s="2830"/>
      <c r="N456" s="2830"/>
      <c r="O456" s="2830"/>
      <c r="P456" s="2830"/>
      <c r="Q456" s="2830"/>
      <c r="R456" s="2830"/>
      <c r="S456" s="2830"/>
      <c r="T456" s="2830"/>
      <c r="U456" s="2830"/>
      <c r="V456" s="2830"/>
      <c r="W456" s="2830"/>
      <c r="X456" s="2830"/>
      <c r="Y456" s="2830"/>
      <c r="Z456" s="2830"/>
      <c r="AA456" s="2830"/>
      <c r="AB456" s="2830"/>
      <c r="AC456" s="2830"/>
      <c r="AD456" s="2830"/>
      <c r="AE456" s="2830"/>
      <c r="AF456" s="2830"/>
      <c r="AG456" s="2830"/>
      <c r="AH456" s="2829">
        <f t="shared" si="155"/>
        <v>0</v>
      </c>
      <c r="AJ456" s="3077" t="s">
        <v>77</v>
      </c>
      <c r="AK456" s="3189">
        <f t="shared" si="156"/>
        <v>0</v>
      </c>
      <c r="AL456" s="3191"/>
      <c r="AM456" s="3191"/>
      <c r="AN456" s="3191"/>
      <c r="AO456" s="3191"/>
      <c r="AP456" s="3191"/>
      <c r="AQ456" s="3193"/>
      <c r="AR456" s="3193"/>
      <c r="AS456" s="3193"/>
      <c r="AT456" s="3193"/>
      <c r="AU456" s="3193"/>
      <c r="AV456" s="3193"/>
      <c r="AW456" s="3193"/>
      <c r="AX456" s="3193"/>
      <c r="AY456" s="3193"/>
      <c r="AZ456" s="3193"/>
      <c r="BA456" s="3194"/>
      <c r="BB456" s="3193"/>
      <c r="BC456" s="3193"/>
      <c r="BD456" s="3193"/>
      <c r="BE456" s="3193"/>
      <c r="BF456" s="3193"/>
      <c r="BG456" s="3193"/>
      <c r="BH456" s="3193"/>
      <c r="BI456" s="3193"/>
      <c r="BJ456" s="3193"/>
      <c r="BK456" s="3193"/>
      <c r="BL456" s="3191"/>
      <c r="BM456" s="3191"/>
      <c r="BN456" s="3191"/>
      <c r="BO456" s="3191"/>
      <c r="BP456" s="3191"/>
      <c r="BQ456" s="3192">
        <f t="shared" si="157"/>
        <v>0</v>
      </c>
    </row>
    <row r="457" spans="1:69" s="2622" customFormat="1" ht="15">
      <c r="A457" s="2824" t="s">
        <v>80</v>
      </c>
      <c r="B457" s="2825">
        <f t="shared" si="154"/>
        <v>0</v>
      </c>
      <c r="C457" s="2830"/>
      <c r="D457" s="2830"/>
      <c r="E457" s="2830"/>
      <c r="F457" s="2830"/>
      <c r="G457" s="2830"/>
      <c r="H457" s="2830"/>
      <c r="I457" s="2830"/>
      <c r="J457" s="2830"/>
      <c r="K457" s="2830"/>
      <c r="L457" s="2830"/>
      <c r="M457" s="2830"/>
      <c r="N457" s="2830"/>
      <c r="O457" s="2830"/>
      <c r="P457" s="2830"/>
      <c r="Q457" s="2830"/>
      <c r="R457" s="2830"/>
      <c r="S457" s="2830"/>
      <c r="T457" s="2830"/>
      <c r="U457" s="2830"/>
      <c r="V457" s="2830"/>
      <c r="W457" s="2830"/>
      <c r="X457" s="2830"/>
      <c r="Y457" s="2830"/>
      <c r="Z457" s="2830"/>
      <c r="AA457" s="2830"/>
      <c r="AB457" s="2830"/>
      <c r="AC457" s="2830"/>
      <c r="AD457" s="2830"/>
      <c r="AE457" s="2830"/>
      <c r="AF457" s="2830"/>
      <c r="AG457" s="2830"/>
      <c r="AH457" s="2829">
        <f t="shared" si="155"/>
        <v>0</v>
      </c>
      <c r="AJ457" s="3077" t="s">
        <v>78</v>
      </c>
      <c r="AK457" s="3189">
        <f t="shared" si="156"/>
        <v>0</v>
      </c>
      <c r="AL457" s="3191"/>
      <c r="AM457" s="3191"/>
      <c r="AN457" s="3191"/>
      <c r="AO457" s="3191"/>
      <c r="AP457" s="3191"/>
      <c r="AQ457" s="3191"/>
      <c r="AR457" s="3191"/>
      <c r="AS457" s="3191"/>
      <c r="AT457" s="3191"/>
      <c r="AU457" s="3195"/>
      <c r="AV457" s="3195"/>
      <c r="AW457" s="3195"/>
      <c r="AX457" s="3195"/>
      <c r="AY457" s="3195"/>
      <c r="AZ457" s="3195"/>
      <c r="BA457" s="3195"/>
      <c r="BB457" s="3195"/>
      <c r="BC457" s="3195"/>
      <c r="BD457" s="3195"/>
      <c r="BE457" s="3195"/>
      <c r="BF457" s="3195"/>
      <c r="BG457" s="3195"/>
      <c r="BH457" s="3195"/>
      <c r="BI457" s="3195"/>
      <c r="BJ457" s="3195"/>
      <c r="BK457" s="3195"/>
      <c r="BL457" s="3195"/>
      <c r="BM457" s="3195"/>
      <c r="BN457" s="3195"/>
      <c r="BO457" s="3195"/>
      <c r="BP457" s="3195"/>
      <c r="BQ457" s="3192">
        <f t="shared" si="157"/>
        <v>0</v>
      </c>
    </row>
    <row r="458" spans="1:69" s="2622" customFormat="1" ht="15">
      <c r="A458" s="2824" t="s">
        <v>81</v>
      </c>
      <c r="B458" s="2825">
        <f t="shared" si="154"/>
        <v>0</v>
      </c>
      <c r="C458" s="2830"/>
      <c r="D458" s="2829"/>
      <c r="E458" s="2829"/>
      <c r="F458" s="2829"/>
      <c r="G458" s="2830"/>
      <c r="H458" s="2830"/>
      <c r="I458" s="2830"/>
      <c r="J458" s="2830"/>
      <c r="K458" s="2830"/>
      <c r="L458" s="2830"/>
      <c r="M458" s="2830"/>
      <c r="N458" s="2830"/>
      <c r="O458" s="2830"/>
      <c r="P458" s="2830"/>
      <c r="Q458" s="2830"/>
      <c r="R458" s="2830"/>
      <c r="S458" s="2830"/>
      <c r="T458" s="2830"/>
      <c r="U458" s="2830"/>
      <c r="V458" s="2830"/>
      <c r="W458" s="2830"/>
      <c r="X458" s="2830"/>
      <c r="Y458" s="2830"/>
      <c r="Z458" s="2830"/>
      <c r="AA458" s="2830"/>
      <c r="AB458" s="2830"/>
      <c r="AC458" s="2830"/>
      <c r="AD458" s="2830"/>
      <c r="AE458" s="2830"/>
      <c r="AF458" s="2830"/>
      <c r="AG458" s="2830"/>
      <c r="AH458" s="2829">
        <f t="shared" si="155"/>
        <v>0</v>
      </c>
      <c r="AJ458" s="3077" t="s">
        <v>79</v>
      </c>
      <c r="AK458" s="3189">
        <f t="shared" si="156"/>
        <v>0</v>
      </c>
      <c r="AL458" s="3193"/>
      <c r="AM458" s="3193"/>
      <c r="AN458" s="3193"/>
      <c r="AO458" s="3193"/>
      <c r="AP458" s="3193"/>
      <c r="AQ458" s="3193"/>
      <c r="AR458" s="3193"/>
      <c r="AS458" s="3193"/>
      <c r="AT458" s="3193"/>
      <c r="AU458" s="3193"/>
      <c r="AV458" s="3193"/>
      <c r="AW458" s="3193"/>
      <c r="AX458" s="3193"/>
      <c r="AY458" s="3193"/>
      <c r="AZ458" s="3193"/>
      <c r="BA458" s="3193"/>
      <c r="BB458" s="3193"/>
      <c r="BC458" s="3193"/>
      <c r="BD458" s="3193"/>
      <c r="BE458" s="3193"/>
      <c r="BF458" s="3193"/>
      <c r="BG458" s="3193"/>
      <c r="BH458" s="3193"/>
      <c r="BI458" s="3193"/>
      <c r="BJ458" s="3193"/>
      <c r="BK458" s="3193"/>
      <c r="BL458" s="3193"/>
      <c r="BM458" s="3193"/>
      <c r="BN458" s="3193"/>
      <c r="BO458" s="3193"/>
      <c r="BP458" s="3193"/>
      <c r="BQ458" s="3192">
        <f t="shared" si="157"/>
        <v>0</v>
      </c>
    </row>
    <row r="459" spans="1:69" s="2622" customFormat="1" ht="15">
      <c r="A459" s="2824" t="s">
        <v>82</v>
      </c>
      <c r="B459" s="2825">
        <f t="shared" si="154"/>
        <v>0</v>
      </c>
      <c r="C459" s="2830"/>
      <c r="D459" s="2830"/>
      <c r="E459" s="2830"/>
      <c r="F459" s="2830"/>
      <c r="G459" s="2830"/>
      <c r="H459" s="2830"/>
      <c r="I459" s="2830"/>
      <c r="J459" s="2830"/>
      <c r="K459" s="2830"/>
      <c r="L459" s="2830"/>
      <c r="M459" s="2830"/>
      <c r="N459" s="2830"/>
      <c r="O459" s="2830"/>
      <c r="P459" s="2830"/>
      <c r="Q459" s="2830"/>
      <c r="R459" s="2830"/>
      <c r="S459" s="2830"/>
      <c r="T459" s="2830"/>
      <c r="U459" s="2830"/>
      <c r="V459" s="2830"/>
      <c r="W459" s="2830"/>
      <c r="X459" s="2830"/>
      <c r="Y459" s="2830"/>
      <c r="Z459" s="2830"/>
      <c r="AA459" s="2830"/>
      <c r="AB459" s="2830"/>
      <c r="AC459" s="2830"/>
      <c r="AD459" s="2830"/>
      <c r="AE459" s="2830"/>
      <c r="AF459" s="2830"/>
      <c r="AG459" s="2830"/>
      <c r="AH459" s="2829">
        <f t="shared" si="155"/>
        <v>0</v>
      </c>
      <c r="AJ459" s="3077" t="s">
        <v>80</v>
      </c>
      <c r="AK459" s="3189">
        <f t="shared" si="156"/>
        <v>0</v>
      </c>
      <c r="AL459" s="3193"/>
      <c r="AM459" s="3193"/>
      <c r="AN459" s="3193"/>
      <c r="AO459" s="3193"/>
      <c r="AP459" s="3193"/>
      <c r="AQ459" s="3193"/>
      <c r="AR459" s="3193"/>
      <c r="AS459" s="3193"/>
      <c r="AT459" s="3193"/>
      <c r="AU459" s="3193"/>
      <c r="AV459" s="3193"/>
      <c r="AW459" s="3193"/>
      <c r="AX459" s="3193"/>
      <c r="AY459" s="3193"/>
      <c r="AZ459" s="3193"/>
      <c r="BA459" s="3193"/>
      <c r="BB459" s="3193"/>
      <c r="BC459" s="3193"/>
      <c r="BD459" s="3193"/>
      <c r="BE459" s="3193"/>
      <c r="BF459" s="3193"/>
      <c r="BG459" s="3193"/>
      <c r="BH459" s="3193"/>
      <c r="BI459" s="3193"/>
      <c r="BJ459" s="3193"/>
      <c r="BK459" s="3193"/>
      <c r="BL459" s="3193"/>
      <c r="BM459" s="3193"/>
      <c r="BN459" s="3193"/>
      <c r="BO459" s="3193"/>
      <c r="BP459" s="3193"/>
      <c r="BQ459" s="3192">
        <f t="shared" si="157"/>
        <v>0</v>
      </c>
    </row>
    <row r="460" spans="1:69" s="2622" customFormat="1" ht="15">
      <c r="A460" s="2824" t="s">
        <v>83</v>
      </c>
      <c r="B460" s="2825">
        <f t="shared" si="154"/>
        <v>0</v>
      </c>
      <c r="C460" s="2830"/>
      <c r="D460" s="2830"/>
      <c r="E460" s="2830"/>
      <c r="F460" s="2830"/>
      <c r="G460" s="2830"/>
      <c r="H460" s="2830"/>
      <c r="I460" s="2830"/>
      <c r="J460" s="2830"/>
      <c r="K460" s="2830"/>
      <c r="L460" s="2830"/>
      <c r="M460" s="2830"/>
      <c r="N460" s="2830"/>
      <c r="O460" s="2830"/>
      <c r="P460" s="2830"/>
      <c r="Q460" s="2830"/>
      <c r="R460" s="2830"/>
      <c r="S460" s="2830"/>
      <c r="T460" s="2830"/>
      <c r="U460" s="2830"/>
      <c r="V460" s="2830"/>
      <c r="W460" s="2830"/>
      <c r="X460" s="2830"/>
      <c r="Y460" s="2830"/>
      <c r="Z460" s="2830"/>
      <c r="AA460" s="2830"/>
      <c r="AB460" s="2830"/>
      <c r="AC460" s="2830"/>
      <c r="AD460" s="2830"/>
      <c r="AE460" s="2830"/>
      <c r="AF460" s="2830"/>
      <c r="AG460" s="2830"/>
      <c r="AH460" s="2829">
        <f t="shared" si="155"/>
        <v>0</v>
      </c>
      <c r="AJ460" s="3077" t="s">
        <v>81</v>
      </c>
      <c r="AK460" s="3189">
        <f t="shared" si="156"/>
        <v>0</v>
      </c>
      <c r="AL460" s="3193"/>
      <c r="AM460" s="3192"/>
      <c r="AN460" s="3192"/>
      <c r="AO460" s="3192"/>
      <c r="AP460" s="3193"/>
      <c r="AQ460" s="3193"/>
      <c r="AR460" s="3193"/>
      <c r="AS460" s="3193"/>
      <c r="AT460" s="3193"/>
      <c r="AU460" s="3193"/>
      <c r="AV460" s="3193"/>
      <c r="AW460" s="3193"/>
      <c r="AX460" s="3193"/>
      <c r="AY460" s="3193"/>
      <c r="AZ460" s="3193"/>
      <c r="BA460" s="3193"/>
      <c r="BB460" s="3193"/>
      <c r="BC460" s="3193"/>
      <c r="BD460" s="3193"/>
      <c r="BE460" s="3193"/>
      <c r="BF460" s="3193"/>
      <c r="BG460" s="3193"/>
      <c r="BH460" s="3193"/>
      <c r="BI460" s="3193"/>
      <c r="BJ460" s="3193"/>
      <c r="BK460" s="3193"/>
      <c r="BL460" s="3193"/>
      <c r="BM460" s="3193"/>
      <c r="BN460" s="3193"/>
      <c r="BO460" s="3193"/>
      <c r="BP460" s="3193"/>
      <c r="BQ460" s="3192">
        <f t="shared" si="157"/>
        <v>0</v>
      </c>
    </row>
    <row r="461" spans="1:69" s="2622" customFormat="1" ht="15">
      <c r="A461" s="2824" t="s">
        <v>84</v>
      </c>
      <c r="B461" s="2825">
        <f t="shared" si="154"/>
        <v>0</v>
      </c>
      <c r="C461" s="2830"/>
      <c r="D461" s="2830"/>
      <c r="E461" s="2830"/>
      <c r="F461" s="2830"/>
      <c r="G461" s="2830"/>
      <c r="H461" s="2830"/>
      <c r="I461" s="2830"/>
      <c r="J461" s="2830"/>
      <c r="K461" s="2830"/>
      <c r="L461" s="2830"/>
      <c r="M461" s="2830"/>
      <c r="N461" s="2830"/>
      <c r="O461" s="2830"/>
      <c r="P461" s="2830"/>
      <c r="Q461" s="2830"/>
      <c r="R461" s="2830"/>
      <c r="S461" s="2830"/>
      <c r="T461" s="2830"/>
      <c r="U461" s="2830"/>
      <c r="V461" s="2830"/>
      <c r="W461" s="2830"/>
      <c r="X461" s="2830"/>
      <c r="Y461" s="2830"/>
      <c r="Z461" s="2830"/>
      <c r="AA461" s="2830"/>
      <c r="AB461" s="2830"/>
      <c r="AC461" s="2830"/>
      <c r="AD461" s="2830"/>
      <c r="AE461" s="2829"/>
      <c r="AF461" s="2830"/>
      <c r="AG461" s="2829"/>
      <c r="AH461" s="2829">
        <f t="shared" si="155"/>
        <v>0</v>
      </c>
      <c r="AJ461" s="3077" t="s">
        <v>82</v>
      </c>
      <c r="AK461" s="3189">
        <f t="shared" si="156"/>
        <v>0</v>
      </c>
      <c r="AL461" s="3193"/>
      <c r="AM461" s="3193"/>
      <c r="AN461" s="3193"/>
      <c r="AO461" s="3193"/>
      <c r="AP461" s="3193"/>
      <c r="AQ461" s="3193"/>
      <c r="AR461" s="3193"/>
      <c r="AS461" s="3193"/>
      <c r="AT461" s="3193"/>
      <c r="AU461" s="3193"/>
      <c r="AV461" s="3193"/>
      <c r="AW461" s="3193"/>
      <c r="AX461" s="3193"/>
      <c r="AY461" s="3193"/>
      <c r="AZ461" s="3193"/>
      <c r="BA461" s="3193"/>
      <c r="BB461" s="3193"/>
      <c r="BC461" s="3193"/>
      <c r="BD461" s="3193"/>
      <c r="BE461" s="3193"/>
      <c r="BF461" s="3193"/>
      <c r="BG461" s="3193"/>
      <c r="BH461" s="3193"/>
      <c r="BI461" s="3193"/>
      <c r="BJ461" s="3193"/>
      <c r="BK461" s="3193"/>
      <c r="BL461" s="3193"/>
      <c r="BM461" s="3193"/>
      <c r="BN461" s="3193"/>
      <c r="BO461" s="3193"/>
      <c r="BP461" s="3193"/>
      <c r="BQ461" s="3192">
        <f t="shared" si="157"/>
        <v>0</v>
      </c>
    </row>
    <row r="462" spans="1:69" s="2622" customFormat="1" ht="15">
      <c r="A462" s="2824" t="s">
        <v>85</v>
      </c>
      <c r="B462" s="2825">
        <f t="shared" si="154"/>
        <v>0</v>
      </c>
      <c r="C462" s="2830"/>
      <c r="D462" s="2830"/>
      <c r="E462" s="2830"/>
      <c r="F462" s="2830"/>
      <c r="G462" s="2832"/>
      <c r="H462" s="2830"/>
      <c r="I462" s="2830"/>
      <c r="J462" s="2830"/>
      <c r="K462" s="2830"/>
      <c r="L462" s="2830"/>
      <c r="M462" s="2830"/>
      <c r="N462" s="2830"/>
      <c r="O462" s="2830"/>
      <c r="P462" s="2830"/>
      <c r="Q462" s="2830"/>
      <c r="R462" s="2830"/>
      <c r="S462" s="2830"/>
      <c r="T462" s="2830"/>
      <c r="U462" s="2830"/>
      <c r="V462" s="2830"/>
      <c r="W462" s="2830"/>
      <c r="X462" s="2830"/>
      <c r="Y462" s="2830"/>
      <c r="Z462" s="2830"/>
      <c r="AA462" s="2830"/>
      <c r="AB462" s="2830"/>
      <c r="AC462" s="2830"/>
      <c r="AD462" s="2830"/>
      <c r="AE462" s="2829"/>
      <c r="AF462" s="2830"/>
      <c r="AG462" s="2829"/>
      <c r="AH462" s="2829">
        <f t="shared" si="155"/>
        <v>0</v>
      </c>
      <c r="AJ462" s="3077" t="s">
        <v>83</v>
      </c>
      <c r="AK462" s="3189">
        <f t="shared" si="156"/>
        <v>0</v>
      </c>
      <c r="AL462" s="3193"/>
      <c r="AM462" s="3193"/>
      <c r="AN462" s="3193"/>
      <c r="AO462" s="3193"/>
      <c r="AP462" s="3193"/>
      <c r="AQ462" s="3193"/>
      <c r="AR462" s="3193"/>
      <c r="AS462" s="3193"/>
      <c r="AT462" s="3193"/>
      <c r="AU462" s="3193"/>
      <c r="AV462" s="3193"/>
      <c r="AW462" s="3193"/>
      <c r="AX462" s="3193"/>
      <c r="AY462" s="3193"/>
      <c r="AZ462" s="3193"/>
      <c r="BA462" s="3193"/>
      <c r="BB462" s="3193"/>
      <c r="BC462" s="3193"/>
      <c r="BD462" s="3193"/>
      <c r="BE462" s="3193"/>
      <c r="BF462" s="3193"/>
      <c r="BG462" s="3193"/>
      <c r="BH462" s="3193"/>
      <c r="BI462" s="3193"/>
      <c r="BJ462" s="3193"/>
      <c r="BK462" s="3193"/>
      <c r="BL462" s="3193"/>
      <c r="BM462" s="3193"/>
      <c r="BN462" s="3193"/>
      <c r="BO462" s="3193"/>
      <c r="BP462" s="3193"/>
      <c r="BQ462" s="3192">
        <f t="shared" si="157"/>
        <v>0</v>
      </c>
    </row>
    <row r="463" spans="1:69" s="2622" customFormat="1" ht="15">
      <c r="A463" s="2824" t="s">
        <v>86</v>
      </c>
      <c r="B463" s="2825">
        <f t="shared" si="154"/>
        <v>0</v>
      </c>
      <c r="C463" s="2830"/>
      <c r="D463" s="2830"/>
      <c r="E463" s="2830"/>
      <c r="F463" s="2830"/>
      <c r="G463" s="2830"/>
      <c r="H463" s="2830"/>
      <c r="I463" s="2830"/>
      <c r="J463" s="2830"/>
      <c r="K463" s="2830"/>
      <c r="L463" s="2830"/>
      <c r="M463" s="2830"/>
      <c r="N463" s="2830"/>
      <c r="O463" s="2830"/>
      <c r="P463" s="2830"/>
      <c r="Q463" s="2830"/>
      <c r="R463" s="2830"/>
      <c r="S463" s="2830"/>
      <c r="T463" s="2830"/>
      <c r="U463" s="2830"/>
      <c r="V463" s="2830"/>
      <c r="W463" s="2830"/>
      <c r="X463" s="2830"/>
      <c r="Y463" s="2830"/>
      <c r="Z463" s="2830"/>
      <c r="AA463" s="2830"/>
      <c r="AB463" s="2830"/>
      <c r="AC463" s="2830"/>
      <c r="AD463" s="2830"/>
      <c r="AE463" s="2830"/>
      <c r="AF463" s="2830"/>
      <c r="AG463" s="2830"/>
      <c r="AH463" s="2829">
        <f t="shared" si="155"/>
        <v>0</v>
      </c>
      <c r="AJ463" s="3077" t="s">
        <v>84</v>
      </c>
      <c r="AK463" s="3189">
        <f t="shared" si="156"/>
        <v>0</v>
      </c>
      <c r="AL463" s="3193"/>
      <c r="AM463" s="3193"/>
      <c r="AN463" s="3193"/>
      <c r="AO463" s="3193"/>
      <c r="AP463" s="3193"/>
      <c r="AQ463" s="3193"/>
      <c r="AR463" s="3193"/>
      <c r="AS463" s="3193"/>
      <c r="AT463" s="3193"/>
      <c r="AU463" s="3193"/>
      <c r="AV463" s="3193"/>
      <c r="AW463" s="3193"/>
      <c r="AX463" s="3193"/>
      <c r="AY463" s="3193"/>
      <c r="AZ463" s="3193"/>
      <c r="BA463" s="3193"/>
      <c r="BB463" s="3193"/>
      <c r="BC463" s="3193"/>
      <c r="BD463" s="3193"/>
      <c r="BE463" s="3193"/>
      <c r="BF463" s="3193"/>
      <c r="BG463" s="3193"/>
      <c r="BH463" s="3193"/>
      <c r="BI463" s="3193"/>
      <c r="BJ463" s="3193"/>
      <c r="BK463" s="3193"/>
      <c r="BL463" s="3193"/>
      <c r="BM463" s="3193"/>
      <c r="BN463" s="3192"/>
      <c r="BO463" s="3193"/>
      <c r="BP463" s="3192"/>
      <c r="BQ463" s="3192">
        <f t="shared" si="157"/>
        <v>0</v>
      </c>
    </row>
    <row r="464" spans="1:69" s="2622" customFormat="1" ht="15">
      <c r="A464" s="2833" t="s">
        <v>74</v>
      </c>
      <c r="B464" s="2834">
        <f t="shared" ref="B464:R464" si="158">SUM(B452:B463)</f>
        <v>0</v>
      </c>
      <c r="C464" s="2825">
        <f t="shared" si="158"/>
        <v>0</v>
      </c>
      <c r="D464" s="2825">
        <f t="shared" si="158"/>
        <v>0</v>
      </c>
      <c r="E464" s="2825">
        <f t="shared" si="158"/>
        <v>0</v>
      </c>
      <c r="F464" s="2825">
        <f t="shared" si="158"/>
        <v>0</v>
      </c>
      <c r="G464" s="2825">
        <f t="shared" si="158"/>
        <v>0</v>
      </c>
      <c r="H464" s="2825">
        <f t="shared" si="158"/>
        <v>0</v>
      </c>
      <c r="I464" s="2825">
        <f t="shared" si="158"/>
        <v>0</v>
      </c>
      <c r="J464" s="2825">
        <f t="shared" si="158"/>
        <v>0</v>
      </c>
      <c r="K464" s="2825">
        <f t="shared" si="158"/>
        <v>0</v>
      </c>
      <c r="L464" s="2825">
        <f t="shared" si="158"/>
        <v>0</v>
      </c>
      <c r="M464" s="2825">
        <f t="shared" si="158"/>
        <v>0</v>
      </c>
      <c r="N464" s="2825">
        <f t="shared" si="158"/>
        <v>0</v>
      </c>
      <c r="O464" s="2825">
        <f t="shared" si="158"/>
        <v>0</v>
      </c>
      <c r="P464" s="2825">
        <f t="shared" si="158"/>
        <v>0</v>
      </c>
      <c r="Q464" s="2825">
        <f t="shared" si="158"/>
        <v>0</v>
      </c>
      <c r="R464" s="2825">
        <f t="shared" si="158"/>
        <v>0</v>
      </c>
      <c r="S464" s="2829">
        <f t="shared" ref="S464:AC464" si="159">SUM(S452:S462)</f>
        <v>0</v>
      </c>
      <c r="T464" s="2829">
        <f t="shared" si="159"/>
        <v>0</v>
      </c>
      <c r="U464" s="2829">
        <f t="shared" si="159"/>
        <v>0</v>
      </c>
      <c r="V464" s="2829">
        <f t="shared" si="159"/>
        <v>0</v>
      </c>
      <c r="W464" s="2829">
        <f t="shared" si="159"/>
        <v>0</v>
      </c>
      <c r="X464" s="2829">
        <f t="shared" si="159"/>
        <v>0</v>
      </c>
      <c r="Y464" s="2829">
        <f t="shared" si="159"/>
        <v>0</v>
      </c>
      <c r="Z464" s="2829">
        <f t="shared" si="159"/>
        <v>0</v>
      </c>
      <c r="AA464" s="2829">
        <f t="shared" si="159"/>
        <v>0</v>
      </c>
      <c r="AB464" s="2829">
        <f t="shared" si="159"/>
        <v>0</v>
      </c>
      <c r="AC464" s="2829">
        <f t="shared" si="159"/>
        <v>0</v>
      </c>
      <c r="AD464" s="2829">
        <v>0</v>
      </c>
      <c r="AE464" s="2829">
        <f>SUM(AE452:AE462)</f>
        <v>0</v>
      </c>
      <c r="AF464" s="2829">
        <f>SUM(AF452:AF462)</f>
        <v>0</v>
      </c>
      <c r="AG464" s="2829">
        <f>SUM(AG452:AG462)</f>
        <v>0</v>
      </c>
      <c r="AH464" s="2829">
        <f>SUM(AH452:AH462)</f>
        <v>0</v>
      </c>
      <c r="AJ464" s="3077" t="s">
        <v>85</v>
      </c>
      <c r="AK464" s="3189">
        <f t="shared" si="156"/>
        <v>0</v>
      </c>
      <c r="AL464" s="3193"/>
      <c r="AM464" s="3193"/>
      <c r="AN464" s="3193"/>
      <c r="AO464" s="3193"/>
      <c r="AP464" s="3196"/>
      <c r="AQ464" s="3193"/>
      <c r="AR464" s="3193"/>
      <c r="AS464" s="3193"/>
      <c r="AT464" s="3193"/>
      <c r="AU464" s="3193"/>
      <c r="AV464" s="3193"/>
      <c r="AW464" s="3193"/>
      <c r="AX464" s="3193"/>
      <c r="AY464" s="3193"/>
      <c r="AZ464" s="3193"/>
      <c r="BA464" s="3193"/>
      <c r="BB464" s="3193"/>
      <c r="BC464" s="3193"/>
      <c r="BD464" s="3193"/>
      <c r="BE464" s="3193"/>
      <c r="BF464" s="3193"/>
      <c r="BG464" s="3193"/>
      <c r="BH464" s="3193"/>
      <c r="BI464" s="3193"/>
      <c r="BJ464" s="3193"/>
      <c r="BK464" s="3193"/>
      <c r="BL464" s="3193"/>
      <c r="BM464" s="3193"/>
      <c r="BN464" s="3192"/>
      <c r="BO464" s="3193"/>
      <c r="BP464" s="3192"/>
      <c r="BQ464" s="3192">
        <f t="shared" si="157"/>
        <v>0</v>
      </c>
    </row>
    <row r="465" spans="1:69" s="2622" customFormat="1" ht="15.75" thickBot="1">
      <c r="A465" s="2821"/>
      <c r="B465" s="2821"/>
      <c r="C465" s="2821"/>
      <c r="D465" s="2821"/>
      <c r="E465" s="2821"/>
      <c r="F465" s="2821"/>
      <c r="G465" s="2821"/>
      <c r="H465" s="2821"/>
      <c r="I465" s="2821"/>
      <c r="J465" s="2821"/>
      <c r="K465" s="2821"/>
      <c r="L465" s="2821"/>
      <c r="M465" s="2821"/>
      <c r="N465" s="2821"/>
      <c r="O465" s="2821"/>
      <c r="P465" s="2821"/>
      <c r="Q465" s="2821"/>
      <c r="R465" s="2821"/>
      <c r="S465" s="2821"/>
      <c r="T465" s="2821"/>
      <c r="U465" s="2821"/>
      <c r="V465" s="2821"/>
      <c r="W465" s="2821"/>
      <c r="X465" s="2821"/>
      <c r="Y465" s="2821"/>
      <c r="Z465" s="2821"/>
      <c r="AA465" s="2821"/>
      <c r="AB465" s="2821"/>
      <c r="AC465" s="2821"/>
      <c r="AD465" s="2821"/>
      <c r="AE465" s="2821"/>
      <c r="AF465" s="2821"/>
      <c r="AG465" s="2821"/>
      <c r="AH465" s="2821"/>
      <c r="AJ465" s="3077" t="s">
        <v>86</v>
      </c>
      <c r="AK465" s="3189">
        <f t="shared" si="156"/>
        <v>0</v>
      </c>
      <c r="AL465" s="3193"/>
      <c r="AM465" s="3193"/>
      <c r="AN465" s="3193"/>
      <c r="AO465" s="3193"/>
      <c r="AP465" s="3193"/>
      <c r="AQ465" s="3193"/>
      <c r="AR465" s="3193"/>
      <c r="AS465" s="3193"/>
      <c r="AT465" s="3193"/>
      <c r="AU465" s="3193"/>
      <c r="AV465" s="3193"/>
      <c r="AW465" s="3193"/>
      <c r="AX465" s="3193"/>
      <c r="AY465" s="3193"/>
      <c r="AZ465" s="3193"/>
      <c r="BA465" s="3193"/>
      <c r="BB465" s="3193"/>
      <c r="BC465" s="3193"/>
      <c r="BD465" s="3193"/>
      <c r="BE465" s="3193"/>
      <c r="BF465" s="3193"/>
      <c r="BG465" s="3193"/>
      <c r="BH465" s="3193"/>
      <c r="BI465" s="3193"/>
      <c r="BJ465" s="3193"/>
      <c r="BK465" s="3193"/>
      <c r="BL465" s="3193"/>
      <c r="BM465" s="3193"/>
      <c r="BN465" s="3193"/>
      <c r="BO465" s="3193"/>
      <c r="BP465" s="3193"/>
      <c r="BQ465" s="3192">
        <f t="shared" si="157"/>
        <v>0</v>
      </c>
    </row>
    <row r="466" spans="1:69" s="2622" customFormat="1" ht="16.5" thickBot="1">
      <c r="A466" s="2837"/>
      <c r="B466" s="2838"/>
      <c r="C466" s="2838"/>
      <c r="D466" s="2838"/>
      <c r="E466" s="2838"/>
      <c r="F466" s="3944" t="s">
        <v>155</v>
      </c>
      <c r="G466" s="3945"/>
      <c r="H466" s="3946"/>
      <c r="I466" s="3944" t="s">
        <v>156</v>
      </c>
      <c r="J466" s="3947"/>
      <c r="K466" s="3871" t="s">
        <v>912</v>
      </c>
      <c r="L466" s="3871" t="s">
        <v>913</v>
      </c>
      <c r="M466" s="2821"/>
      <c r="N466" s="2821"/>
      <c r="O466" s="2821"/>
      <c r="P466" s="2821"/>
      <c r="Q466" s="2821"/>
      <c r="R466" s="2821"/>
      <c r="S466" s="2821"/>
      <c r="T466" s="2821"/>
      <c r="U466" s="2821"/>
      <c r="V466" s="2821"/>
      <c r="W466" s="2821"/>
      <c r="X466" s="2821"/>
      <c r="Y466" s="2821"/>
      <c r="Z466" s="2821"/>
      <c r="AA466" s="2821"/>
      <c r="AB466" s="2821"/>
      <c r="AC466" s="2821"/>
      <c r="AD466" s="2821"/>
      <c r="AE466" s="2821"/>
      <c r="AF466" s="2821"/>
      <c r="AG466" s="2821"/>
      <c r="AH466" s="2821"/>
      <c r="AJ466" s="3197" t="s">
        <v>74</v>
      </c>
      <c r="AK466" s="3198">
        <f t="shared" ref="AK466:BA466" si="160">SUM(AK454:AK465)</f>
        <v>0</v>
      </c>
      <c r="AL466" s="3189">
        <f t="shared" si="160"/>
        <v>0</v>
      </c>
      <c r="AM466" s="3189">
        <f t="shared" si="160"/>
        <v>0</v>
      </c>
      <c r="AN466" s="3189">
        <f t="shared" si="160"/>
        <v>0</v>
      </c>
      <c r="AO466" s="3189">
        <f t="shared" si="160"/>
        <v>0</v>
      </c>
      <c r="AP466" s="3189">
        <f t="shared" si="160"/>
        <v>0</v>
      </c>
      <c r="AQ466" s="3189">
        <f t="shared" si="160"/>
        <v>0</v>
      </c>
      <c r="AR466" s="3189">
        <f t="shared" si="160"/>
        <v>0</v>
      </c>
      <c r="AS466" s="3189">
        <f t="shared" si="160"/>
        <v>0</v>
      </c>
      <c r="AT466" s="3189">
        <f t="shared" si="160"/>
        <v>0</v>
      </c>
      <c r="AU466" s="3189">
        <f t="shared" si="160"/>
        <v>0</v>
      </c>
      <c r="AV466" s="3189">
        <f t="shared" si="160"/>
        <v>0</v>
      </c>
      <c r="AW466" s="3189">
        <f t="shared" si="160"/>
        <v>0</v>
      </c>
      <c r="AX466" s="3189">
        <f t="shared" si="160"/>
        <v>0</v>
      </c>
      <c r="AY466" s="3189">
        <f t="shared" si="160"/>
        <v>0</v>
      </c>
      <c r="AZ466" s="3189">
        <f t="shared" si="160"/>
        <v>0</v>
      </c>
      <c r="BA466" s="3189">
        <f t="shared" si="160"/>
        <v>0</v>
      </c>
      <c r="BB466" s="3192">
        <f t="shared" ref="BB466:BL466" si="161">SUM(BB454:BB464)</f>
        <v>0</v>
      </c>
      <c r="BC466" s="3192">
        <f t="shared" si="161"/>
        <v>0</v>
      </c>
      <c r="BD466" s="3192">
        <f t="shared" si="161"/>
        <v>0</v>
      </c>
      <c r="BE466" s="3192">
        <f t="shared" si="161"/>
        <v>0</v>
      </c>
      <c r="BF466" s="3192">
        <f t="shared" si="161"/>
        <v>0</v>
      </c>
      <c r="BG466" s="3192">
        <f t="shared" si="161"/>
        <v>0</v>
      </c>
      <c r="BH466" s="3192">
        <f t="shared" si="161"/>
        <v>0</v>
      </c>
      <c r="BI466" s="3192">
        <f t="shared" si="161"/>
        <v>0</v>
      </c>
      <c r="BJ466" s="3192">
        <f t="shared" si="161"/>
        <v>0</v>
      </c>
      <c r="BK466" s="3192">
        <f t="shared" si="161"/>
        <v>0</v>
      </c>
      <c r="BL466" s="3192">
        <f t="shared" si="161"/>
        <v>0</v>
      </c>
      <c r="BM466" s="3192">
        <v>0</v>
      </c>
      <c r="BN466" s="3192">
        <f>SUM(BN454:BN464)</f>
        <v>0</v>
      </c>
      <c r="BO466" s="3192">
        <f>SUM(BO454:BO464)</f>
        <v>0</v>
      </c>
      <c r="BP466" s="3192">
        <f>SUM(BP454:BP464)</f>
        <v>0</v>
      </c>
      <c r="BQ466" s="3192">
        <f>SUM(BQ454:BQ464)</f>
        <v>0</v>
      </c>
    </row>
    <row r="467" spans="1:69" s="2622" customFormat="1" ht="13.5" thickBot="1">
      <c r="A467" s="2839" t="s">
        <v>158</v>
      </c>
      <c r="B467" s="2840" t="s">
        <v>159</v>
      </c>
      <c r="C467" s="2841" t="s">
        <v>136</v>
      </c>
      <c r="D467" s="2842" t="s">
        <v>134</v>
      </c>
      <c r="E467" s="2840" t="s">
        <v>160</v>
      </c>
      <c r="F467" s="2843" t="s">
        <v>8</v>
      </c>
      <c r="G467" s="2844" t="s">
        <v>161</v>
      </c>
      <c r="H467" s="2845" t="s">
        <v>52</v>
      </c>
      <c r="I467" s="2843" t="s">
        <v>8</v>
      </c>
      <c r="J467" s="2846" t="s">
        <v>162</v>
      </c>
      <c r="K467" s="3872"/>
      <c r="L467" s="3872"/>
      <c r="M467" s="3935"/>
      <c r="N467" s="3936"/>
      <c r="O467" s="3936"/>
      <c r="P467" s="3936"/>
      <c r="Q467" s="2821"/>
      <c r="R467" s="2821"/>
      <c r="S467" s="2821"/>
      <c r="T467" s="2821"/>
      <c r="U467" s="2821"/>
      <c r="V467" s="2821"/>
      <c r="W467" s="2821"/>
      <c r="X467" s="2821"/>
      <c r="Y467" s="2821"/>
      <c r="Z467" s="2821"/>
      <c r="AA467" s="2821"/>
      <c r="AB467" s="2821"/>
      <c r="AC467" s="2821"/>
      <c r="AD467" s="2821"/>
      <c r="AE467" s="2821"/>
      <c r="AF467" s="2821"/>
      <c r="AG467" s="2821"/>
      <c r="AH467" s="2821"/>
      <c r="AJ467" s="3185"/>
      <c r="AK467" s="3185"/>
      <c r="AL467" s="3185"/>
      <c r="AM467" s="3185"/>
      <c r="AN467" s="3185"/>
      <c r="AO467" s="3185"/>
      <c r="AP467" s="3185"/>
      <c r="AQ467" s="3185"/>
      <c r="AR467" s="3185"/>
      <c r="AS467" s="3185"/>
      <c r="AT467" s="3185"/>
      <c r="AU467" s="3185"/>
      <c r="AV467" s="3185"/>
      <c r="AW467" s="3185"/>
      <c r="AX467" s="3185"/>
      <c r="AY467" s="3185"/>
      <c r="AZ467" s="3185"/>
      <c r="BA467" s="3185"/>
      <c r="BB467" s="3185"/>
      <c r="BC467" s="3185"/>
      <c r="BD467" s="3185"/>
      <c r="BE467" s="3185"/>
      <c r="BF467" s="3185"/>
      <c r="BG467" s="3185"/>
      <c r="BH467" s="3185"/>
      <c r="BI467" s="3185"/>
      <c r="BJ467" s="3185"/>
      <c r="BK467" s="3185"/>
      <c r="BL467" s="3185"/>
      <c r="BM467" s="3185"/>
      <c r="BN467" s="3185"/>
      <c r="BO467" s="3185"/>
      <c r="BP467" s="3185"/>
      <c r="BQ467" s="3185"/>
    </row>
    <row r="468" spans="1:69" s="2622" customFormat="1" ht="15.75" thickBot="1">
      <c r="A468" s="2847"/>
      <c r="B468" s="2848"/>
      <c r="C468" s="2849"/>
      <c r="D468" s="2850"/>
      <c r="E468" s="2851"/>
      <c r="F468" s="2847">
        <v>2</v>
      </c>
      <c r="G468" s="2850">
        <v>198</v>
      </c>
      <c r="H468" s="2852">
        <f>SUM(F468:G468)</f>
        <v>200</v>
      </c>
      <c r="I468" s="2847">
        <f>(B464)</f>
        <v>0</v>
      </c>
      <c r="J468" s="2853">
        <f>(B447)</f>
        <v>0</v>
      </c>
      <c r="K468" s="2854">
        <f>+F468-I468</f>
        <v>2</v>
      </c>
      <c r="L468" s="2854">
        <f>+G468-J468</f>
        <v>198</v>
      </c>
      <c r="M468" s="3942"/>
      <c r="N468" s="3943"/>
      <c r="O468" s="3943"/>
      <c r="P468" s="3943"/>
      <c r="Q468" s="2821"/>
      <c r="R468" s="2821"/>
      <c r="S468" s="2821"/>
      <c r="T468" s="2821"/>
      <c r="U468" s="2821"/>
      <c r="V468" s="2821"/>
      <c r="W468" s="2821"/>
      <c r="X468" s="2821"/>
      <c r="Y468" s="2821"/>
      <c r="Z468" s="2821"/>
      <c r="AA468" s="2821"/>
      <c r="AB468" s="2821"/>
      <c r="AC468" s="2821"/>
      <c r="AD468" s="2821"/>
      <c r="AE468" s="2821"/>
      <c r="AF468" s="2821"/>
      <c r="AG468" s="2821"/>
      <c r="AH468" s="2821"/>
      <c r="AJ468" s="3185"/>
      <c r="AK468" s="3185"/>
      <c r="AL468" s="3185"/>
      <c r="AM468" s="3185"/>
      <c r="AN468" s="3185"/>
      <c r="AO468" s="3185"/>
      <c r="AP468" s="3185"/>
      <c r="AQ468" s="3185"/>
      <c r="AR468" s="3185"/>
      <c r="AS468" s="3185"/>
      <c r="AT468" s="3185"/>
      <c r="AU468" s="3185"/>
      <c r="AV468" s="3185"/>
      <c r="AW468" s="3185"/>
      <c r="AX468" s="3185"/>
      <c r="AY468" s="3185"/>
      <c r="AZ468" s="3185"/>
      <c r="BA468" s="3185"/>
      <c r="BB468" s="3185"/>
      <c r="BC468" s="3185"/>
      <c r="BD468" s="3185"/>
      <c r="BE468" s="3185"/>
      <c r="BF468" s="3185"/>
      <c r="BG468" s="3185"/>
      <c r="BH468" s="3185"/>
      <c r="BI468" s="3185"/>
      <c r="BJ468" s="3185"/>
      <c r="BK468" s="3185"/>
      <c r="BL468" s="3185"/>
      <c r="BM468" s="3185"/>
      <c r="BN468" s="3185"/>
      <c r="BO468" s="3185"/>
      <c r="BP468" s="3185"/>
      <c r="BQ468" s="3185"/>
    </row>
    <row r="469" spans="1:69" s="2622" customFormat="1" ht="15.75" thickBot="1">
      <c r="A469" s="2847"/>
      <c r="B469" s="2848"/>
      <c r="C469" s="2849"/>
      <c r="D469" s="2850"/>
      <c r="E469" s="2851"/>
      <c r="F469" s="2847"/>
      <c r="G469" s="2850"/>
      <c r="H469" s="2852">
        <f>SUM(F469:G469)</f>
        <v>0</v>
      </c>
      <c r="I469" s="2847"/>
      <c r="J469" s="2853"/>
      <c r="K469" s="2854">
        <f>+H469-I469-J469</f>
        <v>0</v>
      </c>
      <c r="L469" s="2854">
        <f>+I469-J469-K469</f>
        <v>0</v>
      </c>
      <c r="M469" s="3942"/>
      <c r="N469" s="3943"/>
      <c r="O469" s="3943"/>
      <c r="P469" s="3943"/>
      <c r="Q469" s="2821"/>
      <c r="R469" s="2821"/>
      <c r="S469" s="2821"/>
      <c r="T469" s="2821"/>
      <c r="U469" s="2821"/>
      <c r="V469" s="2821"/>
      <c r="W469" s="2821"/>
      <c r="X469" s="2821"/>
      <c r="Y469" s="2821"/>
      <c r="Z469" s="2821"/>
      <c r="AA469" s="2821"/>
      <c r="AB469" s="2821"/>
      <c r="AC469" s="2821"/>
      <c r="AD469" s="2821"/>
      <c r="AE469" s="2821"/>
      <c r="AF469" s="2821"/>
      <c r="AG469" s="2821"/>
      <c r="AH469" s="2821"/>
      <c r="AJ469" s="3199" t="s">
        <v>1004</v>
      </c>
      <c r="AK469" s="3200"/>
      <c r="AL469" s="3200"/>
      <c r="AM469" s="3200"/>
      <c r="AN469" s="3200"/>
      <c r="AO469" s="3818" t="s">
        <v>155</v>
      </c>
      <c r="AP469" s="3819"/>
      <c r="AQ469" s="3820"/>
      <c r="AR469" s="3818" t="s">
        <v>156</v>
      </c>
      <c r="AS469" s="3821"/>
      <c r="AT469" s="3822" t="s">
        <v>912</v>
      </c>
      <c r="AU469" s="3822" t="s">
        <v>913</v>
      </c>
      <c r="AV469" s="3185"/>
      <c r="AW469" s="3185"/>
      <c r="AX469" s="3185"/>
      <c r="AY469" s="3185"/>
      <c r="AZ469" s="3185"/>
      <c r="BA469" s="3185"/>
      <c r="BB469" s="3185"/>
      <c r="BC469" s="3185"/>
      <c r="BD469" s="3185"/>
      <c r="BE469" s="3185"/>
      <c r="BF469" s="3185"/>
      <c r="BG469" s="3185"/>
      <c r="BH469" s="3185"/>
      <c r="BI469" s="3185"/>
      <c r="BJ469" s="3185"/>
      <c r="BK469" s="3185"/>
      <c r="BL469" s="3185"/>
      <c r="BM469" s="3185"/>
      <c r="BN469" s="3185"/>
      <c r="BO469" s="3185"/>
      <c r="BP469" s="3185"/>
      <c r="BQ469" s="3185"/>
    </row>
    <row r="470" spans="1:69" ht="13.5" thickBot="1">
      <c r="AJ470" s="3201" t="s">
        <v>158</v>
      </c>
      <c r="AK470" s="3202" t="s">
        <v>159</v>
      </c>
      <c r="AL470" s="3203" t="s">
        <v>136</v>
      </c>
      <c r="AM470" s="3204" t="s">
        <v>134</v>
      </c>
      <c r="AN470" s="3202" t="s">
        <v>160</v>
      </c>
      <c r="AO470" s="3205" t="s">
        <v>8</v>
      </c>
      <c r="AP470" s="3206" t="s">
        <v>161</v>
      </c>
      <c r="AQ470" s="3207" t="s">
        <v>52</v>
      </c>
      <c r="AR470" s="3205" t="s">
        <v>8</v>
      </c>
      <c r="AS470" s="3208" t="s">
        <v>162</v>
      </c>
      <c r="AT470" s="3823"/>
      <c r="AU470" s="3823"/>
      <c r="AV470" s="3185"/>
      <c r="AW470" s="3185"/>
      <c r="AX470" s="3185"/>
      <c r="AY470" s="3185"/>
      <c r="AZ470" s="3185"/>
      <c r="BA470" s="3185"/>
      <c r="BB470" s="3185"/>
      <c r="BC470" s="3185"/>
      <c r="BD470" s="3185"/>
      <c r="BE470" s="3185"/>
      <c r="BF470" s="3185"/>
      <c r="BG470" s="3185"/>
      <c r="BH470" s="3185"/>
      <c r="BI470" s="3185"/>
      <c r="BJ470" s="3185"/>
      <c r="BK470" s="3185"/>
      <c r="BL470" s="3185"/>
      <c r="BM470" s="3185"/>
      <c r="BN470" s="3185"/>
      <c r="BO470" s="3185"/>
      <c r="BP470" s="3185"/>
      <c r="BQ470" s="3185"/>
    </row>
    <row r="471" spans="1:69" ht="13.5" thickBot="1">
      <c r="AJ471" s="3209"/>
      <c r="AK471" s="3210"/>
      <c r="AL471" s="3211"/>
      <c r="AM471" s="3212"/>
      <c r="AN471" s="3213"/>
      <c r="AO471" s="3209"/>
      <c r="AP471" s="3212">
        <v>600</v>
      </c>
      <c r="AQ471" s="3214">
        <f>SUM(AO471:AP471)</f>
        <v>600</v>
      </c>
      <c r="AR471" s="3215"/>
      <c r="AS471" s="3215">
        <f>(AK466)</f>
        <v>0</v>
      </c>
      <c r="AT471" s="3216"/>
      <c r="AU471" s="3216">
        <f>+AP471-AS471</f>
        <v>600</v>
      </c>
      <c r="AV471" s="3185"/>
      <c r="AW471" s="3185"/>
      <c r="AX471" s="3185"/>
      <c r="AY471" s="3185"/>
      <c r="AZ471" s="3185"/>
      <c r="BA471" s="3185"/>
      <c r="BB471" s="3185"/>
      <c r="BC471" s="3185"/>
      <c r="BD471" s="3185"/>
      <c r="BE471" s="3185"/>
      <c r="BF471" s="3185"/>
      <c r="BG471" s="3185"/>
      <c r="BH471" s="3185"/>
      <c r="BI471" s="3185"/>
      <c r="BJ471" s="3185"/>
      <c r="BK471" s="3185"/>
      <c r="BL471" s="3185"/>
      <c r="BM471" s="3185"/>
      <c r="BN471" s="3185"/>
      <c r="BO471" s="3185"/>
      <c r="BP471" s="3185"/>
      <c r="BQ471" s="3185"/>
    </row>
    <row r="472" spans="1:69" s="2627" customFormat="1" ht="24" thickBot="1">
      <c r="A472" s="2623" t="s">
        <v>1015</v>
      </c>
      <c r="B472" s="2551"/>
      <c r="C472" s="2551" t="s">
        <v>1016</v>
      </c>
      <c r="D472" s="2549"/>
      <c r="E472" s="2549"/>
      <c r="F472" s="2549"/>
      <c r="G472" s="2549"/>
      <c r="H472" s="3013" t="s">
        <v>1017</v>
      </c>
      <c r="I472" s="1415"/>
      <c r="J472" s="1415"/>
      <c r="K472" s="2549"/>
      <c r="L472" s="3080"/>
      <c r="M472" s="2549"/>
      <c r="N472" s="2549"/>
      <c r="O472" s="2549"/>
      <c r="P472" s="2549"/>
      <c r="Q472" s="2549"/>
      <c r="R472" s="2549"/>
      <c r="S472" s="2549"/>
      <c r="T472" s="2549"/>
      <c r="U472" s="2549"/>
      <c r="V472" s="2549"/>
      <c r="W472" s="2549"/>
      <c r="X472" s="2549"/>
      <c r="Y472" s="2549"/>
      <c r="Z472" s="2549"/>
      <c r="AA472" s="2549"/>
      <c r="AB472" s="2549"/>
      <c r="AC472" s="2549"/>
      <c r="AD472" s="2549"/>
      <c r="AE472" s="2549"/>
      <c r="AF472" s="2549"/>
      <c r="AG472" s="2549"/>
      <c r="AH472" s="2549"/>
      <c r="AJ472" s="3209"/>
      <c r="AK472" s="3210"/>
      <c r="AL472" s="3211"/>
      <c r="AM472" s="3212"/>
      <c r="AN472" s="3213"/>
      <c r="AO472" s="3209"/>
      <c r="AP472" s="3212"/>
      <c r="AQ472" s="3214"/>
      <c r="AR472" s="3217"/>
      <c r="AS472" s="3194"/>
      <c r="AT472" s="3216"/>
      <c r="AU472" s="3216"/>
      <c r="AV472" s="3185"/>
      <c r="AW472" s="3185"/>
      <c r="AX472" s="3185"/>
      <c r="AY472" s="3185"/>
      <c r="AZ472" s="3185"/>
      <c r="BA472" s="3185"/>
      <c r="BB472" s="3185"/>
      <c r="BC472" s="3185"/>
      <c r="BD472" s="3185"/>
      <c r="BE472" s="3185"/>
      <c r="BF472" s="3185"/>
      <c r="BG472" s="3185"/>
      <c r="BH472" s="3185"/>
      <c r="BI472" s="3185"/>
      <c r="BJ472" s="3185"/>
      <c r="BK472" s="3185"/>
      <c r="BL472" s="3185"/>
      <c r="BM472" s="3185"/>
      <c r="BN472" s="3185"/>
      <c r="BO472" s="3185"/>
      <c r="BP472" s="3185"/>
      <c r="BQ472" s="3185"/>
    </row>
    <row r="473" spans="1:69" s="2627" customFormat="1" ht="15">
      <c r="A473" s="3569" t="s">
        <v>264</v>
      </c>
      <c r="B473" s="3570"/>
      <c r="C473" s="3571"/>
      <c r="D473" s="34"/>
      <c r="E473" s="34"/>
      <c r="F473" s="34"/>
      <c r="G473" s="34"/>
      <c r="H473" s="34"/>
      <c r="I473" s="34"/>
      <c r="J473" s="34"/>
      <c r="K473" s="34"/>
      <c r="L473" s="34"/>
      <c r="M473" s="34"/>
      <c r="N473" s="34"/>
      <c r="O473" s="34"/>
      <c r="P473" s="34"/>
      <c r="Q473" s="34"/>
      <c r="R473" s="34"/>
      <c r="S473" s="52"/>
      <c r="T473" s="52"/>
      <c r="U473" s="52"/>
      <c r="V473" s="52"/>
      <c r="W473" s="52"/>
      <c r="X473" s="52"/>
      <c r="Y473" s="52"/>
      <c r="Z473" s="52"/>
      <c r="AA473" s="52"/>
      <c r="AB473" s="52"/>
      <c r="AC473" s="52"/>
      <c r="AD473" s="52"/>
      <c r="AE473" s="52"/>
      <c r="AF473" s="52"/>
      <c r="AG473" s="52"/>
      <c r="AH473" s="13"/>
      <c r="AJ473" s="3185"/>
      <c r="AK473" s="3185"/>
      <c r="AL473" s="3185"/>
      <c r="AM473" s="3185"/>
      <c r="AN473" s="3185"/>
      <c r="AO473" s="3185"/>
      <c r="AP473" s="3185"/>
      <c r="AQ473" s="3185"/>
      <c r="AR473" s="3185"/>
      <c r="AS473" s="3185"/>
      <c r="AT473" s="3185"/>
      <c r="AU473" s="3185"/>
      <c r="AV473" s="3185"/>
      <c r="AW473" s="3185"/>
      <c r="AX473" s="3185"/>
      <c r="AY473" s="3185"/>
      <c r="AZ473" s="3185"/>
      <c r="BA473" s="3185"/>
      <c r="BB473" s="3185"/>
      <c r="BC473" s="3185"/>
      <c r="BD473" s="3185"/>
      <c r="BE473" s="3185"/>
      <c r="BF473" s="3185"/>
      <c r="BG473" s="3185"/>
      <c r="BH473" s="3185"/>
      <c r="BI473" s="3185"/>
      <c r="BJ473" s="3185"/>
      <c r="BK473" s="3185"/>
      <c r="BL473" s="3185"/>
      <c r="BM473" s="3185"/>
      <c r="BN473" s="3185"/>
      <c r="BO473" s="3185"/>
      <c r="BP473" s="3185"/>
      <c r="BQ473" s="3185"/>
    </row>
    <row r="474" spans="1:69" s="2627" customFormat="1" ht="15">
      <c r="A474" s="5" t="s">
        <v>72</v>
      </c>
      <c r="B474" s="28" t="s">
        <v>73</v>
      </c>
      <c r="C474" s="72">
        <v>1</v>
      </c>
      <c r="D474" s="35">
        <v>2</v>
      </c>
      <c r="E474" s="35">
        <v>3</v>
      </c>
      <c r="F474" s="35">
        <v>4</v>
      </c>
      <c r="G474" s="35">
        <v>5</v>
      </c>
      <c r="H474" s="35">
        <v>6</v>
      </c>
      <c r="I474" s="35">
        <v>7</v>
      </c>
      <c r="J474" s="35">
        <v>8</v>
      </c>
      <c r="K474" s="35">
        <v>9</v>
      </c>
      <c r="L474" s="35">
        <v>10</v>
      </c>
      <c r="M474" s="35">
        <v>11</v>
      </c>
      <c r="N474" s="35">
        <v>12</v>
      </c>
      <c r="O474" s="35">
        <v>13</v>
      </c>
      <c r="P474" s="35">
        <v>14</v>
      </c>
      <c r="Q474" s="35">
        <v>15</v>
      </c>
      <c r="R474" s="35">
        <v>16</v>
      </c>
      <c r="S474" s="30">
        <v>17</v>
      </c>
      <c r="T474" s="30">
        <v>18</v>
      </c>
      <c r="U474" s="30">
        <v>19</v>
      </c>
      <c r="V474" s="30">
        <v>20</v>
      </c>
      <c r="W474" s="30">
        <v>21</v>
      </c>
      <c r="X474" s="30">
        <v>22</v>
      </c>
      <c r="Y474" s="30">
        <v>23</v>
      </c>
      <c r="Z474" s="30">
        <v>24</v>
      </c>
      <c r="AA474" s="30">
        <v>25</v>
      </c>
      <c r="AB474" s="30">
        <v>26</v>
      </c>
      <c r="AC474" s="30">
        <v>27</v>
      </c>
      <c r="AD474" s="30">
        <v>28</v>
      </c>
      <c r="AE474" s="30">
        <v>29</v>
      </c>
      <c r="AF474" s="30">
        <v>30</v>
      </c>
      <c r="AG474" s="30">
        <v>31</v>
      </c>
      <c r="AH474" s="39" t="s">
        <v>74</v>
      </c>
      <c r="AJ474" s="3185"/>
      <c r="AK474" s="3185"/>
      <c r="AL474" s="3185"/>
      <c r="AM474" s="3185"/>
      <c r="AN474" s="3185"/>
      <c r="AO474" s="3185"/>
      <c r="AP474" s="3185"/>
      <c r="AQ474" s="3185"/>
      <c r="AR474" s="3185"/>
      <c r="AS474" s="3185"/>
      <c r="AT474" s="3185"/>
      <c r="AU474" s="3185"/>
      <c r="AV474" s="3185"/>
      <c r="AW474" s="3185"/>
      <c r="AX474" s="3185"/>
      <c r="AY474" s="3185"/>
      <c r="AZ474" s="3185"/>
      <c r="BA474" s="3185"/>
      <c r="BB474" s="3185"/>
      <c r="BC474" s="3185"/>
      <c r="BD474" s="3185"/>
      <c r="BE474" s="3185"/>
      <c r="BF474" s="3185"/>
      <c r="BG474" s="3185"/>
      <c r="BH474" s="3185"/>
      <c r="BI474" s="3185"/>
      <c r="BJ474" s="3185"/>
      <c r="BK474" s="3185"/>
      <c r="BL474" s="3185"/>
      <c r="BM474" s="3185"/>
      <c r="BN474" s="3185"/>
      <c r="BO474" s="3185"/>
      <c r="BP474" s="3185"/>
      <c r="BQ474" s="3185"/>
    </row>
    <row r="475" spans="1:69" s="2627" customFormat="1" ht="33">
      <c r="A475" s="128" t="s">
        <v>75</v>
      </c>
      <c r="B475" s="28">
        <f t="shared" ref="B475:B486" si="162">+AH475</f>
        <v>0</v>
      </c>
      <c r="C475" s="1930"/>
      <c r="D475" s="1930"/>
      <c r="E475" s="1930"/>
      <c r="F475" s="1930"/>
      <c r="G475" s="1930"/>
      <c r="H475" s="1930"/>
      <c r="I475" s="1930"/>
      <c r="J475" s="1930"/>
      <c r="K475" s="1930"/>
      <c r="L475" s="1930"/>
      <c r="M475" s="1930"/>
      <c r="N475" s="1930"/>
      <c r="O475" s="1930"/>
      <c r="P475" s="1930"/>
      <c r="Q475" s="1930"/>
      <c r="R475" s="1930"/>
      <c r="S475" s="1930"/>
      <c r="T475" s="1930"/>
      <c r="U475" s="1930"/>
      <c r="V475" s="1930"/>
      <c r="W475" s="1930"/>
      <c r="X475" s="1930"/>
      <c r="Y475" s="1930"/>
      <c r="Z475" s="1930"/>
      <c r="AA475" s="1930"/>
      <c r="AB475" s="1930"/>
      <c r="AC475" s="1930"/>
      <c r="AD475" s="1930"/>
      <c r="AE475" s="1930"/>
      <c r="AF475" s="1930"/>
      <c r="AG475" s="1930"/>
      <c r="AH475" s="53">
        <f>SUM(C475:AG475)</f>
        <v>0</v>
      </c>
      <c r="AJ475" s="3220" t="s">
        <v>1118</v>
      </c>
      <c r="AK475" s="3184"/>
      <c r="AL475" s="3219" t="s">
        <v>1117</v>
      </c>
      <c r="AM475" s="3185"/>
      <c r="AN475" s="3185"/>
      <c r="AO475" s="3185"/>
      <c r="AP475" s="3080"/>
      <c r="AQ475" s="3184" t="s">
        <v>1006</v>
      </c>
      <c r="AR475" s="3185"/>
      <c r="AS475" s="3185"/>
      <c r="AT475" s="3185"/>
      <c r="AU475" s="3186" t="s">
        <v>1119</v>
      </c>
      <c r="AV475" s="3218"/>
      <c r="AW475" s="3185"/>
      <c r="AX475" s="3185"/>
      <c r="AY475" s="3185"/>
      <c r="AZ475" s="3185"/>
      <c r="BA475" s="3185"/>
      <c r="BB475" s="3185"/>
      <c r="BC475" s="3185"/>
      <c r="BD475" s="3185"/>
      <c r="BE475" s="3185"/>
      <c r="BF475" s="3185"/>
      <c r="BG475" s="3185"/>
      <c r="BH475" s="3185"/>
      <c r="BI475" s="3185"/>
      <c r="BJ475" s="3185"/>
      <c r="BK475" s="3185"/>
      <c r="BL475" s="3185"/>
      <c r="BM475" s="3185"/>
      <c r="BN475" s="3185"/>
      <c r="BO475" s="3185"/>
      <c r="BP475" s="3185"/>
      <c r="BQ475" s="3185"/>
    </row>
    <row r="476" spans="1:69" s="2627" customFormat="1" ht="15">
      <c r="A476" s="128" t="s">
        <v>76</v>
      </c>
      <c r="B476" s="28">
        <f t="shared" si="162"/>
        <v>0</v>
      </c>
      <c r="C476" s="1930"/>
      <c r="D476" s="1930"/>
      <c r="E476" s="1930"/>
      <c r="F476" s="1930"/>
      <c r="G476" s="1930"/>
      <c r="H476" s="1930"/>
      <c r="I476" s="1930"/>
      <c r="J476" s="1930"/>
      <c r="K476" s="1930"/>
      <c r="L476" s="1930"/>
      <c r="M476" s="1930"/>
      <c r="N476" s="1930"/>
      <c r="O476" s="1930"/>
      <c r="P476" s="1930"/>
      <c r="Q476" s="1930"/>
      <c r="R476" s="1930"/>
      <c r="S476" s="1930"/>
      <c r="T476" s="1930"/>
      <c r="U476" s="1930"/>
      <c r="V476" s="1930"/>
      <c r="W476" s="1930"/>
      <c r="X476" s="1930"/>
      <c r="Y476" s="1930"/>
      <c r="Z476" s="1930"/>
      <c r="AA476" s="1930"/>
      <c r="AB476" s="1930"/>
      <c r="AC476" s="1930"/>
      <c r="AD476" s="1930"/>
      <c r="AE476" s="1930"/>
      <c r="AF476" s="1930"/>
      <c r="AG476" s="1930"/>
      <c r="AH476" s="53">
        <f t="shared" ref="AH476:AH486" si="163">SUM(C476:AG476)</f>
        <v>0</v>
      </c>
      <c r="AJ476" s="3807" t="s">
        <v>271</v>
      </c>
      <c r="AK476" s="3808"/>
      <c r="AL476" s="3809"/>
      <c r="AM476" s="3187"/>
      <c r="AN476" s="3187"/>
      <c r="AO476" s="3187"/>
      <c r="AP476" s="3187"/>
      <c r="AQ476" s="3187"/>
      <c r="AR476" s="3187"/>
      <c r="AS476" s="3187"/>
      <c r="AT476" s="3187"/>
      <c r="AU476" s="3187"/>
      <c r="AV476" s="3187"/>
      <c r="AW476" s="3187"/>
      <c r="AX476" s="3187"/>
      <c r="AY476" s="3187"/>
      <c r="AZ476" s="3187"/>
      <c r="BA476" s="3187"/>
      <c r="BB476" s="3188"/>
      <c r="BC476" s="3188"/>
      <c r="BD476" s="3188"/>
      <c r="BE476" s="3188"/>
      <c r="BF476" s="3188"/>
      <c r="BG476" s="3188"/>
      <c r="BH476" s="3188"/>
      <c r="BI476" s="3188"/>
      <c r="BJ476" s="3188"/>
      <c r="BK476" s="3188"/>
      <c r="BL476" s="3188"/>
      <c r="BM476" s="3188"/>
      <c r="BN476" s="3188"/>
      <c r="BO476" s="3188"/>
      <c r="BP476" s="3188"/>
      <c r="BQ476" s="3188"/>
    </row>
    <row r="477" spans="1:69" s="2627" customFormat="1" ht="15">
      <c r="A477" s="128" t="s">
        <v>77</v>
      </c>
      <c r="B477" s="36">
        <f t="shared" si="162"/>
        <v>0</v>
      </c>
      <c r="C477" s="1930"/>
      <c r="D477" s="1930"/>
      <c r="E477" s="1930"/>
      <c r="F477" s="1930"/>
      <c r="G477" s="1930"/>
      <c r="H477" s="1287"/>
      <c r="I477" s="1287"/>
      <c r="J477" s="1287"/>
      <c r="K477" s="1287"/>
      <c r="L477" s="1287"/>
      <c r="M477" s="1287"/>
      <c r="N477" s="1287"/>
      <c r="O477" s="1287"/>
      <c r="P477" s="1287"/>
      <c r="Q477" s="1287"/>
      <c r="R477" s="1287"/>
      <c r="S477" s="1287"/>
      <c r="T477" s="1287"/>
      <c r="U477" s="1287"/>
      <c r="V477" s="1287"/>
      <c r="W477" s="1287"/>
      <c r="X477" s="1287"/>
      <c r="Y477" s="1287"/>
      <c r="Z477" s="1287"/>
      <c r="AA477" s="1287"/>
      <c r="AB477" s="1815"/>
      <c r="AC477" s="1930"/>
      <c r="AD477" s="1287"/>
      <c r="AE477" s="1930"/>
      <c r="AF477" s="1930"/>
      <c r="AG477" s="1930"/>
      <c r="AH477" s="53">
        <f t="shared" si="163"/>
        <v>0</v>
      </c>
      <c r="AJ477" s="3077" t="s">
        <v>72</v>
      </c>
      <c r="AK477" s="3189" t="s">
        <v>73</v>
      </c>
      <c r="AL477" s="3073">
        <v>1</v>
      </c>
      <c r="AM477" s="3073">
        <v>2</v>
      </c>
      <c r="AN477" s="3073">
        <v>3</v>
      </c>
      <c r="AO477" s="3073">
        <v>4</v>
      </c>
      <c r="AP477" s="3073">
        <v>5</v>
      </c>
      <c r="AQ477" s="3073">
        <v>6</v>
      </c>
      <c r="AR477" s="3073">
        <v>7</v>
      </c>
      <c r="AS477" s="3073">
        <v>8</v>
      </c>
      <c r="AT477" s="3073">
        <v>9</v>
      </c>
      <c r="AU477" s="3073">
        <v>10</v>
      </c>
      <c r="AV477" s="3073">
        <v>11</v>
      </c>
      <c r="AW477" s="3073">
        <v>12</v>
      </c>
      <c r="AX477" s="3073">
        <v>13</v>
      </c>
      <c r="AY477" s="3073">
        <v>14</v>
      </c>
      <c r="AZ477" s="3073">
        <v>15</v>
      </c>
      <c r="BA477" s="3073">
        <v>16</v>
      </c>
      <c r="BB477" s="3077">
        <v>17</v>
      </c>
      <c r="BC477" s="3077">
        <v>18</v>
      </c>
      <c r="BD477" s="3077">
        <v>19</v>
      </c>
      <c r="BE477" s="3077">
        <v>20</v>
      </c>
      <c r="BF477" s="3077">
        <v>21</v>
      </c>
      <c r="BG477" s="3077">
        <v>22</v>
      </c>
      <c r="BH477" s="3077">
        <v>23</v>
      </c>
      <c r="BI477" s="3077">
        <v>24</v>
      </c>
      <c r="BJ477" s="3077">
        <v>25</v>
      </c>
      <c r="BK477" s="3077">
        <v>26</v>
      </c>
      <c r="BL477" s="3077">
        <v>27</v>
      </c>
      <c r="BM477" s="3077">
        <v>28</v>
      </c>
      <c r="BN477" s="3077">
        <v>29</v>
      </c>
      <c r="BO477" s="3077">
        <v>30</v>
      </c>
      <c r="BP477" s="3077">
        <v>31</v>
      </c>
      <c r="BQ477" s="3190" t="s">
        <v>74</v>
      </c>
    </row>
    <row r="478" spans="1:69" s="2627" customFormat="1" ht="15">
      <c r="A478" s="128" t="s">
        <v>78</v>
      </c>
      <c r="B478" s="28">
        <f t="shared" si="162"/>
        <v>0</v>
      </c>
      <c r="C478" s="1930"/>
      <c r="D478" s="1930"/>
      <c r="E478" s="1930"/>
      <c r="F478" s="1930"/>
      <c r="G478" s="1930"/>
      <c r="H478" s="1930"/>
      <c r="I478" s="1930"/>
      <c r="J478" s="1930"/>
      <c r="K478" s="1930"/>
      <c r="L478" s="2465"/>
      <c r="M478" s="2465"/>
      <c r="N478" s="2610"/>
      <c r="O478" s="2465"/>
      <c r="P478" s="2465"/>
      <c r="Q478" s="2465"/>
      <c r="R478" s="2465"/>
      <c r="S478" s="2465"/>
      <c r="T478" s="2465"/>
      <c r="U478" s="2465"/>
      <c r="V478" s="2465"/>
      <c r="W478" s="2465"/>
      <c r="X478" s="2465"/>
      <c r="Y478" s="2465"/>
      <c r="Z478" s="2465"/>
      <c r="AA478" s="2465"/>
      <c r="AB478" s="2465"/>
      <c r="AC478" s="2465"/>
      <c r="AD478" s="2465"/>
      <c r="AE478" s="2465"/>
      <c r="AF478" s="2465"/>
      <c r="AG478" s="2465"/>
      <c r="AH478" s="53">
        <f t="shared" si="163"/>
        <v>0</v>
      </c>
      <c r="AJ478" s="3077" t="s">
        <v>75</v>
      </c>
      <c r="AK478" s="3189">
        <f t="shared" ref="AK478:AK489" si="164">+BQ478</f>
        <v>0</v>
      </c>
      <c r="AL478" s="3191"/>
      <c r="AM478" s="3191"/>
      <c r="AN478" s="3191"/>
      <c r="AO478" s="3191"/>
      <c r="AP478" s="3191"/>
      <c r="AQ478" s="3191"/>
      <c r="AR478" s="3191"/>
      <c r="AS478" s="3191"/>
      <c r="AT478" s="3191"/>
      <c r="AU478" s="3191"/>
      <c r="AV478" s="3191"/>
      <c r="AW478" s="3191"/>
      <c r="AX478" s="3191"/>
      <c r="AY478" s="3191"/>
      <c r="AZ478" s="3191"/>
      <c r="BA478" s="3191"/>
      <c r="BB478" s="3191"/>
      <c r="BC478" s="3191"/>
      <c r="BD478" s="3191"/>
      <c r="BE478" s="3191"/>
      <c r="BF478" s="3191"/>
      <c r="BG478" s="3191"/>
      <c r="BH478" s="3191"/>
      <c r="BI478" s="3191"/>
      <c r="BJ478" s="3191"/>
      <c r="BK478" s="3191"/>
      <c r="BL478" s="3191"/>
      <c r="BM478" s="3191"/>
      <c r="BN478" s="3191"/>
      <c r="BO478" s="3191"/>
      <c r="BP478" s="3191"/>
      <c r="BQ478" s="3192">
        <f>SUM(AL478:BP478)</f>
        <v>0</v>
      </c>
    </row>
    <row r="479" spans="1:69" s="2627" customFormat="1" ht="15.75" thickBot="1">
      <c r="A479" s="132" t="s">
        <v>79</v>
      </c>
      <c r="B479" s="28">
        <f t="shared" si="162"/>
        <v>204.34400000000002</v>
      </c>
      <c r="C479" s="1287"/>
      <c r="D479" s="1287"/>
      <c r="E479" s="1287"/>
      <c r="F479" s="1287"/>
      <c r="G479" s="1287"/>
      <c r="H479" s="1287"/>
      <c r="I479" s="1287"/>
      <c r="J479" s="1287"/>
      <c r="K479" s="1287">
        <v>14.057</v>
      </c>
      <c r="L479" s="1287"/>
      <c r="M479" s="1287"/>
      <c r="N479" s="1287"/>
      <c r="O479" s="1287"/>
      <c r="P479" s="1287"/>
      <c r="Q479" s="1287"/>
      <c r="R479" s="1287"/>
      <c r="S479" s="1287">
        <v>45.012999999999998</v>
      </c>
      <c r="T479" s="1287"/>
      <c r="U479" s="1287">
        <v>37.188000000000002</v>
      </c>
      <c r="V479" s="1287">
        <v>43.548999999999999</v>
      </c>
      <c r="W479" s="1287">
        <v>23.744</v>
      </c>
      <c r="X479" s="1287"/>
      <c r="Y479" s="1287"/>
      <c r="Z479" s="1287"/>
      <c r="AA479" s="1287"/>
      <c r="AB479" s="1287">
        <v>40.792999999999999</v>
      </c>
      <c r="AC479" s="1287"/>
      <c r="AD479" s="1287"/>
      <c r="AE479" s="1287"/>
      <c r="AF479" s="1287"/>
      <c r="AG479" s="1287"/>
      <c r="AH479" s="53">
        <f t="shared" si="163"/>
        <v>204.34400000000002</v>
      </c>
      <c r="AJ479" s="3077" t="s">
        <v>76</v>
      </c>
      <c r="AK479" s="3189">
        <f t="shared" si="164"/>
        <v>0</v>
      </c>
      <c r="AL479" s="3191"/>
      <c r="AM479" s="3191"/>
      <c r="AN479" s="3191"/>
      <c r="AO479" s="3191"/>
      <c r="AP479" s="3191"/>
      <c r="AQ479" s="3191"/>
      <c r="AR479" s="3191"/>
      <c r="AS479" s="3191"/>
      <c r="AT479" s="3191"/>
      <c r="AU479" s="3191"/>
      <c r="AV479" s="3191"/>
      <c r="AW479" s="3191"/>
      <c r="AX479" s="3191"/>
      <c r="AY479" s="3191"/>
      <c r="AZ479" s="3191"/>
      <c r="BA479" s="3191"/>
      <c r="BB479" s="3191"/>
      <c r="BC479" s="3191"/>
      <c r="BD479" s="3191"/>
      <c r="BE479" s="3191"/>
      <c r="BF479" s="3191"/>
      <c r="BG479" s="3191"/>
      <c r="BH479" s="3191"/>
      <c r="BI479" s="3191"/>
      <c r="BJ479" s="3191"/>
      <c r="BK479" s="3191"/>
      <c r="BL479" s="3191"/>
      <c r="BM479" s="3191"/>
      <c r="BN479" s="3191"/>
      <c r="BO479" s="3191"/>
      <c r="BP479" s="3191"/>
      <c r="BQ479" s="3192">
        <f t="shared" ref="BQ479:BQ489" si="165">SUM(AL479:BP479)</f>
        <v>0</v>
      </c>
    </row>
    <row r="480" spans="1:69" s="2627" customFormat="1" ht="15.75" thickBot="1">
      <c r="A480" s="132" t="s">
        <v>80</v>
      </c>
      <c r="B480" s="28">
        <f t="shared" si="162"/>
        <v>0</v>
      </c>
      <c r="C480" s="1287"/>
      <c r="D480" s="1287"/>
      <c r="E480" s="1287"/>
      <c r="F480" s="1287"/>
      <c r="G480" s="1287"/>
      <c r="H480" s="1287"/>
      <c r="I480" s="1287"/>
      <c r="J480" s="1287"/>
      <c r="K480" s="1287"/>
      <c r="L480" s="1287"/>
      <c r="M480" s="1287"/>
      <c r="N480" s="1287"/>
      <c r="O480" s="1287"/>
      <c r="P480" s="1287"/>
      <c r="Q480" s="1287"/>
      <c r="R480" s="1287"/>
      <c r="S480" s="1287"/>
      <c r="T480" s="1287"/>
      <c r="U480" s="1287"/>
      <c r="V480" s="1287"/>
      <c r="W480" s="1287"/>
      <c r="X480" s="1287"/>
      <c r="Y480" s="1287"/>
      <c r="Z480" s="1287"/>
      <c r="AA480" s="1287"/>
      <c r="AB480" s="1287"/>
      <c r="AC480" s="1287"/>
      <c r="AD480" s="1287"/>
      <c r="AE480" s="1287"/>
      <c r="AF480" s="1287"/>
      <c r="AG480" s="1287"/>
      <c r="AH480" s="53">
        <f t="shared" si="163"/>
        <v>0</v>
      </c>
      <c r="AJ480" s="3077" t="s">
        <v>77</v>
      </c>
      <c r="AK480" s="3189">
        <f t="shared" si="164"/>
        <v>0</v>
      </c>
      <c r="AL480" s="3191"/>
      <c r="AM480" s="3191"/>
      <c r="AN480" s="3191"/>
      <c r="AO480" s="3191"/>
      <c r="AP480" s="3191"/>
      <c r="AQ480" s="3193"/>
      <c r="AR480" s="3193"/>
      <c r="AS480" s="3193"/>
      <c r="AT480" s="3193"/>
      <c r="AU480" s="3193"/>
      <c r="AV480" s="3193"/>
      <c r="AW480" s="3193"/>
      <c r="AX480" s="3193"/>
      <c r="AY480" s="3193"/>
      <c r="AZ480" s="3193"/>
      <c r="BA480" s="3194"/>
      <c r="BB480" s="3193"/>
      <c r="BC480" s="3193"/>
      <c r="BD480" s="3193"/>
      <c r="BE480" s="3193"/>
      <c r="BF480" s="3193"/>
      <c r="BG480" s="3193"/>
      <c r="BH480" s="3193"/>
      <c r="BI480" s="3193"/>
      <c r="BJ480" s="3193"/>
      <c r="BK480" s="3193"/>
      <c r="BL480" s="3191"/>
      <c r="BM480" s="3191"/>
      <c r="BN480" s="3191"/>
      <c r="BO480" s="3191"/>
      <c r="BP480" s="3191"/>
      <c r="BQ480" s="3192">
        <f t="shared" si="165"/>
        <v>0</v>
      </c>
    </row>
    <row r="481" spans="1:69" s="2627" customFormat="1" ht="15">
      <c r="A481" s="132" t="s">
        <v>81</v>
      </c>
      <c r="B481" s="28">
        <f t="shared" si="162"/>
        <v>0</v>
      </c>
      <c r="C481" s="1287"/>
      <c r="D481" s="1488"/>
      <c r="E481" s="1488"/>
      <c r="F481" s="1488"/>
      <c r="G481" s="1287"/>
      <c r="H481" s="1287"/>
      <c r="I481" s="1287"/>
      <c r="J481" s="1287"/>
      <c r="K481" s="1287"/>
      <c r="L481" s="1287"/>
      <c r="M481" s="1287"/>
      <c r="N481" s="1287"/>
      <c r="O481" s="1287"/>
      <c r="P481" s="1287"/>
      <c r="Q481" s="1287"/>
      <c r="R481" s="1287"/>
      <c r="S481" s="1287"/>
      <c r="T481" s="1287"/>
      <c r="U481" s="1287"/>
      <c r="V481" s="1287"/>
      <c r="W481" s="1287"/>
      <c r="X481" s="1287"/>
      <c r="Y481" s="1287"/>
      <c r="Z481" s="1287"/>
      <c r="AA481" s="1287"/>
      <c r="AB481" s="1287"/>
      <c r="AC481" s="1287"/>
      <c r="AD481" s="1287"/>
      <c r="AE481" s="1287"/>
      <c r="AF481" s="1287"/>
      <c r="AG481" s="1287"/>
      <c r="AH481" s="53">
        <f t="shared" si="163"/>
        <v>0</v>
      </c>
      <c r="AJ481" s="3077" t="s">
        <v>78</v>
      </c>
      <c r="AK481" s="3189">
        <f t="shared" si="164"/>
        <v>0</v>
      </c>
      <c r="AL481" s="3191"/>
      <c r="AM481" s="3191"/>
      <c r="AN481" s="3191"/>
      <c r="AO481" s="3191"/>
      <c r="AP481" s="3191"/>
      <c r="AQ481" s="3191"/>
      <c r="AR481" s="3191"/>
      <c r="AS481" s="3191"/>
      <c r="AT481" s="3191"/>
      <c r="AU481" s="3195"/>
      <c r="AV481" s="3195"/>
      <c r="AW481" s="3195"/>
      <c r="AX481" s="3195"/>
      <c r="AY481" s="3195"/>
      <c r="AZ481" s="3195"/>
      <c r="BA481" s="3195"/>
      <c r="BB481" s="3195"/>
      <c r="BC481" s="3195"/>
      <c r="BD481" s="3195"/>
      <c r="BE481" s="3195"/>
      <c r="BF481" s="3195"/>
      <c r="BG481" s="3195"/>
      <c r="BH481" s="3195"/>
      <c r="BI481" s="3195"/>
      <c r="BJ481" s="3195"/>
      <c r="BK481" s="3195"/>
      <c r="BL481" s="3195"/>
      <c r="BM481" s="3195"/>
      <c r="BN481" s="3195"/>
      <c r="BO481" s="3195"/>
      <c r="BP481" s="3195"/>
      <c r="BQ481" s="3192">
        <f t="shared" si="165"/>
        <v>0</v>
      </c>
    </row>
    <row r="482" spans="1:69" s="2627" customFormat="1" ht="15">
      <c r="A482" s="132" t="s">
        <v>82</v>
      </c>
      <c r="B482" s="28">
        <f t="shared" si="162"/>
        <v>0</v>
      </c>
      <c r="C482" s="1287"/>
      <c r="D482" s="1287"/>
      <c r="E482" s="1287"/>
      <c r="F482" s="1287"/>
      <c r="G482" s="1287"/>
      <c r="H482" s="1287"/>
      <c r="I482" s="1287"/>
      <c r="J482" s="1287"/>
      <c r="K482" s="1287"/>
      <c r="L482" s="1287"/>
      <c r="M482" s="1287"/>
      <c r="N482" s="1287"/>
      <c r="O482" s="1287"/>
      <c r="P482" s="1287"/>
      <c r="Q482" s="1287"/>
      <c r="R482" s="1287"/>
      <c r="S482" s="1287"/>
      <c r="T482" s="1287"/>
      <c r="U482" s="1287"/>
      <c r="V482" s="1287"/>
      <c r="W482" s="1287"/>
      <c r="X482" s="1287"/>
      <c r="Y482" s="1287"/>
      <c r="Z482" s="1287"/>
      <c r="AA482" s="1287"/>
      <c r="AB482" s="1287"/>
      <c r="AC482" s="1287"/>
      <c r="AD482" s="1287"/>
      <c r="AE482" s="1287"/>
      <c r="AF482" s="1287"/>
      <c r="AG482" s="1287"/>
      <c r="AH482" s="53">
        <f t="shared" si="163"/>
        <v>0</v>
      </c>
      <c r="AJ482" s="3077" t="s">
        <v>79</v>
      </c>
      <c r="AK482" s="3189">
        <f t="shared" si="164"/>
        <v>0</v>
      </c>
      <c r="AL482" s="3193"/>
      <c r="AM482" s="3193"/>
      <c r="AN482" s="3193"/>
      <c r="AO482" s="3193"/>
      <c r="AP482" s="3193"/>
      <c r="AQ482" s="3193"/>
      <c r="AR482" s="3193"/>
      <c r="AS482" s="3193"/>
      <c r="AT482" s="3193"/>
      <c r="AU482" s="3193"/>
      <c r="AV482" s="3193"/>
      <c r="AW482" s="3193"/>
      <c r="AX482" s="3193"/>
      <c r="AY482" s="3193"/>
      <c r="AZ482" s="3193"/>
      <c r="BA482" s="3193"/>
      <c r="BB482" s="3193"/>
      <c r="BC482" s="3193"/>
      <c r="BD482" s="3193"/>
      <c r="BE482" s="3193"/>
      <c r="BF482" s="3193"/>
      <c r="BG482" s="3193"/>
      <c r="BH482" s="3193"/>
      <c r="BI482" s="3193"/>
      <c r="BJ482" s="3193"/>
      <c r="BK482" s="3193"/>
      <c r="BL482" s="3193"/>
      <c r="BM482" s="3193"/>
      <c r="BN482" s="3193"/>
      <c r="BO482" s="3193"/>
      <c r="BP482" s="3193"/>
      <c r="BQ482" s="3192">
        <f t="shared" si="165"/>
        <v>0</v>
      </c>
    </row>
    <row r="483" spans="1:69" s="2627" customFormat="1" ht="15">
      <c r="A483" s="30" t="s">
        <v>83</v>
      </c>
      <c r="B483" s="28">
        <f t="shared" si="162"/>
        <v>0</v>
      </c>
      <c r="C483" s="1287"/>
      <c r="D483" s="1287"/>
      <c r="E483" s="1287"/>
      <c r="F483" s="1287"/>
      <c r="G483" s="1287"/>
      <c r="H483" s="1287"/>
      <c r="I483" s="1287"/>
      <c r="J483" s="1287"/>
      <c r="K483" s="1287"/>
      <c r="L483" s="1287"/>
      <c r="M483" s="1287"/>
      <c r="N483" s="1287"/>
      <c r="O483" s="1287"/>
      <c r="P483" s="1287"/>
      <c r="Q483" s="1287"/>
      <c r="R483" s="1287"/>
      <c r="S483" s="1287"/>
      <c r="T483" s="1287"/>
      <c r="U483" s="1287"/>
      <c r="V483" s="1287"/>
      <c r="W483" s="1287"/>
      <c r="X483" s="1287"/>
      <c r="Y483" s="1287"/>
      <c r="Z483" s="1287"/>
      <c r="AA483" s="1287"/>
      <c r="AB483" s="1287"/>
      <c r="AC483" s="1287"/>
      <c r="AD483" s="1287"/>
      <c r="AE483" s="1287"/>
      <c r="AF483" s="1287"/>
      <c r="AG483" s="1287"/>
      <c r="AH483" s="53">
        <f t="shared" si="163"/>
        <v>0</v>
      </c>
      <c r="AJ483" s="3077" t="s">
        <v>80</v>
      </c>
      <c r="AK483" s="3189">
        <f t="shared" si="164"/>
        <v>0</v>
      </c>
      <c r="AL483" s="3193"/>
      <c r="AM483" s="3193"/>
      <c r="AN483" s="3193"/>
      <c r="AO483" s="3193"/>
      <c r="AP483" s="3193"/>
      <c r="AQ483" s="3193"/>
      <c r="AR483" s="3193"/>
      <c r="AS483" s="3193"/>
      <c r="AT483" s="3193"/>
      <c r="AU483" s="3193"/>
      <c r="AV483" s="3193"/>
      <c r="AW483" s="3193"/>
      <c r="AX483" s="3193"/>
      <c r="AY483" s="3193"/>
      <c r="AZ483" s="3193"/>
      <c r="BA483" s="3193"/>
      <c r="BB483" s="3193"/>
      <c r="BC483" s="3193"/>
      <c r="BD483" s="3193"/>
      <c r="BE483" s="3193"/>
      <c r="BF483" s="3193"/>
      <c r="BG483" s="3193"/>
      <c r="BH483" s="3193"/>
      <c r="BI483" s="3193"/>
      <c r="BJ483" s="3193"/>
      <c r="BK483" s="3193"/>
      <c r="BL483" s="3193"/>
      <c r="BM483" s="3193"/>
      <c r="BN483" s="3193"/>
      <c r="BO483" s="3193"/>
      <c r="BP483" s="3193"/>
      <c r="BQ483" s="3192">
        <f t="shared" si="165"/>
        <v>0</v>
      </c>
    </row>
    <row r="484" spans="1:69" s="2627" customFormat="1" ht="15">
      <c r="A484" s="30" t="s">
        <v>84</v>
      </c>
      <c r="B484" s="28">
        <f t="shared" si="162"/>
        <v>0</v>
      </c>
      <c r="C484" s="1287"/>
      <c r="D484" s="1287"/>
      <c r="E484" s="1287"/>
      <c r="F484" s="1287"/>
      <c r="G484" s="1287"/>
      <c r="H484" s="1287"/>
      <c r="I484" s="1287"/>
      <c r="J484" s="1287"/>
      <c r="K484" s="1287"/>
      <c r="L484" s="1287"/>
      <c r="M484" s="1287"/>
      <c r="N484" s="1287"/>
      <c r="O484" s="1287"/>
      <c r="P484" s="1287"/>
      <c r="Q484" s="1287"/>
      <c r="R484" s="1287"/>
      <c r="S484" s="1287"/>
      <c r="T484" s="1287"/>
      <c r="U484" s="1287"/>
      <c r="V484" s="1287"/>
      <c r="W484" s="1287"/>
      <c r="X484" s="1287"/>
      <c r="Y484" s="1287"/>
      <c r="Z484" s="1287"/>
      <c r="AA484" s="1287"/>
      <c r="AB484" s="1287"/>
      <c r="AC484" s="1287"/>
      <c r="AD484" s="1287"/>
      <c r="AE484" s="1488"/>
      <c r="AF484" s="1287"/>
      <c r="AG484" s="1488"/>
      <c r="AH484" s="53">
        <f t="shared" si="163"/>
        <v>0</v>
      </c>
      <c r="AJ484" s="3077" t="s">
        <v>81</v>
      </c>
      <c r="AK484" s="3189">
        <f t="shared" si="164"/>
        <v>0</v>
      </c>
      <c r="AL484" s="3193"/>
      <c r="AM484" s="3192"/>
      <c r="AN484" s="3192"/>
      <c r="AO484" s="3192"/>
      <c r="AP484" s="3193"/>
      <c r="AQ484" s="3193"/>
      <c r="AR484" s="3193"/>
      <c r="AS484" s="3193"/>
      <c r="AT484" s="3193"/>
      <c r="AU484" s="3193"/>
      <c r="AV484" s="3193"/>
      <c r="AW484" s="3193"/>
      <c r="AX484" s="3193"/>
      <c r="AY484" s="3193"/>
      <c r="AZ484" s="3193"/>
      <c r="BA484" s="3193"/>
      <c r="BB484" s="3193"/>
      <c r="BC484" s="3193"/>
      <c r="BD484" s="3193"/>
      <c r="BE484" s="3193"/>
      <c r="BF484" s="3193"/>
      <c r="BG484" s="3193"/>
      <c r="BH484" s="3193"/>
      <c r="BI484" s="3193"/>
      <c r="BJ484" s="3193"/>
      <c r="BK484" s="3193"/>
      <c r="BL484" s="3193"/>
      <c r="BM484" s="3193"/>
      <c r="BN484" s="3193"/>
      <c r="BO484" s="3193"/>
      <c r="BP484" s="3193"/>
      <c r="BQ484" s="3192">
        <f t="shared" si="165"/>
        <v>0</v>
      </c>
    </row>
    <row r="485" spans="1:69" s="2627" customFormat="1" ht="15">
      <c r="A485" s="30" t="s">
        <v>85</v>
      </c>
      <c r="B485" s="28">
        <f t="shared" si="162"/>
        <v>0</v>
      </c>
      <c r="C485" s="1287"/>
      <c r="D485" s="1287"/>
      <c r="E485" s="1287"/>
      <c r="F485" s="1287"/>
      <c r="G485" s="1433"/>
      <c r="H485" s="1287"/>
      <c r="I485" s="1287"/>
      <c r="J485" s="1287"/>
      <c r="K485" s="1287"/>
      <c r="L485" s="1287"/>
      <c r="M485" s="1287"/>
      <c r="N485" s="1287"/>
      <c r="O485" s="1287"/>
      <c r="P485" s="1287"/>
      <c r="Q485" s="1287"/>
      <c r="R485" s="1287"/>
      <c r="S485" s="1287"/>
      <c r="T485" s="1287"/>
      <c r="U485" s="1287"/>
      <c r="V485" s="1287"/>
      <c r="W485" s="1287"/>
      <c r="X485" s="1287"/>
      <c r="Y485" s="1287"/>
      <c r="Z485" s="1287"/>
      <c r="AA485" s="1287"/>
      <c r="AB485" s="1287"/>
      <c r="AC485" s="1287"/>
      <c r="AD485" s="1287"/>
      <c r="AE485" s="1488"/>
      <c r="AF485" s="1287"/>
      <c r="AG485" s="1488"/>
      <c r="AH485" s="53">
        <f t="shared" si="163"/>
        <v>0</v>
      </c>
      <c r="AJ485" s="3077" t="s">
        <v>82</v>
      </c>
      <c r="AK485" s="3189">
        <f t="shared" si="164"/>
        <v>0</v>
      </c>
      <c r="AL485" s="3193"/>
      <c r="AM485" s="3193"/>
      <c r="AN485" s="3193"/>
      <c r="AO485" s="3193"/>
      <c r="AP485" s="3193"/>
      <c r="AQ485" s="3193"/>
      <c r="AR485" s="3193"/>
      <c r="AS485" s="3193"/>
      <c r="AT485" s="3193"/>
      <c r="AU485" s="3193"/>
      <c r="AV485" s="3193"/>
      <c r="AW485" s="3193"/>
      <c r="AX485" s="3193"/>
      <c r="AY485" s="3193"/>
      <c r="AZ485" s="3193"/>
      <c r="BA485" s="3193"/>
      <c r="BB485" s="3193"/>
      <c r="BC485" s="3193"/>
      <c r="BD485" s="3193"/>
      <c r="BE485" s="3193"/>
      <c r="BF485" s="3193"/>
      <c r="BG485" s="3193"/>
      <c r="BH485" s="3193"/>
      <c r="BI485" s="3193"/>
      <c r="BJ485" s="3193"/>
      <c r="BK485" s="3193"/>
      <c r="BL485" s="3193"/>
      <c r="BM485" s="3193"/>
      <c r="BN485" s="3193"/>
      <c r="BO485" s="3193"/>
      <c r="BP485" s="3193"/>
      <c r="BQ485" s="3192">
        <f t="shared" si="165"/>
        <v>0</v>
      </c>
    </row>
    <row r="486" spans="1:69" s="2627" customFormat="1" ht="15">
      <c r="A486" s="30" t="s">
        <v>86</v>
      </c>
      <c r="B486" s="28">
        <f t="shared" si="162"/>
        <v>0</v>
      </c>
      <c r="C486" s="1287"/>
      <c r="D486" s="1287"/>
      <c r="E486" s="1287"/>
      <c r="F486" s="1287"/>
      <c r="G486" s="1287"/>
      <c r="H486" s="1287"/>
      <c r="I486" s="1287"/>
      <c r="J486" s="1287"/>
      <c r="K486" s="1287"/>
      <c r="L486" s="1287"/>
      <c r="M486" s="1287"/>
      <c r="N486" s="1287"/>
      <c r="O486" s="1287"/>
      <c r="P486" s="1287"/>
      <c r="Q486" s="1287"/>
      <c r="R486" s="1287"/>
      <c r="S486" s="1287"/>
      <c r="T486" s="1287"/>
      <c r="U486" s="1287"/>
      <c r="V486" s="1287"/>
      <c r="W486" s="1287"/>
      <c r="X486" s="1287"/>
      <c r="Y486" s="1287"/>
      <c r="Z486" s="1287"/>
      <c r="AA486" s="1287"/>
      <c r="AB486" s="1287"/>
      <c r="AC486" s="1287"/>
      <c r="AD486" s="1287"/>
      <c r="AE486" s="1287"/>
      <c r="AF486" s="1287"/>
      <c r="AG486" s="1287"/>
      <c r="AH486" s="53">
        <f t="shared" si="163"/>
        <v>0</v>
      </c>
      <c r="AJ486" s="3077" t="s">
        <v>83</v>
      </c>
      <c r="AK486" s="3189">
        <f t="shared" si="164"/>
        <v>0</v>
      </c>
      <c r="AL486" s="3193"/>
      <c r="AM486" s="3193"/>
      <c r="AN486" s="3193"/>
      <c r="AO486" s="3193"/>
      <c r="AP486" s="3193"/>
      <c r="AQ486" s="3193"/>
      <c r="AR486" s="3193"/>
      <c r="AS486" s="3193"/>
      <c r="AT486" s="3193"/>
      <c r="AU486" s="3193"/>
      <c r="AV486" s="3193"/>
      <c r="AW486" s="3193"/>
      <c r="AX486" s="3193"/>
      <c r="AY486" s="3193"/>
      <c r="AZ486" s="3193"/>
      <c r="BA486" s="3193"/>
      <c r="BB486" s="3193"/>
      <c r="BC486" s="3193"/>
      <c r="BD486" s="3193"/>
      <c r="BE486" s="3193"/>
      <c r="BF486" s="3193"/>
      <c r="BG486" s="3193"/>
      <c r="BH486" s="3193"/>
      <c r="BI486" s="3193"/>
      <c r="BJ486" s="3193"/>
      <c r="BK486" s="3193"/>
      <c r="BL486" s="3193"/>
      <c r="BM486" s="3193"/>
      <c r="BN486" s="3193"/>
      <c r="BO486" s="3193"/>
      <c r="BP486" s="3193"/>
      <c r="BQ486" s="3192">
        <f t="shared" si="165"/>
        <v>0</v>
      </c>
    </row>
    <row r="487" spans="1:69" s="2627" customFormat="1" ht="15">
      <c r="A487" s="88" t="s">
        <v>74</v>
      </c>
      <c r="B487" s="90">
        <f t="shared" ref="B487:R487" si="166">SUM(B475:B486)</f>
        <v>204.34400000000002</v>
      </c>
      <c r="C487" s="71">
        <f t="shared" si="166"/>
        <v>0</v>
      </c>
      <c r="D487" s="71">
        <f t="shared" si="166"/>
        <v>0</v>
      </c>
      <c r="E487" s="71">
        <f t="shared" si="166"/>
        <v>0</v>
      </c>
      <c r="F487" s="71">
        <f t="shared" si="166"/>
        <v>0</v>
      </c>
      <c r="G487" s="71">
        <f t="shared" si="166"/>
        <v>0</v>
      </c>
      <c r="H487" s="71">
        <f t="shared" si="166"/>
        <v>0</v>
      </c>
      <c r="I487" s="71">
        <f t="shared" si="166"/>
        <v>0</v>
      </c>
      <c r="J487" s="71">
        <f t="shared" si="166"/>
        <v>0</v>
      </c>
      <c r="K487" s="71">
        <f t="shared" si="166"/>
        <v>14.057</v>
      </c>
      <c r="L487" s="71">
        <f t="shared" si="166"/>
        <v>0</v>
      </c>
      <c r="M487" s="71">
        <f t="shared" si="166"/>
        <v>0</v>
      </c>
      <c r="N487" s="71">
        <f t="shared" si="166"/>
        <v>0</v>
      </c>
      <c r="O487" s="71">
        <f t="shared" si="166"/>
        <v>0</v>
      </c>
      <c r="P487" s="71">
        <f t="shared" si="166"/>
        <v>0</v>
      </c>
      <c r="Q487" s="71">
        <f t="shared" si="166"/>
        <v>0</v>
      </c>
      <c r="R487" s="71">
        <f t="shared" si="166"/>
        <v>0</v>
      </c>
      <c r="S487" s="53">
        <f t="shared" ref="S487:AC487" si="167">SUM(S475:S485)</f>
        <v>45.012999999999998</v>
      </c>
      <c r="T487" s="53">
        <f t="shared" si="167"/>
        <v>0</v>
      </c>
      <c r="U487" s="53">
        <f t="shared" si="167"/>
        <v>37.188000000000002</v>
      </c>
      <c r="V487" s="53">
        <f t="shared" si="167"/>
        <v>43.548999999999999</v>
      </c>
      <c r="W487" s="53">
        <f t="shared" si="167"/>
        <v>23.744</v>
      </c>
      <c r="X487" s="53">
        <f t="shared" si="167"/>
        <v>0</v>
      </c>
      <c r="Y487" s="53">
        <f t="shared" si="167"/>
        <v>0</v>
      </c>
      <c r="Z487" s="53">
        <f t="shared" si="167"/>
        <v>0</v>
      </c>
      <c r="AA487" s="53">
        <f t="shared" si="167"/>
        <v>0</v>
      </c>
      <c r="AB487" s="53">
        <f t="shared" si="167"/>
        <v>40.792999999999999</v>
      </c>
      <c r="AC487" s="53">
        <f t="shared" si="167"/>
        <v>0</v>
      </c>
      <c r="AD487" s="53">
        <v>0</v>
      </c>
      <c r="AE487" s="53">
        <f>SUM(AE475:AE485)</f>
        <v>0</v>
      </c>
      <c r="AF487" s="53">
        <f>SUM(AF475:AF485)</f>
        <v>0</v>
      </c>
      <c r="AG487" s="53">
        <f>SUM(AG475:AG485)</f>
        <v>0</v>
      </c>
      <c r="AH487" s="46">
        <f>SUM(AH475:AH485)</f>
        <v>204.34400000000002</v>
      </c>
      <c r="AJ487" s="3077" t="s">
        <v>84</v>
      </c>
      <c r="AK487" s="3189">
        <f t="shared" si="164"/>
        <v>0</v>
      </c>
      <c r="AL487" s="3193"/>
      <c r="AM487" s="3193"/>
      <c r="AN487" s="3193"/>
      <c r="AO487" s="3193"/>
      <c r="AP487" s="3193"/>
      <c r="AQ487" s="3193"/>
      <c r="AR487" s="3193"/>
      <c r="AS487" s="3193"/>
      <c r="AT487" s="3193"/>
      <c r="AU487" s="3193"/>
      <c r="AV487" s="3193"/>
      <c r="AW487" s="3193"/>
      <c r="AX487" s="3193"/>
      <c r="AY487" s="3193"/>
      <c r="AZ487" s="3193"/>
      <c r="BA487" s="3193"/>
      <c r="BB487" s="3193"/>
      <c r="BC487" s="3193"/>
      <c r="BD487" s="3193"/>
      <c r="BE487" s="3193"/>
      <c r="BF487" s="3193"/>
      <c r="BG487" s="3193"/>
      <c r="BH487" s="3193"/>
      <c r="BI487" s="3193"/>
      <c r="BJ487" s="3193"/>
      <c r="BK487" s="3193"/>
      <c r="BL487" s="3193"/>
      <c r="BM487" s="3193"/>
      <c r="BN487" s="3192"/>
      <c r="BO487" s="3193"/>
      <c r="BP487" s="3192"/>
      <c r="BQ487" s="3192">
        <f t="shared" si="165"/>
        <v>0</v>
      </c>
    </row>
    <row r="488" spans="1:69" s="2627" customFormat="1" ht="15.75" thickBot="1">
      <c r="A488" s="2187"/>
      <c r="B488" s="2187"/>
      <c r="C488" s="2187"/>
      <c r="D488" s="2187"/>
      <c r="E488" s="2187"/>
      <c r="F488" s="2187"/>
      <c r="G488" s="2187"/>
      <c r="H488" s="2187"/>
      <c r="I488" s="2187"/>
      <c r="J488" s="2187"/>
      <c r="K488" s="2187"/>
      <c r="L488" s="2187"/>
      <c r="M488" s="2187"/>
      <c r="N488" s="2187"/>
      <c r="O488" s="2187"/>
      <c r="P488" s="2187"/>
      <c r="Q488" s="2187"/>
      <c r="R488" s="2187"/>
      <c r="S488" s="2187"/>
      <c r="T488" s="2187"/>
      <c r="U488" s="2187"/>
      <c r="V488" s="2187"/>
      <c r="W488" s="2187"/>
      <c r="X488" s="2187"/>
      <c r="Y488" s="2187"/>
      <c r="Z488" s="2187"/>
      <c r="AA488" s="2187"/>
      <c r="AB488" s="2187"/>
      <c r="AC488" s="2187"/>
      <c r="AD488" s="2187"/>
      <c r="AE488" s="2187"/>
      <c r="AF488" s="2187"/>
      <c r="AG488" s="2187"/>
      <c r="AH488" s="2187"/>
      <c r="AJ488" s="3077" t="s">
        <v>85</v>
      </c>
      <c r="AK488" s="3189">
        <f t="shared" si="164"/>
        <v>0</v>
      </c>
      <c r="AL488" s="3193"/>
      <c r="AM488" s="3193"/>
      <c r="AN488" s="3193"/>
      <c r="AO488" s="3193"/>
      <c r="AP488" s="3196"/>
      <c r="AQ488" s="3193"/>
      <c r="AR488" s="3193"/>
      <c r="AS488" s="3193"/>
      <c r="AT488" s="3193"/>
      <c r="AU488" s="3193"/>
      <c r="AV488" s="3193"/>
      <c r="AW488" s="3193"/>
      <c r="AX488" s="3193"/>
      <c r="AY488" s="3193"/>
      <c r="AZ488" s="3193"/>
      <c r="BA488" s="3193"/>
      <c r="BB488" s="3193"/>
      <c r="BC488" s="3193"/>
      <c r="BD488" s="3193"/>
      <c r="BE488" s="3193"/>
      <c r="BF488" s="3193"/>
      <c r="BG488" s="3193"/>
      <c r="BH488" s="3193"/>
      <c r="BI488" s="3193"/>
      <c r="BJ488" s="3193"/>
      <c r="BK488" s="3193"/>
      <c r="BL488" s="3193"/>
      <c r="BM488" s="3193"/>
      <c r="BN488" s="3192"/>
      <c r="BO488" s="3193"/>
      <c r="BP488" s="3192"/>
      <c r="BQ488" s="3192">
        <f t="shared" si="165"/>
        <v>0</v>
      </c>
    </row>
    <row r="489" spans="1:69" s="2627" customFormat="1" ht="15.75" customHeight="1" thickBot="1">
      <c r="A489" s="2477"/>
      <c r="B489" s="2478"/>
      <c r="C489" s="2478"/>
      <c r="D489" s="2478"/>
      <c r="E489" s="2478"/>
      <c r="F489" s="3951" t="s">
        <v>155</v>
      </c>
      <c r="G489" s="3952"/>
      <c r="H489" s="3953"/>
      <c r="I489" s="3951" t="s">
        <v>156</v>
      </c>
      <c r="J489" s="3953"/>
      <c r="K489" s="3814" t="s">
        <v>912</v>
      </c>
      <c r="L489" s="3814" t="s">
        <v>913</v>
      </c>
      <c r="AJ489" s="3077" t="s">
        <v>86</v>
      </c>
      <c r="AK489" s="3189">
        <f t="shared" si="164"/>
        <v>0</v>
      </c>
      <c r="AL489" s="3193"/>
      <c r="AM489" s="3193"/>
      <c r="AN489" s="3193"/>
      <c r="AO489" s="3193"/>
      <c r="AP489" s="3193"/>
      <c r="AQ489" s="3193"/>
      <c r="AR489" s="3193"/>
      <c r="AS489" s="3193"/>
      <c r="AT489" s="3193"/>
      <c r="AU489" s="3193"/>
      <c r="AV489" s="3193"/>
      <c r="AW489" s="3193"/>
      <c r="AX489" s="3193"/>
      <c r="AY489" s="3193"/>
      <c r="AZ489" s="3193"/>
      <c r="BA489" s="3193"/>
      <c r="BB489" s="3193"/>
      <c r="BC489" s="3193"/>
      <c r="BD489" s="3193"/>
      <c r="BE489" s="3193"/>
      <c r="BF489" s="3193"/>
      <c r="BG489" s="3193"/>
      <c r="BH489" s="3193"/>
      <c r="BI489" s="3193"/>
      <c r="BJ489" s="3193"/>
      <c r="BK489" s="3193"/>
      <c r="BL489" s="3193"/>
      <c r="BM489" s="3193"/>
      <c r="BN489" s="3193"/>
      <c r="BO489" s="3193"/>
      <c r="BP489" s="3193"/>
      <c r="BQ489" s="3192">
        <f t="shared" si="165"/>
        <v>0</v>
      </c>
    </row>
    <row r="490" spans="1:69" s="2627" customFormat="1" ht="15.75" thickBot="1">
      <c r="A490" s="2479" t="s">
        <v>158</v>
      </c>
      <c r="B490" s="2480" t="s">
        <v>159</v>
      </c>
      <c r="C490" s="2481" t="s">
        <v>136</v>
      </c>
      <c r="D490" s="2482" t="s">
        <v>134</v>
      </c>
      <c r="E490" s="2480" t="s">
        <v>160</v>
      </c>
      <c r="F490" s="2483" t="s">
        <v>8</v>
      </c>
      <c r="G490" s="2484" t="s">
        <v>161</v>
      </c>
      <c r="H490" s="2485" t="s">
        <v>52</v>
      </c>
      <c r="I490" s="2483" t="s">
        <v>8</v>
      </c>
      <c r="J490" s="2486" t="s">
        <v>162</v>
      </c>
      <c r="K490" s="3815"/>
      <c r="L490" s="3815"/>
      <c r="M490" s="3816"/>
      <c r="N490" s="3817"/>
      <c r="O490" s="3817"/>
      <c r="P490" s="3817"/>
      <c r="AJ490" s="3197" t="s">
        <v>74</v>
      </c>
      <c r="AK490" s="3198">
        <f t="shared" ref="AK490:BA490" si="168">SUM(AK478:AK489)</f>
        <v>0</v>
      </c>
      <c r="AL490" s="3189">
        <f t="shared" si="168"/>
        <v>0</v>
      </c>
      <c r="AM490" s="3189">
        <f t="shared" si="168"/>
        <v>0</v>
      </c>
      <c r="AN490" s="3189">
        <f t="shared" si="168"/>
        <v>0</v>
      </c>
      <c r="AO490" s="3189">
        <f t="shared" si="168"/>
        <v>0</v>
      </c>
      <c r="AP490" s="3189">
        <f t="shared" si="168"/>
        <v>0</v>
      </c>
      <c r="AQ490" s="3189">
        <f t="shared" si="168"/>
        <v>0</v>
      </c>
      <c r="AR490" s="3189">
        <f t="shared" si="168"/>
        <v>0</v>
      </c>
      <c r="AS490" s="3189">
        <f t="shared" si="168"/>
        <v>0</v>
      </c>
      <c r="AT490" s="3189">
        <f t="shared" si="168"/>
        <v>0</v>
      </c>
      <c r="AU490" s="3189">
        <f t="shared" si="168"/>
        <v>0</v>
      </c>
      <c r="AV490" s="3189">
        <f t="shared" si="168"/>
        <v>0</v>
      </c>
      <c r="AW490" s="3189">
        <f t="shared" si="168"/>
        <v>0</v>
      </c>
      <c r="AX490" s="3189">
        <f t="shared" si="168"/>
        <v>0</v>
      </c>
      <c r="AY490" s="3189">
        <f t="shared" si="168"/>
        <v>0</v>
      </c>
      <c r="AZ490" s="3189">
        <f t="shared" si="168"/>
        <v>0</v>
      </c>
      <c r="BA490" s="3189">
        <f t="shared" si="168"/>
        <v>0</v>
      </c>
      <c r="BB490" s="3192">
        <f t="shared" ref="BB490:BL490" si="169">SUM(BB478:BB488)</f>
        <v>0</v>
      </c>
      <c r="BC490" s="3192">
        <f t="shared" si="169"/>
        <v>0</v>
      </c>
      <c r="BD490" s="3192">
        <f t="shared" si="169"/>
        <v>0</v>
      </c>
      <c r="BE490" s="3192">
        <f t="shared" si="169"/>
        <v>0</v>
      </c>
      <c r="BF490" s="3192">
        <f t="shared" si="169"/>
        <v>0</v>
      </c>
      <c r="BG490" s="3192">
        <f t="shared" si="169"/>
        <v>0</v>
      </c>
      <c r="BH490" s="3192">
        <f t="shared" si="169"/>
        <v>0</v>
      </c>
      <c r="BI490" s="3192">
        <f t="shared" si="169"/>
        <v>0</v>
      </c>
      <c r="BJ490" s="3192">
        <f t="shared" si="169"/>
        <v>0</v>
      </c>
      <c r="BK490" s="3192">
        <f t="shared" si="169"/>
        <v>0</v>
      </c>
      <c r="BL490" s="3192">
        <f t="shared" si="169"/>
        <v>0</v>
      </c>
      <c r="BM490" s="3192">
        <v>0</v>
      </c>
      <c r="BN490" s="3192">
        <f>SUM(BN478:BN488)</f>
        <v>0</v>
      </c>
      <c r="BO490" s="3192">
        <f>SUM(BO478:BO488)</f>
        <v>0</v>
      </c>
      <c r="BP490" s="3192">
        <f>SUM(BP478:BP488)</f>
        <v>0</v>
      </c>
      <c r="BQ490" s="3192">
        <f>SUM(BQ478:BQ488)</f>
        <v>0</v>
      </c>
    </row>
    <row r="491" spans="1:69" s="2627" customFormat="1" ht="15.75" thickBot="1">
      <c r="A491" s="1339"/>
      <c r="B491" s="1340"/>
      <c r="C491" s="1341"/>
      <c r="D491" s="1342"/>
      <c r="E491" s="1343"/>
      <c r="F491" s="1339">
        <v>400</v>
      </c>
      <c r="G491" s="1342"/>
      <c r="H491" s="1344">
        <f>SUM(F491:G491)</f>
        <v>400</v>
      </c>
      <c r="I491" s="1345">
        <f>(B487)</f>
        <v>204.34400000000002</v>
      </c>
      <c r="J491" s="1346">
        <f>(B470)</f>
        <v>0</v>
      </c>
      <c r="K491" s="1347">
        <f>+F491-I491</f>
        <v>195.65599999999998</v>
      </c>
      <c r="L491" s="1347">
        <f>+G491-J491</f>
        <v>0</v>
      </c>
      <c r="M491" s="3805"/>
      <c r="N491" s="3948"/>
      <c r="O491" s="3948"/>
      <c r="P491" s="3948"/>
      <c r="AJ491" s="3185"/>
      <c r="AK491" s="3185"/>
      <c r="AL491" s="3185"/>
      <c r="AM491" s="3185"/>
      <c r="AN491" s="3185"/>
      <c r="AO491" s="3185"/>
      <c r="AP491" s="3185"/>
      <c r="AQ491" s="3185"/>
      <c r="AR491" s="3185"/>
      <c r="AS491" s="3185"/>
      <c r="AT491" s="3185"/>
      <c r="AU491" s="3185"/>
      <c r="AV491" s="3185"/>
      <c r="AW491" s="3185"/>
      <c r="AX491" s="3185"/>
      <c r="AY491" s="3185"/>
      <c r="AZ491" s="3185"/>
      <c r="BA491" s="3185"/>
      <c r="BB491" s="3185"/>
      <c r="BC491" s="3185"/>
      <c r="BD491" s="3185"/>
      <c r="BE491" s="3185"/>
      <c r="BF491" s="3185"/>
      <c r="BG491" s="3185"/>
      <c r="BH491" s="3185"/>
      <c r="BI491" s="3185"/>
      <c r="BJ491" s="3185"/>
      <c r="BK491" s="3185"/>
      <c r="BL491" s="3185"/>
      <c r="BM491" s="3185"/>
      <c r="BN491" s="3185"/>
      <c r="BO491" s="3185"/>
      <c r="BP491" s="3185"/>
      <c r="BQ491" s="3185"/>
    </row>
    <row r="492" spans="1:69" s="2627" customFormat="1" ht="15.75" thickBot="1">
      <c r="A492" s="1339"/>
      <c r="B492" s="1340"/>
      <c r="C492" s="1341"/>
      <c r="D492" s="1342"/>
      <c r="E492" s="1343"/>
      <c r="F492" s="1339"/>
      <c r="G492" s="1342"/>
      <c r="H492" s="1344">
        <f>SUM(F492:G492)</f>
        <v>0</v>
      </c>
      <c r="I492" s="1345"/>
      <c r="J492" s="1346"/>
      <c r="K492" s="1347">
        <f>+H492-I492-J492</f>
        <v>0</v>
      </c>
      <c r="L492" s="1347">
        <f>+I492-J492-K492</f>
        <v>0</v>
      </c>
      <c r="M492" s="3805"/>
      <c r="N492" s="3948"/>
      <c r="O492" s="3948"/>
      <c r="P492" s="3948"/>
      <c r="AJ492" s="3185"/>
      <c r="AK492" s="3185"/>
      <c r="AL492" s="3185"/>
      <c r="AM492" s="3185"/>
      <c r="AN492" s="3185"/>
      <c r="AO492" s="3185"/>
      <c r="AP492" s="3185"/>
      <c r="AQ492" s="3185"/>
      <c r="AR492" s="3185"/>
      <c r="AS492" s="3185"/>
      <c r="AT492" s="3185"/>
      <c r="AU492" s="3185"/>
      <c r="AV492" s="3185"/>
      <c r="AW492" s="3185"/>
      <c r="AX492" s="3185"/>
      <c r="AY492" s="3185"/>
      <c r="AZ492" s="3185"/>
      <c r="BA492" s="3185"/>
      <c r="BB492" s="3185"/>
      <c r="BC492" s="3185"/>
      <c r="BD492" s="3185"/>
      <c r="BE492" s="3185"/>
      <c r="BF492" s="3185"/>
      <c r="BG492" s="3185"/>
      <c r="BH492" s="3185"/>
      <c r="BI492" s="3185"/>
      <c r="BJ492" s="3185"/>
      <c r="BK492" s="3185"/>
      <c r="BL492" s="3185"/>
      <c r="BM492" s="3185"/>
      <c r="BN492" s="3185"/>
      <c r="BO492" s="3185"/>
      <c r="BP492" s="3185"/>
      <c r="BQ492" s="3185"/>
    </row>
    <row r="493" spans="1:69" ht="15.75" thickBot="1">
      <c r="AJ493" s="3199" t="s">
        <v>996</v>
      </c>
      <c r="AK493" s="3200"/>
      <c r="AL493" s="3200"/>
      <c r="AM493" s="3200"/>
      <c r="AN493" s="3200"/>
      <c r="AO493" s="3818" t="s">
        <v>155</v>
      </c>
      <c r="AP493" s="3819"/>
      <c r="AQ493" s="3820"/>
      <c r="AR493" s="3818" t="s">
        <v>156</v>
      </c>
      <c r="AS493" s="3821"/>
      <c r="AT493" s="3822" t="s">
        <v>912</v>
      </c>
      <c r="AU493" s="3822" t="s">
        <v>913</v>
      </c>
      <c r="AV493" s="3185"/>
      <c r="AW493" s="3185"/>
      <c r="AX493" s="3185"/>
      <c r="AY493" s="3185"/>
      <c r="AZ493" s="3185"/>
      <c r="BA493" s="3185"/>
      <c r="BB493" s="3185"/>
      <c r="BC493" s="3185"/>
      <c r="BD493" s="3185"/>
      <c r="BE493" s="3185"/>
      <c r="BF493" s="3185"/>
      <c r="BG493" s="3185"/>
      <c r="BH493" s="3185"/>
      <c r="BI493" s="3185"/>
      <c r="BJ493" s="3185"/>
      <c r="BK493" s="3185"/>
      <c r="BL493" s="3185"/>
      <c r="BM493" s="3185"/>
      <c r="BN493" s="3185"/>
      <c r="BO493" s="3185"/>
      <c r="BP493" s="3185"/>
      <c r="BQ493" s="3185"/>
    </row>
    <row r="494" spans="1:69" ht="13.5" thickBot="1">
      <c r="AJ494" s="3201" t="s">
        <v>158</v>
      </c>
      <c r="AK494" s="3202" t="s">
        <v>159</v>
      </c>
      <c r="AL494" s="3203" t="s">
        <v>136</v>
      </c>
      <c r="AM494" s="3204" t="s">
        <v>134</v>
      </c>
      <c r="AN494" s="3202" t="s">
        <v>160</v>
      </c>
      <c r="AO494" s="3205" t="s">
        <v>8</v>
      </c>
      <c r="AP494" s="3206" t="s">
        <v>161</v>
      </c>
      <c r="AQ494" s="3207" t="s">
        <v>52</v>
      </c>
      <c r="AR494" s="3205" t="s">
        <v>8</v>
      </c>
      <c r="AS494" s="3208" t="s">
        <v>162</v>
      </c>
      <c r="AT494" s="3823"/>
      <c r="AU494" s="3823"/>
      <c r="AV494" s="3185"/>
      <c r="AW494" s="3185"/>
      <c r="AX494" s="3185"/>
      <c r="AY494" s="3185"/>
      <c r="AZ494" s="3185"/>
      <c r="BA494" s="3185"/>
      <c r="BB494" s="3185"/>
      <c r="BC494" s="3185"/>
      <c r="BD494" s="3185"/>
      <c r="BE494" s="3185"/>
      <c r="BF494" s="3185"/>
      <c r="BG494" s="3185"/>
      <c r="BH494" s="3185"/>
      <c r="BI494" s="3185"/>
      <c r="BJ494" s="3185"/>
      <c r="BK494" s="3185"/>
      <c r="BL494" s="3185"/>
      <c r="BM494" s="3185"/>
      <c r="BN494" s="3185"/>
      <c r="BO494" s="3185"/>
      <c r="BP494" s="3185"/>
      <c r="BQ494" s="3185"/>
    </row>
    <row r="495" spans="1:69" ht="24" thickBot="1">
      <c r="A495" s="3129" t="s">
        <v>1015</v>
      </c>
      <c r="B495" s="3130"/>
      <c r="C495" s="3130" t="s">
        <v>1094</v>
      </c>
      <c r="D495" s="3131"/>
      <c r="E495" s="3131"/>
      <c r="F495" s="3131"/>
      <c r="G495" s="3131"/>
      <c r="H495" s="3130" t="s">
        <v>1017</v>
      </c>
      <c r="I495" s="3131"/>
      <c r="J495" s="3131"/>
      <c r="K495" s="3080"/>
      <c r="L495" s="3131"/>
      <c r="M495" s="3131"/>
      <c r="N495" s="3131"/>
      <c r="O495" s="3131"/>
      <c r="P495" s="3131"/>
      <c r="Q495" s="3131"/>
      <c r="R495" s="3131"/>
      <c r="S495" s="3131"/>
      <c r="T495" s="3131"/>
      <c r="U495" s="3131"/>
      <c r="V495" s="3131"/>
      <c r="W495" s="3131"/>
      <c r="X495" s="3131"/>
      <c r="Y495" s="3131"/>
      <c r="Z495" s="3131"/>
      <c r="AA495" s="3131"/>
      <c r="AB495" s="3131"/>
      <c r="AC495" s="3131"/>
      <c r="AD495" s="3131"/>
      <c r="AE495" s="3131"/>
      <c r="AF495" s="3131"/>
      <c r="AG495" s="3131"/>
      <c r="AH495" s="3131"/>
      <c r="AJ495" s="3209"/>
      <c r="AK495" s="3210"/>
      <c r="AL495" s="3211"/>
      <c r="AM495" s="3212"/>
      <c r="AN495" s="3213"/>
      <c r="AO495" s="3209"/>
      <c r="AP495" s="3212">
        <v>600</v>
      </c>
      <c r="AQ495" s="3214">
        <f>SUM(AO495:AP495)</f>
        <v>600</v>
      </c>
      <c r="AR495" s="3217"/>
      <c r="AS495" s="3194">
        <f>(AK490)</f>
        <v>0</v>
      </c>
      <c r="AT495" s="3216"/>
      <c r="AU495" s="3216">
        <f>+AP495-AS495</f>
        <v>600</v>
      </c>
      <c r="AV495" s="3185"/>
      <c r="AW495" s="3185"/>
      <c r="AX495" s="3185"/>
      <c r="AY495" s="3185"/>
      <c r="AZ495" s="3185"/>
      <c r="BA495" s="3185"/>
      <c r="BB495" s="3185"/>
      <c r="BC495" s="3185"/>
      <c r="BD495" s="3185"/>
      <c r="BE495" s="3185"/>
      <c r="BF495" s="3185"/>
      <c r="BG495" s="3185"/>
      <c r="BH495" s="3185"/>
      <c r="BI495" s="3185"/>
      <c r="BJ495" s="3185"/>
      <c r="BK495" s="3185"/>
      <c r="BL495" s="3185"/>
      <c r="BM495" s="3185"/>
      <c r="BN495" s="3185"/>
      <c r="BO495" s="3185"/>
      <c r="BP495" s="3185"/>
      <c r="BQ495" s="3185"/>
    </row>
    <row r="496" spans="1:69" ht="15.75" thickBot="1">
      <c r="A496" s="3569" t="s">
        <v>264</v>
      </c>
      <c r="B496" s="3570"/>
      <c r="C496" s="3571"/>
      <c r="D496" s="34"/>
      <c r="E496" s="34"/>
      <c r="F496" s="34"/>
      <c r="G496" s="34"/>
      <c r="H496" s="34"/>
      <c r="I496" s="34"/>
      <c r="J496" s="34"/>
      <c r="K496" s="34"/>
      <c r="L496" s="34"/>
      <c r="M496" s="34"/>
      <c r="N496" s="34"/>
      <c r="O496" s="34"/>
      <c r="P496" s="34"/>
      <c r="Q496" s="34"/>
      <c r="R496" s="34"/>
      <c r="S496" s="52"/>
      <c r="T496" s="52"/>
      <c r="U496" s="52"/>
      <c r="V496" s="52"/>
      <c r="W496" s="52"/>
      <c r="X496" s="52"/>
      <c r="Y496" s="52"/>
      <c r="Z496" s="52"/>
      <c r="AA496" s="52"/>
      <c r="AB496" s="52"/>
      <c r="AC496" s="52"/>
      <c r="AD496" s="52"/>
      <c r="AE496" s="52"/>
      <c r="AF496" s="52"/>
      <c r="AG496" s="52"/>
      <c r="AH496" s="13"/>
      <c r="AJ496" s="3209"/>
      <c r="AK496" s="3210"/>
      <c r="AL496" s="3211"/>
      <c r="AM496" s="3212"/>
      <c r="AN496" s="3213"/>
      <c r="AO496" s="3209"/>
      <c r="AP496" s="3212"/>
      <c r="AQ496" s="3214">
        <f>SUM(AO496:AP496)</f>
        <v>0</v>
      </c>
      <c r="AR496" s="3217"/>
      <c r="AS496" s="3194"/>
      <c r="AT496" s="3216"/>
      <c r="AU496" s="3216">
        <f>+AR496-AS496-AT496</f>
        <v>0</v>
      </c>
      <c r="AV496" s="3185"/>
      <c r="AW496" s="3185"/>
      <c r="AX496" s="3185"/>
      <c r="AY496" s="3185"/>
      <c r="AZ496" s="3185"/>
      <c r="BA496" s="3185"/>
      <c r="BB496" s="3185"/>
      <c r="BC496" s="3185"/>
      <c r="BD496" s="3185"/>
      <c r="BE496" s="3185"/>
      <c r="BF496" s="3185"/>
      <c r="BG496" s="3185"/>
      <c r="BH496" s="3185"/>
      <c r="BI496" s="3185"/>
      <c r="BJ496" s="3185"/>
      <c r="BK496" s="3185"/>
      <c r="BL496" s="3185"/>
      <c r="BM496" s="3185"/>
      <c r="BN496" s="3185"/>
      <c r="BO496" s="3185"/>
      <c r="BP496" s="3185"/>
      <c r="BQ496" s="3185"/>
    </row>
    <row r="497" spans="1:69" ht="15">
      <c r="A497" s="5" t="s">
        <v>72</v>
      </c>
      <c r="B497" s="28" t="s">
        <v>73</v>
      </c>
      <c r="C497" s="72">
        <v>1</v>
      </c>
      <c r="D497" s="35">
        <v>2</v>
      </c>
      <c r="E497" s="35">
        <v>3</v>
      </c>
      <c r="F497" s="35">
        <v>4</v>
      </c>
      <c r="G497" s="35">
        <v>5</v>
      </c>
      <c r="H497" s="35">
        <v>6</v>
      </c>
      <c r="I497" s="35">
        <v>7</v>
      </c>
      <c r="J497" s="35">
        <v>8</v>
      </c>
      <c r="K497" s="35">
        <v>9</v>
      </c>
      <c r="L497" s="35">
        <v>10</v>
      </c>
      <c r="M497" s="35">
        <v>11</v>
      </c>
      <c r="N497" s="35">
        <v>12</v>
      </c>
      <c r="O497" s="35">
        <v>13</v>
      </c>
      <c r="P497" s="35">
        <v>14</v>
      </c>
      <c r="Q497" s="35">
        <v>15</v>
      </c>
      <c r="R497" s="35">
        <v>16</v>
      </c>
      <c r="S497" s="30">
        <v>17</v>
      </c>
      <c r="T497" s="30">
        <v>18</v>
      </c>
      <c r="U497" s="30">
        <v>19</v>
      </c>
      <c r="V497" s="30">
        <v>20</v>
      </c>
      <c r="W497" s="30">
        <v>21</v>
      </c>
      <c r="X497" s="30">
        <v>22</v>
      </c>
      <c r="Y497" s="30">
        <v>23</v>
      </c>
      <c r="Z497" s="30">
        <v>24</v>
      </c>
      <c r="AA497" s="30">
        <v>25</v>
      </c>
      <c r="AB497" s="30">
        <v>26</v>
      </c>
      <c r="AC497" s="30">
        <v>27</v>
      </c>
      <c r="AD497" s="30">
        <v>28</v>
      </c>
      <c r="AE497" s="30">
        <v>29</v>
      </c>
      <c r="AF497" s="30">
        <v>30</v>
      </c>
      <c r="AG497" s="30">
        <v>31</v>
      </c>
      <c r="AH497" s="39" t="s">
        <v>74</v>
      </c>
    </row>
    <row r="498" spans="1:69" ht="15">
      <c r="A498" s="128" t="s">
        <v>75</v>
      </c>
      <c r="B498" s="28">
        <f t="shared" ref="B498:B509" si="170">+AH498</f>
        <v>0</v>
      </c>
      <c r="C498" s="1930"/>
      <c r="D498" s="1930"/>
      <c r="E498" s="1930"/>
      <c r="F498" s="1930"/>
      <c r="G498" s="1930"/>
      <c r="H498" s="1930"/>
      <c r="I498" s="1930"/>
      <c r="J498" s="1930"/>
      <c r="K498" s="1930"/>
      <c r="L498" s="1930"/>
      <c r="M498" s="1930"/>
      <c r="N498" s="1930"/>
      <c r="O498" s="1930"/>
      <c r="P498" s="1930"/>
      <c r="Q498" s="1930"/>
      <c r="R498" s="1930"/>
      <c r="S498" s="1930"/>
      <c r="T498" s="1930"/>
      <c r="U498" s="1930"/>
      <c r="V498" s="1930"/>
      <c r="W498" s="1930"/>
      <c r="X498" s="1930"/>
      <c r="Y498" s="1930"/>
      <c r="Z498" s="1930"/>
      <c r="AA498" s="1930"/>
      <c r="AB498" s="1930"/>
      <c r="AC498" s="1930"/>
      <c r="AD498" s="1930"/>
      <c r="AE498" s="1930"/>
      <c r="AF498" s="1930"/>
      <c r="AG498" s="1930"/>
      <c r="AH498" s="53">
        <f>SUM(C498:AG498)</f>
        <v>0</v>
      </c>
    </row>
    <row r="499" spans="1:69" ht="33">
      <c r="A499" s="128" t="s">
        <v>76</v>
      </c>
      <c r="B499" s="28">
        <f t="shared" si="170"/>
        <v>0</v>
      </c>
      <c r="C499" s="1930"/>
      <c r="D499" s="1930"/>
      <c r="E499" s="1930"/>
      <c r="F499" s="1930"/>
      <c r="G499" s="1930"/>
      <c r="H499" s="1930"/>
      <c r="I499" s="1930"/>
      <c r="J499" s="1930"/>
      <c r="K499" s="1930"/>
      <c r="L499" s="1930"/>
      <c r="M499" s="1930"/>
      <c r="N499" s="1930"/>
      <c r="O499" s="1930"/>
      <c r="P499" s="1930"/>
      <c r="Q499" s="1930"/>
      <c r="R499" s="1930"/>
      <c r="S499" s="1930"/>
      <c r="T499" s="1930"/>
      <c r="U499" s="1930"/>
      <c r="V499" s="1930"/>
      <c r="W499" s="1930"/>
      <c r="X499" s="1930"/>
      <c r="Y499" s="1930"/>
      <c r="Z499" s="1930"/>
      <c r="AA499" s="1930"/>
      <c r="AB499" s="1930"/>
      <c r="AC499" s="1930"/>
      <c r="AD499" s="1930"/>
      <c r="AE499" s="1930"/>
      <c r="AF499" s="1930"/>
      <c r="AG499" s="1930"/>
      <c r="AH499" s="53">
        <f t="shared" ref="AH499:AH509" si="171">SUM(C499:AG499)</f>
        <v>0</v>
      </c>
      <c r="AJ499" s="3220" t="s">
        <v>288</v>
      </c>
      <c r="AK499" s="3184"/>
      <c r="AL499" s="3219" t="s">
        <v>1120</v>
      </c>
      <c r="AM499" s="3185"/>
      <c r="AN499" s="3185"/>
      <c r="AO499" s="3185"/>
      <c r="AP499" s="3080"/>
      <c r="AQ499" s="3221" t="s">
        <v>1121</v>
      </c>
      <c r="AR499" s="3185"/>
      <c r="AS499" s="3185"/>
      <c r="AT499" s="3185"/>
      <c r="AU499" s="3186" t="s">
        <v>1119</v>
      </c>
      <c r="AV499" s="3185"/>
      <c r="AW499" s="3185"/>
      <c r="AX499" s="3185"/>
      <c r="AY499" s="3185"/>
      <c r="AZ499" s="3185"/>
      <c r="BA499" s="3185"/>
      <c r="BB499" s="3185"/>
      <c r="BC499" s="3185"/>
      <c r="BD499" s="3185"/>
      <c r="BE499" s="3185"/>
      <c r="BF499" s="3185"/>
      <c r="BG499" s="3185"/>
      <c r="BH499" s="3185"/>
      <c r="BI499" s="3185"/>
      <c r="BJ499" s="3185"/>
      <c r="BK499" s="3185"/>
      <c r="BL499" s="3185"/>
      <c r="BM499" s="3185"/>
      <c r="BN499" s="3185"/>
      <c r="BO499" s="3185"/>
      <c r="BP499" s="3185"/>
      <c r="BQ499" s="3185"/>
    </row>
    <row r="500" spans="1:69" ht="15">
      <c r="A500" s="128" t="s">
        <v>77</v>
      </c>
      <c r="B500" s="36">
        <f t="shared" si="170"/>
        <v>0</v>
      </c>
      <c r="C500" s="1930"/>
      <c r="D500" s="1930"/>
      <c r="E500" s="1930"/>
      <c r="F500" s="1930"/>
      <c r="G500" s="1930"/>
      <c r="H500" s="1287"/>
      <c r="I500" s="1287"/>
      <c r="J500" s="1287"/>
      <c r="K500" s="1287"/>
      <c r="L500" s="1287"/>
      <c r="M500" s="1287"/>
      <c r="N500" s="1287"/>
      <c r="O500" s="1287"/>
      <c r="P500" s="1287"/>
      <c r="Q500" s="1287"/>
      <c r="R500" s="1287"/>
      <c r="S500" s="1287"/>
      <c r="T500" s="1287"/>
      <c r="U500" s="1287"/>
      <c r="V500" s="1287"/>
      <c r="W500" s="1287"/>
      <c r="X500" s="1287"/>
      <c r="Y500" s="1287"/>
      <c r="Z500" s="1287"/>
      <c r="AA500" s="1287"/>
      <c r="AB500" s="1815"/>
      <c r="AC500" s="1930"/>
      <c r="AD500" s="1287"/>
      <c r="AE500" s="1930"/>
      <c r="AF500" s="1930"/>
      <c r="AG500" s="1930"/>
      <c r="AH500" s="53">
        <f t="shared" si="171"/>
        <v>0</v>
      </c>
      <c r="AJ500" s="3807" t="s">
        <v>264</v>
      </c>
      <c r="AK500" s="3808"/>
      <c r="AL500" s="3809"/>
      <c r="AM500" s="3187"/>
      <c r="AN500" s="3187"/>
      <c r="AO500" s="3187"/>
      <c r="AP500" s="3187"/>
      <c r="AQ500" s="3187"/>
      <c r="AR500" s="3187"/>
      <c r="AS500" s="3187"/>
      <c r="AT500" s="3187"/>
      <c r="AU500" s="3187"/>
      <c r="AV500" s="3187"/>
      <c r="AW500" s="3187"/>
      <c r="AX500" s="3187"/>
      <c r="AY500" s="3187"/>
      <c r="AZ500" s="3187"/>
      <c r="BA500" s="3187"/>
      <c r="BB500" s="3188"/>
      <c r="BC500" s="3188"/>
      <c r="BD500" s="3188"/>
      <c r="BE500" s="3188"/>
      <c r="BF500" s="3188"/>
      <c r="BG500" s="3188"/>
      <c r="BH500" s="3188"/>
      <c r="BI500" s="3188"/>
      <c r="BJ500" s="3188"/>
      <c r="BK500" s="3188"/>
      <c r="BL500" s="3188"/>
      <c r="BM500" s="3188"/>
      <c r="BN500" s="3188"/>
      <c r="BO500" s="3188"/>
      <c r="BP500" s="3188"/>
      <c r="BQ500" s="3188"/>
    </row>
    <row r="501" spans="1:69" ht="15">
      <c r="A501" s="128" t="s">
        <v>78</v>
      </c>
      <c r="B501" s="28">
        <f t="shared" si="170"/>
        <v>0</v>
      </c>
      <c r="C501" s="1930"/>
      <c r="D501" s="1930"/>
      <c r="E501" s="1930"/>
      <c r="F501" s="1930"/>
      <c r="G501" s="1930"/>
      <c r="H501" s="1930"/>
      <c r="I501" s="1930"/>
      <c r="J501" s="1930"/>
      <c r="K501" s="1930"/>
      <c r="L501" s="2465"/>
      <c r="M501" s="2465"/>
      <c r="N501" s="2610"/>
      <c r="O501" s="2465"/>
      <c r="P501" s="2465"/>
      <c r="Q501" s="2465"/>
      <c r="R501" s="2465"/>
      <c r="S501" s="2465"/>
      <c r="T501" s="2465"/>
      <c r="U501" s="2465"/>
      <c r="V501" s="2465"/>
      <c r="W501" s="2465"/>
      <c r="X501" s="2465"/>
      <c r="Y501" s="2465"/>
      <c r="Z501" s="2465"/>
      <c r="AA501" s="2465"/>
      <c r="AB501" s="2465"/>
      <c r="AC501" s="2465"/>
      <c r="AD501" s="2465"/>
      <c r="AE501" s="2465"/>
      <c r="AF501" s="2465"/>
      <c r="AG501" s="2465"/>
      <c r="AH501" s="53">
        <f t="shared" si="171"/>
        <v>0</v>
      </c>
      <c r="AJ501" s="3077" t="s">
        <v>72</v>
      </c>
      <c r="AK501" s="3189" t="s">
        <v>73</v>
      </c>
      <c r="AL501" s="3073">
        <v>1</v>
      </c>
      <c r="AM501" s="3073">
        <v>2</v>
      </c>
      <c r="AN501" s="3073">
        <v>3</v>
      </c>
      <c r="AO501" s="3073">
        <v>4</v>
      </c>
      <c r="AP501" s="3073">
        <v>5</v>
      </c>
      <c r="AQ501" s="3073">
        <v>6</v>
      </c>
      <c r="AR501" s="3073">
        <v>7</v>
      </c>
      <c r="AS501" s="3073">
        <v>8</v>
      </c>
      <c r="AT501" s="3073">
        <v>9</v>
      </c>
      <c r="AU501" s="3073">
        <v>10</v>
      </c>
      <c r="AV501" s="3073">
        <v>11</v>
      </c>
      <c r="AW501" s="3073">
        <v>12</v>
      </c>
      <c r="AX501" s="3073">
        <v>13</v>
      </c>
      <c r="AY501" s="3073">
        <v>14</v>
      </c>
      <c r="AZ501" s="3073">
        <v>15</v>
      </c>
      <c r="BA501" s="3073">
        <v>16</v>
      </c>
      <c r="BB501" s="3077">
        <v>17</v>
      </c>
      <c r="BC501" s="3077">
        <v>18</v>
      </c>
      <c r="BD501" s="3077">
        <v>19</v>
      </c>
      <c r="BE501" s="3077">
        <v>20</v>
      </c>
      <c r="BF501" s="3077">
        <v>21</v>
      </c>
      <c r="BG501" s="3077">
        <v>22</v>
      </c>
      <c r="BH501" s="3077">
        <v>23</v>
      </c>
      <c r="BI501" s="3077">
        <v>24</v>
      </c>
      <c r="BJ501" s="3077">
        <v>25</v>
      </c>
      <c r="BK501" s="3077">
        <v>26</v>
      </c>
      <c r="BL501" s="3077">
        <v>27</v>
      </c>
      <c r="BM501" s="3077">
        <v>28</v>
      </c>
      <c r="BN501" s="3077">
        <v>29</v>
      </c>
      <c r="BO501" s="3077">
        <v>30</v>
      </c>
      <c r="BP501" s="3077">
        <v>31</v>
      </c>
      <c r="BQ501" s="3190" t="s">
        <v>74</v>
      </c>
    </row>
    <row r="502" spans="1:69" ht="15">
      <c r="A502" s="132" t="s">
        <v>79</v>
      </c>
      <c r="B502" s="28">
        <f t="shared" si="170"/>
        <v>0</v>
      </c>
      <c r="C502" s="1287">
        <v>0</v>
      </c>
      <c r="D502" s="1287"/>
      <c r="E502" s="1287"/>
      <c r="F502" s="1287"/>
      <c r="G502" s="1287"/>
      <c r="H502" s="1287"/>
      <c r="I502" s="1287"/>
      <c r="J502" s="1287"/>
      <c r="K502" s="1287"/>
      <c r="L502" s="1287"/>
      <c r="M502" s="1287"/>
      <c r="N502" s="1287"/>
      <c r="O502" s="1287"/>
      <c r="P502" s="1287"/>
      <c r="Q502" s="1287"/>
      <c r="R502" s="1287"/>
      <c r="S502" s="1287"/>
      <c r="T502" s="1287"/>
      <c r="U502" s="1287"/>
      <c r="V502" s="1287"/>
      <c r="W502" s="1287"/>
      <c r="X502" s="1287"/>
      <c r="Y502" s="1287"/>
      <c r="Z502" s="1287"/>
      <c r="AA502" s="1287"/>
      <c r="AB502" s="1287"/>
      <c r="AC502" s="1287"/>
      <c r="AD502" s="1287"/>
      <c r="AE502" s="1287"/>
      <c r="AF502" s="1287"/>
      <c r="AG502" s="1287"/>
      <c r="AH502" s="53">
        <f t="shared" si="171"/>
        <v>0</v>
      </c>
      <c r="AJ502" s="3077" t="s">
        <v>75</v>
      </c>
      <c r="AK502" s="3189">
        <f t="shared" ref="AK502:AK513" si="172">+BQ502</f>
        <v>0</v>
      </c>
      <c r="AL502" s="3191"/>
      <c r="AM502" s="3191"/>
      <c r="AN502" s="3191"/>
      <c r="AO502" s="3191"/>
      <c r="AP502" s="3191"/>
      <c r="AQ502" s="3191"/>
      <c r="AR502" s="3191"/>
      <c r="AS502" s="3191"/>
      <c r="AT502" s="3191"/>
      <c r="AU502" s="3191"/>
      <c r="AV502" s="3191"/>
      <c r="AW502" s="3191"/>
      <c r="AX502" s="3191"/>
      <c r="AY502" s="3191"/>
      <c r="AZ502" s="3191"/>
      <c r="BA502" s="3191"/>
      <c r="BB502" s="3191"/>
      <c r="BC502" s="3191"/>
      <c r="BD502" s="3191"/>
      <c r="BE502" s="3191"/>
      <c r="BF502" s="3191"/>
      <c r="BG502" s="3191"/>
      <c r="BH502" s="3191"/>
      <c r="BI502" s="3191"/>
      <c r="BJ502" s="3191"/>
      <c r="BK502" s="3191"/>
      <c r="BL502" s="3191"/>
      <c r="BM502" s="3191"/>
      <c r="BN502" s="3191"/>
      <c r="BO502" s="3191"/>
      <c r="BP502" s="3191"/>
      <c r="BQ502" s="3192">
        <f>SUM(AL502:BP502)</f>
        <v>0</v>
      </c>
    </row>
    <row r="503" spans="1:69" ht="15.75" thickBot="1">
      <c r="A503" s="132" t="s">
        <v>80</v>
      </c>
      <c r="B503" s="28">
        <f t="shared" si="170"/>
        <v>0</v>
      </c>
      <c r="C503" s="1287"/>
      <c r="D503" s="1287"/>
      <c r="E503" s="1287"/>
      <c r="F503" s="1287"/>
      <c r="G503" s="1287"/>
      <c r="H503" s="1287"/>
      <c r="I503" s="1287"/>
      <c r="J503" s="1287"/>
      <c r="K503" s="1287"/>
      <c r="L503" s="1287"/>
      <c r="M503" s="1287"/>
      <c r="N503" s="1287"/>
      <c r="O503" s="1287"/>
      <c r="P503" s="1287"/>
      <c r="Q503" s="1287"/>
      <c r="R503" s="1287"/>
      <c r="S503" s="1287"/>
      <c r="T503" s="1287"/>
      <c r="U503" s="1287"/>
      <c r="V503" s="1287"/>
      <c r="W503" s="1287"/>
      <c r="X503" s="1287"/>
      <c r="Y503" s="1287"/>
      <c r="Z503" s="1287"/>
      <c r="AA503" s="1287"/>
      <c r="AB503" s="1287"/>
      <c r="AC503" s="1287"/>
      <c r="AD503" s="1287"/>
      <c r="AE503" s="1287"/>
      <c r="AF503" s="1287"/>
      <c r="AG503" s="1287"/>
      <c r="AH503" s="53">
        <f t="shared" si="171"/>
        <v>0</v>
      </c>
      <c r="AJ503" s="3077" t="s">
        <v>76</v>
      </c>
      <c r="AK503" s="3189">
        <f t="shared" si="172"/>
        <v>0</v>
      </c>
      <c r="AL503" s="3191"/>
      <c r="AM503" s="3191"/>
      <c r="AN503" s="3191"/>
      <c r="AO503" s="3191"/>
      <c r="AP503" s="3191"/>
      <c r="AQ503" s="3191"/>
      <c r="AR503" s="3191"/>
      <c r="AS503" s="3191"/>
      <c r="AT503" s="3191"/>
      <c r="AU503" s="3191"/>
      <c r="AV503" s="3191"/>
      <c r="AW503" s="3191"/>
      <c r="AX503" s="3191"/>
      <c r="AY503" s="3191"/>
      <c r="AZ503" s="3191"/>
      <c r="BA503" s="3191"/>
      <c r="BB503" s="3191"/>
      <c r="BC503" s="3191"/>
      <c r="BD503" s="3191"/>
      <c r="BE503" s="3191"/>
      <c r="BF503" s="3191"/>
      <c r="BG503" s="3191"/>
      <c r="BH503" s="3191"/>
      <c r="BI503" s="3191"/>
      <c r="BJ503" s="3191"/>
      <c r="BK503" s="3191"/>
      <c r="BL503" s="3191"/>
      <c r="BM503" s="3191"/>
      <c r="BN503" s="3191"/>
      <c r="BO503" s="3191"/>
      <c r="BP503" s="3191"/>
      <c r="BQ503" s="3192">
        <f t="shared" ref="BQ503:BQ513" si="173">SUM(AL503:BP503)</f>
        <v>0</v>
      </c>
    </row>
    <row r="504" spans="1:69" ht="15.75" thickBot="1">
      <c r="A504" s="132" t="s">
        <v>81</v>
      </c>
      <c r="B504" s="28">
        <f t="shared" si="170"/>
        <v>0</v>
      </c>
      <c r="C504" s="1287"/>
      <c r="D504" s="1488"/>
      <c r="E504" s="1488"/>
      <c r="F504" s="1488"/>
      <c r="G504" s="1287"/>
      <c r="H504" s="1287"/>
      <c r="I504" s="1287"/>
      <c r="J504" s="1287"/>
      <c r="K504" s="1287"/>
      <c r="L504" s="1287"/>
      <c r="M504" s="1287"/>
      <c r="N504" s="1287"/>
      <c r="O504" s="1287"/>
      <c r="P504" s="1287"/>
      <c r="Q504" s="1287"/>
      <c r="R504" s="1287"/>
      <c r="S504" s="1287"/>
      <c r="T504" s="1287"/>
      <c r="U504" s="1287"/>
      <c r="V504" s="1287"/>
      <c r="W504" s="1287"/>
      <c r="X504" s="1287"/>
      <c r="Y504" s="1287"/>
      <c r="Z504" s="1287"/>
      <c r="AA504" s="1287"/>
      <c r="AB504" s="1287"/>
      <c r="AC504" s="1287"/>
      <c r="AD504" s="1287"/>
      <c r="AE504" s="1287"/>
      <c r="AF504" s="1287"/>
      <c r="AG504" s="1287"/>
      <c r="AH504" s="53">
        <f t="shared" si="171"/>
        <v>0</v>
      </c>
      <c r="AJ504" s="3077" t="s">
        <v>77</v>
      </c>
      <c r="AK504" s="3189">
        <f t="shared" si="172"/>
        <v>0</v>
      </c>
      <c r="AL504" s="3191"/>
      <c r="AM504" s="3191"/>
      <c r="AN504" s="3191"/>
      <c r="AO504" s="3191"/>
      <c r="AP504" s="3191"/>
      <c r="AQ504" s="3193"/>
      <c r="AR504" s="3193"/>
      <c r="AS504" s="3193"/>
      <c r="AT504" s="3193"/>
      <c r="AU504" s="3193"/>
      <c r="AV504" s="3193"/>
      <c r="AW504" s="3193"/>
      <c r="AX504" s="3193"/>
      <c r="AY504" s="3193"/>
      <c r="AZ504" s="3193"/>
      <c r="BA504" s="3194"/>
      <c r="BB504" s="3193"/>
      <c r="BC504" s="3193"/>
      <c r="BD504" s="3193"/>
      <c r="BE504" s="3193"/>
      <c r="BF504" s="3193"/>
      <c r="BG504" s="3193"/>
      <c r="BH504" s="3193"/>
      <c r="BI504" s="3193"/>
      <c r="BJ504" s="3193"/>
      <c r="BK504" s="3193"/>
      <c r="BL504" s="3191"/>
      <c r="BM504" s="3191"/>
      <c r="BN504" s="3191"/>
      <c r="BO504" s="3191"/>
      <c r="BP504" s="3191"/>
      <c r="BQ504" s="3192">
        <f t="shared" si="173"/>
        <v>0</v>
      </c>
    </row>
    <row r="505" spans="1:69" ht="15">
      <c r="A505" s="132" t="s">
        <v>82</v>
      </c>
      <c r="B505" s="28">
        <f t="shared" si="170"/>
        <v>0</v>
      </c>
      <c r="C505" s="1287"/>
      <c r="D505" s="1287"/>
      <c r="E505" s="1287"/>
      <c r="F505" s="1287"/>
      <c r="G505" s="1287"/>
      <c r="H505" s="1287"/>
      <c r="I505" s="1287"/>
      <c r="J505" s="1287"/>
      <c r="K505" s="1287"/>
      <c r="L505" s="1287"/>
      <c r="M505" s="1287"/>
      <c r="N505" s="1287"/>
      <c r="O505" s="1287"/>
      <c r="P505" s="1287"/>
      <c r="Q505" s="1287"/>
      <c r="R505" s="1287"/>
      <c r="S505" s="1287"/>
      <c r="T505" s="1287"/>
      <c r="U505" s="1287"/>
      <c r="V505" s="1287"/>
      <c r="W505" s="1287"/>
      <c r="X505" s="1287"/>
      <c r="Y505" s="1287"/>
      <c r="Z505" s="1287"/>
      <c r="AA505" s="1287"/>
      <c r="AB505" s="1287"/>
      <c r="AC505" s="1287"/>
      <c r="AD505" s="1287"/>
      <c r="AE505" s="1287"/>
      <c r="AF505" s="1287"/>
      <c r="AG505" s="1287"/>
      <c r="AH505" s="53">
        <f t="shared" si="171"/>
        <v>0</v>
      </c>
      <c r="AJ505" s="3077" t="s">
        <v>78</v>
      </c>
      <c r="AK505" s="3189">
        <f t="shared" si="172"/>
        <v>0</v>
      </c>
      <c r="AL505" s="3191"/>
      <c r="AM505" s="3191"/>
      <c r="AN505" s="3191"/>
      <c r="AO505" s="3191"/>
      <c r="AP505" s="3191"/>
      <c r="AQ505" s="3191"/>
      <c r="AR505" s="3191"/>
      <c r="AS505" s="3191"/>
      <c r="AT505" s="3191"/>
      <c r="AU505" s="3195"/>
      <c r="AV505" s="3195"/>
      <c r="AW505" s="3195"/>
      <c r="AX505" s="3195"/>
      <c r="AY505" s="3195"/>
      <c r="AZ505" s="3195"/>
      <c r="BA505" s="3195"/>
      <c r="BB505" s="3195"/>
      <c r="BC505" s="3195"/>
      <c r="BD505" s="3195"/>
      <c r="BE505" s="3195"/>
      <c r="BF505" s="3195"/>
      <c r="BG505" s="3195"/>
      <c r="BH505" s="3195"/>
      <c r="BI505" s="3195"/>
      <c r="BJ505" s="3195"/>
      <c r="BK505" s="3195"/>
      <c r="BL505" s="3195"/>
      <c r="BM505" s="3195"/>
      <c r="BN505" s="3195"/>
      <c r="BO505" s="3195"/>
      <c r="BP505" s="3195"/>
      <c r="BQ505" s="3192">
        <f t="shared" si="173"/>
        <v>0</v>
      </c>
    </row>
    <row r="506" spans="1:69" ht="15">
      <c r="A506" s="30" t="s">
        <v>83</v>
      </c>
      <c r="B506" s="28">
        <f t="shared" si="170"/>
        <v>0</v>
      </c>
      <c r="C506" s="1287"/>
      <c r="D506" s="1287"/>
      <c r="E506" s="1287"/>
      <c r="F506" s="1287"/>
      <c r="G506" s="1287"/>
      <c r="H506" s="1287"/>
      <c r="I506" s="1287"/>
      <c r="J506" s="1287"/>
      <c r="K506" s="1287"/>
      <c r="L506" s="1287"/>
      <c r="M506" s="1287"/>
      <c r="N506" s="1287"/>
      <c r="O506" s="1287"/>
      <c r="P506" s="1287"/>
      <c r="Q506" s="1287"/>
      <c r="R506" s="1287"/>
      <c r="S506" s="1287"/>
      <c r="T506" s="1287"/>
      <c r="U506" s="1287"/>
      <c r="V506" s="1287"/>
      <c r="W506" s="1287"/>
      <c r="X506" s="1287"/>
      <c r="Y506" s="1287"/>
      <c r="Z506" s="1287"/>
      <c r="AA506" s="1287"/>
      <c r="AB506" s="1287"/>
      <c r="AC506" s="1287"/>
      <c r="AD506" s="1287"/>
      <c r="AE506" s="1287"/>
      <c r="AF506" s="1287"/>
      <c r="AG506" s="1287"/>
      <c r="AH506" s="53">
        <f t="shared" si="171"/>
        <v>0</v>
      </c>
      <c r="AJ506" s="3077" t="s">
        <v>79</v>
      </c>
      <c r="AK506" s="3189">
        <f t="shared" si="172"/>
        <v>0</v>
      </c>
      <c r="AL506" s="3193"/>
      <c r="AM506" s="3193"/>
      <c r="AN506" s="3193"/>
      <c r="AO506" s="3193"/>
      <c r="AP506" s="3193"/>
      <c r="AQ506" s="3193"/>
      <c r="AR506" s="3193"/>
      <c r="AS506" s="3193"/>
      <c r="AT506" s="3193"/>
      <c r="AU506" s="3193"/>
      <c r="AV506" s="3193"/>
      <c r="AW506" s="3193"/>
      <c r="AX506" s="3193"/>
      <c r="AY506" s="3193"/>
      <c r="AZ506" s="3193"/>
      <c r="BA506" s="3193"/>
      <c r="BB506" s="3193"/>
      <c r="BC506" s="3193"/>
      <c r="BD506" s="3193"/>
      <c r="BE506" s="3193"/>
      <c r="BF506" s="3193"/>
      <c r="BG506" s="3193"/>
      <c r="BH506" s="3193"/>
      <c r="BI506" s="3193"/>
      <c r="BJ506" s="3193"/>
      <c r="BK506" s="3193"/>
      <c r="BL506" s="3193"/>
      <c r="BM506" s="3193"/>
      <c r="BN506" s="3193"/>
      <c r="BO506" s="3193"/>
      <c r="BP506" s="3193"/>
      <c r="BQ506" s="3192">
        <f t="shared" si="173"/>
        <v>0</v>
      </c>
    </row>
    <row r="507" spans="1:69" ht="15">
      <c r="A507" s="30" t="s">
        <v>84</v>
      </c>
      <c r="B507" s="28">
        <f t="shared" si="170"/>
        <v>0</v>
      </c>
      <c r="C507" s="1287"/>
      <c r="D507" s="1287"/>
      <c r="E507" s="1287"/>
      <c r="F507" s="1287"/>
      <c r="G507" s="1287"/>
      <c r="H507" s="1287"/>
      <c r="I507" s="1287"/>
      <c r="J507" s="1287"/>
      <c r="K507" s="1287"/>
      <c r="L507" s="1287"/>
      <c r="M507" s="1287"/>
      <c r="N507" s="1287"/>
      <c r="O507" s="1287"/>
      <c r="P507" s="1287"/>
      <c r="Q507" s="1287"/>
      <c r="R507" s="1287"/>
      <c r="S507" s="1287"/>
      <c r="T507" s="1287"/>
      <c r="U507" s="1287"/>
      <c r="V507" s="1287"/>
      <c r="W507" s="1287"/>
      <c r="X507" s="1287"/>
      <c r="Y507" s="1287"/>
      <c r="Z507" s="1287"/>
      <c r="AA507" s="1287"/>
      <c r="AB507" s="1287"/>
      <c r="AC507" s="1287"/>
      <c r="AD507" s="1287"/>
      <c r="AE507" s="1488"/>
      <c r="AF507" s="1287"/>
      <c r="AG507" s="1488"/>
      <c r="AH507" s="53">
        <f t="shared" si="171"/>
        <v>0</v>
      </c>
      <c r="AJ507" s="3077" t="s">
        <v>80</v>
      </c>
      <c r="AK507" s="3189">
        <f t="shared" si="172"/>
        <v>0</v>
      </c>
      <c r="AL507" s="3193"/>
      <c r="AM507" s="3193"/>
      <c r="AN507" s="3193"/>
      <c r="AO507" s="3193"/>
      <c r="AP507" s="3193"/>
      <c r="AQ507" s="3193"/>
      <c r="AR507" s="3193"/>
      <c r="AS507" s="3193"/>
      <c r="AT507" s="3193"/>
      <c r="AU507" s="3193"/>
      <c r="AV507" s="3193"/>
      <c r="AW507" s="3193"/>
      <c r="AX507" s="3193"/>
      <c r="AY507" s="3193"/>
      <c r="AZ507" s="3193"/>
      <c r="BA507" s="3193"/>
      <c r="BB507" s="3193"/>
      <c r="BC507" s="3193"/>
      <c r="BD507" s="3193"/>
      <c r="BE507" s="3193"/>
      <c r="BF507" s="3193"/>
      <c r="BG507" s="3193"/>
      <c r="BH507" s="3193"/>
      <c r="BI507" s="3193"/>
      <c r="BJ507" s="3193"/>
      <c r="BK507" s="3193"/>
      <c r="BL507" s="3193"/>
      <c r="BM507" s="3193"/>
      <c r="BN507" s="3193"/>
      <c r="BO507" s="3193"/>
      <c r="BP507" s="3193"/>
      <c r="BQ507" s="3192">
        <f t="shared" si="173"/>
        <v>0</v>
      </c>
    </row>
    <row r="508" spans="1:69" ht="15">
      <c r="A508" s="30" t="s">
        <v>85</v>
      </c>
      <c r="B508" s="28">
        <f t="shared" si="170"/>
        <v>0</v>
      </c>
      <c r="C508" s="1287"/>
      <c r="D508" s="1287"/>
      <c r="E508" s="1287"/>
      <c r="F508" s="1287"/>
      <c r="G508" s="1433"/>
      <c r="H508" s="1287"/>
      <c r="I508" s="1287"/>
      <c r="J508" s="1287"/>
      <c r="K508" s="1287"/>
      <c r="L508" s="1287"/>
      <c r="M508" s="1287"/>
      <c r="N508" s="1287"/>
      <c r="O508" s="1287"/>
      <c r="P508" s="1287"/>
      <c r="Q508" s="1287"/>
      <c r="R508" s="1287"/>
      <c r="S508" s="1287"/>
      <c r="T508" s="1287"/>
      <c r="U508" s="1287"/>
      <c r="V508" s="1287"/>
      <c r="W508" s="1287"/>
      <c r="X508" s="1287"/>
      <c r="Y508" s="1287"/>
      <c r="Z508" s="1287"/>
      <c r="AA508" s="1287"/>
      <c r="AB508" s="1287"/>
      <c r="AC508" s="1287"/>
      <c r="AD508" s="1287"/>
      <c r="AE508" s="1488"/>
      <c r="AF508" s="1287"/>
      <c r="AG508" s="1488"/>
      <c r="AH508" s="53">
        <f t="shared" si="171"/>
        <v>0</v>
      </c>
      <c r="AJ508" s="3077" t="s">
        <v>81</v>
      </c>
      <c r="AK508" s="3189">
        <f t="shared" si="172"/>
        <v>0</v>
      </c>
      <c r="AL508" s="3193"/>
      <c r="AM508" s="3192"/>
      <c r="AN508" s="3192"/>
      <c r="AO508" s="3192"/>
      <c r="AP508" s="3193"/>
      <c r="AQ508" s="3193"/>
      <c r="AR508" s="3193"/>
      <c r="AS508" s="3193"/>
      <c r="AT508" s="3193"/>
      <c r="AU508" s="3193"/>
      <c r="AV508" s="3193"/>
      <c r="AW508" s="3193"/>
      <c r="AX508" s="3193"/>
      <c r="AY508" s="3193"/>
      <c r="AZ508" s="3193"/>
      <c r="BA508" s="3193"/>
      <c r="BB508" s="3193"/>
      <c r="BC508" s="3193"/>
      <c r="BD508" s="3193"/>
      <c r="BE508" s="3193"/>
      <c r="BF508" s="3193"/>
      <c r="BG508" s="3193"/>
      <c r="BH508" s="3193"/>
      <c r="BI508" s="3193"/>
      <c r="BJ508" s="3193"/>
      <c r="BK508" s="3193"/>
      <c r="BL508" s="3193"/>
      <c r="BM508" s="3193"/>
      <c r="BN508" s="3193"/>
      <c r="BO508" s="3193"/>
      <c r="BP508" s="3193"/>
      <c r="BQ508" s="3192">
        <f t="shared" si="173"/>
        <v>0</v>
      </c>
    </row>
    <row r="509" spans="1:69" ht="15">
      <c r="A509" s="30" t="s">
        <v>86</v>
      </c>
      <c r="B509" s="28">
        <f t="shared" si="170"/>
        <v>0</v>
      </c>
      <c r="C509" s="1287"/>
      <c r="D509" s="1287"/>
      <c r="E509" s="1287"/>
      <c r="F509" s="1287"/>
      <c r="G509" s="1287"/>
      <c r="H509" s="1287"/>
      <c r="I509" s="1287"/>
      <c r="J509" s="1287"/>
      <c r="K509" s="1287"/>
      <c r="L509" s="1287"/>
      <c r="M509" s="1287"/>
      <c r="N509" s="1287"/>
      <c r="O509" s="1287"/>
      <c r="P509" s="1287"/>
      <c r="Q509" s="1287"/>
      <c r="R509" s="1287"/>
      <c r="S509" s="1287"/>
      <c r="T509" s="1287"/>
      <c r="U509" s="1287"/>
      <c r="V509" s="1287"/>
      <c r="W509" s="1287"/>
      <c r="X509" s="1287"/>
      <c r="Y509" s="1287"/>
      <c r="Z509" s="1287"/>
      <c r="AA509" s="1287"/>
      <c r="AB509" s="1287"/>
      <c r="AC509" s="1287"/>
      <c r="AD509" s="1287"/>
      <c r="AE509" s="1287"/>
      <c r="AF509" s="1287"/>
      <c r="AG509" s="1287"/>
      <c r="AH509" s="53">
        <f t="shared" si="171"/>
        <v>0</v>
      </c>
      <c r="AJ509" s="3077" t="s">
        <v>82</v>
      </c>
      <c r="AK509" s="3189">
        <f t="shared" si="172"/>
        <v>0</v>
      </c>
      <c r="AL509" s="3193"/>
      <c r="AM509" s="3193"/>
      <c r="AN509" s="3193"/>
      <c r="AO509" s="3193"/>
      <c r="AP509" s="3193"/>
      <c r="AQ509" s="3193"/>
      <c r="AR509" s="3193"/>
      <c r="AS509" s="3193"/>
      <c r="AT509" s="3193"/>
      <c r="AU509" s="3193"/>
      <c r="AV509" s="3193"/>
      <c r="AW509" s="3193"/>
      <c r="AX509" s="3193"/>
      <c r="AY509" s="3193"/>
      <c r="AZ509" s="3193"/>
      <c r="BA509" s="3193"/>
      <c r="BB509" s="3193"/>
      <c r="BC509" s="3193"/>
      <c r="BD509" s="3193"/>
      <c r="BE509" s="3193"/>
      <c r="BF509" s="3193"/>
      <c r="BG509" s="3193"/>
      <c r="BH509" s="3193"/>
      <c r="BI509" s="3193"/>
      <c r="BJ509" s="3193"/>
      <c r="BK509" s="3193"/>
      <c r="BL509" s="3193"/>
      <c r="BM509" s="3193"/>
      <c r="BN509" s="3193"/>
      <c r="BO509" s="3193"/>
      <c r="BP509" s="3193"/>
      <c r="BQ509" s="3192">
        <f t="shared" si="173"/>
        <v>0</v>
      </c>
    </row>
    <row r="510" spans="1:69" ht="15">
      <c r="A510" s="88" t="s">
        <v>74</v>
      </c>
      <c r="B510" s="90">
        <f t="shared" ref="B510:R510" si="174">SUM(B498:B509)</f>
        <v>0</v>
      </c>
      <c r="C510" s="71">
        <f t="shared" si="174"/>
        <v>0</v>
      </c>
      <c r="D510" s="71">
        <f t="shared" si="174"/>
        <v>0</v>
      </c>
      <c r="E510" s="71">
        <f t="shared" si="174"/>
        <v>0</v>
      </c>
      <c r="F510" s="71">
        <f t="shared" si="174"/>
        <v>0</v>
      </c>
      <c r="G510" s="71">
        <f t="shared" si="174"/>
        <v>0</v>
      </c>
      <c r="H510" s="71">
        <f t="shared" si="174"/>
        <v>0</v>
      </c>
      <c r="I510" s="71">
        <f t="shared" si="174"/>
        <v>0</v>
      </c>
      <c r="J510" s="71">
        <f t="shared" si="174"/>
        <v>0</v>
      </c>
      <c r="K510" s="71">
        <f t="shared" si="174"/>
        <v>0</v>
      </c>
      <c r="L510" s="71">
        <f t="shared" si="174"/>
        <v>0</v>
      </c>
      <c r="M510" s="71">
        <f t="shared" si="174"/>
        <v>0</v>
      </c>
      <c r="N510" s="71">
        <f t="shared" si="174"/>
        <v>0</v>
      </c>
      <c r="O510" s="71">
        <f t="shared" si="174"/>
        <v>0</v>
      </c>
      <c r="P510" s="71">
        <f t="shared" si="174"/>
        <v>0</v>
      </c>
      <c r="Q510" s="71">
        <f t="shared" si="174"/>
        <v>0</v>
      </c>
      <c r="R510" s="71">
        <f t="shared" si="174"/>
        <v>0</v>
      </c>
      <c r="S510" s="53">
        <f t="shared" ref="S510:AC510" si="175">SUM(S498:S508)</f>
        <v>0</v>
      </c>
      <c r="T510" s="53">
        <f t="shared" si="175"/>
        <v>0</v>
      </c>
      <c r="U510" s="53">
        <f t="shared" si="175"/>
        <v>0</v>
      </c>
      <c r="V510" s="53">
        <f t="shared" si="175"/>
        <v>0</v>
      </c>
      <c r="W510" s="53">
        <f t="shared" si="175"/>
        <v>0</v>
      </c>
      <c r="X510" s="53">
        <f t="shared" si="175"/>
        <v>0</v>
      </c>
      <c r="Y510" s="53">
        <f t="shared" si="175"/>
        <v>0</v>
      </c>
      <c r="Z510" s="53">
        <f t="shared" si="175"/>
        <v>0</v>
      </c>
      <c r="AA510" s="53">
        <f t="shared" si="175"/>
        <v>0</v>
      </c>
      <c r="AB510" s="53">
        <f t="shared" si="175"/>
        <v>0</v>
      </c>
      <c r="AC510" s="53">
        <f t="shared" si="175"/>
        <v>0</v>
      </c>
      <c r="AD510" s="53">
        <v>0</v>
      </c>
      <c r="AE510" s="53">
        <f>SUM(AE498:AE508)</f>
        <v>0</v>
      </c>
      <c r="AF510" s="53">
        <f>SUM(AF498:AF508)</f>
        <v>0</v>
      </c>
      <c r="AG510" s="53">
        <f>SUM(AG498:AG508)</f>
        <v>0</v>
      </c>
      <c r="AH510" s="46">
        <f>SUM(AH498:AH508)</f>
        <v>0</v>
      </c>
      <c r="AJ510" s="3077" t="s">
        <v>83</v>
      </c>
      <c r="AK510" s="3189">
        <f t="shared" si="172"/>
        <v>0</v>
      </c>
      <c r="AL510" s="3193"/>
      <c r="AM510" s="3193"/>
      <c r="AN510" s="3193"/>
      <c r="AO510" s="3193"/>
      <c r="AP510" s="3193"/>
      <c r="AQ510" s="3193"/>
      <c r="AR510" s="3193"/>
      <c r="AS510" s="3193"/>
      <c r="AT510" s="3193"/>
      <c r="AU510" s="3193"/>
      <c r="AV510" s="3193"/>
      <c r="AW510" s="3193"/>
      <c r="AX510" s="3193"/>
      <c r="AY510" s="3193"/>
      <c r="AZ510" s="3193"/>
      <c r="BA510" s="3193"/>
      <c r="BB510" s="3193"/>
      <c r="BC510" s="3193"/>
      <c r="BD510" s="3193"/>
      <c r="BE510" s="3193"/>
      <c r="BF510" s="3193"/>
      <c r="BG510" s="3193"/>
      <c r="BH510" s="3193"/>
      <c r="BI510" s="3193"/>
      <c r="BJ510" s="3193"/>
      <c r="BK510" s="3193"/>
      <c r="BL510" s="3193"/>
      <c r="BM510" s="3193"/>
      <c r="BN510" s="3193"/>
      <c r="BO510" s="3193"/>
      <c r="BP510" s="3193"/>
      <c r="BQ510" s="3192">
        <f t="shared" si="173"/>
        <v>0</v>
      </c>
    </row>
    <row r="511" spans="1:69" ht="15">
      <c r="A511" s="2187"/>
      <c r="B511" s="2187"/>
      <c r="C511" s="2187"/>
      <c r="D511" s="2187"/>
      <c r="E511" s="2187"/>
      <c r="F511" s="2187"/>
      <c r="G511" s="2187"/>
      <c r="H511" s="2187"/>
      <c r="I511" s="2187"/>
      <c r="J511" s="2187"/>
      <c r="K511" s="2187"/>
      <c r="L511" s="2187"/>
      <c r="M511" s="2187"/>
      <c r="N511" s="2187"/>
      <c r="O511" s="2187"/>
      <c r="P511" s="2187"/>
      <c r="Q511" s="2187"/>
      <c r="R511" s="2187"/>
      <c r="S511" s="2187"/>
      <c r="T511" s="2187"/>
      <c r="U511" s="2187"/>
      <c r="V511" s="2187"/>
      <c r="W511" s="2187"/>
      <c r="X511" s="2187"/>
      <c r="Y511" s="2187"/>
      <c r="Z511" s="2187"/>
      <c r="AA511" s="2187"/>
      <c r="AB511" s="2187"/>
      <c r="AC511" s="2187"/>
      <c r="AD511" s="2187"/>
      <c r="AE511" s="2187"/>
      <c r="AF511" s="2187"/>
      <c r="AG511" s="2187"/>
      <c r="AH511" s="2187"/>
      <c r="AJ511" s="3077" t="s">
        <v>84</v>
      </c>
      <c r="AK511" s="3189">
        <f t="shared" si="172"/>
        <v>0</v>
      </c>
      <c r="AL511" s="3193"/>
      <c r="AM511" s="3193"/>
      <c r="AN511" s="3193"/>
      <c r="AO511" s="3193"/>
      <c r="AP511" s="3193"/>
      <c r="AQ511" s="3193"/>
      <c r="AR511" s="3193"/>
      <c r="AS511" s="3193"/>
      <c r="AT511" s="3193"/>
      <c r="AU511" s="3193"/>
      <c r="AV511" s="3193"/>
      <c r="AW511" s="3193"/>
      <c r="AX511" s="3193"/>
      <c r="AY511" s="3193"/>
      <c r="AZ511" s="3193"/>
      <c r="BA511" s="3193"/>
      <c r="BB511" s="3193"/>
      <c r="BC511" s="3193"/>
      <c r="BD511" s="3193"/>
      <c r="BE511" s="3193"/>
      <c r="BF511" s="3193"/>
      <c r="BG511" s="3193"/>
      <c r="BH511" s="3193"/>
      <c r="BI511" s="3193"/>
      <c r="BJ511" s="3193"/>
      <c r="BK511" s="3193"/>
      <c r="BL511" s="3193"/>
      <c r="BM511" s="3193"/>
      <c r="BN511" s="3192"/>
      <c r="BO511" s="3193"/>
      <c r="BP511" s="3192"/>
      <c r="BQ511" s="3192">
        <f t="shared" si="173"/>
        <v>0</v>
      </c>
    </row>
    <row r="512" spans="1:69" ht="15">
      <c r="AJ512" s="3077" t="s">
        <v>85</v>
      </c>
      <c r="AK512" s="3189">
        <f t="shared" si="172"/>
        <v>0</v>
      </c>
      <c r="AL512" s="3193"/>
      <c r="AM512" s="3193"/>
      <c r="AN512" s="3193"/>
      <c r="AO512" s="3193"/>
      <c r="AP512" s="3196"/>
      <c r="AQ512" s="3193"/>
      <c r="AR512" s="3193"/>
      <c r="AS512" s="3193"/>
      <c r="AT512" s="3193"/>
      <c r="AU512" s="3193"/>
      <c r="AV512" s="3193"/>
      <c r="AW512" s="3193"/>
      <c r="AX512" s="3193"/>
      <c r="AY512" s="3193"/>
      <c r="AZ512" s="3193"/>
      <c r="BA512" s="3193"/>
      <c r="BB512" s="3193"/>
      <c r="BC512" s="3193"/>
      <c r="BD512" s="3193"/>
      <c r="BE512" s="3193"/>
      <c r="BF512" s="3193"/>
      <c r="BG512" s="3193"/>
      <c r="BH512" s="3193"/>
      <c r="BI512" s="3193"/>
      <c r="BJ512" s="3193"/>
      <c r="BK512" s="3193"/>
      <c r="BL512" s="3193"/>
      <c r="BM512" s="3193"/>
      <c r="BN512" s="3192"/>
      <c r="BO512" s="3193"/>
      <c r="BP512" s="3192"/>
      <c r="BQ512" s="3192">
        <f t="shared" si="173"/>
        <v>0</v>
      </c>
    </row>
    <row r="513" spans="1:69" ht="15">
      <c r="AJ513" s="3077" t="s">
        <v>86</v>
      </c>
      <c r="AK513" s="3189">
        <f t="shared" si="172"/>
        <v>0</v>
      </c>
      <c r="AL513" s="3193"/>
      <c r="AM513" s="3193"/>
      <c r="AN513" s="3193"/>
      <c r="AO513" s="3193"/>
      <c r="AP513" s="3193"/>
      <c r="AQ513" s="3193"/>
      <c r="AR513" s="3193"/>
      <c r="AS513" s="3193"/>
      <c r="AT513" s="3193"/>
      <c r="AU513" s="3193"/>
      <c r="AV513" s="3193"/>
      <c r="AW513" s="3193"/>
      <c r="AX513" s="3193"/>
      <c r="AY513" s="3193"/>
      <c r="AZ513" s="3193"/>
      <c r="BA513" s="3193"/>
      <c r="BB513" s="3193"/>
      <c r="BC513" s="3193"/>
      <c r="BD513" s="3193"/>
      <c r="BE513" s="3193"/>
      <c r="BF513" s="3193"/>
      <c r="BG513" s="3193"/>
      <c r="BH513" s="3193"/>
      <c r="BI513" s="3193"/>
      <c r="BJ513" s="3193"/>
      <c r="BK513" s="3193"/>
      <c r="BL513" s="3193"/>
      <c r="BM513" s="3193"/>
      <c r="BN513" s="3193"/>
      <c r="BO513" s="3193"/>
      <c r="BP513" s="3193"/>
      <c r="BQ513" s="3192">
        <f t="shared" si="173"/>
        <v>0</v>
      </c>
    </row>
    <row r="514" spans="1:69" ht="23.25">
      <c r="A514" s="3129" t="s">
        <v>1015</v>
      </c>
      <c r="B514" s="3130"/>
      <c r="C514" s="3130" t="s">
        <v>1094</v>
      </c>
      <c r="D514" s="3131"/>
      <c r="E514" s="3131"/>
      <c r="F514" s="3131"/>
      <c r="G514" s="3131"/>
      <c r="H514" s="3130" t="s">
        <v>1017</v>
      </c>
      <c r="I514" s="3131"/>
      <c r="J514" s="3131"/>
      <c r="K514" s="3080"/>
      <c r="L514" s="3131"/>
      <c r="M514" s="3131"/>
      <c r="N514" s="3131"/>
      <c r="O514" s="3131"/>
      <c r="P514" s="3131"/>
      <c r="Q514" s="3131"/>
      <c r="R514" s="3131"/>
      <c r="S514" s="3131"/>
      <c r="T514" s="3131"/>
      <c r="U514" s="3131"/>
      <c r="V514" s="3131"/>
      <c r="W514" s="3131"/>
      <c r="X514" s="3131"/>
      <c r="Y514" s="3131"/>
      <c r="Z514" s="3131"/>
      <c r="AA514" s="3131"/>
      <c r="AB514" s="3131"/>
      <c r="AC514" s="3131"/>
      <c r="AD514" s="3131"/>
      <c r="AE514" s="3131"/>
      <c r="AF514" s="3131"/>
      <c r="AG514" s="3131"/>
      <c r="AH514" s="3131"/>
      <c r="AJ514" s="3197" t="s">
        <v>74</v>
      </c>
      <c r="AK514" s="3198">
        <f t="shared" ref="AK514:BA514" si="176">SUM(AK502:AK513)</f>
        <v>0</v>
      </c>
      <c r="AL514" s="3189">
        <f t="shared" si="176"/>
        <v>0</v>
      </c>
      <c r="AM514" s="3189">
        <f t="shared" si="176"/>
        <v>0</v>
      </c>
      <c r="AN514" s="3189">
        <f t="shared" si="176"/>
        <v>0</v>
      </c>
      <c r="AO514" s="3189">
        <f t="shared" si="176"/>
        <v>0</v>
      </c>
      <c r="AP514" s="3189">
        <f t="shared" si="176"/>
        <v>0</v>
      </c>
      <c r="AQ514" s="3189">
        <f t="shared" si="176"/>
        <v>0</v>
      </c>
      <c r="AR514" s="3189">
        <f t="shared" si="176"/>
        <v>0</v>
      </c>
      <c r="AS514" s="3189">
        <f t="shared" si="176"/>
        <v>0</v>
      </c>
      <c r="AT514" s="3189">
        <f t="shared" si="176"/>
        <v>0</v>
      </c>
      <c r="AU514" s="3189">
        <f t="shared" si="176"/>
        <v>0</v>
      </c>
      <c r="AV514" s="3189">
        <f t="shared" si="176"/>
        <v>0</v>
      </c>
      <c r="AW514" s="3189">
        <f t="shared" si="176"/>
        <v>0</v>
      </c>
      <c r="AX514" s="3189">
        <f t="shared" si="176"/>
        <v>0</v>
      </c>
      <c r="AY514" s="3189">
        <f t="shared" si="176"/>
        <v>0</v>
      </c>
      <c r="AZ514" s="3189">
        <f t="shared" si="176"/>
        <v>0</v>
      </c>
      <c r="BA514" s="3189">
        <f t="shared" si="176"/>
        <v>0</v>
      </c>
      <c r="BB514" s="3192">
        <f t="shared" ref="BB514:BL514" si="177">SUM(BB502:BB512)</f>
        <v>0</v>
      </c>
      <c r="BC514" s="3192">
        <f t="shared" si="177"/>
        <v>0</v>
      </c>
      <c r="BD514" s="3192">
        <f t="shared" si="177"/>
        <v>0</v>
      </c>
      <c r="BE514" s="3192">
        <f t="shared" si="177"/>
        <v>0</v>
      </c>
      <c r="BF514" s="3192">
        <f t="shared" si="177"/>
        <v>0</v>
      </c>
      <c r="BG514" s="3192">
        <f t="shared" si="177"/>
        <v>0</v>
      </c>
      <c r="BH514" s="3192">
        <f t="shared" si="177"/>
        <v>0</v>
      </c>
      <c r="BI514" s="3192">
        <f t="shared" si="177"/>
        <v>0</v>
      </c>
      <c r="BJ514" s="3192">
        <f t="shared" si="177"/>
        <v>0</v>
      </c>
      <c r="BK514" s="3192">
        <f t="shared" si="177"/>
        <v>0</v>
      </c>
      <c r="BL514" s="3192">
        <f t="shared" si="177"/>
        <v>0</v>
      </c>
      <c r="BM514" s="3192">
        <v>0</v>
      </c>
      <c r="BN514" s="3192">
        <f>SUM(BN502:BN512)</f>
        <v>0</v>
      </c>
      <c r="BO514" s="3192">
        <f>SUM(BO502:BO512)</f>
        <v>0</v>
      </c>
      <c r="BP514" s="3192">
        <f>SUM(BP502:BP512)</f>
        <v>0</v>
      </c>
      <c r="BQ514" s="3192">
        <f>SUM(BQ502:BQ512)</f>
        <v>0</v>
      </c>
    </row>
    <row r="515" spans="1:69" ht="15">
      <c r="A515" s="3569" t="s">
        <v>161</v>
      </c>
      <c r="B515" s="3570"/>
      <c r="C515" s="3571"/>
      <c r="D515" s="34"/>
      <c r="E515" s="34"/>
      <c r="F515" s="34"/>
      <c r="G515" s="34"/>
      <c r="H515" s="34"/>
      <c r="I515" s="34"/>
      <c r="J515" s="34"/>
      <c r="K515" s="34"/>
      <c r="L515" s="34"/>
      <c r="M515" s="34"/>
      <c r="N515" s="34"/>
      <c r="O515" s="34"/>
      <c r="P515" s="34"/>
      <c r="Q515" s="34"/>
      <c r="R515" s="34"/>
      <c r="S515" s="52"/>
      <c r="T515" s="52"/>
      <c r="U515" s="52"/>
      <c r="V515" s="52"/>
      <c r="W515" s="52"/>
      <c r="X515" s="52"/>
      <c r="Y515" s="52"/>
      <c r="Z515" s="52"/>
      <c r="AA515" s="52"/>
      <c r="AB515" s="52"/>
      <c r="AC515" s="52"/>
      <c r="AD515" s="52"/>
      <c r="AE515" s="52"/>
      <c r="AF515" s="52"/>
      <c r="AG515" s="52"/>
      <c r="AH515" s="13"/>
      <c r="AJ515" s="3185"/>
      <c r="AK515" s="3185"/>
      <c r="AL515" s="3185"/>
      <c r="AM515" s="3185"/>
      <c r="AN515" s="3185"/>
      <c r="AO515" s="3185"/>
      <c r="AP515" s="3185"/>
      <c r="AQ515" s="3185"/>
      <c r="AR515" s="3185"/>
      <c r="AS515" s="3185"/>
      <c r="AT515" s="3185"/>
      <c r="AU515" s="3185"/>
      <c r="AV515" s="3185"/>
      <c r="AW515" s="3185"/>
      <c r="AX515" s="3185"/>
      <c r="AY515" s="3185"/>
      <c r="AZ515" s="3185"/>
      <c r="BA515" s="3185"/>
      <c r="BB515" s="3185"/>
      <c r="BC515" s="3185"/>
      <c r="BD515" s="3185"/>
      <c r="BE515" s="3185"/>
      <c r="BF515" s="3185"/>
      <c r="BG515" s="3185"/>
      <c r="BH515" s="3185"/>
      <c r="BI515" s="3185"/>
      <c r="BJ515" s="3185"/>
      <c r="BK515" s="3185"/>
      <c r="BL515" s="3185"/>
      <c r="BM515" s="3185"/>
      <c r="BN515" s="3185"/>
      <c r="BO515" s="3185"/>
      <c r="BP515" s="3185"/>
      <c r="BQ515" s="3185"/>
    </row>
    <row r="516" spans="1:69" ht="15.75" thickBot="1">
      <c r="A516" s="5" t="s">
        <v>72</v>
      </c>
      <c r="B516" s="28" t="s">
        <v>73</v>
      </c>
      <c r="C516" s="72">
        <v>1</v>
      </c>
      <c r="D516" s="35">
        <v>2</v>
      </c>
      <c r="E516" s="35">
        <v>3</v>
      </c>
      <c r="F516" s="35">
        <v>4</v>
      </c>
      <c r="G516" s="35">
        <v>5</v>
      </c>
      <c r="H516" s="35">
        <v>6</v>
      </c>
      <c r="I516" s="35">
        <v>7</v>
      </c>
      <c r="J516" s="35">
        <v>8</v>
      </c>
      <c r="K516" s="35">
        <v>9</v>
      </c>
      <c r="L516" s="35">
        <v>10</v>
      </c>
      <c r="M516" s="35">
        <v>11</v>
      </c>
      <c r="N516" s="35">
        <v>12</v>
      </c>
      <c r="O516" s="35">
        <v>13</v>
      </c>
      <c r="P516" s="35">
        <v>14</v>
      </c>
      <c r="Q516" s="35">
        <v>15</v>
      </c>
      <c r="R516" s="35">
        <v>16</v>
      </c>
      <c r="S516" s="30">
        <v>17</v>
      </c>
      <c r="T516" s="30">
        <v>18</v>
      </c>
      <c r="U516" s="30">
        <v>19</v>
      </c>
      <c r="V516" s="30">
        <v>20</v>
      </c>
      <c r="W516" s="30">
        <v>21</v>
      </c>
      <c r="X516" s="30">
        <v>22</v>
      </c>
      <c r="Y516" s="30">
        <v>23</v>
      </c>
      <c r="Z516" s="30">
        <v>24</v>
      </c>
      <c r="AA516" s="30">
        <v>25</v>
      </c>
      <c r="AB516" s="30">
        <v>26</v>
      </c>
      <c r="AC516" s="30">
        <v>27</v>
      </c>
      <c r="AD516" s="30">
        <v>28</v>
      </c>
      <c r="AE516" s="30">
        <v>29</v>
      </c>
      <c r="AF516" s="30">
        <v>30</v>
      </c>
      <c r="AG516" s="30">
        <v>31</v>
      </c>
      <c r="AH516" s="39" t="s">
        <v>74</v>
      </c>
      <c r="AJ516" s="3185"/>
      <c r="AK516" s="3185"/>
      <c r="AL516" s="3185"/>
      <c r="AM516" s="3185"/>
      <c r="AN516" s="3185"/>
      <c r="AO516" s="3185"/>
      <c r="AP516" s="3185"/>
      <c r="AQ516" s="3185"/>
      <c r="AR516" s="3185"/>
      <c r="AS516" s="3185"/>
      <c r="AT516" s="3185"/>
      <c r="AU516" s="3185"/>
      <c r="AV516" s="3185"/>
      <c r="AW516" s="3185"/>
      <c r="AX516" s="3185"/>
      <c r="AY516" s="3185"/>
      <c r="AZ516" s="3185"/>
      <c r="BA516" s="3185"/>
      <c r="BB516" s="3185"/>
      <c r="BC516" s="3185"/>
      <c r="BD516" s="3185"/>
      <c r="BE516" s="3185"/>
      <c r="BF516" s="3185"/>
      <c r="BG516" s="3185"/>
      <c r="BH516" s="3185"/>
      <c r="BI516" s="3185"/>
      <c r="BJ516" s="3185"/>
      <c r="BK516" s="3185"/>
      <c r="BL516" s="3185"/>
      <c r="BM516" s="3185"/>
      <c r="BN516" s="3185"/>
      <c r="BO516" s="3185"/>
      <c r="BP516" s="3185"/>
      <c r="BQ516" s="3185"/>
    </row>
    <row r="517" spans="1:69" ht="16.5" thickBot="1">
      <c r="A517" s="128" t="s">
        <v>75</v>
      </c>
      <c r="B517" s="28">
        <f t="shared" ref="B517:B528" si="178">+AH517</f>
        <v>0</v>
      </c>
      <c r="C517" s="1930"/>
      <c r="D517" s="1930"/>
      <c r="E517" s="1930"/>
      <c r="F517" s="1930"/>
      <c r="G517" s="1930"/>
      <c r="H517" s="1930"/>
      <c r="I517" s="1930"/>
      <c r="J517" s="1930"/>
      <c r="K517" s="1930"/>
      <c r="L517" s="1930"/>
      <c r="M517" s="1930"/>
      <c r="N517" s="1930"/>
      <c r="O517" s="1930"/>
      <c r="P517" s="1930"/>
      <c r="Q517" s="1930"/>
      <c r="R517" s="1930"/>
      <c r="S517" s="1930"/>
      <c r="T517" s="1930"/>
      <c r="U517" s="1930"/>
      <c r="V517" s="1930"/>
      <c r="W517" s="1930"/>
      <c r="X517" s="1930"/>
      <c r="Y517" s="1930"/>
      <c r="Z517" s="1930"/>
      <c r="AA517" s="1930"/>
      <c r="AB517" s="1930"/>
      <c r="AC517" s="1930"/>
      <c r="AD517" s="1930"/>
      <c r="AE517" s="1930"/>
      <c r="AF517" s="1930"/>
      <c r="AG517" s="1930"/>
      <c r="AH517" s="53">
        <f>SUM(C517:AG517)</f>
        <v>0</v>
      </c>
      <c r="AJ517" s="3199" t="s">
        <v>1004</v>
      </c>
      <c r="AK517" s="3200"/>
      <c r="AL517" s="3200"/>
      <c r="AM517" s="3200"/>
      <c r="AN517" s="3200"/>
      <c r="AO517" s="3818" t="s">
        <v>155</v>
      </c>
      <c r="AP517" s="3819"/>
      <c r="AQ517" s="3820"/>
      <c r="AR517" s="3818" t="s">
        <v>156</v>
      </c>
      <c r="AS517" s="3821"/>
      <c r="AT517" s="3822" t="s">
        <v>912</v>
      </c>
      <c r="AU517" s="3822" t="s">
        <v>913</v>
      </c>
      <c r="AV517" s="3185"/>
      <c r="AW517" s="3185"/>
      <c r="AX517" s="3185"/>
      <c r="AY517" s="3185"/>
      <c r="AZ517" s="3185"/>
      <c r="BA517" s="3185"/>
      <c r="BB517" s="3185"/>
      <c r="BC517" s="3185"/>
      <c r="BD517" s="3185"/>
      <c r="BE517" s="3185"/>
      <c r="BF517" s="3185"/>
      <c r="BG517" s="3185"/>
      <c r="BH517" s="3185"/>
      <c r="BI517" s="3185"/>
      <c r="BJ517" s="3185"/>
      <c r="BK517" s="3185"/>
      <c r="BL517" s="3185"/>
      <c r="BM517" s="3185"/>
      <c r="BN517" s="3185"/>
      <c r="BO517" s="3185"/>
      <c r="BP517" s="3185"/>
      <c r="BQ517" s="3185"/>
    </row>
    <row r="518" spans="1:69" ht="15.75" thickBot="1">
      <c r="A518" s="128" t="s">
        <v>76</v>
      </c>
      <c r="B518" s="28">
        <f t="shared" si="178"/>
        <v>0</v>
      </c>
      <c r="C518" s="1930"/>
      <c r="D518" s="1930"/>
      <c r="E518" s="1930"/>
      <c r="F518" s="1930"/>
      <c r="G518" s="1930"/>
      <c r="H518" s="1930"/>
      <c r="I518" s="1930"/>
      <c r="J518" s="1930"/>
      <c r="K518" s="1930"/>
      <c r="L518" s="1930"/>
      <c r="M518" s="1930"/>
      <c r="N518" s="1930"/>
      <c r="O518" s="1930"/>
      <c r="P518" s="1930"/>
      <c r="Q518" s="1930"/>
      <c r="R518" s="1930"/>
      <c r="S518" s="1930"/>
      <c r="T518" s="1930"/>
      <c r="U518" s="1930"/>
      <c r="V518" s="1930"/>
      <c r="W518" s="1930"/>
      <c r="X518" s="1930"/>
      <c r="Y518" s="1930"/>
      <c r="Z518" s="1930"/>
      <c r="AA518" s="1930"/>
      <c r="AB518" s="1930"/>
      <c r="AC518" s="1930"/>
      <c r="AD518" s="1930"/>
      <c r="AE518" s="1930"/>
      <c r="AF518" s="1930"/>
      <c r="AG518" s="1930"/>
      <c r="AH518" s="53">
        <f t="shared" ref="AH518:AH528" si="179">SUM(C518:AG518)</f>
        <v>0</v>
      </c>
      <c r="AJ518" s="3201" t="s">
        <v>158</v>
      </c>
      <c r="AK518" s="3202" t="s">
        <v>159</v>
      </c>
      <c r="AL518" s="3203" t="s">
        <v>136</v>
      </c>
      <c r="AM518" s="3204" t="s">
        <v>134</v>
      </c>
      <c r="AN518" s="3202" t="s">
        <v>160</v>
      </c>
      <c r="AO518" s="3205" t="s">
        <v>8</v>
      </c>
      <c r="AP518" s="3206" t="s">
        <v>161</v>
      </c>
      <c r="AQ518" s="3207" t="s">
        <v>52</v>
      </c>
      <c r="AR518" s="3205" t="s">
        <v>8</v>
      </c>
      <c r="AS518" s="3208" t="s">
        <v>162</v>
      </c>
      <c r="AT518" s="3823"/>
      <c r="AU518" s="3823"/>
      <c r="AV518" s="3185"/>
      <c r="AW518" s="3185"/>
      <c r="AX518" s="3185"/>
      <c r="AY518" s="3185"/>
      <c r="AZ518" s="3185"/>
      <c r="BA518" s="3185"/>
      <c r="BB518" s="3185"/>
      <c r="BC518" s="3185"/>
      <c r="BD518" s="3185"/>
      <c r="BE518" s="3185"/>
      <c r="BF518" s="3185"/>
      <c r="BG518" s="3185"/>
      <c r="BH518" s="3185"/>
      <c r="BI518" s="3185"/>
      <c r="BJ518" s="3185"/>
      <c r="BK518" s="3185"/>
      <c r="BL518" s="3185"/>
      <c r="BM518" s="3185"/>
      <c r="BN518" s="3185"/>
      <c r="BO518" s="3185"/>
      <c r="BP518" s="3185"/>
      <c r="BQ518" s="3185"/>
    </row>
    <row r="519" spans="1:69" ht="15.75" thickBot="1">
      <c r="A519" s="128" t="s">
        <v>77</v>
      </c>
      <c r="B519" s="36">
        <f t="shared" si="178"/>
        <v>0</v>
      </c>
      <c r="C519" s="1930">
        <v>0</v>
      </c>
      <c r="D519" s="1930"/>
      <c r="E519" s="1930"/>
      <c r="F519" s="1930"/>
      <c r="G519" s="1930"/>
      <c r="H519" s="1287"/>
      <c r="I519" s="1287"/>
      <c r="J519" s="1287"/>
      <c r="K519" s="1287"/>
      <c r="L519" s="1287"/>
      <c r="M519" s="1287"/>
      <c r="N519" s="1287"/>
      <c r="O519" s="1287"/>
      <c r="P519" s="1287"/>
      <c r="Q519" s="1287"/>
      <c r="R519" s="1287"/>
      <c r="S519" s="1287"/>
      <c r="T519" s="1287"/>
      <c r="U519" s="1287"/>
      <c r="V519" s="1287"/>
      <c r="W519" s="1287"/>
      <c r="X519" s="1287"/>
      <c r="Y519" s="1287"/>
      <c r="Z519" s="1287"/>
      <c r="AA519" s="1287"/>
      <c r="AB519" s="1815"/>
      <c r="AC519" s="1930"/>
      <c r="AD519" s="1287"/>
      <c r="AE519" s="1930"/>
      <c r="AF519" s="1930"/>
      <c r="AG519" s="1930"/>
      <c r="AH519" s="53">
        <f t="shared" si="179"/>
        <v>0</v>
      </c>
      <c r="AJ519" s="3209"/>
      <c r="AK519" s="3210"/>
      <c r="AL519" s="3211"/>
      <c r="AM519" s="3212"/>
      <c r="AN519" s="3213"/>
      <c r="AO519" s="3209">
        <v>250</v>
      </c>
      <c r="AP519" s="3212"/>
      <c r="AQ519" s="3214">
        <f>SUM(AO519:AP519)</f>
        <v>250</v>
      </c>
      <c r="AR519" s="3215">
        <f>(AK514)</f>
        <v>0</v>
      </c>
      <c r="AS519" s="3215"/>
      <c r="AT519" s="3216">
        <f>+AO519-AR519</f>
        <v>250</v>
      </c>
      <c r="AU519" s="3216"/>
      <c r="AV519" s="3185"/>
      <c r="AW519" s="3185"/>
      <c r="AX519" s="3185"/>
      <c r="AY519" s="3185"/>
      <c r="AZ519" s="3185"/>
      <c r="BA519" s="3185"/>
      <c r="BB519" s="3185"/>
      <c r="BC519" s="3185"/>
      <c r="BD519" s="3185"/>
      <c r="BE519" s="3185"/>
      <c r="BF519" s="3185"/>
      <c r="BG519" s="3185"/>
      <c r="BH519" s="3185"/>
      <c r="BI519" s="3185"/>
      <c r="BJ519" s="3185"/>
      <c r="BK519" s="3185"/>
      <c r="BL519" s="3185"/>
      <c r="BM519" s="3185"/>
      <c r="BN519" s="3185"/>
      <c r="BO519" s="3185"/>
      <c r="BP519" s="3185"/>
      <c r="BQ519" s="3185"/>
    </row>
    <row r="520" spans="1:69" ht="15.75" thickBot="1">
      <c r="A520" s="128" t="s">
        <v>78</v>
      </c>
      <c r="B520" s="28">
        <f t="shared" si="178"/>
        <v>0</v>
      </c>
      <c r="C520" s="1930"/>
      <c r="D520" s="1930"/>
      <c r="E520" s="1930"/>
      <c r="F520" s="1930"/>
      <c r="G520" s="1930"/>
      <c r="H520" s="1930"/>
      <c r="I520" s="1930"/>
      <c r="J520" s="1930"/>
      <c r="K520" s="1930"/>
      <c r="L520" s="2465"/>
      <c r="M520" s="2465"/>
      <c r="N520" s="2610"/>
      <c r="O520" s="2465"/>
      <c r="P520" s="2465"/>
      <c r="Q520" s="2465"/>
      <c r="R520" s="2465"/>
      <c r="S520" s="2465"/>
      <c r="T520" s="2465"/>
      <c r="U520" s="2465"/>
      <c r="V520" s="2465"/>
      <c r="W520" s="2465"/>
      <c r="X520" s="2465"/>
      <c r="Y520" s="2465"/>
      <c r="Z520" s="2465"/>
      <c r="AA520" s="2465"/>
      <c r="AB520" s="2465"/>
      <c r="AC520" s="2465"/>
      <c r="AD520" s="2465"/>
      <c r="AE520" s="2465"/>
      <c r="AF520" s="2465"/>
      <c r="AG520" s="2465"/>
      <c r="AH520" s="53">
        <f t="shared" si="179"/>
        <v>0</v>
      </c>
      <c r="AJ520" s="3209"/>
      <c r="AK520" s="3210"/>
      <c r="AL520" s="3211"/>
      <c r="AM520" s="3212"/>
      <c r="AN520" s="3213"/>
      <c r="AO520" s="3209"/>
      <c r="AP520" s="3212"/>
      <c r="AQ520" s="3214"/>
      <c r="AR520" s="3217"/>
      <c r="AS520" s="3194"/>
      <c r="AT520" s="3216"/>
      <c r="AU520" s="3216"/>
      <c r="AV520" s="3185"/>
      <c r="AW520" s="3185"/>
      <c r="AX520" s="3185"/>
      <c r="AY520" s="3185"/>
      <c r="AZ520" s="3185"/>
      <c r="BA520" s="3185"/>
      <c r="BB520" s="3185"/>
      <c r="BC520" s="3185"/>
      <c r="BD520" s="3185"/>
      <c r="BE520" s="3185"/>
      <c r="BF520" s="3185"/>
      <c r="BG520" s="3185"/>
      <c r="BH520" s="3185"/>
      <c r="BI520" s="3185"/>
      <c r="BJ520" s="3185"/>
      <c r="BK520" s="3185"/>
      <c r="BL520" s="3185"/>
      <c r="BM520" s="3185"/>
      <c r="BN520" s="3185"/>
      <c r="BO520" s="3185"/>
      <c r="BP520" s="3185"/>
      <c r="BQ520" s="3185"/>
    </row>
    <row r="521" spans="1:69" ht="15">
      <c r="A521" s="132" t="s">
        <v>79</v>
      </c>
      <c r="B521" s="28">
        <f t="shared" si="178"/>
        <v>0</v>
      </c>
      <c r="C521" s="1287"/>
      <c r="D521" s="1287"/>
      <c r="E521" s="1287"/>
      <c r="F521" s="1287"/>
      <c r="G521" s="1287"/>
      <c r="H521" s="1287"/>
      <c r="I521" s="1287"/>
      <c r="J521" s="1287"/>
      <c r="K521" s="1287"/>
      <c r="L521" s="1287"/>
      <c r="M521" s="1287"/>
      <c r="N521" s="1287"/>
      <c r="O521" s="1287"/>
      <c r="P521" s="1287"/>
      <c r="Q521" s="1287"/>
      <c r="R521" s="1287"/>
      <c r="S521" s="1287"/>
      <c r="T521" s="1287"/>
      <c r="U521" s="1287"/>
      <c r="V521" s="1287"/>
      <c r="W521" s="1287"/>
      <c r="X521" s="1287"/>
      <c r="Y521" s="1287"/>
      <c r="Z521" s="1287"/>
      <c r="AA521" s="1287"/>
      <c r="AB521" s="1287"/>
      <c r="AC521" s="1287"/>
      <c r="AD521" s="1287"/>
      <c r="AE521" s="1287"/>
      <c r="AF521" s="1287"/>
      <c r="AG521" s="1287"/>
      <c r="AH521" s="53">
        <f t="shared" si="179"/>
        <v>0</v>
      </c>
      <c r="AJ521" s="3185"/>
      <c r="AK521" s="3185"/>
      <c r="AL521" s="3185"/>
      <c r="AM521" s="3185"/>
      <c r="AN521" s="3185"/>
      <c r="AO521" s="3185"/>
      <c r="AP521" s="3185"/>
      <c r="AQ521" s="3185"/>
      <c r="AR521" s="3185"/>
      <c r="AS521" s="3185"/>
      <c r="AT521" s="3185"/>
      <c r="AU521" s="3185"/>
      <c r="AV521" s="3185"/>
      <c r="AW521" s="3185"/>
      <c r="AX521" s="3185"/>
      <c r="AY521" s="3185"/>
      <c r="AZ521" s="3185"/>
      <c r="BA521" s="3185"/>
      <c r="BB521" s="3185"/>
      <c r="BC521" s="3185"/>
      <c r="BD521" s="3185"/>
      <c r="BE521" s="3185"/>
      <c r="BF521" s="3185"/>
      <c r="BG521" s="3185"/>
      <c r="BH521" s="3185"/>
      <c r="BI521" s="3185"/>
      <c r="BJ521" s="3185"/>
      <c r="BK521" s="3185"/>
      <c r="BL521" s="3185"/>
      <c r="BM521" s="3185"/>
      <c r="BN521" s="3185"/>
      <c r="BO521" s="3185"/>
      <c r="BP521" s="3185"/>
      <c r="BQ521" s="3185"/>
    </row>
    <row r="522" spans="1:69" ht="15">
      <c r="A522" s="132" t="s">
        <v>80</v>
      </c>
      <c r="B522" s="28">
        <f t="shared" si="178"/>
        <v>0</v>
      </c>
      <c r="C522" s="1287"/>
      <c r="D522" s="1287"/>
      <c r="E522" s="1287"/>
      <c r="F522" s="1287"/>
      <c r="G522" s="1287"/>
      <c r="H522" s="1287"/>
      <c r="I522" s="1287"/>
      <c r="J522" s="1287"/>
      <c r="K522" s="1287"/>
      <c r="L522" s="1287"/>
      <c r="M522" s="1287"/>
      <c r="N522" s="1287"/>
      <c r="O522" s="1287"/>
      <c r="P522" s="1287"/>
      <c r="Q522" s="1287"/>
      <c r="R522" s="1287"/>
      <c r="S522" s="1287"/>
      <c r="T522" s="1287"/>
      <c r="U522" s="1287"/>
      <c r="V522" s="1287"/>
      <c r="W522" s="1287"/>
      <c r="X522" s="1287"/>
      <c r="Y522" s="1287"/>
      <c r="Z522" s="1287"/>
      <c r="AA522" s="1287"/>
      <c r="AB522" s="1287"/>
      <c r="AC522" s="1287"/>
      <c r="AD522" s="1287"/>
      <c r="AE522" s="1287"/>
      <c r="AF522" s="1287"/>
      <c r="AG522" s="1287"/>
      <c r="AH522" s="53">
        <f t="shared" si="179"/>
        <v>0</v>
      </c>
      <c r="AJ522" s="3185"/>
      <c r="AK522" s="3185"/>
      <c r="AL522" s="3185"/>
      <c r="AM522" s="3185"/>
      <c r="AN522" s="3185"/>
      <c r="AO522" s="3185"/>
      <c r="AP522" s="3185"/>
      <c r="AQ522" s="3185"/>
      <c r="AR522" s="3185"/>
      <c r="AS522" s="3185"/>
      <c r="AT522" s="3185"/>
      <c r="AU522" s="3185"/>
      <c r="AV522" s="3185"/>
      <c r="AW522" s="3185"/>
      <c r="AX522" s="3185"/>
      <c r="AY522" s="3185"/>
      <c r="AZ522" s="3185"/>
      <c r="BA522" s="3185"/>
      <c r="BB522" s="3185"/>
      <c r="BC522" s="3185"/>
      <c r="BD522" s="3185"/>
      <c r="BE522" s="3185"/>
      <c r="BF522" s="3185"/>
      <c r="BG522" s="3185"/>
      <c r="BH522" s="3185"/>
      <c r="BI522" s="3185"/>
      <c r="BJ522" s="3185"/>
      <c r="BK522" s="3185"/>
      <c r="BL522" s="3185"/>
      <c r="BM522" s="3185"/>
      <c r="BN522" s="3185"/>
      <c r="BO522" s="3185"/>
      <c r="BP522" s="3185"/>
      <c r="BQ522" s="3185"/>
    </row>
    <row r="523" spans="1:69" ht="33">
      <c r="A523" s="132" t="s">
        <v>81</v>
      </c>
      <c r="B523" s="28">
        <f t="shared" si="178"/>
        <v>0</v>
      </c>
      <c r="C523" s="1287"/>
      <c r="D523" s="1488"/>
      <c r="E523" s="1488"/>
      <c r="F523" s="1488"/>
      <c r="G523" s="1287"/>
      <c r="H523" s="1287"/>
      <c r="I523" s="1287"/>
      <c r="J523" s="1287"/>
      <c r="K523" s="1287"/>
      <c r="L523" s="1287"/>
      <c r="M523" s="1287"/>
      <c r="N523" s="1287"/>
      <c r="O523" s="1287"/>
      <c r="P523" s="1287"/>
      <c r="Q523" s="1287"/>
      <c r="R523" s="1287"/>
      <c r="S523" s="1287"/>
      <c r="T523" s="1287"/>
      <c r="U523" s="1287"/>
      <c r="V523" s="1287"/>
      <c r="W523" s="1287"/>
      <c r="X523" s="1287"/>
      <c r="Y523" s="1287"/>
      <c r="Z523" s="1287"/>
      <c r="AA523" s="1287"/>
      <c r="AB523" s="1287"/>
      <c r="AC523" s="1287"/>
      <c r="AD523" s="1287"/>
      <c r="AE523" s="1287"/>
      <c r="AF523" s="1287"/>
      <c r="AG523" s="1287"/>
      <c r="AH523" s="53">
        <f t="shared" si="179"/>
        <v>0</v>
      </c>
      <c r="AJ523" s="3220" t="s">
        <v>1118</v>
      </c>
      <c r="AK523" s="3184"/>
      <c r="AL523" s="3219" t="s">
        <v>1120</v>
      </c>
      <c r="AM523" s="3185"/>
      <c r="AN523" s="3185"/>
      <c r="AO523" s="3185"/>
      <c r="AP523" s="3080"/>
      <c r="AQ523" s="3221" t="s">
        <v>1121</v>
      </c>
      <c r="AR523" s="3185"/>
      <c r="AS523" s="3185"/>
      <c r="AT523" s="3185"/>
      <c r="AU523" s="3186" t="s">
        <v>1119</v>
      </c>
      <c r="AV523" s="3218"/>
      <c r="AW523" s="3185"/>
      <c r="AX523" s="3185"/>
      <c r="AY523" s="3185"/>
      <c r="AZ523" s="3185"/>
      <c r="BA523" s="3185"/>
      <c r="BB523" s="3185"/>
      <c r="BC523" s="3185"/>
      <c r="BD523" s="3185"/>
      <c r="BE523" s="3185"/>
      <c r="BF523" s="3185"/>
      <c r="BG523" s="3185"/>
      <c r="BH523" s="3185"/>
      <c r="BI523" s="3185"/>
      <c r="BJ523" s="3185"/>
      <c r="BK523" s="3185"/>
      <c r="BL523" s="3185"/>
      <c r="BM523" s="3185"/>
      <c r="BN523" s="3185"/>
      <c r="BO523" s="3185"/>
      <c r="BP523" s="3185"/>
      <c r="BQ523" s="3185"/>
    </row>
    <row r="524" spans="1:69" ht="15">
      <c r="A524" s="132" t="s">
        <v>82</v>
      </c>
      <c r="B524" s="28">
        <f t="shared" si="178"/>
        <v>0</v>
      </c>
      <c r="C524" s="1287"/>
      <c r="D524" s="1287"/>
      <c r="E524" s="1287"/>
      <c r="F524" s="1287"/>
      <c r="G524" s="1287"/>
      <c r="H524" s="1287"/>
      <c r="I524" s="1287"/>
      <c r="J524" s="1287"/>
      <c r="K524" s="1287"/>
      <c r="L524" s="1287"/>
      <c r="M524" s="1287"/>
      <c r="N524" s="1287"/>
      <c r="O524" s="1287"/>
      <c r="P524" s="1287"/>
      <c r="Q524" s="1287"/>
      <c r="R524" s="1287"/>
      <c r="S524" s="1287"/>
      <c r="T524" s="1287"/>
      <c r="U524" s="1287"/>
      <c r="V524" s="1287"/>
      <c r="W524" s="1287"/>
      <c r="X524" s="1287"/>
      <c r="Y524" s="1287"/>
      <c r="Z524" s="1287"/>
      <c r="AA524" s="1287"/>
      <c r="AB524" s="1287"/>
      <c r="AC524" s="1287"/>
      <c r="AD524" s="1287"/>
      <c r="AE524" s="1287"/>
      <c r="AF524" s="1287"/>
      <c r="AG524" s="1287"/>
      <c r="AH524" s="53">
        <f t="shared" si="179"/>
        <v>0</v>
      </c>
      <c r="AJ524" s="3807" t="s">
        <v>264</v>
      </c>
      <c r="AK524" s="3808"/>
      <c r="AL524" s="3809"/>
      <c r="AM524" s="3187"/>
      <c r="AN524" s="3187"/>
      <c r="AO524" s="3187"/>
      <c r="AP524" s="3187"/>
      <c r="AQ524" s="3187"/>
      <c r="AR524" s="3187"/>
      <c r="AS524" s="3187"/>
      <c r="AT524" s="3187"/>
      <c r="AU524" s="3187"/>
      <c r="AV524" s="3187"/>
      <c r="AW524" s="3187"/>
      <c r="AX524" s="3187"/>
      <c r="AY524" s="3187"/>
      <c r="AZ524" s="3187"/>
      <c r="BA524" s="3187"/>
      <c r="BB524" s="3188"/>
      <c r="BC524" s="3188"/>
      <c r="BD524" s="3188"/>
      <c r="BE524" s="3188"/>
      <c r="BF524" s="3188"/>
      <c r="BG524" s="3188"/>
      <c r="BH524" s="3188"/>
      <c r="BI524" s="3188"/>
      <c r="BJ524" s="3188"/>
      <c r="BK524" s="3188"/>
      <c r="BL524" s="3188"/>
      <c r="BM524" s="3188"/>
      <c r="BN524" s="3188"/>
      <c r="BO524" s="3188"/>
      <c r="BP524" s="3188"/>
      <c r="BQ524" s="3188"/>
    </row>
    <row r="525" spans="1:69" ht="15">
      <c r="A525" s="30" t="s">
        <v>83</v>
      </c>
      <c r="B525" s="28">
        <f t="shared" si="178"/>
        <v>0</v>
      </c>
      <c r="C525" s="1287"/>
      <c r="D525" s="1287"/>
      <c r="E525" s="1287"/>
      <c r="F525" s="1287"/>
      <c r="G525" s="1287"/>
      <c r="H525" s="1287"/>
      <c r="I525" s="1287"/>
      <c r="J525" s="1287"/>
      <c r="K525" s="1287"/>
      <c r="L525" s="1287"/>
      <c r="M525" s="1287"/>
      <c r="N525" s="1287"/>
      <c r="O525" s="1287"/>
      <c r="P525" s="1287"/>
      <c r="Q525" s="1287"/>
      <c r="R525" s="1287"/>
      <c r="S525" s="1287"/>
      <c r="T525" s="1287"/>
      <c r="U525" s="1287"/>
      <c r="V525" s="1287"/>
      <c r="W525" s="1287"/>
      <c r="X525" s="1287"/>
      <c r="Y525" s="1287"/>
      <c r="Z525" s="1287"/>
      <c r="AA525" s="1287"/>
      <c r="AB525" s="1287"/>
      <c r="AC525" s="1287"/>
      <c r="AD525" s="1287"/>
      <c r="AE525" s="1287"/>
      <c r="AF525" s="1287"/>
      <c r="AG525" s="1287"/>
      <c r="AH525" s="53">
        <f t="shared" si="179"/>
        <v>0</v>
      </c>
      <c r="AJ525" s="3077" t="s">
        <v>72</v>
      </c>
      <c r="AK525" s="3189" t="s">
        <v>73</v>
      </c>
      <c r="AL525" s="3073">
        <v>1</v>
      </c>
      <c r="AM525" s="3073">
        <v>2</v>
      </c>
      <c r="AN525" s="3073">
        <v>3</v>
      </c>
      <c r="AO525" s="3073">
        <v>4</v>
      </c>
      <c r="AP525" s="3073">
        <v>5</v>
      </c>
      <c r="AQ525" s="3073">
        <v>6</v>
      </c>
      <c r="AR525" s="3073">
        <v>7</v>
      </c>
      <c r="AS525" s="3073">
        <v>8</v>
      </c>
      <c r="AT525" s="3073">
        <v>9</v>
      </c>
      <c r="AU525" s="3073">
        <v>10</v>
      </c>
      <c r="AV525" s="3073">
        <v>11</v>
      </c>
      <c r="AW525" s="3073">
        <v>12</v>
      </c>
      <c r="AX525" s="3073">
        <v>13</v>
      </c>
      <c r="AY525" s="3073">
        <v>14</v>
      </c>
      <c r="AZ525" s="3073">
        <v>15</v>
      </c>
      <c r="BA525" s="3073">
        <v>16</v>
      </c>
      <c r="BB525" s="3077">
        <v>17</v>
      </c>
      <c r="BC525" s="3077">
        <v>18</v>
      </c>
      <c r="BD525" s="3077">
        <v>19</v>
      </c>
      <c r="BE525" s="3077">
        <v>20</v>
      </c>
      <c r="BF525" s="3077">
        <v>21</v>
      </c>
      <c r="BG525" s="3077">
        <v>22</v>
      </c>
      <c r="BH525" s="3077">
        <v>23</v>
      </c>
      <c r="BI525" s="3077">
        <v>24</v>
      </c>
      <c r="BJ525" s="3077">
        <v>25</v>
      </c>
      <c r="BK525" s="3077">
        <v>26</v>
      </c>
      <c r="BL525" s="3077">
        <v>27</v>
      </c>
      <c r="BM525" s="3077">
        <v>28</v>
      </c>
      <c r="BN525" s="3077">
        <v>29</v>
      </c>
      <c r="BO525" s="3077">
        <v>30</v>
      </c>
      <c r="BP525" s="3077">
        <v>31</v>
      </c>
      <c r="BQ525" s="3190" t="s">
        <v>74</v>
      </c>
    </row>
    <row r="526" spans="1:69" ht="15">
      <c r="A526" s="30" t="s">
        <v>84</v>
      </c>
      <c r="B526" s="28">
        <f t="shared" si="178"/>
        <v>0</v>
      </c>
      <c r="C526" s="1287"/>
      <c r="D526" s="1287"/>
      <c r="E526" s="1287"/>
      <c r="F526" s="1287"/>
      <c r="G526" s="1287"/>
      <c r="H526" s="1287"/>
      <c r="I526" s="1287"/>
      <c r="J526" s="1287"/>
      <c r="K526" s="1287"/>
      <c r="L526" s="1287"/>
      <c r="M526" s="1287"/>
      <c r="N526" s="1287"/>
      <c r="O526" s="1287"/>
      <c r="P526" s="1287"/>
      <c r="Q526" s="1287"/>
      <c r="R526" s="1287"/>
      <c r="S526" s="1287"/>
      <c r="T526" s="1287"/>
      <c r="U526" s="1287"/>
      <c r="V526" s="1287"/>
      <c r="W526" s="1287"/>
      <c r="X526" s="1287"/>
      <c r="Y526" s="1287"/>
      <c r="Z526" s="1287"/>
      <c r="AA526" s="1287"/>
      <c r="AB526" s="1287"/>
      <c r="AC526" s="1287"/>
      <c r="AD526" s="1287"/>
      <c r="AE526" s="1488"/>
      <c r="AF526" s="1287"/>
      <c r="AG526" s="1488"/>
      <c r="AH526" s="53">
        <f t="shared" si="179"/>
        <v>0</v>
      </c>
      <c r="AJ526" s="3077" t="s">
        <v>75</v>
      </c>
      <c r="AK526" s="3189">
        <f t="shared" ref="AK526:AK537" si="180">+BQ526</f>
        <v>0</v>
      </c>
      <c r="AL526" s="3191"/>
      <c r="AM526" s="3191"/>
      <c r="AN526" s="3191"/>
      <c r="AO526" s="3191"/>
      <c r="AP526" s="3191"/>
      <c r="AQ526" s="3191"/>
      <c r="AR526" s="3191"/>
      <c r="AS526" s="3191"/>
      <c r="AT526" s="3191"/>
      <c r="AU526" s="3191"/>
      <c r="AV526" s="3191"/>
      <c r="AW526" s="3191"/>
      <c r="AX526" s="3191"/>
      <c r="AY526" s="3191"/>
      <c r="AZ526" s="3191"/>
      <c r="BA526" s="3191"/>
      <c r="BB526" s="3191"/>
      <c r="BC526" s="3191"/>
      <c r="BD526" s="3191"/>
      <c r="BE526" s="3191"/>
      <c r="BF526" s="3191"/>
      <c r="BG526" s="3191"/>
      <c r="BH526" s="3191"/>
      <c r="BI526" s="3191"/>
      <c r="BJ526" s="3191"/>
      <c r="BK526" s="3191"/>
      <c r="BL526" s="3191"/>
      <c r="BM526" s="3191"/>
      <c r="BN526" s="3191"/>
      <c r="BO526" s="3191"/>
      <c r="BP526" s="3191"/>
      <c r="BQ526" s="3192">
        <f>SUM(AL526:BP526)</f>
        <v>0</v>
      </c>
    </row>
    <row r="527" spans="1:69" ht="15.75" thickBot="1">
      <c r="A527" s="30" t="s">
        <v>85</v>
      </c>
      <c r="B527" s="28">
        <f t="shared" si="178"/>
        <v>0</v>
      </c>
      <c r="C527" s="1287"/>
      <c r="D527" s="1287"/>
      <c r="E527" s="1287"/>
      <c r="F527" s="1287"/>
      <c r="G527" s="1433"/>
      <c r="H527" s="1287"/>
      <c r="I527" s="1287"/>
      <c r="J527" s="1287"/>
      <c r="K527" s="1287"/>
      <c r="L527" s="1287"/>
      <c r="M527" s="1287"/>
      <c r="N527" s="1287"/>
      <c r="O527" s="1287"/>
      <c r="P527" s="1287"/>
      <c r="Q527" s="1287"/>
      <c r="R527" s="1287"/>
      <c r="S527" s="1287"/>
      <c r="T527" s="1287"/>
      <c r="U527" s="1287"/>
      <c r="V527" s="1287"/>
      <c r="W527" s="1287"/>
      <c r="X527" s="1287"/>
      <c r="Y527" s="1287"/>
      <c r="Z527" s="1287"/>
      <c r="AA527" s="1287"/>
      <c r="AB527" s="1287"/>
      <c r="AC527" s="1287"/>
      <c r="AD527" s="1287"/>
      <c r="AE527" s="1488"/>
      <c r="AF527" s="1287"/>
      <c r="AG527" s="1488"/>
      <c r="AH527" s="53">
        <f t="shared" si="179"/>
        <v>0</v>
      </c>
      <c r="AJ527" s="3077" t="s">
        <v>76</v>
      </c>
      <c r="AK527" s="3189">
        <f t="shared" si="180"/>
        <v>0</v>
      </c>
      <c r="AL527" s="3191"/>
      <c r="AM527" s="3191"/>
      <c r="AN527" s="3191"/>
      <c r="AO527" s="3191"/>
      <c r="AP527" s="3191"/>
      <c r="AQ527" s="3191"/>
      <c r="AR527" s="3191"/>
      <c r="AS527" s="3191"/>
      <c r="AT527" s="3191"/>
      <c r="AU527" s="3191"/>
      <c r="AV527" s="3191"/>
      <c r="AW527" s="3191"/>
      <c r="AX527" s="3191"/>
      <c r="AY527" s="3191"/>
      <c r="AZ527" s="3191"/>
      <c r="BA527" s="3191"/>
      <c r="BB527" s="3191"/>
      <c r="BC527" s="3191"/>
      <c r="BD527" s="3191"/>
      <c r="BE527" s="3191"/>
      <c r="BF527" s="3191"/>
      <c r="BG527" s="3191"/>
      <c r="BH527" s="3191"/>
      <c r="BI527" s="3191"/>
      <c r="BJ527" s="3191"/>
      <c r="BK527" s="3191"/>
      <c r="BL527" s="3191"/>
      <c r="BM527" s="3191"/>
      <c r="BN527" s="3191"/>
      <c r="BO527" s="3191"/>
      <c r="BP527" s="3191"/>
      <c r="BQ527" s="3192">
        <f t="shared" ref="BQ527:BQ537" si="181">SUM(AL527:BP527)</f>
        <v>0</v>
      </c>
    </row>
    <row r="528" spans="1:69" ht="15.75" thickBot="1">
      <c r="A528" s="30" t="s">
        <v>86</v>
      </c>
      <c r="B528" s="28">
        <f t="shared" si="178"/>
        <v>0</v>
      </c>
      <c r="C528" s="1287"/>
      <c r="D528" s="1287"/>
      <c r="E528" s="1287"/>
      <c r="F528" s="1287"/>
      <c r="G528" s="1287"/>
      <c r="H528" s="1287"/>
      <c r="I528" s="1287"/>
      <c r="J528" s="1287"/>
      <c r="K528" s="1287"/>
      <c r="L528" s="1287"/>
      <c r="M528" s="1287"/>
      <c r="N528" s="1287"/>
      <c r="O528" s="1287"/>
      <c r="P528" s="1287"/>
      <c r="Q528" s="1287"/>
      <c r="R528" s="1287"/>
      <c r="S528" s="1287"/>
      <c r="T528" s="1287"/>
      <c r="U528" s="1287"/>
      <c r="V528" s="1287"/>
      <c r="W528" s="1287"/>
      <c r="X528" s="1287"/>
      <c r="Y528" s="1287"/>
      <c r="Z528" s="1287"/>
      <c r="AA528" s="1287"/>
      <c r="AB528" s="1287"/>
      <c r="AC528" s="1287"/>
      <c r="AD528" s="1287"/>
      <c r="AE528" s="1287"/>
      <c r="AF528" s="1287"/>
      <c r="AG528" s="1287"/>
      <c r="AH528" s="53">
        <f t="shared" si="179"/>
        <v>0</v>
      </c>
      <c r="AJ528" s="3077" t="s">
        <v>77</v>
      </c>
      <c r="AK528" s="3189">
        <f t="shared" si="180"/>
        <v>0</v>
      </c>
      <c r="AL528" s="3191"/>
      <c r="AM528" s="3191"/>
      <c r="AN528" s="3191"/>
      <c r="AO528" s="3191"/>
      <c r="AP528" s="3191"/>
      <c r="AQ528" s="3193"/>
      <c r="AR528" s="3193"/>
      <c r="AS528" s="3193"/>
      <c r="AT528" s="3193"/>
      <c r="AU528" s="3193"/>
      <c r="AV528" s="3193"/>
      <c r="AW528" s="3193"/>
      <c r="AX528" s="3193"/>
      <c r="AY528" s="3193"/>
      <c r="AZ528" s="3193"/>
      <c r="BA528" s="3194"/>
      <c r="BB528" s="3193"/>
      <c r="BC528" s="3193"/>
      <c r="BD528" s="3193"/>
      <c r="BE528" s="3193"/>
      <c r="BF528" s="3193"/>
      <c r="BG528" s="3193"/>
      <c r="BH528" s="3193"/>
      <c r="BI528" s="3193"/>
      <c r="BJ528" s="3193"/>
      <c r="BK528" s="3193"/>
      <c r="BL528" s="3191"/>
      <c r="BM528" s="3191"/>
      <c r="BN528" s="3191"/>
      <c r="BO528" s="3191"/>
      <c r="BP528" s="3191"/>
      <c r="BQ528" s="3192">
        <f t="shared" si="181"/>
        <v>0</v>
      </c>
    </row>
    <row r="529" spans="1:69" ht="15">
      <c r="A529" s="88" t="s">
        <v>74</v>
      </c>
      <c r="B529" s="90">
        <f t="shared" ref="B529:R529" si="182">SUM(B517:B528)</f>
        <v>0</v>
      </c>
      <c r="C529" s="71">
        <f t="shared" si="182"/>
        <v>0</v>
      </c>
      <c r="D529" s="71">
        <f t="shared" si="182"/>
        <v>0</v>
      </c>
      <c r="E529" s="71">
        <f t="shared" si="182"/>
        <v>0</v>
      </c>
      <c r="F529" s="71">
        <f t="shared" si="182"/>
        <v>0</v>
      </c>
      <c r="G529" s="71">
        <f t="shared" si="182"/>
        <v>0</v>
      </c>
      <c r="H529" s="71">
        <f t="shared" si="182"/>
        <v>0</v>
      </c>
      <c r="I529" s="71">
        <f t="shared" si="182"/>
        <v>0</v>
      </c>
      <c r="J529" s="71">
        <f t="shared" si="182"/>
        <v>0</v>
      </c>
      <c r="K529" s="71">
        <f t="shared" si="182"/>
        <v>0</v>
      </c>
      <c r="L529" s="71">
        <f t="shared" si="182"/>
        <v>0</v>
      </c>
      <c r="M529" s="71">
        <f t="shared" si="182"/>
        <v>0</v>
      </c>
      <c r="N529" s="71">
        <f t="shared" si="182"/>
        <v>0</v>
      </c>
      <c r="O529" s="71">
        <f t="shared" si="182"/>
        <v>0</v>
      </c>
      <c r="P529" s="71">
        <f t="shared" si="182"/>
        <v>0</v>
      </c>
      <c r="Q529" s="71">
        <f t="shared" si="182"/>
        <v>0</v>
      </c>
      <c r="R529" s="71">
        <f t="shared" si="182"/>
        <v>0</v>
      </c>
      <c r="S529" s="53">
        <f t="shared" ref="S529:AC529" si="183">SUM(S517:S527)</f>
        <v>0</v>
      </c>
      <c r="T529" s="53">
        <f t="shared" si="183"/>
        <v>0</v>
      </c>
      <c r="U529" s="53">
        <f t="shared" si="183"/>
        <v>0</v>
      </c>
      <c r="V529" s="53">
        <f t="shared" si="183"/>
        <v>0</v>
      </c>
      <c r="W529" s="53">
        <f t="shared" si="183"/>
        <v>0</v>
      </c>
      <c r="X529" s="53">
        <f t="shared" si="183"/>
        <v>0</v>
      </c>
      <c r="Y529" s="53">
        <f t="shared" si="183"/>
        <v>0</v>
      </c>
      <c r="Z529" s="53">
        <f t="shared" si="183"/>
        <v>0</v>
      </c>
      <c r="AA529" s="53">
        <f t="shared" si="183"/>
        <v>0</v>
      </c>
      <c r="AB529" s="53">
        <f t="shared" si="183"/>
        <v>0</v>
      </c>
      <c r="AC529" s="53">
        <f t="shared" si="183"/>
        <v>0</v>
      </c>
      <c r="AD529" s="53">
        <v>0</v>
      </c>
      <c r="AE529" s="53">
        <f>SUM(AE517:AE527)</f>
        <v>0</v>
      </c>
      <c r="AF529" s="53">
        <f>SUM(AF517:AF527)</f>
        <v>0</v>
      </c>
      <c r="AG529" s="53">
        <f>SUM(AG517:AG527)</f>
        <v>0</v>
      </c>
      <c r="AH529" s="46">
        <f>SUM(AH517:AH527)</f>
        <v>0</v>
      </c>
      <c r="AJ529" s="3077" t="s">
        <v>78</v>
      </c>
      <c r="AK529" s="3189">
        <f t="shared" si="180"/>
        <v>0</v>
      </c>
      <c r="AL529" s="3191"/>
      <c r="AM529" s="3191"/>
      <c r="AN529" s="3191"/>
      <c r="AO529" s="3191"/>
      <c r="AP529" s="3191"/>
      <c r="AQ529" s="3191"/>
      <c r="AR529" s="3191"/>
      <c r="AS529" s="3191"/>
      <c r="AT529" s="3191"/>
      <c r="AU529" s="3195"/>
      <c r="AV529" s="3195"/>
      <c r="AW529" s="3195"/>
      <c r="AX529" s="3195"/>
      <c r="AY529" s="3195"/>
      <c r="AZ529" s="3195"/>
      <c r="BA529" s="3195"/>
      <c r="BB529" s="3195"/>
      <c r="BC529" s="3195"/>
      <c r="BD529" s="3195"/>
      <c r="BE529" s="3195"/>
      <c r="BF529" s="3195"/>
      <c r="BG529" s="3195"/>
      <c r="BH529" s="3195"/>
      <c r="BI529" s="3195"/>
      <c r="BJ529" s="3195"/>
      <c r="BK529" s="3195"/>
      <c r="BL529" s="3195"/>
      <c r="BM529" s="3195"/>
      <c r="BN529" s="3195"/>
      <c r="BO529" s="3195"/>
      <c r="BP529" s="3195"/>
      <c r="BQ529" s="3192">
        <f t="shared" si="181"/>
        <v>0</v>
      </c>
    </row>
    <row r="530" spans="1:69" ht="15.75" thickBot="1">
      <c r="A530" s="2187"/>
      <c r="B530" s="2187"/>
      <c r="C530" s="2187"/>
      <c r="D530" s="2187"/>
      <c r="E530" s="2187"/>
      <c r="F530" s="2187"/>
      <c r="G530" s="2187"/>
      <c r="H530" s="2187"/>
      <c r="I530" s="2187"/>
      <c r="J530" s="2187"/>
      <c r="K530" s="2187"/>
      <c r="L530" s="2187"/>
      <c r="M530" s="2187"/>
      <c r="N530" s="2187"/>
      <c r="O530" s="2187"/>
      <c r="P530" s="2187"/>
      <c r="Q530" s="2187"/>
      <c r="R530" s="2187"/>
      <c r="S530" s="2187"/>
      <c r="T530" s="2187"/>
      <c r="U530" s="2187"/>
      <c r="V530" s="2187"/>
      <c r="W530" s="2187"/>
      <c r="X530" s="2187"/>
      <c r="Y530" s="2187"/>
      <c r="Z530" s="2187"/>
      <c r="AA530" s="2187"/>
      <c r="AB530" s="2187"/>
      <c r="AC530" s="2187"/>
      <c r="AD530" s="2187"/>
      <c r="AE530" s="2187"/>
      <c r="AF530" s="2187"/>
      <c r="AG530" s="2187"/>
      <c r="AH530" s="2187"/>
      <c r="AJ530" s="3077" t="s">
        <v>79</v>
      </c>
      <c r="AK530" s="3189">
        <f t="shared" si="180"/>
        <v>0</v>
      </c>
      <c r="AL530" s="3193"/>
      <c r="AM530" s="3193"/>
      <c r="AN530" s="3193"/>
      <c r="AO530" s="3193"/>
      <c r="AP530" s="3193"/>
      <c r="AQ530" s="3193"/>
      <c r="AR530" s="3193"/>
      <c r="AS530" s="3193"/>
      <c r="AT530" s="3193"/>
      <c r="AU530" s="3193"/>
      <c r="AV530" s="3193"/>
      <c r="AW530" s="3193"/>
      <c r="AX530" s="3193"/>
      <c r="AY530" s="3193"/>
      <c r="AZ530" s="3193"/>
      <c r="BA530" s="3193"/>
      <c r="BB530" s="3193"/>
      <c r="BC530" s="3193"/>
      <c r="BD530" s="3193"/>
      <c r="BE530" s="3193"/>
      <c r="BF530" s="3193"/>
      <c r="BG530" s="3193"/>
      <c r="BH530" s="3193"/>
      <c r="BI530" s="3193"/>
      <c r="BJ530" s="3193"/>
      <c r="BK530" s="3193"/>
      <c r="BL530" s="3193"/>
      <c r="BM530" s="3193"/>
      <c r="BN530" s="3193"/>
      <c r="BO530" s="3193"/>
      <c r="BP530" s="3193"/>
      <c r="BQ530" s="3192">
        <f t="shared" si="181"/>
        <v>0</v>
      </c>
    </row>
    <row r="531" spans="1:69" ht="16.5" thickBot="1">
      <c r="A531" s="2477"/>
      <c r="B531" s="2478"/>
      <c r="C531" s="2478"/>
      <c r="D531" s="2478"/>
      <c r="E531" s="2478"/>
      <c r="F531" s="3810" t="s">
        <v>155</v>
      </c>
      <c r="G531" s="3811"/>
      <c r="H531" s="3812"/>
      <c r="I531" s="3810" t="s">
        <v>156</v>
      </c>
      <c r="J531" s="3813"/>
      <c r="K531" s="3814" t="s">
        <v>912</v>
      </c>
      <c r="L531" s="3814" t="s">
        <v>913</v>
      </c>
      <c r="M531" s="3127"/>
      <c r="N531" s="3127"/>
      <c r="O531" s="3127"/>
      <c r="P531" s="3127"/>
      <c r="Q531" s="3127"/>
      <c r="R531" s="3127"/>
      <c r="S531" s="3127"/>
      <c r="T531" s="3127"/>
      <c r="U531" s="3127"/>
      <c r="V531" s="3127"/>
      <c r="W531" s="3127"/>
      <c r="X531" s="3127"/>
      <c r="Y531" s="3127"/>
      <c r="Z531" s="3127"/>
      <c r="AA531" s="3127"/>
      <c r="AB531" s="3127"/>
      <c r="AC531" s="3127"/>
      <c r="AD531" s="3127"/>
      <c r="AE531" s="3127"/>
      <c r="AF531" s="3127"/>
      <c r="AG531" s="3127"/>
      <c r="AH531" s="3127"/>
      <c r="AJ531" s="3077" t="s">
        <v>80</v>
      </c>
      <c r="AK531" s="3189">
        <f t="shared" si="180"/>
        <v>0</v>
      </c>
      <c r="AL531" s="3193"/>
      <c r="AM531" s="3193"/>
      <c r="AN531" s="3193"/>
      <c r="AO531" s="3193"/>
      <c r="AP531" s="3193"/>
      <c r="AQ531" s="3193"/>
      <c r="AR531" s="3193"/>
      <c r="AS531" s="3193"/>
      <c r="AT531" s="3193"/>
      <c r="AU531" s="3193"/>
      <c r="AV531" s="3193"/>
      <c r="AW531" s="3193"/>
      <c r="AX531" s="3193"/>
      <c r="AY531" s="3193"/>
      <c r="AZ531" s="3193"/>
      <c r="BA531" s="3193"/>
      <c r="BB531" s="3193"/>
      <c r="BC531" s="3193"/>
      <c r="BD531" s="3193"/>
      <c r="BE531" s="3193"/>
      <c r="BF531" s="3193"/>
      <c r="BG531" s="3193"/>
      <c r="BH531" s="3193"/>
      <c r="BI531" s="3193"/>
      <c r="BJ531" s="3193"/>
      <c r="BK531" s="3193"/>
      <c r="BL531" s="3193"/>
      <c r="BM531" s="3193"/>
      <c r="BN531" s="3193"/>
      <c r="BO531" s="3193"/>
      <c r="BP531" s="3193"/>
      <c r="BQ531" s="3192">
        <f t="shared" si="181"/>
        <v>0</v>
      </c>
    </row>
    <row r="532" spans="1:69" ht="15.75" thickBot="1">
      <c r="A532" s="2479" t="s">
        <v>158</v>
      </c>
      <c r="B532" s="2480" t="s">
        <v>159</v>
      </c>
      <c r="C532" s="2481" t="s">
        <v>136</v>
      </c>
      <c r="D532" s="2482" t="s">
        <v>134</v>
      </c>
      <c r="E532" s="2480" t="s">
        <v>160</v>
      </c>
      <c r="F532" s="2483" t="s">
        <v>8</v>
      </c>
      <c r="G532" s="2484" t="s">
        <v>161</v>
      </c>
      <c r="H532" s="2485" t="s">
        <v>52</v>
      </c>
      <c r="I532" s="2483" t="s">
        <v>8</v>
      </c>
      <c r="J532" s="2486" t="s">
        <v>162</v>
      </c>
      <c r="K532" s="3815"/>
      <c r="L532" s="3815"/>
      <c r="M532" s="3816"/>
      <c r="N532" s="3817"/>
      <c r="O532" s="3817"/>
      <c r="P532" s="3817"/>
      <c r="Q532" s="3127"/>
      <c r="R532" s="3127"/>
      <c r="S532" s="3127"/>
      <c r="T532" s="3127"/>
      <c r="U532" s="3127"/>
      <c r="V532" s="3127"/>
      <c r="W532" s="3127"/>
      <c r="X532" s="3127"/>
      <c r="Y532" s="3127"/>
      <c r="Z532" s="3127"/>
      <c r="AA532" s="3127"/>
      <c r="AB532" s="3127"/>
      <c r="AC532" s="3127"/>
      <c r="AD532" s="3127"/>
      <c r="AE532" s="3127"/>
      <c r="AF532" s="3127"/>
      <c r="AG532" s="3127"/>
      <c r="AH532" s="3127"/>
      <c r="AJ532" s="3077" t="s">
        <v>81</v>
      </c>
      <c r="AK532" s="3189">
        <f t="shared" si="180"/>
        <v>0</v>
      </c>
      <c r="AL532" s="3193"/>
      <c r="AM532" s="3192"/>
      <c r="AN532" s="3192"/>
      <c r="AO532" s="3192"/>
      <c r="AP532" s="3193"/>
      <c r="AQ532" s="3193"/>
      <c r="AR532" s="3193"/>
      <c r="AS532" s="3193"/>
      <c r="AT532" s="3193"/>
      <c r="AU532" s="3193"/>
      <c r="AV532" s="3193"/>
      <c r="AW532" s="3193"/>
      <c r="AX532" s="3193"/>
      <c r="AY532" s="3193"/>
      <c r="AZ532" s="3193"/>
      <c r="BA532" s="3193"/>
      <c r="BB532" s="3193"/>
      <c r="BC532" s="3193"/>
      <c r="BD532" s="3193"/>
      <c r="BE532" s="3193"/>
      <c r="BF532" s="3193"/>
      <c r="BG532" s="3193"/>
      <c r="BH532" s="3193"/>
      <c r="BI532" s="3193"/>
      <c r="BJ532" s="3193"/>
      <c r="BK532" s="3193"/>
      <c r="BL532" s="3193"/>
      <c r="BM532" s="3193"/>
      <c r="BN532" s="3193"/>
      <c r="BO532" s="3193"/>
      <c r="BP532" s="3193"/>
      <c r="BQ532" s="3192">
        <f t="shared" si="181"/>
        <v>0</v>
      </c>
    </row>
    <row r="533" spans="1:69" ht="15.75" thickBot="1">
      <c r="A533" s="1339"/>
      <c r="B533" s="1340"/>
      <c r="C533" s="1341"/>
      <c r="D533" s="1342"/>
      <c r="E533" s="1343"/>
      <c r="F533" s="1339">
        <v>400</v>
      </c>
      <c r="G533" s="1342">
        <v>200</v>
      </c>
      <c r="H533" s="1344">
        <f>SUM(F533:G533)</f>
        <v>600</v>
      </c>
      <c r="I533" s="3132">
        <f>+B510</f>
        <v>0</v>
      </c>
      <c r="J533" s="3133">
        <f>+B529</f>
        <v>0</v>
      </c>
      <c r="K533" s="1347">
        <f>+F533-I533</f>
        <v>400</v>
      </c>
      <c r="L533" s="1347">
        <f>+G533-J533</f>
        <v>200</v>
      </c>
      <c r="M533" s="3805"/>
      <c r="N533" s="3806"/>
      <c r="O533" s="3806"/>
      <c r="P533" s="3806"/>
      <c r="Q533" s="3127"/>
      <c r="R533" s="3127"/>
      <c r="S533" s="3127"/>
      <c r="T533" s="3127"/>
      <c r="U533" s="3127"/>
      <c r="V533" s="3127"/>
      <c r="W533" s="3127"/>
      <c r="X533" s="3127"/>
      <c r="Y533" s="3127"/>
      <c r="Z533" s="3127"/>
      <c r="AA533" s="3127"/>
      <c r="AB533" s="3127"/>
      <c r="AC533" s="3127"/>
      <c r="AD533" s="3127"/>
      <c r="AE533" s="3127"/>
      <c r="AF533" s="3127"/>
      <c r="AG533" s="3127"/>
      <c r="AH533" s="3127"/>
      <c r="AJ533" s="3077" t="s">
        <v>82</v>
      </c>
      <c r="AK533" s="3189">
        <f t="shared" si="180"/>
        <v>0</v>
      </c>
      <c r="AL533" s="3193"/>
      <c r="AM533" s="3193"/>
      <c r="AN533" s="3193"/>
      <c r="AO533" s="3193"/>
      <c r="AP533" s="3193"/>
      <c r="AQ533" s="3193"/>
      <c r="AR533" s="3193"/>
      <c r="AS533" s="3193"/>
      <c r="AT533" s="3193"/>
      <c r="AU533" s="3193"/>
      <c r="AV533" s="3193"/>
      <c r="AW533" s="3193"/>
      <c r="AX533" s="3193"/>
      <c r="AY533" s="3193"/>
      <c r="AZ533" s="3193"/>
      <c r="BA533" s="3193"/>
      <c r="BB533" s="3193"/>
      <c r="BC533" s="3193"/>
      <c r="BD533" s="3193"/>
      <c r="BE533" s="3193"/>
      <c r="BF533" s="3193"/>
      <c r="BG533" s="3193"/>
      <c r="BH533" s="3193"/>
      <c r="BI533" s="3193"/>
      <c r="BJ533" s="3193"/>
      <c r="BK533" s="3193"/>
      <c r="BL533" s="3193"/>
      <c r="BM533" s="3193"/>
      <c r="BN533" s="3193"/>
      <c r="BO533" s="3193"/>
      <c r="BP533" s="3193"/>
      <c r="BQ533" s="3192">
        <f t="shared" si="181"/>
        <v>0</v>
      </c>
    </row>
    <row r="534" spans="1:69" ht="15.75" thickBot="1">
      <c r="A534" s="1339"/>
      <c r="B534" s="1340"/>
      <c r="C534" s="1341"/>
      <c r="D534" s="1342"/>
      <c r="E534" s="1343"/>
      <c r="F534" s="1339"/>
      <c r="G534" s="1342"/>
      <c r="H534" s="1344">
        <f>SUM(F534:G534)</f>
        <v>0</v>
      </c>
      <c r="I534" s="1345"/>
      <c r="J534" s="1346"/>
      <c r="K534" s="1347">
        <f>+H534-I534-J534</f>
        <v>0</v>
      </c>
      <c r="L534" s="1347">
        <f>+I534-J534-K534</f>
        <v>0</v>
      </c>
      <c r="M534" s="3805"/>
      <c r="N534" s="3806"/>
      <c r="O534" s="3806"/>
      <c r="P534" s="3806"/>
      <c r="Q534" s="3127"/>
      <c r="R534" s="3127"/>
      <c r="S534" s="3127"/>
      <c r="T534" s="3127"/>
      <c r="U534" s="3127"/>
      <c r="V534" s="3127"/>
      <c r="W534" s="3127"/>
      <c r="X534" s="3127"/>
      <c r="Y534" s="3127"/>
      <c r="Z534" s="3127"/>
      <c r="AA534" s="3127"/>
      <c r="AB534" s="3127"/>
      <c r="AC534" s="3127"/>
      <c r="AD534" s="3127"/>
      <c r="AE534" s="3127"/>
      <c r="AF534" s="3127"/>
      <c r="AG534" s="3127"/>
      <c r="AH534" s="3127"/>
      <c r="AJ534" s="3077" t="s">
        <v>83</v>
      </c>
      <c r="AK534" s="3189">
        <f t="shared" si="180"/>
        <v>0</v>
      </c>
      <c r="AL534" s="3193"/>
      <c r="AM534" s="3193"/>
      <c r="AN534" s="3193"/>
      <c r="AO534" s="3193"/>
      <c r="AP534" s="3193"/>
      <c r="AQ534" s="3193"/>
      <c r="AR534" s="3193"/>
      <c r="AS534" s="3193"/>
      <c r="AT534" s="3193"/>
      <c r="AU534" s="3193"/>
      <c r="AV534" s="3193"/>
      <c r="AW534" s="3193"/>
      <c r="AX534" s="3193"/>
      <c r="AY534" s="3193"/>
      <c r="AZ534" s="3193"/>
      <c r="BA534" s="3193"/>
      <c r="BB534" s="3193"/>
      <c r="BC534" s="3193"/>
      <c r="BD534" s="3193"/>
      <c r="BE534" s="3193"/>
      <c r="BF534" s="3193"/>
      <c r="BG534" s="3193"/>
      <c r="BH534" s="3193"/>
      <c r="BI534" s="3193"/>
      <c r="BJ534" s="3193"/>
      <c r="BK534" s="3193"/>
      <c r="BL534" s="3193"/>
      <c r="BM534" s="3193"/>
      <c r="BN534" s="3193"/>
      <c r="BO534" s="3193"/>
      <c r="BP534" s="3193"/>
      <c r="BQ534" s="3192">
        <f t="shared" si="181"/>
        <v>0</v>
      </c>
    </row>
    <row r="535" spans="1:69" ht="15">
      <c r="AJ535" s="3077" t="s">
        <v>84</v>
      </c>
      <c r="AK535" s="3189">
        <f t="shared" si="180"/>
        <v>0</v>
      </c>
      <c r="AL535" s="3193"/>
      <c r="AM535" s="3193"/>
      <c r="AN535" s="3193"/>
      <c r="AO535" s="3193"/>
      <c r="AP535" s="3193"/>
      <c r="AQ535" s="3193"/>
      <c r="AR535" s="3193"/>
      <c r="AS535" s="3193"/>
      <c r="AT535" s="3193"/>
      <c r="AU535" s="3193"/>
      <c r="AV535" s="3193"/>
      <c r="AW535" s="3193"/>
      <c r="AX535" s="3193"/>
      <c r="AY535" s="3193"/>
      <c r="AZ535" s="3193"/>
      <c r="BA535" s="3193"/>
      <c r="BB535" s="3193"/>
      <c r="BC535" s="3193"/>
      <c r="BD535" s="3193"/>
      <c r="BE535" s="3193"/>
      <c r="BF535" s="3193"/>
      <c r="BG535" s="3193"/>
      <c r="BH535" s="3193"/>
      <c r="BI535" s="3193"/>
      <c r="BJ535" s="3193"/>
      <c r="BK535" s="3193"/>
      <c r="BL535" s="3193"/>
      <c r="BM535" s="3193"/>
      <c r="BN535" s="3192"/>
      <c r="BO535" s="3193"/>
      <c r="BP535" s="3192"/>
      <c r="BQ535" s="3192">
        <f t="shared" si="181"/>
        <v>0</v>
      </c>
    </row>
    <row r="536" spans="1:69" ht="15">
      <c r="AJ536" s="3077" t="s">
        <v>85</v>
      </c>
      <c r="AK536" s="3189">
        <f t="shared" si="180"/>
        <v>0</v>
      </c>
      <c r="AL536" s="3193"/>
      <c r="AM536" s="3193"/>
      <c r="AN536" s="3193"/>
      <c r="AO536" s="3193"/>
      <c r="AP536" s="3196"/>
      <c r="AQ536" s="3193"/>
      <c r="AR536" s="3193"/>
      <c r="AS536" s="3193"/>
      <c r="AT536" s="3193"/>
      <c r="AU536" s="3193"/>
      <c r="AV536" s="3193"/>
      <c r="AW536" s="3193"/>
      <c r="AX536" s="3193"/>
      <c r="AY536" s="3193"/>
      <c r="AZ536" s="3193"/>
      <c r="BA536" s="3193"/>
      <c r="BB536" s="3193"/>
      <c r="BC536" s="3193"/>
      <c r="BD536" s="3193"/>
      <c r="BE536" s="3193"/>
      <c r="BF536" s="3193"/>
      <c r="BG536" s="3193"/>
      <c r="BH536" s="3193"/>
      <c r="BI536" s="3193"/>
      <c r="BJ536" s="3193"/>
      <c r="BK536" s="3193"/>
      <c r="BL536" s="3193"/>
      <c r="BM536" s="3193"/>
      <c r="BN536" s="3192"/>
      <c r="BO536" s="3193"/>
      <c r="BP536" s="3192"/>
      <c r="BQ536" s="3192">
        <f t="shared" si="181"/>
        <v>0</v>
      </c>
    </row>
    <row r="537" spans="1:69" ht="23.25">
      <c r="A537" s="3129" t="s">
        <v>1122</v>
      </c>
      <c r="B537" s="3130"/>
      <c r="C537" s="3130" t="s">
        <v>1123</v>
      </c>
      <c r="D537" s="3131"/>
      <c r="E537" s="3131"/>
      <c r="F537" s="3131"/>
      <c r="G537" s="3131"/>
      <c r="H537" s="3130" t="s">
        <v>1124</v>
      </c>
      <c r="I537" s="3131"/>
      <c r="J537" s="3131"/>
      <c r="K537" s="3131"/>
      <c r="L537" s="3131"/>
      <c r="M537" s="3131"/>
      <c r="N537" s="3080"/>
      <c r="O537" s="3131"/>
      <c r="P537" s="3131"/>
      <c r="Q537" s="3131"/>
      <c r="R537" s="3131"/>
      <c r="S537" s="3131"/>
      <c r="T537" s="3131"/>
      <c r="U537" s="3131"/>
      <c r="V537" s="3131"/>
      <c r="W537" s="3131"/>
      <c r="X537" s="3131"/>
      <c r="Y537" s="3131"/>
      <c r="Z537" s="3131"/>
      <c r="AA537" s="3131"/>
      <c r="AB537" s="3131"/>
      <c r="AC537" s="3131"/>
      <c r="AD537" s="3131"/>
      <c r="AE537" s="3131"/>
      <c r="AF537" s="3131"/>
      <c r="AG537" s="3131"/>
      <c r="AH537" s="3131"/>
      <c r="AJ537" s="3077" t="s">
        <v>86</v>
      </c>
      <c r="AK537" s="3189">
        <f t="shared" si="180"/>
        <v>0</v>
      </c>
      <c r="AL537" s="3193"/>
      <c r="AM537" s="3193"/>
      <c r="AN537" s="3193"/>
      <c r="AO537" s="3193"/>
      <c r="AP537" s="3193"/>
      <c r="AQ537" s="3193"/>
      <c r="AR537" s="3193"/>
      <c r="AS537" s="3193"/>
      <c r="AT537" s="3193"/>
      <c r="AU537" s="3193"/>
      <c r="AV537" s="3193"/>
      <c r="AW537" s="3193"/>
      <c r="AX537" s="3193"/>
      <c r="AY537" s="3193"/>
      <c r="AZ537" s="3193"/>
      <c r="BA537" s="3193"/>
      <c r="BB537" s="3193"/>
      <c r="BC537" s="3193"/>
      <c r="BD537" s="3193"/>
      <c r="BE537" s="3193"/>
      <c r="BF537" s="3193"/>
      <c r="BG537" s="3193"/>
      <c r="BH537" s="3193"/>
      <c r="BI537" s="3193"/>
      <c r="BJ537" s="3193"/>
      <c r="BK537" s="3193"/>
      <c r="BL537" s="3193"/>
      <c r="BM537" s="3193"/>
      <c r="BN537" s="3193"/>
      <c r="BO537" s="3193"/>
      <c r="BP537" s="3193"/>
      <c r="BQ537" s="3192">
        <f t="shared" si="181"/>
        <v>0</v>
      </c>
    </row>
    <row r="538" spans="1:69" ht="15">
      <c r="A538" s="3569" t="s">
        <v>40</v>
      </c>
      <c r="B538" s="3570"/>
      <c r="C538" s="3571"/>
      <c r="D538" s="34"/>
      <c r="E538" s="34"/>
      <c r="F538" s="34"/>
      <c r="G538" s="34"/>
      <c r="H538" s="34"/>
      <c r="I538" s="34"/>
      <c r="J538" s="34"/>
      <c r="K538" s="34"/>
      <c r="L538" s="34"/>
      <c r="M538" s="34"/>
      <c r="N538" s="34"/>
      <c r="O538" s="34"/>
      <c r="P538" s="34"/>
      <c r="Q538" s="34"/>
      <c r="R538" s="34"/>
      <c r="S538" s="52"/>
      <c r="T538" s="52"/>
      <c r="U538" s="52"/>
      <c r="V538" s="52"/>
      <c r="W538" s="52"/>
      <c r="X538" s="52"/>
      <c r="Y538" s="52"/>
      <c r="Z538" s="52"/>
      <c r="AA538" s="52"/>
      <c r="AB538" s="52"/>
      <c r="AC538" s="52"/>
      <c r="AD538" s="52"/>
      <c r="AE538" s="52"/>
      <c r="AF538" s="52"/>
      <c r="AG538" s="52"/>
      <c r="AH538" s="13"/>
      <c r="AJ538" s="3197" t="s">
        <v>74</v>
      </c>
      <c r="AK538" s="3198">
        <f t="shared" ref="AK538:BA538" si="184">SUM(AK526:AK537)</f>
        <v>0</v>
      </c>
      <c r="AL538" s="3189">
        <f t="shared" si="184"/>
        <v>0</v>
      </c>
      <c r="AM538" s="3189">
        <f t="shared" si="184"/>
        <v>0</v>
      </c>
      <c r="AN538" s="3189">
        <f t="shared" si="184"/>
        <v>0</v>
      </c>
      <c r="AO538" s="3189">
        <f t="shared" si="184"/>
        <v>0</v>
      </c>
      <c r="AP538" s="3189">
        <f t="shared" si="184"/>
        <v>0</v>
      </c>
      <c r="AQ538" s="3189">
        <f t="shared" si="184"/>
        <v>0</v>
      </c>
      <c r="AR538" s="3189">
        <f t="shared" si="184"/>
        <v>0</v>
      </c>
      <c r="AS538" s="3189">
        <f t="shared" si="184"/>
        <v>0</v>
      </c>
      <c r="AT538" s="3189">
        <f t="shared" si="184"/>
        <v>0</v>
      </c>
      <c r="AU538" s="3189">
        <f t="shared" si="184"/>
        <v>0</v>
      </c>
      <c r="AV538" s="3189">
        <f t="shared" si="184"/>
        <v>0</v>
      </c>
      <c r="AW538" s="3189">
        <f t="shared" si="184"/>
        <v>0</v>
      </c>
      <c r="AX538" s="3189">
        <f t="shared" si="184"/>
        <v>0</v>
      </c>
      <c r="AY538" s="3189">
        <f t="shared" si="184"/>
        <v>0</v>
      </c>
      <c r="AZ538" s="3189">
        <f t="shared" si="184"/>
        <v>0</v>
      </c>
      <c r="BA538" s="3189">
        <f t="shared" si="184"/>
        <v>0</v>
      </c>
      <c r="BB538" s="3192">
        <f t="shared" ref="BB538:BL538" si="185">SUM(BB526:BB536)</f>
        <v>0</v>
      </c>
      <c r="BC538" s="3192">
        <f t="shared" si="185"/>
        <v>0</v>
      </c>
      <c r="BD538" s="3192">
        <f t="shared" si="185"/>
        <v>0</v>
      </c>
      <c r="BE538" s="3192">
        <f t="shared" si="185"/>
        <v>0</v>
      </c>
      <c r="BF538" s="3192">
        <f t="shared" si="185"/>
        <v>0</v>
      </c>
      <c r="BG538" s="3192">
        <f t="shared" si="185"/>
        <v>0</v>
      </c>
      <c r="BH538" s="3192">
        <f t="shared" si="185"/>
        <v>0</v>
      </c>
      <c r="BI538" s="3192">
        <f t="shared" si="185"/>
        <v>0</v>
      </c>
      <c r="BJ538" s="3192">
        <f t="shared" si="185"/>
        <v>0</v>
      </c>
      <c r="BK538" s="3192">
        <f t="shared" si="185"/>
        <v>0</v>
      </c>
      <c r="BL538" s="3192">
        <f t="shared" si="185"/>
        <v>0</v>
      </c>
      <c r="BM538" s="3192">
        <v>0</v>
      </c>
      <c r="BN538" s="3192">
        <f>SUM(BN526:BN536)</f>
        <v>0</v>
      </c>
      <c r="BO538" s="3192">
        <f>SUM(BO526:BO536)</f>
        <v>0</v>
      </c>
      <c r="BP538" s="3192">
        <f>SUM(BP526:BP536)</f>
        <v>0</v>
      </c>
      <c r="BQ538" s="3192">
        <f>SUM(BQ526:BQ536)</f>
        <v>0</v>
      </c>
    </row>
    <row r="539" spans="1:69" ht="15">
      <c r="A539" s="5" t="s">
        <v>72</v>
      </c>
      <c r="B539" s="28" t="s">
        <v>73</v>
      </c>
      <c r="C539" s="72">
        <v>1</v>
      </c>
      <c r="D539" s="35">
        <v>2</v>
      </c>
      <c r="E539" s="35">
        <v>3</v>
      </c>
      <c r="F539" s="35">
        <v>4</v>
      </c>
      <c r="G539" s="35">
        <v>5</v>
      </c>
      <c r="H539" s="35">
        <v>6</v>
      </c>
      <c r="I539" s="35">
        <v>7</v>
      </c>
      <c r="J539" s="35">
        <v>8</v>
      </c>
      <c r="K539" s="35">
        <v>9</v>
      </c>
      <c r="L539" s="35">
        <v>10</v>
      </c>
      <c r="M539" s="35">
        <v>11</v>
      </c>
      <c r="N539" s="35">
        <v>12</v>
      </c>
      <c r="O539" s="35">
        <v>13</v>
      </c>
      <c r="P539" s="35">
        <v>14</v>
      </c>
      <c r="Q539" s="35">
        <v>15</v>
      </c>
      <c r="R539" s="35">
        <v>16</v>
      </c>
      <c r="S539" s="30">
        <v>17</v>
      </c>
      <c r="T539" s="30">
        <v>18</v>
      </c>
      <c r="U539" s="30">
        <v>19</v>
      </c>
      <c r="V539" s="30">
        <v>20</v>
      </c>
      <c r="W539" s="30">
        <v>21</v>
      </c>
      <c r="X539" s="30">
        <v>22</v>
      </c>
      <c r="Y539" s="30">
        <v>23</v>
      </c>
      <c r="Z539" s="30">
        <v>24</v>
      </c>
      <c r="AA539" s="30">
        <v>25</v>
      </c>
      <c r="AB539" s="30">
        <v>26</v>
      </c>
      <c r="AC539" s="30">
        <v>27</v>
      </c>
      <c r="AD539" s="30">
        <v>28</v>
      </c>
      <c r="AE539" s="30">
        <v>29</v>
      </c>
      <c r="AF539" s="30">
        <v>30</v>
      </c>
      <c r="AG539" s="30">
        <v>31</v>
      </c>
      <c r="AH539" s="39" t="s">
        <v>74</v>
      </c>
      <c r="AJ539" s="3185"/>
      <c r="AK539" s="3185"/>
      <c r="AL539" s="3185"/>
      <c r="AM539" s="3185"/>
      <c r="AN539" s="3185"/>
      <c r="AO539" s="3185"/>
      <c r="AP539" s="3185"/>
      <c r="AQ539" s="3185"/>
      <c r="AR539" s="3185"/>
      <c r="AS539" s="3185"/>
      <c r="AT539" s="3185"/>
      <c r="AU539" s="3185"/>
      <c r="AV539" s="3185"/>
      <c r="AW539" s="3185"/>
      <c r="AX539" s="3185"/>
      <c r="AY539" s="3185"/>
      <c r="AZ539" s="3185"/>
      <c r="BA539" s="3185"/>
      <c r="BB539" s="3185"/>
      <c r="BC539" s="3185"/>
      <c r="BD539" s="3185"/>
      <c r="BE539" s="3185"/>
      <c r="BF539" s="3185"/>
      <c r="BG539" s="3185"/>
      <c r="BH539" s="3185"/>
      <c r="BI539" s="3185"/>
      <c r="BJ539" s="3185"/>
      <c r="BK539" s="3185"/>
      <c r="BL539" s="3185"/>
      <c r="BM539" s="3185"/>
      <c r="BN539" s="3185"/>
      <c r="BO539" s="3185"/>
      <c r="BP539" s="3185"/>
      <c r="BQ539" s="3185"/>
    </row>
    <row r="540" spans="1:69" ht="15.75" thickBot="1">
      <c r="A540" s="128" t="s">
        <v>75</v>
      </c>
      <c r="B540" s="28">
        <f t="shared" ref="B540:B551" si="186">+AH540</f>
        <v>0</v>
      </c>
      <c r="C540" s="1930"/>
      <c r="D540" s="1930"/>
      <c r="E540" s="1930"/>
      <c r="F540" s="1930"/>
      <c r="G540" s="1930"/>
      <c r="H540" s="1930"/>
      <c r="I540" s="1930"/>
      <c r="J540" s="1930"/>
      <c r="K540" s="1930"/>
      <c r="L540" s="1930"/>
      <c r="M540" s="1930"/>
      <c r="N540" s="1930"/>
      <c r="O540" s="1930"/>
      <c r="P540" s="1930"/>
      <c r="Q540" s="1930"/>
      <c r="R540" s="1930"/>
      <c r="S540" s="1930"/>
      <c r="T540" s="1930"/>
      <c r="U540" s="1930"/>
      <c r="V540" s="1930"/>
      <c r="W540" s="1930"/>
      <c r="X540" s="1930"/>
      <c r="Y540" s="1930"/>
      <c r="Z540" s="1930"/>
      <c r="AA540" s="1930"/>
      <c r="AB540" s="1930"/>
      <c r="AC540" s="1930"/>
      <c r="AD540" s="1930"/>
      <c r="AE540" s="1930"/>
      <c r="AF540" s="1930"/>
      <c r="AG540" s="1930"/>
      <c r="AH540" s="53">
        <f>SUM(C540:AG540)</f>
        <v>0</v>
      </c>
      <c r="AJ540" s="3185"/>
      <c r="AK540" s="3185"/>
      <c r="AL540" s="3185"/>
      <c r="AM540" s="3185"/>
      <c r="AN540" s="3185"/>
      <c r="AO540" s="3185"/>
      <c r="AP540" s="3185"/>
      <c r="AQ540" s="3185"/>
      <c r="AR540" s="3185"/>
      <c r="AS540" s="3185"/>
      <c r="AT540" s="3185"/>
      <c r="AU540" s="3185"/>
      <c r="AV540" s="3185"/>
      <c r="AW540" s="3185"/>
      <c r="AX540" s="3185"/>
      <c r="AY540" s="3185"/>
      <c r="AZ540" s="3185"/>
      <c r="BA540" s="3185"/>
      <c r="BB540" s="3185"/>
      <c r="BC540" s="3185"/>
      <c r="BD540" s="3185"/>
      <c r="BE540" s="3185"/>
      <c r="BF540" s="3185"/>
      <c r="BG540" s="3185"/>
      <c r="BH540" s="3185"/>
      <c r="BI540" s="3185"/>
      <c r="BJ540" s="3185"/>
      <c r="BK540" s="3185"/>
      <c r="BL540" s="3185"/>
      <c r="BM540" s="3185"/>
      <c r="BN540" s="3185"/>
      <c r="BO540" s="3185"/>
      <c r="BP540" s="3185"/>
      <c r="BQ540" s="3185"/>
    </row>
    <row r="541" spans="1:69" ht="16.5" thickBot="1">
      <c r="A541" s="128" t="s">
        <v>76</v>
      </c>
      <c r="B541" s="28">
        <f t="shared" si="186"/>
        <v>0</v>
      </c>
      <c r="C541" s="1930"/>
      <c r="D541" s="1930"/>
      <c r="E541" s="1930"/>
      <c r="F541" s="1930"/>
      <c r="G541" s="1930"/>
      <c r="H541" s="1930"/>
      <c r="I541" s="1930"/>
      <c r="J541" s="1930"/>
      <c r="K541" s="1930"/>
      <c r="L541" s="1930"/>
      <c r="M541" s="1930"/>
      <c r="N541" s="1930"/>
      <c r="O541" s="1930"/>
      <c r="P541" s="1930"/>
      <c r="Q541" s="1930"/>
      <c r="R541" s="1930"/>
      <c r="S541" s="1930"/>
      <c r="T541" s="1930"/>
      <c r="U541" s="1930"/>
      <c r="V541" s="1930"/>
      <c r="W541" s="1930"/>
      <c r="X541" s="1930"/>
      <c r="Y541" s="1930"/>
      <c r="Z541" s="1930"/>
      <c r="AA541" s="1930"/>
      <c r="AB541" s="1930"/>
      <c r="AC541" s="1930"/>
      <c r="AD541" s="1930"/>
      <c r="AE541" s="1930"/>
      <c r="AF541" s="1930"/>
      <c r="AG541" s="1930"/>
      <c r="AH541" s="53">
        <f t="shared" ref="AH541:AH551" si="187">SUM(C541:AG541)</f>
        <v>0</v>
      </c>
      <c r="AJ541" s="3199" t="s">
        <v>996</v>
      </c>
      <c r="AK541" s="3200"/>
      <c r="AL541" s="3200"/>
      <c r="AM541" s="3200"/>
      <c r="AN541" s="3200"/>
      <c r="AO541" s="3818" t="s">
        <v>155</v>
      </c>
      <c r="AP541" s="3819"/>
      <c r="AQ541" s="3820"/>
      <c r="AR541" s="3818" t="s">
        <v>156</v>
      </c>
      <c r="AS541" s="3821"/>
      <c r="AT541" s="3822" t="s">
        <v>912</v>
      </c>
      <c r="AU541" s="3822" t="s">
        <v>913</v>
      </c>
      <c r="AV541" s="3185"/>
      <c r="AW541" s="3185"/>
      <c r="AX541" s="3185"/>
      <c r="AY541" s="3185"/>
      <c r="AZ541" s="3185"/>
      <c r="BA541" s="3185"/>
      <c r="BB541" s="3185"/>
      <c r="BC541" s="3185"/>
      <c r="BD541" s="3185"/>
      <c r="BE541" s="3185"/>
      <c r="BF541" s="3185"/>
      <c r="BG541" s="3185"/>
      <c r="BH541" s="3185"/>
      <c r="BI541" s="3185"/>
      <c r="BJ541" s="3185"/>
      <c r="BK541" s="3185"/>
      <c r="BL541" s="3185"/>
      <c r="BM541" s="3185"/>
      <c r="BN541" s="3185"/>
      <c r="BO541" s="3185"/>
      <c r="BP541" s="3185"/>
      <c r="BQ541" s="3185"/>
    </row>
    <row r="542" spans="1:69" ht="15.75" thickBot="1">
      <c r="A542" s="128" t="s">
        <v>77</v>
      </c>
      <c r="B542" s="36">
        <f t="shared" si="186"/>
        <v>0</v>
      </c>
      <c r="C542" s="1930"/>
      <c r="D542" s="1930"/>
      <c r="E542" s="1930"/>
      <c r="F542" s="1930"/>
      <c r="G542" s="1930"/>
      <c r="H542" s="1287"/>
      <c r="I542" s="1287"/>
      <c r="J542" s="1287"/>
      <c r="K542" s="1287"/>
      <c r="L542" s="1287"/>
      <c r="M542" s="1287"/>
      <c r="N542" s="1287"/>
      <c r="O542" s="1287"/>
      <c r="P542" s="1287"/>
      <c r="Q542" s="1287"/>
      <c r="R542" s="1287"/>
      <c r="S542" s="1287"/>
      <c r="T542" s="1287"/>
      <c r="U542" s="1287"/>
      <c r="V542" s="1287"/>
      <c r="W542" s="1287"/>
      <c r="X542" s="1287"/>
      <c r="Y542" s="1287"/>
      <c r="Z542" s="1287"/>
      <c r="AA542" s="1287"/>
      <c r="AB542" s="1815"/>
      <c r="AC542" s="1930"/>
      <c r="AD542" s="1287"/>
      <c r="AE542" s="1930"/>
      <c r="AF542" s="1930"/>
      <c r="AG542" s="1930"/>
      <c r="AH542" s="53">
        <f t="shared" si="187"/>
        <v>0</v>
      </c>
      <c r="AJ542" s="3201" t="s">
        <v>158</v>
      </c>
      <c r="AK542" s="3202" t="s">
        <v>159</v>
      </c>
      <c r="AL542" s="3203" t="s">
        <v>136</v>
      </c>
      <c r="AM542" s="3204" t="s">
        <v>134</v>
      </c>
      <c r="AN542" s="3202" t="s">
        <v>160</v>
      </c>
      <c r="AO542" s="3205" t="s">
        <v>8</v>
      </c>
      <c r="AP542" s="3206" t="s">
        <v>161</v>
      </c>
      <c r="AQ542" s="3207" t="s">
        <v>52</v>
      </c>
      <c r="AR542" s="3205" t="s">
        <v>8</v>
      </c>
      <c r="AS542" s="3208" t="s">
        <v>162</v>
      </c>
      <c r="AT542" s="3823"/>
      <c r="AU542" s="3823"/>
      <c r="AV542" s="3185"/>
      <c r="AW542" s="3185"/>
      <c r="AX542" s="3185"/>
      <c r="AY542" s="3185"/>
      <c r="AZ542" s="3185"/>
      <c r="BA542" s="3185"/>
      <c r="BB542" s="3185"/>
      <c r="BC542" s="3185"/>
      <c r="BD542" s="3185"/>
      <c r="BE542" s="3185"/>
      <c r="BF542" s="3185"/>
      <c r="BG542" s="3185"/>
      <c r="BH542" s="3185"/>
      <c r="BI542" s="3185"/>
      <c r="BJ542" s="3185"/>
      <c r="BK542" s="3185"/>
      <c r="BL542" s="3185"/>
      <c r="BM542" s="3185"/>
      <c r="BN542" s="3185"/>
      <c r="BO542" s="3185"/>
      <c r="BP542" s="3185"/>
      <c r="BQ542" s="3185"/>
    </row>
    <row r="543" spans="1:69" ht="15.75" thickBot="1">
      <c r="A543" s="128" t="s">
        <v>78</v>
      </c>
      <c r="B543" s="28">
        <f t="shared" si="186"/>
        <v>0</v>
      </c>
      <c r="C543" s="1930"/>
      <c r="D543" s="1930"/>
      <c r="E543" s="1930"/>
      <c r="F543" s="1930"/>
      <c r="G543" s="1930"/>
      <c r="H543" s="1930"/>
      <c r="I543" s="1930"/>
      <c r="J543" s="1930"/>
      <c r="K543" s="1930"/>
      <c r="L543" s="2465"/>
      <c r="M543" s="2465"/>
      <c r="N543" s="2610"/>
      <c r="O543" s="2465"/>
      <c r="P543" s="2465"/>
      <c r="Q543" s="2465"/>
      <c r="R543" s="2465"/>
      <c r="S543" s="2465"/>
      <c r="T543" s="2465"/>
      <c r="U543" s="2465"/>
      <c r="V543" s="2465"/>
      <c r="W543" s="2465"/>
      <c r="X543" s="2465"/>
      <c r="Y543" s="2465"/>
      <c r="Z543" s="2465"/>
      <c r="AA543" s="2465"/>
      <c r="AB543" s="2465"/>
      <c r="AC543" s="2465"/>
      <c r="AD543" s="2465"/>
      <c r="AE543" s="2465"/>
      <c r="AF543" s="2465"/>
      <c r="AG543" s="2465"/>
      <c r="AH543" s="53">
        <f t="shared" si="187"/>
        <v>0</v>
      </c>
      <c r="AJ543" s="3209"/>
      <c r="AK543" s="3210"/>
      <c r="AL543" s="3211"/>
      <c r="AM543" s="3212"/>
      <c r="AN543" s="3213"/>
      <c r="AO543" s="3209">
        <v>250</v>
      </c>
      <c r="AP543" s="3212"/>
      <c r="AQ543" s="3214">
        <f>SUM(AO543:AP543)</f>
        <v>250</v>
      </c>
      <c r="AR543" s="3222">
        <f>(AK538)</f>
        <v>0</v>
      </c>
      <c r="AS543" s="3194">
        <f>(AK538)</f>
        <v>0</v>
      </c>
      <c r="AT543" s="3216">
        <f>+AO543-AR543</f>
        <v>250</v>
      </c>
      <c r="AU543" s="3216"/>
      <c r="AV543" s="3185"/>
      <c r="AW543" s="3185"/>
      <c r="AX543" s="3185"/>
      <c r="AY543" s="3185"/>
      <c r="AZ543" s="3185"/>
      <c r="BA543" s="3185"/>
      <c r="BB543" s="3185"/>
      <c r="BC543" s="3185"/>
      <c r="BD543" s="3185"/>
      <c r="BE543" s="3185"/>
      <c r="BF543" s="3185"/>
      <c r="BG543" s="3185"/>
      <c r="BH543" s="3185"/>
      <c r="BI543" s="3185"/>
      <c r="BJ543" s="3185"/>
      <c r="BK543" s="3185"/>
      <c r="BL543" s="3185"/>
      <c r="BM543" s="3185"/>
      <c r="BN543" s="3185"/>
      <c r="BO543" s="3185"/>
      <c r="BP543" s="3185"/>
      <c r="BQ543" s="3185"/>
    </row>
    <row r="544" spans="1:69" ht="15.75" thickBot="1">
      <c r="A544" s="132" t="s">
        <v>79</v>
      </c>
      <c r="B544" s="28">
        <f t="shared" si="186"/>
        <v>0</v>
      </c>
      <c r="C544" s="1287"/>
      <c r="D544" s="1287"/>
      <c r="E544" s="1287"/>
      <c r="F544" s="1287"/>
      <c r="G544" s="1287"/>
      <c r="H544" s="1287"/>
      <c r="I544" s="1287"/>
      <c r="J544" s="1287"/>
      <c r="K544" s="1287"/>
      <c r="L544" s="1287"/>
      <c r="M544" s="1287"/>
      <c r="N544" s="1287"/>
      <c r="O544" s="1287"/>
      <c r="P544" s="1287"/>
      <c r="Q544" s="1287"/>
      <c r="R544" s="1287"/>
      <c r="S544" s="1287"/>
      <c r="T544" s="1287"/>
      <c r="U544" s="1287"/>
      <c r="V544" s="1287"/>
      <c r="W544" s="1287"/>
      <c r="X544" s="1287"/>
      <c r="Y544" s="1287"/>
      <c r="Z544" s="1287"/>
      <c r="AA544" s="1287"/>
      <c r="AB544" s="1287"/>
      <c r="AC544" s="1287"/>
      <c r="AD544" s="1287"/>
      <c r="AE544" s="1287"/>
      <c r="AF544" s="1287"/>
      <c r="AG544" s="1287"/>
      <c r="AH544" s="53">
        <f t="shared" si="187"/>
        <v>0</v>
      </c>
      <c r="AJ544" s="3209"/>
      <c r="AK544" s="3210"/>
      <c r="AL544" s="3211"/>
      <c r="AM544" s="3212"/>
      <c r="AN544" s="3213"/>
      <c r="AO544" s="3209"/>
      <c r="AP544" s="3212"/>
      <c r="AQ544" s="3214">
        <f>SUM(AO544:AP544)</f>
        <v>0</v>
      </c>
      <c r="AR544" s="3217"/>
      <c r="AS544" s="3194"/>
      <c r="AT544" s="3216"/>
      <c r="AU544" s="3216">
        <f>+AR544-AS544-AT544</f>
        <v>0</v>
      </c>
      <c r="AV544" s="3185"/>
      <c r="AW544" s="3185"/>
      <c r="AX544" s="3185"/>
      <c r="AY544" s="3185"/>
      <c r="AZ544" s="3185"/>
      <c r="BA544" s="3185"/>
      <c r="BB544" s="3185"/>
      <c r="BC544" s="3185"/>
      <c r="BD544" s="3185"/>
      <c r="BE544" s="3185"/>
      <c r="BF544" s="3185"/>
      <c r="BG544" s="3185"/>
      <c r="BH544" s="3185"/>
      <c r="BI544" s="3185"/>
      <c r="BJ544" s="3185"/>
      <c r="BK544" s="3185"/>
      <c r="BL544" s="3185"/>
      <c r="BM544" s="3185"/>
      <c r="BN544" s="3185"/>
      <c r="BO544" s="3185"/>
      <c r="BP544" s="3185"/>
      <c r="BQ544" s="3185"/>
    </row>
    <row r="545" spans="1:45" ht="15">
      <c r="A545" s="132" t="s">
        <v>80</v>
      </c>
      <c r="B545" s="28">
        <f t="shared" si="186"/>
        <v>0</v>
      </c>
      <c r="C545" s="1287"/>
      <c r="D545" s="1287"/>
      <c r="E545" s="1287"/>
      <c r="F545" s="1287"/>
      <c r="G545" s="1287"/>
      <c r="H545" s="1287"/>
      <c r="I545" s="1287"/>
      <c r="J545" s="1287"/>
      <c r="K545" s="1287"/>
      <c r="L545" s="1287"/>
      <c r="M545" s="1287"/>
      <c r="N545" s="1287"/>
      <c r="O545" s="1287"/>
      <c r="P545" s="1287"/>
      <c r="Q545" s="1287"/>
      <c r="R545" s="1287"/>
      <c r="S545" s="1287"/>
      <c r="T545" s="1287"/>
      <c r="U545" s="1287"/>
      <c r="V545" s="1287"/>
      <c r="W545" s="1287"/>
      <c r="X545" s="1287"/>
      <c r="Y545" s="1287"/>
      <c r="Z545" s="1287"/>
      <c r="AA545" s="1287"/>
      <c r="AB545" s="1287"/>
      <c r="AC545" s="1287"/>
      <c r="AD545" s="1287"/>
      <c r="AE545" s="1287"/>
      <c r="AF545" s="1287"/>
      <c r="AG545" s="1287"/>
      <c r="AH545" s="53">
        <f t="shared" si="187"/>
        <v>0</v>
      </c>
    </row>
    <row r="546" spans="1:45" ht="15">
      <c r="A546" s="132" t="s">
        <v>81</v>
      </c>
      <c r="B546" s="28">
        <f t="shared" si="186"/>
        <v>0</v>
      </c>
      <c r="C546" s="1287"/>
      <c r="D546" s="1488"/>
      <c r="E546" s="1488"/>
      <c r="F546" s="1488"/>
      <c r="G546" s="1287"/>
      <c r="H546" s="1287"/>
      <c r="I546" s="1287"/>
      <c r="J546" s="1287"/>
      <c r="K546" s="1287"/>
      <c r="L546" s="1287"/>
      <c r="M546" s="1287"/>
      <c r="N546" s="1287"/>
      <c r="O546" s="1287"/>
      <c r="P546" s="1287"/>
      <c r="Q546" s="1287"/>
      <c r="R546" s="1287"/>
      <c r="S546" s="1287"/>
      <c r="T546" s="1287"/>
      <c r="U546" s="1287"/>
      <c r="V546" s="1287"/>
      <c r="W546" s="1287"/>
      <c r="X546" s="1287"/>
      <c r="Y546" s="1287"/>
      <c r="Z546" s="1287"/>
      <c r="AA546" s="1287"/>
      <c r="AB546" s="1287"/>
      <c r="AC546" s="1287"/>
      <c r="AD546" s="1287"/>
      <c r="AE546" s="1287"/>
      <c r="AF546" s="1287"/>
      <c r="AG546" s="1287"/>
      <c r="AH546" s="53">
        <f t="shared" si="187"/>
        <v>0</v>
      </c>
    </row>
    <row r="547" spans="1:45" ht="15">
      <c r="A547" s="132" t="s">
        <v>82</v>
      </c>
      <c r="B547" s="28">
        <f t="shared" si="186"/>
        <v>0</v>
      </c>
      <c r="C547" s="1287"/>
      <c r="D547" s="1287"/>
      <c r="E547" s="1287"/>
      <c r="F547" s="1287"/>
      <c r="G547" s="1287"/>
      <c r="H547" s="1287"/>
      <c r="I547" s="1287"/>
      <c r="J547" s="1287"/>
      <c r="K547" s="1287"/>
      <c r="L547" s="1287"/>
      <c r="M547" s="1287"/>
      <c r="N547" s="1287"/>
      <c r="O547" s="1287"/>
      <c r="P547" s="1287"/>
      <c r="Q547" s="1287"/>
      <c r="R547" s="1287"/>
      <c r="S547" s="1287"/>
      <c r="T547" s="1287"/>
      <c r="U547" s="1287"/>
      <c r="V547" s="1287"/>
      <c r="W547" s="1287"/>
      <c r="X547" s="1287"/>
      <c r="Y547" s="1287"/>
      <c r="Z547" s="1287"/>
      <c r="AA547" s="1287"/>
      <c r="AB547" s="1287"/>
      <c r="AC547" s="1287"/>
      <c r="AD547" s="1287"/>
      <c r="AE547" s="1287"/>
      <c r="AF547" s="1287"/>
      <c r="AG547" s="1287"/>
      <c r="AH547" s="53">
        <f t="shared" si="187"/>
        <v>0</v>
      </c>
    </row>
    <row r="548" spans="1:45" ht="27">
      <c r="A548" s="30" t="s">
        <v>83</v>
      </c>
      <c r="B548" s="28">
        <f t="shared" si="186"/>
        <v>18.791999999999998</v>
      </c>
      <c r="C548" s="1287"/>
      <c r="D548" s="1287">
        <v>0</v>
      </c>
      <c r="E548" s="1287">
        <v>16</v>
      </c>
      <c r="F548" s="1287">
        <v>0</v>
      </c>
      <c r="G548" s="1287">
        <v>0</v>
      </c>
      <c r="H548" s="1287">
        <v>0</v>
      </c>
      <c r="I548" s="1287">
        <v>0</v>
      </c>
      <c r="J548" s="1287">
        <v>0</v>
      </c>
      <c r="K548" s="1287">
        <v>0</v>
      </c>
      <c r="L548" s="1287">
        <v>0</v>
      </c>
      <c r="M548" s="1287">
        <v>0</v>
      </c>
      <c r="N548" s="1287">
        <v>0</v>
      </c>
      <c r="O548" s="1287">
        <v>0</v>
      </c>
      <c r="P548" s="1287">
        <v>0</v>
      </c>
      <c r="Q548" s="1287">
        <v>0</v>
      </c>
      <c r="R548" s="1287">
        <v>0</v>
      </c>
      <c r="S548" s="1287">
        <v>0</v>
      </c>
      <c r="T548" s="1287">
        <v>0</v>
      </c>
      <c r="U548" s="1287">
        <v>0</v>
      </c>
      <c r="V548" s="1287">
        <v>0</v>
      </c>
      <c r="W548" s="1287">
        <v>0</v>
      </c>
      <c r="X548" s="1287">
        <v>0</v>
      </c>
      <c r="Y548" s="1287">
        <v>0</v>
      </c>
      <c r="Z548" s="1287">
        <v>0</v>
      </c>
      <c r="AA548" s="1287">
        <v>0</v>
      </c>
      <c r="AB548" s="1287">
        <v>0</v>
      </c>
      <c r="AC548" s="1287">
        <v>0</v>
      </c>
      <c r="AD548" s="1287">
        <v>1.83</v>
      </c>
      <c r="AE548" s="1287">
        <v>0</v>
      </c>
      <c r="AF548" s="1287">
        <v>0.96199999999999997</v>
      </c>
      <c r="AG548" s="1287">
        <v>0</v>
      </c>
      <c r="AH548" s="53">
        <f t="shared" si="187"/>
        <v>18.791999999999998</v>
      </c>
      <c r="AJ548" s="3067" t="s">
        <v>1192</v>
      </c>
      <c r="AK548" s="3068"/>
      <c r="AL548" s="3068"/>
      <c r="AM548" s="3057"/>
      <c r="AN548" s="3057"/>
      <c r="AO548" s="3057"/>
      <c r="AP548" s="3057"/>
      <c r="AQ548" s="3057"/>
      <c r="AR548" s="3057"/>
      <c r="AS548" s="3057"/>
    </row>
    <row r="549" spans="1:45" ht="27">
      <c r="A549" s="30" t="s">
        <v>84</v>
      </c>
      <c r="B549" s="28">
        <f t="shared" si="186"/>
        <v>0.96199999999999997</v>
      </c>
      <c r="C549" s="1287">
        <v>0</v>
      </c>
      <c r="D549" s="1287">
        <v>0.96199999999999997</v>
      </c>
      <c r="E549" s="1287">
        <v>0</v>
      </c>
      <c r="F549" s="1287">
        <v>0</v>
      </c>
      <c r="G549" s="1287">
        <v>0</v>
      </c>
      <c r="H549" s="1287">
        <v>0</v>
      </c>
      <c r="I549" s="1287">
        <v>0</v>
      </c>
      <c r="J549" s="1287">
        <v>0</v>
      </c>
      <c r="K549" s="1287">
        <v>0</v>
      </c>
      <c r="L549" s="1287">
        <v>0</v>
      </c>
      <c r="M549" s="1287">
        <v>0</v>
      </c>
      <c r="N549" s="1287">
        <v>0</v>
      </c>
      <c r="O549" s="1287">
        <v>0</v>
      </c>
      <c r="P549" s="1287">
        <v>0</v>
      </c>
      <c r="Q549" s="1287">
        <v>0</v>
      </c>
      <c r="R549" s="1287">
        <v>0</v>
      </c>
      <c r="S549" s="1287">
        <v>0</v>
      </c>
      <c r="T549" s="1287">
        <v>0</v>
      </c>
      <c r="U549" s="1287">
        <v>0</v>
      </c>
      <c r="V549" s="1287">
        <v>0</v>
      </c>
      <c r="W549" s="1287">
        <v>0</v>
      </c>
      <c r="X549" s="1287">
        <v>0</v>
      </c>
      <c r="Y549" s="1287">
        <v>0</v>
      </c>
      <c r="Z549" s="1287">
        <v>0</v>
      </c>
      <c r="AA549" s="1287">
        <v>0</v>
      </c>
      <c r="AB549" s="1287">
        <v>0</v>
      </c>
      <c r="AC549" s="1287">
        <v>0</v>
      </c>
      <c r="AD549" s="1287">
        <v>0</v>
      </c>
      <c r="AE549" s="1488">
        <v>0</v>
      </c>
      <c r="AF549" s="1287">
        <v>0</v>
      </c>
      <c r="AG549" s="1488">
        <v>0</v>
      </c>
      <c r="AH549" s="53">
        <f t="shared" si="187"/>
        <v>0.96199999999999997</v>
      </c>
      <c r="AJ549" s="3067" t="s">
        <v>1185</v>
      </c>
      <c r="AK549" s="3068"/>
      <c r="AL549" s="3068"/>
      <c r="AM549" s="3057"/>
      <c r="AN549" s="3057"/>
      <c r="AO549" s="2819" t="s">
        <v>264</v>
      </c>
      <c r="AP549" s="3057"/>
      <c r="AQ549" s="3057"/>
      <c r="AR549" s="3057"/>
      <c r="AS549" s="3057"/>
    </row>
    <row r="550" spans="1:45" ht="15.75" thickBot="1">
      <c r="A550" s="30" t="s">
        <v>85</v>
      </c>
      <c r="B550" s="28">
        <f t="shared" si="186"/>
        <v>0</v>
      </c>
      <c r="C550" s="1287"/>
      <c r="D550" s="1287"/>
      <c r="E550" s="1287"/>
      <c r="F550" s="1287"/>
      <c r="G550" s="1433"/>
      <c r="H550" s="1287"/>
      <c r="I550" s="1287"/>
      <c r="J550" s="1287"/>
      <c r="K550" s="1287"/>
      <c r="L550" s="1287"/>
      <c r="M550" s="1287"/>
      <c r="N550" s="1287"/>
      <c r="O550" s="1287"/>
      <c r="P550" s="1287"/>
      <c r="Q550" s="1287"/>
      <c r="R550" s="1287"/>
      <c r="S550" s="1287"/>
      <c r="T550" s="1287"/>
      <c r="U550" s="1287"/>
      <c r="V550" s="1287"/>
      <c r="W550" s="1287"/>
      <c r="X550" s="1287"/>
      <c r="Y550" s="1287"/>
      <c r="Z550" s="1287"/>
      <c r="AA550" s="1287"/>
      <c r="AB550" s="1287"/>
      <c r="AC550" s="1287"/>
      <c r="AD550" s="1287"/>
      <c r="AE550" s="1488"/>
      <c r="AF550" s="1287"/>
      <c r="AG550" s="1488"/>
      <c r="AH550" s="53">
        <f t="shared" si="187"/>
        <v>0</v>
      </c>
      <c r="AJ550" s="3057"/>
      <c r="AK550" s="3057"/>
      <c r="AL550" s="3057"/>
      <c r="AM550" s="3057"/>
      <c r="AN550" s="3057"/>
      <c r="AO550" s="3057"/>
      <c r="AP550" s="3057"/>
      <c r="AQ550" s="3057"/>
      <c r="AR550" s="3057"/>
      <c r="AS550" s="3057"/>
    </row>
    <row r="551" spans="1:45" ht="15.75">
      <c r="A551" s="30" t="s">
        <v>86</v>
      </c>
      <c r="B551" s="28">
        <f t="shared" si="186"/>
        <v>0</v>
      </c>
      <c r="C551" s="1287"/>
      <c r="D551" s="1287"/>
      <c r="E551" s="1287"/>
      <c r="F551" s="1287"/>
      <c r="G551" s="1287"/>
      <c r="H551" s="1287"/>
      <c r="I551" s="1287"/>
      <c r="J551" s="1287"/>
      <c r="K551" s="1287"/>
      <c r="L551" s="1287"/>
      <c r="M551" s="1287"/>
      <c r="N551" s="1287"/>
      <c r="O551" s="1287"/>
      <c r="P551" s="1287"/>
      <c r="Q551" s="1287"/>
      <c r="R551" s="1287"/>
      <c r="S551" s="1287"/>
      <c r="T551" s="1287"/>
      <c r="U551" s="1287"/>
      <c r="V551" s="1287"/>
      <c r="W551" s="1287"/>
      <c r="X551" s="1287"/>
      <c r="Y551" s="1287"/>
      <c r="Z551" s="1287"/>
      <c r="AA551" s="1287"/>
      <c r="AB551" s="1287"/>
      <c r="AC551" s="1287"/>
      <c r="AD551" s="1287"/>
      <c r="AE551" s="1287"/>
      <c r="AF551" s="1287"/>
      <c r="AG551" s="1287"/>
      <c r="AH551" s="53">
        <f t="shared" si="187"/>
        <v>0</v>
      </c>
      <c r="AJ551" s="3058"/>
      <c r="AK551" s="3059"/>
      <c r="AL551" s="3059"/>
      <c r="AM551" s="3059"/>
      <c r="AN551" s="3828" t="s">
        <v>155</v>
      </c>
      <c r="AO551" s="3829"/>
      <c r="AP551" s="3828" t="s">
        <v>156</v>
      </c>
      <c r="AQ551" s="3829"/>
      <c r="AR551" s="3828" t="s">
        <v>157</v>
      </c>
      <c r="AS551" s="3830"/>
    </row>
    <row r="552" spans="1:45" ht="30">
      <c r="A552" s="88" t="s">
        <v>74</v>
      </c>
      <c r="B552" s="90">
        <f t="shared" ref="B552:R552" si="188">SUM(B540:B551)</f>
        <v>19.753999999999998</v>
      </c>
      <c r="C552" s="71">
        <f t="shared" si="188"/>
        <v>0</v>
      </c>
      <c r="D552" s="71">
        <f t="shared" si="188"/>
        <v>0.96199999999999997</v>
      </c>
      <c r="E552" s="71">
        <f t="shared" si="188"/>
        <v>16</v>
      </c>
      <c r="F552" s="71">
        <f t="shared" si="188"/>
        <v>0</v>
      </c>
      <c r="G552" s="71">
        <f t="shared" si="188"/>
        <v>0</v>
      </c>
      <c r="H552" s="71">
        <f t="shared" si="188"/>
        <v>0</v>
      </c>
      <c r="I552" s="71">
        <f t="shared" si="188"/>
        <v>0</v>
      </c>
      <c r="J552" s="71">
        <f t="shared" si="188"/>
        <v>0</v>
      </c>
      <c r="K552" s="71">
        <f t="shared" si="188"/>
        <v>0</v>
      </c>
      <c r="L552" s="71">
        <f t="shared" si="188"/>
        <v>0</v>
      </c>
      <c r="M552" s="71">
        <f t="shared" si="188"/>
        <v>0</v>
      </c>
      <c r="N552" s="71">
        <f t="shared" si="188"/>
        <v>0</v>
      </c>
      <c r="O552" s="71">
        <f t="shared" si="188"/>
        <v>0</v>
      </c>
      <c r="P552" s="71">
        <f t="shared" si="188"/>
        <v>0</v>
      </c>
      <c r="Q552" s="71">
        <f t="shared" si="188"/>
        <v>0</v>
      </c>
      <c r="R552" s="71">
        <f t="shared" si="188"/>
        <v>0</v>
      </c>
      <c r="S552" s="53">
        <f t="shared" ref="S552:AC552" si="189">SUM(S540:S550)</f>
        <v>0</v>
      </c>
      <c r="T552" s="53">
        <f t="shared" si="189"/>
        <v>0</v>
      </c>
      <c r="U552" s="53">
        <f t="shared" si="189"/>
        <v>0</v>
      </c>
      <c r="V552" s="53">
        <f t="shared" si="189"/>
        <v>0</v>
      </c>
      <c r="W552" s="53">
        <f t="shared" si="189"/>
        <v>0</v>
      </c>
      <c r="X552" s="53">
        <f t="shared" si="189"/>
        <v>0</v>
      </c>
      <c r="Y552" s="53">
        <f t="shared" si="189"/>
        <v>0</v>
      </c>
      <c r="Z552" s="53">
        <f t="shared" si="189"/>
        <v>0</v>
      </c>
      <c r="AA552" s="53">
        <f t="shared" si="189"/>
        <v>0</v>
      </c>
      <c r="AB552" s="53">
        <f t="shared" si="189"/>
        <v>0</v>
      </c>
      <c r="AC552" s="53">
        <f t="shared" si="189"/>
        <v>0</v>
      </c>
      <c r="AD552" s="53">
        <v>0</v>
      </c>
      <c r="AE552" s="53">
        <f>SUM(AE540:AE550)</f>
        <v>0</v>
      </c>
      <c r="AF552" s="53">
        <f>SUM(AF540:AF550)</f>
        <v>0.96199999999999997</v>
      </c>
      <c r="AG552" s="53">
        <f>SUM(AG540:AG550)</f>
        <v>0</v>
      </c>
      <c r="AH552" s="46">
        <f>SUM(AH540:AH550)</f>
        <v>19.753999999999998</v>
      </c>
      <c r="AJ552" s="3060" t="s">
        <v>226</v>
      </c>
      <c r="AK552" s="3060" t="s">
        <v>227</v>
      </c>
      <c r="AL552" s="3060" t="s">
        <v>228</v>
      </c>
      <c r="AM552" s="3060" t="s">
        <v>160</v>
      </c>
      <c r="AN552" s="3060" t="s">
        <v>229</v>
      </c>
      <c r="AO552" s="3060"/>
      <c r="AP552" s="3060" t="s">
        <v>921</v>
      </c>
      <c r="AQ552" s="3060"/>
      <c r="AR552" s="3061" t="s">
        <v>232</v>
      </c>
      <c r="AS552" s="3165"/>
    </row>
    <row r="553" spans="1:45" ht="13.5" thickBot="1">
      <c r="A553" s="2187"/>
      <c r="B553" s="2187"/>
      <c r="C553" s="2187"/>
      <c r="D553" s="2187"/>
      <c r="E553" s="2187"/>
      <c r="F553" s="2187"/>
      <c r="G553" s="2187"/>
      <c r="H553" s="2187"/>
      <c r="I553" s="2187"/>
      <c r="J553" s="2187"/>
      <c r="K553" s="2187"/>
      <c r="L553" s="2187"/>
      <c r="M553" s="2187"/>
      <c r="N553" s="2187"/>
      <c r="O553" s="2187"/>
      <c r="P553" s="2187"/>
      <c r="Q553" s="2187"/>
      <c r="R553" s="2187"/>
      <c r="S553" s="2187"/>
      <c r="T553" s="2187"/>
      <c r="U553" s="2187"/>
      <c r="V553" s="2187"/>
      <c r="W553" s="2187"/>
      <c r="X553" s="2187"/>
      <c r="Y553" s="2187"/>
      <c r="Z553" s="2187"/>
      <c r="AA553" s="2187"/>
      <c r="AB553" s="2187"/>
      <c r="AC553" s="2187"/>
      <c r="AD553" s="2187"/>
      <c r="AE553" s="2187"/>
      <c r="AF553" s="2187"/>
      <c r="AG553" s="2187"/>
      <c r="AH553" s="2187"/>
      <c r="AJ553" s="3062"/>
      <c r="AK553" s="3063">
        <v>914124</v>
      </c>
      <c r="AL553" s="3063" t="s">
        <v>1186</v>
      </c>
      <c r="AM553" s="3063"/>
      <c r="AN553" s="3062"/>
      <c r="AO553" s="3062"/>
      <c r="AP553" s="3062"/>
      <c r="AQ553" s="3062"/>
      <c r="AR553" s="3062"/>
      <c r="AS553" s="3062"/>
    </row>
    <row r="554" spans="1:45" ht="15.75" thickBot="1">
      <c r="A554" s="2477"/>
      <c r="B554" s="2478"/>
      <c r="C554" s="2478"/>
      <c r="D554" s="2478"/>
      <c r="E554" s="2478"/>
      <c r="F554" s="3810" t="s">
        <v>155</v>
      </c>
      <c r="G554" s="3811"/>
      <c r="H554" s="3812"/>
      <c r="I554" s="3810" t="s">
        <v>156</v>
      </c>
      <c r="J554" s="3813"/>
      <c r="K554" s="3814"/>
      <c r="L554" s="3814" t="s">
        <v>1031</v>
      </c>
      <c r="M554" s="3225"/>
      <c r="N554" s="3225"/>
      <c r="O554" s="3225"/>
      <c r="P554" s="3225"/>
      <c r="Q554" s="3225"/>
      <c r="R554" s="3225"/>
      <c r="S554" s="3225"/>
      <c r="T554" s="3225"/>
      <c r="U554" s="3225"/>
      <c r="V554" s="3225"/>
      <c r="W554" s="3225"/>
      <c r="X554" s="3225"/>
      <c r="Y554" s="3225"/>
      <c r="Z554" s="3225"/>
      <c r="AA554" s="3225"/>
      <c r="AB554" s="3225"/>
      <c r="AC554" s="3225"/>
      <c r="AD554" s="3225"/>
      <c r="AE554" s="3225"/>
      <c r="AF554" s="3225"/>
      <c r="AG554" s="3225"/>
      <c r="AH554" s="3225"/>
      <c r="AJ554" s="3062"/>
      <c r="AK554" s="3063">
        <v>914125</v>
      </c>
      <c r="AL554" s="3331" t="s">
        <v>1187</v>
      </c>
      <c r="AM554" s="3063"/>
      <c r="AN554" s="3062"/>
      <c r="AO554" s="3062"/>
      <c r="AP554" s="3062"/>
      <c r="AQ554" s="3062"/>
      <c r="AR554" s="3062"/>
      <c r="AS554" s="3062"/>
    </row>
    <row r="555" spans="1:45" ht="13.5" thickBot="1">
      <c r="A555" s="2479" t="s">
        <v>158</v>
      </c>
      <c r="B555" s="2480" t="s">
        <v>159</v>
      </c>
      <c r="C555" s="2481" t="s">
        <v>136</v>
      </c>
      <c r="D555" s="2482" t="s">
        <v>134</v>
      </c>
      <c r="E555" s="2480" t="s">
        <v>160</v>
      </c>
      <c r="F555" s="2483"/>
      <c r="G555" s="2484" t="s">
        <v>40</v>
      </c>
      <c r="H555" s="2485" t="s">
        <v>52</v>
      </c>
      <c r="I555" s="2483"/>
      <c r="J555" s="2486" t="s">
        <v>40</v>
      </c>
      <c r="K555" s="3815"/>
      <c r="L555" s="3815"/>
      <c r="M555" s="3816"/>
      <c r="N555" s="3817"/>
      <c r="O555" s="3817"/>
      <c r="P555" s="3817"/>
      <c r="Q555" s="3225"/>
      <c r="R555" s="3225"/>
      <c r="S555" s="3225"/>
      <c r="T555" s="3225"/>
      <c r="U555" s="3225"/>
      <c r="V555" s="3225"/>
      <c r="W555" s="3225"/>
      <c r="X555" s="3225"/>
      <c r="Y555" s="3225"/>
      <c r="Z555" s="3225"/>
      <c r="AA555" s="3225"/>
      <c r="AB555" s="3225"/>
      <c r="AC555" s="3225"/>
      <c r="AD555" s="3225"/>
      <c r="AE555" s="3225"/>
      <c r="AF555" s="3225"/>
      <c r="AG555" s="3225"/>
      <c r="AH555" s="3225"/>
      <c r="AJ555" s="3062"/>
      <c r="AK555" s="3063">
        <v>914147</v>
      </c>
      <c r="AL555" s="3063" t="s">
        <v>1188</v>
      </c>
      <c r="AM555" s="3063"/>
      <c r="AN555" s="3062"/>
      <c r="AO555" s="3062"/>
      <c r="AP555" s="3062"/>
      <c r="AQ555" s="3062"/>
      <c r="AR555" s="3062"/>
      <c r="AS555" s="3062"/>
    </row>
    <row r="556" spans="1:45" ht="15.75" thickBot="1">
      <c r="A556" s="1339"/>
      <c r="B556" s="1340"/>
      <c r="C556" s="1341"/>
      <c r="D556" s="1342"/>
      <c r="E556" s="1343"/>
      <c r="F556" s="1339"/>
      <c r="G556" s="1342">
        <v>144.148</v>
      </c>
      <c r="H556" s="1344">
        <f>SUM(F556:G556)</f>
        <v>144.148</v>
      </c>
      <c r="I556" s="3132"/>
      <c r="J556" s="3133">
        <f>+B552</f>
        <v>19.753999999999998</v>
      </c>
      <c r="K556" s="1347"/>
      <c r="L556" s="1347">
        <f>+G556-J556</f>
        <v>124.39400000000001</v>
      </c>
      <c r="M556" s="3805"/>
      <c r="N556" s="3806"/>
      <c r="O556" s="3806"/>
      <c r="P556" s="3806"/>
      <c r="Q556" s="3225"/>
      <c r="R556" s="3225"/>
      <c r="S556" s="3225"/>
      <c r="T556" s="3225"/>
      <c r="U556" s="3225"/>
      <c r="V556" s="3225"/>
      <c r="W556" s="3225"/>
      <c r="X556" s="3225"/>
      <c r="Y556" s="3225"/>
      <c r="Z556" s="3225"/>
      <c r="AA556" s="3225"/>
      <c r="AB556" s="3225"/>
      <c r="AC556" s="3225"/>
      <c r="AD556" s="3225"/>
      <c r="AE556" s="3225"/>
      <c r="AF556" s="3225"/>
      <c r="AG556" s="3225"/>
      <c r="AH556" s="3225"/>
      <c r="AJ556" s="3062"/>
      <c r="AK556" s="3063">
        <v>954327</v>
      </c>
      <c r="AL556" s="3331" t="s">
        <v>1189</v>
      </c>
      <c r="AM556" s="3063"/>
      <c r="AN556" s="3062"/>
      <c r="AO556" s="3062"/>
      <c r="AP556" s="3062"/>
      <c r="AQ556" s="3062"/>
      <c r="AR556" s="3062"/>
      <c r="AS556" s="3062"/>
    </row>
    <row r="557" spans="1:45" ht="15.75" thickBot="1">
      <c r="A557" s="1339"/>
      <c r="B557" s="1340"/>
      <c r="C557" s="1341"/>
      <c r="D557" s="1342"/>
      <c r="E557" s="1343"/>
      <c r="F557" s="1339"/>
      <c r="G557" s="1342"/>
      <c r="H557" s="1344">
        <f>SUM(F557:G557)</f>
        <v>0</v>
      </c>
      <c r="I557" s="1345"/>
      <c r="J557" s="1346"/>
      <c r="K557" s="1347"/>
      <c r="L557" s="1347">
        <f>+I557-J557-K557</f>
        <v>0</v>
      </c>
      <c r="M557" s="3805"/>
      <c r="N557" s="3806"/>
      <c r="O557" s="3806"/>
      <c r="P557" s="3806"/>
      <c r="Q557" s="3225"/>
      <c r="R557" s="3225"/>
      <c r="S557" s="3225"/>
      <c r="T557" s="3225"/>
      <c r="U557" s="3225"/>
      <c r="V557" s="3225"/>
      <c r="W557" s="3225"/>
      <c r="X557" s="3225"/>
      <c r="Y557" s="3225"/>
      <c r="Z557" s="3225"/>
      <c r="AA557" s="3225"/>
      <c r="AB557" s="3225"/>
      <c r="AC557" s="3225"/>
      <c r="AD557" s="3225"/>
      <c r="AE557" s="3225"/>
      <c r="AF557" s="3225"/>
      <c r="AG557" s="3225"/>
      <c r="AH557" s="3225"/>
      <c r="AJ557" s="3062"/>
      <c r="AK557" s="3063">
        <v>959983</v>
      </c>
      <c r="AL557" s="3331" t="s">
        <v>1190</v>
      </c>
      <c r="AM557" s="3063"/>
      <c r="AN557" s="3062"/>
      <c r="AO557" s="3062"/>
      <c r="AP557" s="3062"/>
      <c r="AQ557" s="3062"/>
      <c r="AR557" s="3062"/>
      <c r="AS557" s="3062"/>
    </row>
    <row r="558" spans="1:45">
      <c r="AJ558" s="3062"/>
      <c r="AK558" s="3063">
        <v>913577</v>
      </c>
      <c r="AL558" s="3331" t="s">
        <v>1191</v>
      </c>
      <c r="AM558" s="3063"/>
      <c r="AN558" s="3062"/>
      <c r="AO558" s="3062"/>
      <c r="AP558" s="3062"/>
      <c r="AQ558" s="3062"/>
      <c r="AR558" s="3062"/>
      <c r="AS558" s="3062"/>
    </row>
    <row r="559" spans="1:45" ht="28.5">
      <c r="AJ559" s="3330"/>
      <c r="AK559" s="3330"/>
      <c r="AL559" s="3330"/>
      <c r="AM559" s="3069" t="s">
        <v>1085</v>
      </c>
      <c r="AN559" s="3330"/>
      <c r="AO559" s="3330"/>
      <c r="AP559" s="3070">
        <f>138.59+69.1+70.78+136.6</f>
        <v>415.07000000000005</v>
      </c>
      <c r="AQ559" s="3070"/>
      <c r="AR559" s="3330"/>
      <c r="AS559" s="3330"/>
    </row>
    <row r="560" spans="1:45">
      <c r="AJ560" s="3062"/>
      <c r="AK560" s="3062"/>
      <c r="AL560" s="3062"/>
      <c r="AM560" s="3062"/>
      <c r="AN560" s="3064">
        <v>4259</v>
      </c>
      <c r="AO560" s="3065"/>
      <c r="AP560" s="3064">
        <f>SUM(AP559)</f>
        <v>415.07000000000005</v>
      </c>
      <c r="AQ560" s="3065">
        <f>SUM(AQ559)</f>
        <v>0</v>
      </c>
      <c r="AR560" s="3065">
        <f>(AN560-AP560)</f>
        <v>3843.93</v>
      </c>
      <c r="AS560" s="3065"/>
    </row>
    <row r="561" spans="1:43" ht="33">
      <c r="A561" s="3273" t="s">
        <v>326</v>
      </c>
      <c r="B561" s="3274"/>
      <c r="C561" s="3274" t="s">
        <v>1168</v>
      </c>
      <c r="D561" s="3275"/>
      <c r="E561" s="3275"/>
      <c r="F561" s="3275"/>
      <c r="G561" s="3274" t="s">
        <v>1169</v>
      </c>
      <c r="H561" s="3276"/>
      <c r="I561" s="3275"/>
      <c r="J561" s="3275"/>
      <c r="K561" s="3275"/>
      <c r="L561" s="3275"/>
      <c r="M561" s="3275"/>
      <c r="N561" s="3275"/>
      <c r="O561" s="3277" t="s">
        <v>1051</v>
      </c>
      <c r="P561" s="3275"/>
      <c r="Q561" s="3275"/>
      <c r="R561" s="3275"/>
      <c r="S561" s="3275"/>
      <c r="T561" s="3275"/>
      <c r="U561" s="3275"/>
      <c r="V561" s="3275"/>
      <c r="W561" s="3275"/>
      <c r="X561" s="3275"/>
      <c r="Y561" s="3275"/>
      <c r="Z561" s="3275"/>
      <c r="AA561" s="3275"/>
      <c r="AB561" s="3275"/>
      <c r="AC561" s="3275"/>
      <c r="AD561" s="3275"/>
      <c r="AE561" s="3275"/>
      <c r="AF561" s="3275"/>
      <c r="AG561" s="3275"/>
      <c r="AH561" s="3275"/>
      <c r="AI561" s="3278"/>
      <c r="AP561" s="2628" t="s">
        <v>1252</v>
      </c>
    </row>
    <row r="562" spans="1:43" ht="15">
      <c r="A562" s="3792" t="s">
        <v>271</v>
      </c>
      <c r="B562" s="3793"/>
      <c r="C562" s="3794"/>
      <c r="D562" s="3276"/>
      <c r="E562" s="3276"/>
      <c r="F562" s="3276"/>
      <c r="G562" s="3276"/>
      <c r="H562" s="3276"/>
      <c r="I562" s="3276"/>
      <c r="J562" s="3276"/>
      <c r="K562" s="3276"/>
      <c r="L562" s="3276"/>
      <c r="M562" s="3276"/>
      <c r="N562" s="3276"/>
      <c r="O562" s="3276"/>
      <c r="P562" s="3276"/>
      <c r="Q562" s="3276"/>
      <c r="R562" s="3276"/>
      <c r="S562" s="3279"/>
      <c r="T562" s="3279"/>
      <c r="U562" s="3279"/>
      <c r="V562" s="3279"/>
      <c r="W562" s="3279"/>
      <c r="X562" s="3279"/>
      <c r="Y562" s="3279"/>
      <c r="Z562" s="3279"/>
      <c r="AA562" s="3279"/>
      <c r="AB562" s="3279"/>
      <c r="AC562" s="3279"/>
      <c r="AD562" s="3279"/>
      <c r="AE562" s="3279"/>
      <c r="AF562" s="3279"/>
      <c r="AG562" s="3279"/>
      <c r="AH562" s="3279"/>
      <c r="AI562" s="3278"/>
      <c r="AQ562" s="103"/>
    </row>
    <row r="563" spans="1:43" ht="15">
      <c r="A563" s="3280" t="s">
        <v>72</v>
      </c>
      <c r="B563" s="3281" t="s">
        <v>73</v>
      </c>
      <c r="C563" s="3282">
        <v>1</v>
      </c>
      <c r="D563" s="3282">
        <v>2</v>
      </c>
      <c r="E563" s="3282">
        <v>3</v>
      </c>
      <c r="F563" s="3282">
        <v>4</v>
      </c>
      <c r="G563" s="3282">
        <v>5</v>
      </c>
      <c r="H563" s="3282">
        <v>6</v>
      </c>
      <c r="I563" s="3282">
        <v>7</v>
      </c>
      <c r="J563" s="3282">
        <v>8</v>
      </c>
      <c r="K563" s="3282">
        <v>9</v>
      </c>
      <c r="L563" s="3282">
        <v>10</v>
      </c>
      <c r="M563" s="3282">
        <v>11</v>
      </c>
      <c r="N563" s="3282">
        <v>12</v>
      </c>
      <c r="O563" s="3282">
        <v>13</v>
      </c>
      <c r="P563" s="3282">
        <v>14</v>
      </c>
      <c r="Q563" s="3282">
        <v>15</v>
      </c>
      <c r="R563" s="3282">
        <v>16</v>
      </c>
      <c r="S563" s="3280">
        <v>17</v>
      </c>
      <c r="T563" s="3280">
        <v>18</v>
      </c>
      <c r="U563" s="3280">
        <v>19</v>
      </c>
      <c r="V563" s="3280">
        <v>20</v>
      </c>
      <c r="W563" s="3280">
        <v>21</v>
      </c>
      <c r="X563" s="3280">
        <v>22</v>
      </c>
      <c r="Y563" s="3280">
        <v>23</v>
      </c>
      <c r="Z563" s="3280">
        <v>24</v>
      </c>
      <c r="AA563" s="3280">
        <v>25</v>
      </c>
      <c r="AB563" s="3280">
        <v>26</v>
      </c>
      <c r="AC563" s="3280">
        <v>27</v>
      </c>
      <c r="AD563" s="3280">
        <v>28</v>
      </c>
      <c r="AE563" s="3280">
        <v>29</v>
      </c>
      <c r="AF563" s="3280">
        <v>30</v>
      </c>
      <c r="AG563" s="3280">
        <v>31</v>
      </c>
      <c r="AH563" s="3283" t="s">
        <v>74</v>
      </c>
      <c r="AI563" s="3278"/>
      <c r="AP563" s="103"/>
    </row>
    <row r="564" spans="1:43" ht="15">
      <c r="A564" s="3280" t="s">
        <v>75</v>
      </c>
      <c r="B564" s="3281">
        <f t="shared" ref="B564:B575" si="190">+AH564</f>
        <v>0</v>
      </c>
      <c r="C564" s="3284"/>
      <c r="D564" s="3284"/>
      <c r="E564" s="3284"/>
      <c r="F564" s="3284"/>
      <c r="G564" s="3284"/>
      <c r="H564" s="3284"/>
      <c r="I564" s="3284"/>
      <c r="J564" s="3284"/>
      <c r="K564" s="3284"/>
      <c r="L564" s="3284"/>
      <c r="M564" s="3284"/>
      <c r="N564" s="3284"/>
      <c r="O564" s="3284"/>
      <c r="P564" s="3284"/>
      <c r="Q564" s="3284"/>
      <c r="R564" s="3284"/>
      <c r="S564" s="3284"/>
      <c r="T564" s="3284"/>
      <c r="U564" s="3284"/>
      <c r="V564" s="3284"/>
      <c r="W564" s="3284"/>
      <c r="X564" s="3284"/>
      <c r="Y564" s="3284"/>
      <c r="Z564" s="3284"/>
      <c r="AA564" s="3284"/>
      <c r="AB564" s="3284"/>
      <c r="AC564" s="3284"/>
      <c r="AD564" s="3284"/>
      <c r="AE564" s="3284"/>
      <c r="AF564" s="3284"/>
      <c r="AG564" s="3284"/>
      <c r="AH564" s="3285">
        <f>SUM(C564:AG564)</f>
        <v>0</v>
      </c>
      <c r="AI564" s="3278"/>
    </row>
    <row r="565" spans="1:43" ht="15">
      <c r="A565" s="3280" t="s">
        <v>76</v>
      </c>
      <c r="B565" s="3281">
        <f t="shared" si="190"/>
        <v>0</v>
      </c>
      <c r="C565" s="3284"/>
      <c r="D565" s="3284"/>
      <c r="E565" s="3284"/>
      <c r="F565" s="3284"/>
      <c r="G565" s="3284"/>
      <c r="H565" s="3284"/>
      <c r="I565" s="3284"/>
      <c r="J565" s="3284"/>
      <c r="K565" s="3284"/>
      <c r="L565" s="3284"/>
      <c r="M565" s="3284"/>
      <c r="N565" s="3284"/>
      <c r="O565" s="3284"/>
      <c r="P565" s="3284"/>
      <c r="Q565" s="3284"/>
      <c r="R565" s="3284"/>
      <c r="S565" s="3284"/>
      <c r="T565" s="3284"/>
      <c r="U565" s="3284"/>
      <c r="V565" s="3284"/>
      <c r="W565" s="3284"/>
      <c r="X565" s="3284"/>
      <c r="Y565" s="3284"/>
      <c r="Z565" s="3284"/>
      <c r="AA565" s="3284"/>
      <c r="AB565" s="3284"/>
      <c r="AC565" s="3284"/>
      <c r="AD565" s="3284"/>
      <c r="AE565" s="3284"/>
      <c r="AF565" s="3284"/>
      <c r="AG565" s="3284"/>
      <c r="AH565" s="3285">
        <f t="shared" ref="AH565:AH575" si="191">SUM(C565:AG565)</f>
        <v>0</v>
      </c>
      <c r="AI565" s="3278"/>
    </row>
    <row r="566" spans="1:43" ht="15">
      <c r="A566" s="3280" t="s">
        <v>77</v>
      </c>
      <c r="B566" s="3281">
        <f t="shared" si="190"/>
        <v>0</v>
      </c>
      <c r="C566" s="3284"/>
      <c r="D566" s="3284"/>
      <c r="E566" s="3284"/>
      <c r="F566" s="3284"/>
      <c r="G566" s="3284"/>
      <c r="H566" s="3286"/>
      <c r="I566" s="3286"/>
      <c r="J566" s="3286"/>
      <c r="K566" s="3286"/>
      <c r="L566" s="3286"/>
      <c r="M566" s="3286"/>
      <c r="N566" s="3286"/>
      <c r="O566" s="3286"/>
      <c r="P566" s="3286"/>
      <c r="Q566" s="3286"/>
      <c r="R566" s="3286"/>
      <c r="S566" s="3286"/>
      <c r="T566" s="3286"/>
      <c r="U566" s="3286"/>
      <c r="V566" s="3286"/>
      <c r="W566" s="3286"/>
      <c r="X566" s="3286"/>
      <c r="Y566" s="3286"/>
      <c r="Z566" s="3286"/>
      <c r="AA566" s="3286"/>
      <c r="AB566" s="3286"/>
      <c r="AC566" s="3284"/>
      <c r="AD566" s="3284"/>
      <c r="AE566" s="3284"/>
      <c r="AF566" s="3284"/>
      <c r="AG566" s="3284"/>
      <c r="AH566" s="3285">
        <f t="shared" si="191"/>
        <v>0</v>
      </c>
      <c r="AI566" s="3278"/>
    </row>
    <row r="567" spans="1:43" ht="15">
      <c r="A567" s="3280" t="s">
        <v>78</v>
      </c>
      <c r="B567" s="3281">
        <f t="shared" si="190"/>
        <v>0</v>
      </c>
      <c r="C567" s="3284"/>
      <c r="D567" s="3284"/>
      <c r="E567" s="3284"/>
      <c r="F567" s="3284"/>
      <c r="G567" s="3284"/>
      <c r="H567" s="3284"/>
      <c r="I567" s="3284"/>
      <c r="J567" s="3284"/>
      <c r="K567" s="3284"/>
      <c r="L567" s="3287"/>
      <c r="M567" s="3287"/>
      <c r="N567" s="3287"/>
      <c r="O567" s="3287"/>
      <c r="P567" s="3287"/>
      <c r="Q567" s="3287"/>
      <c r="R567" s="3287"/>
      <c r="S567" s="3287"/>
      <c r="T567" s="3287"/>
      <c r="U567" s="3287"/>
      <c r="V567" s="3287"/>
      <c r="W567" s="3287"/>
      <c r="X567" s="3287"/>
      <c r="Y567" s="3287"/>
      <c r="Z567" s="3287"/>
      <c r="AA567" s="3287"/>
      <c r="AB567" s="3287"/>
      <c r="AC567" s="3287"/>
      <c r="AD567" s="3287"/>
      <c r="AE567" s="3287"/>
      <c r="AF567" s="3287"/>
      <c r="AG567" s="3287"/>
      <c r="AH567" s="3285">
        <f t="shared" si="191"/>
        <v>0</v>
      </c>
      <c r="AI567" s="3278"/>
    </row>
    <row r="568" spans="1:43" ht="15">
      <c r="A568" s="3280" t="s">
        <v>79</v>
      </c>
      <c r="B568" s="3281">
        <f t="shared" si="190"/>
        <v>0</v>
      </c>
      <c r="C568" s="3286"/>
      <c r="D568" s="3286"/>
      <c r="E568" s="3286"/>
      <c r="F568" s="3286"/>
      <c r="G568" s="3286"/>
      <c r="H568" s="3286"/>
      <c r="I568" s="3286"/>
      <c r="J568" s="3286"/>
      <c r="K568" s="3286"/>
      <c r="L568" s="3286"/>
      <c r="M568" s="3286"/>
      <c r="N568" s="3286"/>
      <c r="O568" s="3286"/>
      <c r="P568" s="3286"/>
      <c r="Q568" s="3286"/>
      <c r="R568" s="3286"/>
      <c r="S568" s="3286"/>
      <c r="T568" s="3286"/>
      <c r="U568" s="3286"/>
      <c r="V568" s="3286"/>
      <c r="W568" s="3286"/>
      <c r="X568" s="3286"/>
      <c r="Y568" s="3286"/>
      <c r="Z568" s="3286"/>
      <c r="AA568" s="3286"/>
      <c r="AB568" s="3286"/>
      <c r="AC568" s="3286"/>
      <c r="AD568" s="3286"/>
      <c r="AE568" s="3286"/>
      <c r="AF568" s="3286"/>
      <c r="AG568" s="3286"/>
      <c r="AH568" s="3285">
        <f t="shared" si="191"/>
        <v>0</v>
      </c>
      <c r="AI568" s="3278"/>
    </row>
    <row r="569" spans="1:43" ht="15">
      <c r="A569" s="3280" t="s">
        <v>80</v>
      </c>
      <c r="B569" s="3281">
        <f t="shared" si="190"/>
        <v>0</v>
      </c>
      <c r="C569" s="3286"/>
      <c r="D569" s="3286"/>
      <c r="E569" s="3286"/>
      <c r="F569" s="3286"/>
      <c r="G569" s="3286"/>
      <c r="H569" s="3286"/>
      <c r="I569" s="3286"/>
      <c r="J569" s="3286"/>
      <c r="K569" s="3286"/>
      <c r="L569" s="3286"/>
      <c r="M569" s="3286"/>
      <c r="N569" s="3286"/>
      <c r="O569" s="3286"/>
      <c r="P569" s="3286"/>
      <c r="Q569" s="3286"/>
      <c r="R569" s="3286"/>
      <c r="S569" s="3286"/>
      <c r="T569" s="3286"/>
      <c r="U569" s="3286"/>
      <c r="V569" s="3286"/>
      <c r="W569" s="3286"/>
      <c r="X569" s="3286"/>
      <c r="Y569" s="3286"/>
      <c r="Z569" s="3286"/>
      <c r="AA569" s="3286"/>
      <c r="AB569" s="3286"/>
      <c r="AC569" s="3286"/>
      <c r="AD569" s="3286"/>
      <c r="AE569" s="3286"/>
      <c r="AF569" s="3286"/>
      <c r="AG569" s="3286"/>
      <c r="AH569" s="3285">
        <f t="shared" si="191"/>
        <v>0</v>
      </c>
      <c r="AI569" s="3278"/>
    </row>
    <row r="570" spans="1:43" ht="15">
      <c r="A570" s="3280" t="s">
        <v>81</v>
      </c>
      <c r="B570" s="3281">
        <f t="shared" si="190"/>
        <v>0</v>
      </c>
      <c r="C570" s="3286"/>
      <c r="D570" s="3285"/>
      <c r="E570" s="3285"/>
      <c r="F570" s="3285"/>
      <c r="G570" s="3286"/>
      <c r="H570" s="3286"/>
      <c r="I570" s="3286"/>
      <c r="J570" s="3286"/>
      <c r="K570" s="3286"/>
      <c r="L570" s="3286"/>
      <c r="M570" s="3286"/>
      <c r="N570" s="3286"/>
      <c r="O570" s="3286"/>
      <c r="P570" s="3286"/>
      <c r="Q570" s="3286"/>
      <c r="R570" s="3286"/>
      <c r="S570" s="3286"/>
      <c r="T570" s="3286"/>
      <c r="U570" s="3286"/>
      <c r="V570" s="3286"/>
      <c r="W570" s="3286"/>
      <c r="X570" s="3286"/>
      <c r="Y570" s="3286"/>
      <c r="Z570" s="3286"/>
      <c r="AA570" s="3286"/>
      <c r="AB570" s="3286"/>
      <c r="AC570" s="3286"/>
      <c r="AD570" s="3286"/>
      <c r="AE570" s="3286"/>
      <c r="AF570" s="3286"/>
      <c r="AG570" s="3286"/>
      <c r="AH570" s="3285">
        <f t="shared" si="191"/>
        <v>0</v>
      </c>
      <c r="AI570" s="3278"/>
    </row>
    <row r="571" spans="1:43" ht="15">
      <c r="A571" s="3280" t="s">
        <v>82</v>
      </c>
      <c r="B571" s="3281">
        <f t="shared" si="190"/>
        <v>0</v>
      </c>
      <c r="C571" s="3286"/>
      <c r="D571" s="3286"/>
      <c r="E571" s="3286"/>
      <c r="F571" s="3286"/>
      <c r="G571" s="3286"/>
      <c r="H571" s="3286"/>
      <c r="I571" s="3286"/>
      <c r="J571" s="3286"/>
      <c r="K571" s="3286"/>
      <c r="L571" s="3286"/>
      <c r="M571" s="3286"/>
      <c r="N571" s="3286"/>
      <c r="O571" s="3286"/>
      <c r="P571" s="3286"/>
      <c r="Q571" s="3286"/>
      <c r="R571" s="3286"/>
      <c r="S571" s="3286"/>
      <c r="T571" s="3286"/>
      <c r="U571" s="3286"/>
      <c r="V571" s="3286"/>
      <c r="W571" s="3286"/>
      <c r="X571" s="3286"/>
      <c r="Y571" s="3286"/>
      <c r="Z571" s="3286"/>
      <c r="AA571" s="3286"/>
      <c r="AB571" s="3286"/>
      <c r="AC571" s="3286"/>
      <c r="AD571" s="3286"/>
      <c r="AE571" s="3286"/>
      <c r="AF571" s="3286"/>
      <c r="AG571" s="3286"/>
      <c r="AH571" s="3285">
        <f t="shared" si="191"/>
        <v>0</v>
      </c>
      <c r="AI571" s="3278"/>
    </row>
    <row r="572" spans="1:43" ht="15">
      <c r="A572" s="3280" t="s">
        <v>83</v>
      </c>
      <c r="B572" s="3281">
        <f t="shared" si="190"/>
        <v>0</v>
      </c>
      <c r="C572" s="3286"/>
      <c r="D572" s="3286"/>
      <c r="E572" s="3286"/>
      <c r="F572" s="3286"/>
      <c r="G572" s="3286"/>
      <c r="H572" s="3286"/>
      <c r="I572" s="3286"/>
      <c r="J572" s="3286"/>
      <c r="K572" s="3286"/>
      <c r="L572" s="3286"/>
      <c r="M572" s="3286"/>
      <c r="N572" s="3286"/>
      <c r="O572" s="3286"/>
      <c r="P572" s="3286"/>
      <c r="Q572" s="3286"/>
      <c r="R572" s="3286"/>
      <c r="S572" s="3286"/>
      <c r="T572" s="3286"/>
      <c r="U572" s="3286"/>
      <c r="V572" s="3286"/>
      <c r="W572" s="3286"/>
      <c r="X572" s="3286"/>
      <c r="Y572" s="3286"/>
      <c r="Z572" s="3286"/>
      <c r="AA572" s="3286"/>
      <c r="AB572" s="3286"/>
      <c r="AC572" s="3286"/>
      <c r="AD572" s="3286"/>
      <c r="AE572" s="3286"/>
      <c r="AF572" s="3286"/>
      <c r="AG572" s="3286"/>
      <c r="AH572" s="3285">
        <f t="shared" si="191"/>
        <v>0</v>
      </c>
      <c r="AI572" s="3278"/>
    </row>
    <row r="573" spans="1:43" ht="15">
      <c r="A573" s="3280" t="s">
        <v>84</v>
      </c>
      <c r="B573" s="3281">
        <f t="shared" si="190"/>
        <v>0</v>
      </c>
      <c r="C573" s="3286"/>
      <c r="D573" s="3286"/>
      <c r="E573" s="3286"/>
      <c r="F573" s="3286"/>
      <c r="G573" s="3286"/>
      <c r="H573" s="3286"/>
      <c r="I573" s="3286"/>
      <c r="J573" s="3286"/>
      <c r="K573" s="3286"/>
      <c r="L573" s="3286"/>
      <c r="M573" s="3286"/>
      <c r="N573" s="3286"/>
      <c r="O573" s="3286"/>
      <c r="P573" s="3286"/>
      <c r="Q573" s="3286"/>
      <c r="R573" s="3286"/>
      <c r="S573" s="3286"/>
      <c r="T573" s="3286"/>
      <c r="U573" s="3286"/>
      <c r="V573" s="3286"/>
      <c r="W573" s="3286"/>
      <c r="X573" s="3286"/>
      <c r="Y573" s="3286"/>
      <c r="Z573" s="3286"/>
      <c r="AA573" s="3286"/>
      <c r="AB573" s="3286"/>
      <c r="AC573" s="3286"/>
      <c r="AD573" s="3286"/>
      <c r="AE573" s="3285"/>
      <c r="AF573" s="3286"/>
      <c r="AG573" s="3285"/>
      <c r="AH573" s="3285">
        <f t="shared" si="191"/>
        <v>0</v>
      </c>
      <c r="AI573" s="3278"/>
    </row>
    <row r="574" spans="1:43" ht="15">
      <c r="A574" s="3280" t="s">
        <v>85</v>
      </c>
      <c r="B574" s="3281">
        <f t="shared" si="190"/>
        <v>0</v>
      </c>
      <c r="C574" s="3286"/>
      <c r="D574" s="3286"/>
      <c r="E574" s="3286"/>
      <c r="F574" s="3286"/>
      <c r="G574" s="3288"/>
      <c r="H574" s="3286"/>
      <c r="I574" s="3286"/>
      <c r="J574" s="3286"/>
      <c r="K574" s="3286"/>
      <c r="L574" s="3286"/>
      <c r="M574" s="3286"/>
      <c r="N574" s="3286"/>
      <c r="O574" s="3286"/>
      <c r="P574" s="3286"/>
      <c r="Q574" s="3286"/>
      <c r="R574" s="3286"/>
      <c r="S574" s="3286"/>
      <c r="T574" s="3286"/>
      <c r="U574" s="3286"/>
      <c r="V574" s="3286"/>
      <c r="W574" s="3286"/>
      <c r="X574" s="3286"/>
      <c r="Y574" s="3286"/>
      <c r="Z574" s="3286"/>
      <c r="AA574" s="3286"/>
      <c r="AB574" s="3286"/>
      <c r="AC574" s="3286"/>
      <c r="AD574" s="3286"/>
      <c r="AE574" s="3285"/>
      <c r="AF574" s="3286"/>
      <c r="AG574" s="3285"/>
      <c r="AH574" s="3285">
        <f t="shared" si="191"/>
        <v>0</v>
      </c>
      <c r="AI574" s="3278"/>
    </row>
    <row r="575" spans="1:43" ht="15">
      <c r="A575" s="3280" t="s">
        <v>86</v>
      </c>
      <c r="B575" s="3281">
        <f t="shared" si="190"/>
        <v>0</v>
      </c>
      <c r="C575" s="3286"/>
      <c r="D575" s="3286"/>
      <c r="E575" s="3286"/>
      <c r="F575" s="3286"/>
      <c r="G575" s="3286"/>
      <c r="H575" s="3286"/>
      <c r="I575" s="3286"/>
      <c r="J575" s="3286"/>
      <c r="K575" s="3286"/>
      <c r="L575" s="3286"/>
      <c r="M575" s="3286"/>
      <c r="N575" s="3286"/>
      <c r="O575" s="3286"/>
      <c r="P575" s="3286"/>
      <c r="Q575" s="3286"/>
      <c r="R575" s="3286"/>
      <c r="S575" s="3286"/>
      <c r="T575" s="3286"/>
      <c r="U575" s="3286"/>
      <c r="V575" s="3286"/>
      <c r="W575" s="3286"/>
      <c r="X575" s="3286"/>
      <c r="Y575" s="3286"/>
      <c r="Z575" s="3286"/>
      <c r="AA575" s="3286"/>
      <c r="AB575" s="3286"/>
      <c r="AC575" s="3286"/>
      <c r="AD575" s="3286"/>
      <c r="AE575" s="3286"/>
      <c r="AF575" s="3286"/>
      <c r="AG575" s="3286"/>
      <c r="AH575" s="3285">
        <f t="shared" si="191"/>
        <v>0</v>
      </c>
      <c r="AI575" s="3278"/>
    </row>
    <row r="576" spans="1:43" ht="15">
      <c r="A576" s="3289" t="s">
        <v>74</v>
      </c>
      <c r="B576" s="3290">
        <f t="shared" ref="B576:R576" si="192">SUM(B564:B575)</f>
        <v>0</v>
      </c>
      <c r="C576" s="3281">
        <f t="shared" si="192"/>
        <v>0</v>
      </c>
      <c r="D576" s="3281">
        <f t="shared" si="192"/>
        <v>0</v>
      </c>
      <c r="E576" s="3281">
        <f t="shared" si="192"/>
        <v>0</v>
      </c>
      <c r="F576" s="3281">
        <f t="shared" si="192"/>
        <v>0</v>
      </c>
      <c r="G576" s="3281">
        <f t="shared" si="192"/>
        <v>0</v>
      </c>
      <c r="H576" s="3281">
        <f t="shared" si="192"/>
        <v>0</v>
      </c>
      <c r="I576" s="3281">
        <f t="shared" si="192"/>
        <v>0</v>
      </c>
      <c r="J576" s="3281">
        <f t="shared" si="192"/>
        <v>0</v>
      </c>
      <c r="K576" s="3281">
        <f t="shared" si="192"/>
        <v>0</v>
      </c>
      <c r="L576" s="3281">
        <f t="shared" si="192"/>
        <v>0</v>
      </c>
      <c r="M576" s="3281">
        <f t="shared" si="192"/>
        <v>0</v>
      </c>
      <c r="N576" s="3281">
        <f t="shared" si="192"/>
        <v>0</v>
      </c>
      <c r="O576" s="3281">
        <f t="shared" si="192"/>
        <v>0</v>
      </c>
      <c r="P576" s="3281">
        <f t="shared" si="192"/>
        <v>0</v>
      </c>
      <c r="Q576" s="3281">
        <f t="shared" si="192"/>
        <v>0</v>
      </c>
      <c r="R576" s="3281">
        <f t="shared" si="192"/>
        <v>0</v>
      </c>
      <c r="S576" s="3285">
        <f t="shared" ref="S576:AC576" si="193">SUM(S564:S574)</f>
        <v>0</v>
      </c>
      <c r="T576" s="3285">
        <f t="shared" si="193"/>
        <v>0</v>
      </c>
      <c r="U576" s="3285">
        <f t="shared" si="193"/>
        <v>0</v>
      </c>
      <c r="V576" s="3285">
        <f t="shared" si="193"/>
        <v>0</v>
      </c>
      <c r="W576" s="3285">
        <f t="shared" si="193"/>
        <v>0</v>
      </c>
      <c r="X576" s="3285">
        <f t="shared" si="193"/>
        <v>0</v>
      </c>
      <c r="Y576" s="3285">
        <f t="shared" si="193"/>
        <v>0</v>
      </c>
      <c r="Z576" s="3285">
        <f t="shared" si="193"/>
        <v>0</v>
      </c>
      <c r="AA576" s="3285">
        <f t="shared" si="193"/>
        <v>0</v>
      </c>
      <c r="AB576" s="3285">
        <f t="shared" si="193"/>
        <v>0</v>
      </c>
      <c r="AC576" s="3285">
        <f t="shared" si="193"/>
        <v>0</v>
      </c>
      <c r="AD576" s="3285">
        <v>0</v>
      </c>
      <c r="AE576" s="3285">
        <f>SUM(AE564:AE574)</f>
        <v>0</v>
      </c>
      <c r="AF576" s="3285">
        <f>SUM(AF564:AF574)</f>
        <v>0</v>
      </c>
      <c r="AG576" s="3285">
        <f>SUM(AG564:AG574)</f>
        <v>0</v>
      </c>
      <c r="AH576" s="3285">
        <f>SUM(AH564:AH574)</f>
        <v>0</v>
      </c>
      <c r="AI576" s="3278"/>
    </row>
    <row r="577" spans="1:35">
      <c r="A577" s="3275"/>
      <c r="B577" s="3275"/>
      <c r="C577" s="3275"/>
      <c r="D577" s="3275"/>
      <c r="E577" s="3275"/>
      <c r="F577" s="3275"/>
      <c r="G577" s="3275"/>
      <c r="H577" s="3275"/>
      <c r="I577" s="3275"/>
      <c r="J577" s="3275"/>
      <c r="K577" s="3275"/>
      <c r="L577" s="3275"/>
      <c r="M577" s="3275"/>
      <c r="N577" s="3275"/>
      <c r="O577" s="3275"/>
      <c r="P577" s="3275"/>
      <c r="Q577" s="3275"/>
      <c r="R577" s="3275"/>
      <c r="S577" s="3275"/>
      <c r="T577" s="3275"/>
      <c r="U577" s="3275"/>
      <c r="V577" s="3275"/>
      <c r="W577" s="3275"/>
      <c r="X577" s="3275"/>
      <c r="Y577" s="3275"/>
      <c r="Z577" s="3275"/>
      <c r="AA577" s="3275"/>
      <c r="AB577" s="3275"/>
      <c r="AC577" s="3275"/>
      <c r="AD577" s="3275"/>
      <c r="AE577" s="3275"/>
      <c r="AF577" s="3275"/>
      <c r="AG577" s="3275"/>
      <c r="AH577" s="3275"/>
      <c r="AI577" s="3278"/>
    </row>
    <row r="578" spans="1:35" ht="33">
      <c r="A578" s="3273"/>
      <c r="B578" s="3274"/>
      <c r="C578" s="3274" t="s">
        <v>1168</v>
      </c>
      <c r="D578" s="3275"/>
      <c r="E578" s="3275"/>
      <c r="F578" s="3275"/>
      <c r="G578" s="3274" t="s">
        <v>1169</v>
      </c>
      <c r="H578" s="3276"/>
      <c r="I578" s="3275"/>
      <c r="J578" s="3275"/>
      <c r="K578" s="3275"/>
      <c r="L578" s="3275"/>
      <c r="M578" s="3275"/>
      <c r="N578" s="3275"/>
      <c r="O578" s="3277" t="s">
        <v>1051</v>
      </c>
      <c r="P578" s="3275"/>
      <c r="Q578" s="3275"/>
      <c r="R578" s="3275"/>
      <c r="S578" s="3275"/>
      <c r="T578" s="3275"/>
      <c r="U578" s="3275"/>
      <c r="V578" s="3275"/>
      <c r="W578" s="3275"/>
      <c r="X578" s="3275"/>
      <c r="Y578" s="3275"/>
      <c r="Z578" s="3275"/>
      <c r="AA578" s="3275"/>
      <c r="AB578" s="3275"/>
      <c r="AC578" s="3275"/>
      <c r="AD578" s="3275"/>
      <c r="AE578" s="3275"/>
      <c r="AF578" s="3275"/>
      <c r="AG578" s="3275"/>
      <c r="AH578" s="3275"/>
      <c r="AI578" s="3278"/>
    </row>
    <row r="579" spans="1:35" ht="15">
      <c r="A579" s="3792"/>
      <c r="B579" s="3793"/>
      <c r="C579" s="3794"/>
      <c r="D579" s="3276"/>
      <c r="E579" s="3276"/>
      <c r="F579" s="3276"/>
      <c r="G579" s="3276"/>
      <c r="H579" s="3276"/>
      <c r="I579" s="3276"/>
      <c r="J579" s="3276"/>
      <c r="K579" s="3276"/>
      <c r="L579" s="3276"/>
      <c r="M579" s="3276"/>
      <c r="N579" s="3276"/>
      <c r="O579" s="3276"/>
      <c r="P579" s="3276"/>
      <c r="Q579" s="3276"/>
      <c r="R579" s="3276"/>
      <c r="S579" s="3279"/>
      <c r="T579" s="3279"/>
      <c r="U579" s="3279"/>
      <c r="V579" s="3279"/>
      <c r="W579" s="3279"/>
      <c r="X579" s="3279"/>
      <c r="Y579" s="3279"/>
      <c r="Z579" s="3279"/>
      <c r="AA579" s="3279"/>
      <c r="AB579" s="3279"/>
      <c r="AC579" s="3279"/>
      <c r="AD579" s="3279"/>
      <c r="AE579" s="3279"/>
      <c r="AF579" s="3279"/>
      <c r="AG579" s="3279"/>
      <c r="AH579" s="3279"/>
      <c r="AI579" s="3278"/>
    </row>
    <row r="580" spans="1:35" ht="15">
      <c r="A580" s="3280" t="s">
        <v>72</v>
      </c>
      <c r="B580" s="3281" t="s">
        <v>73</v>
      </c>
      <c r="C580" s="3282">
        <v>1</v>
      </c>
      <c r="D580" s="3282">
        <v>2</v>
      </c>
      <c r="E580" s="3282">
        <v>3</v>
      </c>
      <c r="F580" s="3282">
        <v>4</v>
      </c>
      <c r="G580" s="3282">
        <v>5</v>
      </c>
      <c r="H580" s="3282">
        <v>6</v>
      </c>
      <c r="I580" s="3282">
        <v>7</v>
      </c>
      <c r="J580" s="3282">
        <v>8</v>
      </c>
      <c r="K580" s="3282">
        <v>9</v>
      </c>
      <c r="L580" s="3282">
        <v>10</v>
      </c>
      <c r="M580" s="3282">
        <v>11</v>
      </c>
      <c r="N580" s="3282">
        <v>12</v>
      </c>
      <c r="O580" s="3282">
        <v>13</v>
      </c>
      <c r="P580" s="3282">
        <v>14</v>
      </c>
      <c r="Q580" s="3282">
        <v>15</v>
      </c>
      <c r="R580" s="3282">
        <v>16</v>
      </c>
      <c r="S580" s="3280">
        <v>17</v>
      </c>
      <c r="T580" s="3280">
        <v>18</v>
      </c>
      <c r="U580" s="3280">
        <v>19</v>
      </c>
      <c r="V580" s="3280">
        <v>20</v>
      </c>
      <c r="W580" s="3280">
        <v>21</v>
      </c>
      <c r="X580" s="3280">
        <v>22</v>
      </c>
      <c r="Y580" s="3280">
        <v>23</v>
      </c>
      <c r="Z580" s="3280">
        <v>24</v>
      </c>
      <c r="AA580" s="3280">
        <v>25</v>
      </c>
      <c r="AB580" s="3280">
        <v>26</v>
      </c>
      <c r="AC580" s="3280">
        <v>27</v>
      </c>
      <c r="AD580" s="3280">
        <v>28</v>
      </c>
      <c r="AE580" s="3280">
        <v>29</v>
      </c>
      <c r="AF580" s="3280">
        <v>30</v>
      </c>
      <c r="AG580" s="3280">
        <v>31</v>
      </c>
      <c r="AH580" s="3283" t="s">
        <v>74</v>
      </c>
      <c r="AI580" s="3278"/>
    </row>
    <row r="581" spans="1:35" ht="15">
      <c r="A581" s="3280" t="s">
        <v>75</v>
      </c>
      <c r="B581" s="3281">
        <f t="shared" ref="B581:B592" si="194">+AH581</f>
        <v>0</v>
      </c>
      <c r="C581" s="3284"/>
      <c r="D581" s="3284"/>
      <c r="E581" s="3284"/>
      <c r="F581" s="3284"/>
      <c r="G581" s="3284"/>
      <c r="H581" s="3284"/>
      <c r="I581" s="3284"/>
      <c r="J581" s="3284"/>
      <c r="K581" s="3284"/>
      <c r="L581" s="3284"/>
      <c r="M581" s="3284"/>
      <c r="N581" s="3284"/>
      <c r="O581" s="3284"/>
      <c r="P581" s="3284"/>
      <c r="Q581" s="3284"/>
      <c r="R581" s="3284"/>
      <c r="S581" s="3284"/>
      <c r="T581" s="3284"/>
      <c r="U581" s="3284"/>
      <c r="V581" s="3284"/>
      <c r="W581" s="3284"/>
      <c r="X581" s="3284"/>
      <c r="Y581" s="3284"/>
      <c r="Z581" s="3284"/>
      <c r="AA581" s="3284"/>
      <c r="AB581" s="3284"/>
      <c r="AC581" s="3284"/>
      <c r="AD581" s="3284"/>
      <c r="AE581" s="3284"/>
      <c r="AF581" s="3284"/>
      <c r="AG581" s="3284"/>
      <c r="AH581" s="3285">
        <f>SUM(C581:AG581)</f>
        <v>0</v>
      </c>
      <c r="AI581" s="3278"/>
    </row>
    <row r="582" spans="1:35" ht="15">
      <c r="A582" s="3280" t="s">
        <v>76</v>
      </c>
      <c r="B582" s="3281">
        <f t="shared" si="194"/>
        <v>0</v>
      </c>
      <c r="C582" s="3284"/>
      <c r="D582" s="3284"/>
      <c r="E582" s="3284"/>
      <c r="F582" s="3284"/>
      <c r="G582" s="3284"/>
      <c r="H582" s="3284"/>
      <c r="I582" s="3284"/>
      <c r="J582" s="3284"/>
      <c r="K582" s="3284"/>
      <c r="L582" s="3284"/>
      <c r="M582" s="3284"/>
      <c r="N582" s="3284"/>
      <c r="O582" s="3284"/>
      <c r="P582" s="3284"/>
      <c r="Q582" s="3284"/>
      <c r="R582" s="3284"/>
      <c r="S582" s="3284"/>
      <c r="T582" s="3284"/>
      <c r="U582" s="3284"/>
      <c r="V582" s="3284"/>
      <c r="W582" s="3284"/>
      <c r="X582" s="3284"/>
      <c r="Y582" s="3284"/>
      <c r="Z582" s="3284"/>
      <c r="AA582" s="3284"/>
      <c r="AB582" s="3284"/>
      <c r="AC582" s="3284"/>
      <c r="AD582" s="3284"/>
      <c r="AE582" s="3284"/>
      <c r="AF582" s="3284"/>
      <c r="AG582" s="3284"/>
      <c r="AH582" s="3285">
        <f t="shared" ref="AH582:AH592" si="195">SUM(C582:AG582)</f>
        <v>0</v>
      </c>
      <c r="AI582" s="3278"/>
    </row>
    <row r="583" spans="1:35" ht="15">
      <c r="A583" s="3280" t="s">
        <v>77</v>
      </c>
      <c r="B583" s="3291">
        <f t="shared" si="194"/>
        <v>0</v>
      </c>
      <c r="C583" s="3284"/>
      <c r="D583" s="3284"/>
      <c r="E583" s="3284"/>
      <c r="F583" s="3284"/>
      <c r="G583" s="3284"/>
      <c r="H583" s="3286"/>
      <c r="I583" s="3286"/>
      <c r="J583" s="3286"/>
      <c r="K583" s="3286"/>
      <c r="L583" s="3286"/>
      <c r="M583" s="3286"/>
      <c r="N583" s="3286"/>
      <c r="O583" s="3286"/>
      <c r="P583" s="3286"/>
      <c r="Q583" s="3286"/>
      <c r="R583" s="3286"/>
      <c r="S583" s="3286"/>
      <c r="T583" s="3286"/>
      <c r="U583" s="3286"/>
      <c r="V583" s="3286"/>
      <c r="W583" s="3286"/>
      <c r="X583" s="3286"/>
      <c r="Y583" s="3286"/>
      <c r="Z583" s="3286"/>
      <c r="AA583" s="3286"/>
      <c r="AB583" s="3292"/>
      <c r="AC583" s="3284"/>
      <c r="AD583" s="3286"/>
      <c r="AE583" s="3284"/>
      <c r="AF583" s="3284"/>
      <c r="AG583" s="3284"/>
      <c r="AH583" s="3285">
        <f t="shared" si="195"/>
        <v>0</v>
      </c>
      <c r="AI583" s="3278"/>
    </row>
    <row r="584" spans="1:35" ht="15">
      <c r="A584" s="3280" t="s">
        <v>78</v>
      </c>
      <c r="B584" s="3281">
        <f t="shared" si="194"/>
        <v>0</v>
      </c>
      <c r="C584" s="3284"/>
      <c r="D584" s="3284"/>
      <c r="E584" s="3284"/>
      <c r="F584" s="3284"/>
      <c r="G584" s="3284"/>
      <c r="H584" s="3284"/>
      <c r="I584" s="3284"/>
      <c r="J584" s="3284"/>
      <c r="K584" s="3284"/>
      <c r="L584" s="3287"/>
      <c r="M584" s="3287"/>
      <c r="N584" s="3287"/>
      <c r="O584" s="3287"/>
      <c r="P584" s="3287"/>
      <c r="Q584" s="3287"/>
      <c r="R584" s="3287"/>
      <c r="S584" s="3287"/>
      <c r="T584" s="3287"/>
      <c r="U584" s="3287"/>
      <c r="V584" s="3287"/>
      <c r="W584" s="3287"/>
      <c r="X584" s="3287"/>
      <c r="Y584" s="3287"/>
      <c r="Z584" s="3287"/>
      <c r="AA584" s="3287"/>
      <c r="AB584" s="3287"/>
      <c r="AC584" s="3287"/>
      <c r="AD584" s="3287"/>
      <c r="AE584" s="3287"/>
      <c r="AF584" s="3287"/>
      <c r="AG584" s="3287"/>
      <c r="AH584" s="3285">
        <f t="shared" si="195"/>
        <v>0</v>
      </c>
      <c r="AI584" s="3278"/>
    </row>
    <row r="585" spans="1:35" ht="15">
      <c r="A585" s="3280" t="s">
        <v>79</v>
      </c>
      <c r="B585" s="3281">
        <f t="shared" si="194"/>
        <v>0</v>
      </c>
      <c r="C585" s="3286"/>
      <c r="D585" s="3286"/>
      <c r="E585" s="3286"/>
      <c r="F585" s="3286"/>
      <c r="G585" s="3286"/>
      <c r="H585" s="3286"/>
      <c r="I585" s="3286"/>
      <c r="J585" s="3286"/>
      <c r="K585" s="3286"/>
      <c r="L585" s="3286"/>
      <c r="M585" s="3286"/>
      <c r="N585" s="3286"/>
      <c r="O585" s="3286"/>
      <c r="P585" s="3286"/>
      <c r="Q585" s="3286"/>
      <c r="R585" s="3286"/>
      <c r="S585" s="3286"/>
      <c r="T585" s="3286"/>
      <c r="U585" s="3286"/>
      <c r="V585" s="3286"/>
      <c r="W585" s="3286"/>
      <c r="X585" s="3286"/>
      <c r="Y585" s="3286"/>
      <c r="Z585" s="3286"/>
      <c r="AA585" s="3286"/>
      <c r="AB585" s="3286"/>
      <c r="AC585" s="3286"/>
      <c r="AD585" s="3286"/>
      <c r="AE585" s="3286"/>
      <c r="AF585" s="3286"/>
      <c r="AG585" s="3286"/>
      <c r="AH585" s="3285">
        <f t="shared" si="195"/>
        <v>0</v>
      </c>
      <c r="AI585" s="3278"/>
    </row>
    <row r="586" spans="1:35" ht="15">
      <c r="A586" s="3280" t="s">
        <v>80</v>
      </c>
      <c r="B586" s="3281">
        <f t="shared" si="194"/>
        <v>0</v>
      </c>
      <c r="C586" s="3286"/>
      <c r="D586" s="3286"/>
      <c r="E586" s="3286"/>
      <c r="F586" s="3286"/>
      <c r="G586" s="3286"/>
      <c r="H586" s="3286"/>
      <c r="I586" s="3286"/>
      <c r="J586" s="3286"/>
      <c r="K586" s="3286"/>
      <c r="L586" s="3286"/>
      <c r="M586" s="3286"/>
      <c r="N586" s="3286"/>
      <c r="O586" s="3286"/>
      <c r="P586" s="3286"/>
      <c r="Q586" s="3286"/>
      <c r="R586" s="3286"/>
      <c r="S586" s="3286"/>
      <c r="T586" s="3286"/>
      <c r="U586" s="3286"/>
      <c r="V586" s="3286"/>
      <c r="W586" s="3286"/>
      <c r="X586" s="3286"/>
      <c r="Y586" s="3286"/>
      <c r="Z586" s="3286"/>
      <c r="AA586" s="3286"/>
      <c r="AB586" s="3286"/>
      <c r="AC586" s="3286"/>
      <c r="AD586" s="3286"/>
      <c r="AE586" s="3286"/>
      <c r="AF586" s="3286"/>
      <c r="AG586" s="3286"/>
      <c r="AH586" s="3285">
        <f t="shared" si="195"/>
        <v>0</v>
      </c>
      <c r="AI586" s="3278"/>
    </row>
    <row r="587" spans="1:35" ht="15">
      <c r="A587" s="3280" t="s">
        <v>81</v>
      </c>
      <c r="B587" s="3281">
        <f t="shared" si="194"/>
        <v>0</v>
      </c>
      <c r="C587" s="3286"/>
      <c r="D587" s="3285"/>
      <c r="E587" s="3285"/>
      <c r="F587" s="3285"/>
      <c r="G587" s="3286"/>
      <c r="H587" s="3286"/>
      <c r="I587" s="3286"/>
      <c r="J587" s="3286"/>
      <c r="K587" s="3286"/>
      <c r="L587" s="3286"/>
      <c r="M587" s="3286"/>
      <c r="N587" s="3286"/>
      <c r="O587" s="3286"/>
      <c r="P587" s="3286"/>
      <c r="Q587" s="3286"/>
      <c r="R587" s="3286"/>
      <c r="S587" s="3286"/>
      <c r="T587" s="3286"/>
      <c r="U587" s="3286"/>
      <c r="V587" s="3286"/>
      <c r="W587" s="3286"/>
      <c r="X587" s="3286"/>
      <c r="Y587" s="3286"/>
      <c r="Z587" s="3286"/>
      <c r="AA587" s="3286"/>
      <c r="AB587" s="3286"/>
      <c r="AC587" s="3286"/>
      <c r="AD587" s="3286"/>
      <c r="AE587" s="3286"/>
      <c r="AF587" s="3286"/>
      <c r="AG587" s="3286"/>
      <c r="AH587" s="3285">
        <f t="shared" si="195"/>
        <v>0</v>
      </c>
      <c r="AI587" s="3278"/>
    </row>
    <row r="588" spans="1:35" ht="15">
      <c r="A588" s="3280" t="s">
        <v>82</v>
      </c>
      <c r="B588" s="3281">
        <f t="shared" si="194"/>
        <v>0</v>
      </c>
      <c r="C588" s="3286"/>
      <c r="D588" s="3286"/>
      <c r="E588" s="3286"/>
      <c r="F588" s="3286"/>
      <c r="G588" s="3286"/>
      <c r="H588" s="3286"/>
      <c r="I588" s="3286"/>
      <c r="J588" s="3286"/>
      <c r="K588" s="3286"/>
      <c r="L588" s="3286"/>
      <c r="M588" s="3286"/>
      <c r="N588" s="3286"/>
      <c r="O588" s="3286"/>
      <c r="P588" s="3286"/>
      <c r="Q588" s="3286"/>
      <c r="R588" s="3286"/>
      <c r="S588" s="3286"/>
      <c r="T588" s="3286"/>
      <c r="U588" s="3286"/>
      <c r="V588" s="3286"/>
      <c r="W588" s="3286"/>
      <c r="X588" s="3286"/>
      <c r="Y588" s="3286"/>
      <c r="Z588" s="3286"/>
      <c r="AA588" s="3286"/>
      <c r="AB588" s="3286"/>
      <c r="AC588" s="3286"/>
      <c r="AD588" s="3286"/>
      <c r="AE588" s="3286"/>
      <c r="AF588" s="3286"/>
      <c r="AG588" s="3286"/>
      <c r="AH588" s="3285">
        <f t="shared" si="195"/>
        <v>0</v>
      </c>
      <c r="AI588" s="3278"/>
    </row>
    <row r="589" spans="1:35" ht="15">
      <c r="A589" s="3280" t="s">
        <v>83</v>
      </c>
      <c r="B589" s="3281">
        <f t="shared" si="194"/>
        <v>0</v>
      </c>
      <c r="C589" s="3286"/>
      <c r="D589" s="3286"/>
      <c r="E589" s="3286"/>
      <c r="F589" s="3286"/>
      <c r="G589" s="3286"/>
      <c r="H589" s="3286"/>
      <c r="I589" s="3286"/>
      <c r="J589" s="3286"/>
      <c r="K589" s="3286"/>
      <c r="L589" s="3286"/>
      <c r="M589" s="3286"/>
      <c r="N589" s="3286"/>
      <c r="O589" s="3286"/>
      <c r="P589" s="3286"/>
      <c r="Q589" s="3286"/>
      <c r="R589" s="3286"/>
      <c r="S589" s="3286"/>
      <c r="T589" s="3286"/>
      <c r="U589" s="3286"/>
      <c r="V589" s="3286"/>
      <c r="W589" s="3286"/>
      <c r="X589" s="3286"/>
      <c r="Y589" s="3286"/>
      <c r="Z589" s="3286"/>
      <c r="AA589" s="3286"/>
      <c r="AB589" s="3286"/>
      <c r="AC589" s="3286"/>
      <c r="AD589" s="3286"/>
      <c r="AE589" s="3286"/>
      <c r="AF589" s="3286"/>
      <c r="AG589" s="3286"/>
      <c r="AH589" s="3285">
        <f t="shared" si="195"/>
        <v>0</v>
      </c>
      <c r="AI589" s="3278"/>
    </row>
    <row r="590" spans="1:35" ht="15">
      <c r="A590" s="3280" t="s">
        <v>84</v>
      </c>
      <c r="B590" s="3281">
        <f t="shared" si="194"/>
        <v>0</v>
      </c>
      <c r="C590" s="3286"/>
      <c r="D590" s="3286"/>
      <c r="E590" s="3286"/>
      <c r="F590" s="3286"/>
      <c r="G590" s="3286"/>
      <c r="H590" s="3286"/>
      <c r="I590" s="3286"/>
      <c r="J590" s="3286"/>
      <c r="K590" s="3286"/>
      <c r="L590" s="3286"/>
      <c r="M590" s="3286"/>
      <c r="N590" s="3286"/>
      <c r="O590" s="3286"/>
      <c r="P590" s="3286"/>
      <c r="Q590" s="3286"/>
      <c r="R590" s="3286"/>
      <c r="S590" s="3286"/>
      <c r="T590" s="3286"/>
      <c r="U590" s="3286"/>
      <c r="V590" s="3286"/>
      <c r="W590" s="3286"/>
      <c r="X590" s="3286"/>
      <c r="Y590" s="3286"/>
      <c r="Z590" s="3286"/>
      <c r="AA590" s="3286"/>
      <c r="AB590" s="3286"/>
      <c r="AC590" s="3286"/>
      <c r="AD590" s="3286"/>
      <c r="AE590" s="3285"/>
      <c r="AF590" s="3286"/>
      <c r="AG590" s="3285"/>
      <c r="AH590" s="3285">
        <f t="shared" si="195"/>
        <v>0</v>
      </c>
      <c r="AI590" s="3278"/>
    </row>
    <row r="591" spans="1:35" ht="15">
      <c r="A591" s="3280" t="s">
        <v>85</v>
      </c>
      <c r="B591" s="3281">
        <f t="shared" si="194"/>
        <v>0</v>
      </c>
      <c r="C591" s="3286"/>
      <c r="D591" s="3286"/>
      <c r="E591" s="3286"/>
      <c r="F591" s="3286"/>
      <c r="G591" s="3288"/>
      <c r="H591" s="3286"/>
      <c r="I591" s="3286"/>
      <c r="J591" s="3286"/>
      <c r="K591" s="3286"/>
      <c r="L591" s="3286"/>
      <c r="M591" s="3286"/>
      <c r="N591" s="3286"/>
      <c r="O591" s="3286"/>
      <c r="P591" s="3286"/>
      <c r="Q591" s="3286"/>
      <c r="R591" s="3286"/>
      <c r="S591" s="3286"/>
      <c r="T591" s="3286"/>
      <c r="U591" s="3286"/>
      <c r="V591" s="3286"/>
      <c r="W591" s="3286"/>
      <c r="X591" s="3286"/>
      <c r="Y591" s="3286"/>
      <c r="Z591" s="3286"/>
      <c r="AA591" s="3286"/>
      <c r="AB591" s="3286"/>
      <c r="AC591" s="3286"/>
      <c r="AD591" s="3286"/>
      <c r="AE591" s="3285"/>
      <c r="AF591" s="3286"/>
      <c r="AG591" s="3285"/>
      <c r="AH591" s="3285">
        <f t="shared" si="195"/>
        <v>0</v>
      </c>
      <c r="AI591" s="3278"/>
    </row>
    <row r="592" spans="1:35" ht="15">
      <c r="A592" s="3280" t="s">
        <v>86</v>
      </c>
      <c r="B592" s="3281">
        <f t="shared" si="194"/>
        <v>0</v>
      </c>
      <c r="C592" s="3286"/>
      <c r="D592" s="3286"/>
      <c r="E592" s="3286"/>
      <c r="F592" s="3286"/>
      <c r="G592" s="3286"/>
      <c r="H592" s="3286"/>
      <c r="I592" s="3286"/>
      <c r="J592" s="3286"/>
      <c r="K592" s="3286"/>
      <c r="L592" s="3286"/>
      <c r="M592" s="3286"/>
      <c r="N592" s="3286"/>
      <c r="O592" s="3286"/>
      <c r="P592" s="3286"/>
      <c r="Q592" s="3286"/>
      <c r="R592" s="3286"/>
      <c r="S592" s="3286"/>
      <c r="T592" s="3286"/>
      <c r="U592" s="3286"/>
      <c r="V592" s="3286"/>
      <c r="W592" s="3286"/>
      <c r="X592" s="3286"/>
      <c r="Y592" s="3286"/>
      <c r="Z592" s="3286"/>
      <c r="AA592" s="3286"/>
      <c r="AB592" s="3286"/>
      <c r="AC592" s="3286"/>
      <c r="AD592" s="3286"/>
      <c r="AE592" s="3286"/>
      <c r="AF592" s="3286"/>
      <c r="AG592" s="3286"/>
      <c r="AH592" s="3285">
        <f t="shared" si="195"/>
        <v>0</v>
      </c>
      <c r="AI592" s="3278"/>
    </row>
    <row r="593" spans="1:35" ht="15">
      <c r="A593" s="3289" t="s">
        <v>74</v>
      </c>
      <c r="B593" s="3290">
        <f t="shared" ref="B593:R593" si="196">SUM(B581:B592)</f>
        <v>0</v>
      </c>
      <c r="C593" s="3281">
        <f t="shared" si="196"/>
        <v>0</v>
      </c>
      <c r="D593" s="3281">
        <f t="shared" si="196"/>
        <v>0</v>
      </c>
      <c r="E593" s="3281">
        <f t="shared" si="196"/>
        <v>0</v>
      </c>
      <c r="F593" s="3281">
        <f t="shared" si="196"/>
        <v>0</v>
      </c>
      <c r="G593" s="3281">
        <f t="shared" si="196"/>
        <v>0</v>
      </c>
      <c r="H593" s="3281">
        <f t="shared" si="196"/>
        <v>0</v>
      </c>
      <c r="I593" s="3281">
        <f t="shared" si="196"/>
        <v>0</v>
      </c>
      <c r="J593" s="3281">
        <f t="shared" si="196"/>
        <v>0</v>
      </c>
      <c r="K593" s="3281">
        <f t="shared" si="196"/>
        <v>0</v>
      </c>
      <c r="L593" s="3281">
        <f t="shared" si="196"/>
        <v>0</v>
      </c>
      <c r="M593" s="3281">
        <f t="shared" si="196"/>
        <v>0</v>
      </c>
      <c r="N593" s="3281">
        <f t="shared" si="196"/>
        <v>0</v>
      </c>
      <c r="O593" s="3281">
        <f t="shared" si="196"/>
        <v>0</v>
      </c>
      <c r="P593" s="3281">
        <f t="shared" si="196"/>
        <v>0</v>
      </c>
      <c r="Q593" s="3281">
        <f t="shared" si="196"/>
        <v>0</v>
      </c>
      <c r="R593" s="3281">
        <f t="shared" si="196"/>
        <v>0</v>
      </c>
      <c r="S593" s="3285">
        <f t="shared" ref="S593:AC593" si="197">SUM(S581:S591)</f>
        <v>0</v>
      </c>
      <c r="T593" s="3285">
        <f t="shared" si="197"/>
        <v>0</v>
      </c>
      <c r="U593" s="3285">
        <f t="shared" si="197"/>
        <v>0</v>
      </c>
      <c r="V593" s="3285">
        <f t="shared" si="197"/>
        <v>0</v>
      </c>
      <c r="W593" s="3285">
        <f t="shared" si="197"/>
        <v>0</v>
      </c>
      <c r="X593" s="3285">
        <f t="shared" si="197"/>
        <v>0</v>
      </c>
      <c r="Y593" s="3285">
        <f t="shared" si="197"/>
        <v>0</v>
      </c>
      <c r="Z593" s="3285">
        <f t="shared" si="197"/>
        <v>0</v>
      </c>
      <c r="AA593" s="3285">
        <f t="shared" si="197"/>
        <v>0</v>
      </c>
      <c r="AB593" s="3285">
        <f t="shared" si="197"/>
        <v>0</v>
      </c>
      <c r="AC593" s="3285">
        <f t="shared" si="197"/>
        <v>0</v>
      </c>
      <c r="AD593" s="3285">
        <v>0</v>
      </c>
      <c r="AE593" s="3285">
        <f>SUM(AE581:AE591)</f>
        <v>0</v>
      </c>
      <c r="AF593" s="3285">
        <f>SUM(AF581:AF591)</f>
        <v>0</v>
      </c>
      <c r="AG593" s="3285">
        <f>SUM(AG581:AG591)</f>
        <v>0</v>
      </c>
      <c r="AH593" s="3285">
        <f>SUM(AH581:AH591)</f>
        <v>0</v>
      </c>
      <c r="AI593" s="3278"/>
    </row>
    <row r="594" spans="1:35" ht="13.5" thickBot="1">
      <c r="A594" s="3275"/>
      <c r="B594" s="3275"/>
      <c r="C594" s="3275"/>
      <c r="D594" s="3275"/>
      <c r="E594" s="3275"/>
      <c r="F594" s="3275"/>
      <c r="G594" s="3275"/>
      <c r="H594" s="3275"/>
      <c r="I594" s="3275"/>
      <c r="J594" s="3275"/>
      <c r="K594" s="3275"/>
      <c r="L594" s="3275"/>
      <c r="M594" s="3275"/>
      <c r="N594" s="3275"/>
      <c r="O594" s="3275"/>
      <c r="P594" s="3275"/>
      <c r="Q594" s="3275"/>
      <c r="R594" s="3275"/>
      <c r="S594" s="3275"/>
      <c r="T594" s="3275"/>
      <c r="U594" s="3275"/>
      <c r="V594" s="3275"/>
      <c r="W594" s="3275"/>
      <c r="X594" s="3275"/>
      <c r="Y594" s="3275"/>
      <c r="Z594" s="3275"/>
      <c r="AA594" s="3275"/>
      <c r="AB594" s="3275"/>
      <c r="AC594" s="3275"/>
      <c r="AD594" s="3275"/>
      <c r="AE594" s="3275"/>
      <c r="AF594" s="3275"/>
      <c r="AG594" s="3275"/>
      <c r="AH594" s="3275"/>
      <c r="AI594" s="3278"/>
    </row>
    <row r="595" spans="1:35" ht="15.75" thickBot="1">
      <c r="A595" s="3293"/>
      <c r="B595" s="3294"/>
      <c r="C595" s="3294"/>
      <c r="D595" s="3294"/>
      <c r="E595" s="3294"/>
      <c r="F595" s="3795" t="s">
        <v>155</v>
      </c>
      <c r="G595" s="3796"/>
      <c r="H595" s="3797"/>
      <c r="I595" s="3795" t="s">
        <v>156</v>
      </c>
      <c r="J595" s="3798"/>
      <c r="K595" s="3799" t="s">
        <v>912</v>
      </c>
      <c r="L595" s="3799" t="s">
        <v>913</v>
      </c>
      <c r="M595" s="3275"/>
      <c r="N595" s="3275"/>
      <c r="O595" s="3275"/>
      <c r="P595" s="3275"/>
      <c r="Q595" s="3275"/>
      <c r="R595" s="3275"/>
      <c r="S595" s="3275"/>
      <c r="T595" s="3275"/>
      <c r="U595" s="3275"/>
      <c r="V595" s="3275"/>
      <c r="W595" s="3275"/>
      <c r="X595" s="3275"/>
      <c r="Y595" s="3275"/>
      <c r="Z595" s="3275"/>
      <c r="AA595" s="3275"/>
      <c r="AB595" s="3275"/>
      <c r="AC595" s="3275"/>
      <c r="AD595" s="3275"/>
      <c r="AE595" s="3275"/>
      <c r="AF595" s="3275"/>
      <c r="AG595" s="3275"/>
      <c r="AH595" s="3275"/>
      <c r="AI595" s="3278"/>
    </row>
    <row r="596" spans="1:35" ht="13.5" thickBot="1">
      <c r="A596" s="3295" t="s">
        <v>158</v>
      </c>
      <c r="B596" s="3296" t="s">
        <v>159</v>
      </c>
      <c r="C596" s="3297" t="s">
        <v>136</v>
      </c>
      <c r="D596" s="3298" t="s">
        <v>134</v>
      </c>
      <c r="E596" s="3296" t="s">
        <v>160</v>
      </c>
      <c r="F596" s="3299" t="s">
        <v>8</v>
      </c>
      <c r="G596" s="3300" t="s">
        <v>161</v>
      </c>
      <c r="H596" s="3301" t="s">
        <v>52</v>
      </c>
      <c r="I596" s="3299" t="s">
        <v>8</v>
      </c>
      <c r="J596" s="3302" t="s">
        <v>162</v>
      </c>
      <c r="K596" s="3800"/>
      <c r="L596" s="3800"/>
      <c r="M596" s="3801"/>
      <c r="N596" s="3802"/>
      <c r="O596" s="3802"/>
      <c r="P596" s="3802"/>
      <c r="Q596" s="3275"/>
      <c r="R596" s="3275"/>
      <c r="S596" s="3275"/>
      <c r="T596" s="3275"/>
      <c r="U596" s="3275"/>
      <c r="V596" s="3275"/>
      <c r="W596" s="3275"/>
      <c r="X596" s="3275"/>
      <c r="Y596" s="3275"/>
      <c r="Z596" s="3275"/>
      <c r="AA596" s="3275"/>
      <c r="AB596" s="3275"/>
      <c r="AC596" s="3275"/>
      <c r="AD596" s="3275"/>
      <c r="AE596" s="3275"/>
      <c r="AF596" s="3275"/>
      <c r="AG596" s="3275"/>
      <c r="AH596" s="3275"/>
      <c r="AI596" s="3278"/>
    </row>
    <row r="597" spans="1:35" ht="15.75" thickBot="1">
      <c r="A597" s="3303"/>
      <c r="B597" s="3304"/>
      <c r="C597" s="3305"/>
      <c r="D597" s="3306"/>
      <c r="E597" s="3307"/>
      <c r="F597" s="3303">
        <v>100</v>
      </c>
      <c r="G597" s="3306">
        <v>200</v>
      </c>
      <c r="H597" s="3308">
        <f>SUM(F597:G597)</f>
        <v>300</v>
      </c>
      <c r="I597" s="3303">
        <f>(B593)</f>
        <v>0</v>
      </c>
      <c r="J597" s="3309">
        <f>(B576)</f>
        <v>0</v>
      </c>
      <c r="K597" s="3310">
        <f>+F597-I597</f>
        <v>100</v>
      </c>
      <c r="L597" s="3310">
        <f>+G597-J597</f>
        <v>200</v>
      </c>
      <c r="M597" s="3803"/>
      <c r="N597" s="3804"/>
      <c r="O597" s="3804"/>
      <c r="P597" s="3804"/>
      <c r="Q597" s="3275"/>
      <c r="R597" s="3275"/>
      <c r="S597" s="3275"/>
      <c r="T597" s="3275"/>
      <c r="U597" s="3275"/>
      <c r="V597" s="3275"/>
      <c r="W597" s="3275"/>
      <c r="X597" s="3275"/>
      <c r="Y597" s="3275"/>
      <c r="Z597" s="3275"/>
      <c r="AA597" s="3275"/>
      <c r="AB597" s="3275"/>
      <c r="AC597" s="3275"/>
      <c r="AD597" s="3275"/>
      <c r="AE597" s="3275"/>
      <c r="AF597" s="3275"/>
      <c r="AG597" s="3275"/>
      <c r="AH597" s="3275"/>
      <c r="AI597" s="3278"/>
    </row>
    <row r="598" spans="1:35" ht="15.75" thickBot="1">
      <c r="A598" s="3303"/>
      <c r="B598" s="3304"/>
      <c r="C598" s="3305"/>
      <c r="D598" s="3306"/>
      <c r="E598" s="3307"/>
      <c r="F598" s="3303"/>
      <c r="G598" s="3306"/>
      <c r="H598" s="3308">
        <f>SUM(F598:G598)</f>
        <v>0</v>
      </c>
      <c r="I598" s="3303"/>
      <c r="J598" s="3309"/>
      <c r="K598" s="3310">
        <f>+H598-I598-J598</f>
        <v>0</v>
      </c>
      <c r="L598" s="3310">
        <f>+I598-J598-K598</f>
        <v>0</v>
      </c>
      <c r="M598" s="3803"/>
      <c r="N598" s="3804"/>
      <c r="O598" s="3804"/>
      <c r="P598" s="3804"/>
      <c r="Q598" s="3275"/>
      <c r="R598" s="3275"/>
      <c r="S598" s="3275"/>
      <c r="T598" s="3275"/>
      <c r="U598" s="3275"/>
      <c r="V598" s="3275"/>
      <c r="W598" s="3275"/>
      <c r="X598" s="3275"/>
      <c r="Y598" s="3275"/>
      <c r="Z598" s="3275"/>
      <c r="AA598" s="3275"/>
      <c r="AB598" s="3275"/>
      <c r="AC598" s="3275"/>
      <c r="AD598" s="3275"/>
      <c r="AE598" s="3275"/>
      <c r="AF598" s="3275"/>
      <c r="AG598" s="3275"/>
      <c r="AH598" s="3275"/>
      <c r="AI598" s="3278"/>
    </row>
    <row r="599" spans="1:35">
      <c r="A599" s="3278"/>
      <c r="B599" s="3278"/>
      <c r="C599" s="3278"/>
      <c r="D599" s="3278"/>
      <c r="E599" s="3278"/>
      <c r="F599" s="3278"/>
      <c r="G599" s="3278"/>
      <c r="H599" s="3278"/>
      <c r="I599" s="3278"/>
      <c r="J599" s="3278"/>
      <c r="K599" s="3278"/>
      <c r="L599" s="3278"/>
      <c r="M599" s="3278"/>
      <c r="N599" s="3278"/>
      <c r="O599" s="3278"/>
      <c r="P599" s="3278"/>
      <c r="Q599" s="3278"/>
      <c r="R599" s="3278"/>
      <c r="S599" s="3278"/>
      <c r="T599" s="3278"/>
      <c r="U599" s="3278"/>
      <c r="V599" s="3278"/>
      <c r="W599" s="3278"/>
      <c r="X599" s="3278"/>
      <c r="Y599" s="3278"/>
      <c r="Z599" s="3278"/>
      <c r="AA599" s="3278"/>
      <c r="AB599" s="3278"/>
      <c r="AC599" s="3278"/>
      <c r="AD599" s="3278"/>
      <c r="AE599" s="3278"/>
      <c r="AF599" s="3278"/>
      <c r="AG599" s="3278"/>
      <c r="AH599" s="3278"/>
      <c r="AI599" s="3278"/>
    </row>
    <row r="600" spans="1:35">
      <c r="A600" s="3278"/>
      <c r="B600" s="3278"/>
      <c r="C600" s="3278"/>
      <c r="D600" s="3278"/>
      <c r="E600" s="3278"/>
      <c r="F600" s="3278"/>
      <c r="G600" s="3278"/>
      <c r="H600" s="3278"/>
      <c r="I600" s="3278"/>
      <c r="J600" s="3278"/>
      <c r="K600" s="3278"/>
      <c r="L600" s="3278"/>
      <c r="M600" s="3278"/>
      <c r="N600" s="3278"/>
      <c r="O600" s="3278"/>
      <c r="P600" s="3278"/>
      <c r="Q600" s="3278"/>
      <c r="R600" s="3278"/>
      <c r="S600" s="3278"/>
      <c r="T600" s="3278"/>
      <c r="U600" s="3278"/>
      <c r="V600" s="3278"/>
      <c r="W600" s="3278"/>
      <c r="X600" s="3278"/>
      <c r="Y600" s="3278"/>
      <c r="Z600" s="3278"/>
      <c r="AA600" s="3278"/>
      <c r="AB600" s="3278"/>
      <c r="AC600" s="3278"/>
      <c r="AD600" s="3278"/>
      <c r="AE600" s="3278"/>
      <c r="AF600" s="3278"/>
      <c r="AG600" s="3278"/>
      <c r="AH600" s="3278"/>
      <c r="AI600" s="3278"/>
    </row>
    <row r="601" spans="1:35" ht="33">
      <c r="A601" s="3273" t="s">
        <v>172</v>
      </c>
      <c r="B601" s="3274"/>
      <c r="C601" s="3274" t="s">
        <v>1168</v>
      </c>
      <c r="D601" s="3275"/>
      <c r="E601" s="3275"/>
      <c r="F601" s="3275"/>
      <c r="G601" s="3274" t="s">
        <v>1169</v>
      </c>
      <c r="H601" s="3276"/>
      <c r="I601" s="3275"/>
      <c r="J601" s="3275"/>
      <c r="K601" s="3275"/>
      <c r="L601" s="3275"/>
      <c r="M601" s="3275"/>
      <c r="N601" s="3275"/>
      <c r="O601" s="3277" t="s">
        <v>1051</v>
      </c>
      <c r="P601" s="3275"/>
      <c r="Q601" s="3275"/>
      <c r="R601" s="3275"/>
      <c r="S601" s="3275"/>
      <c r="T601" s="3275"/>
      <c r="U601" s="3275"/>
      <c r="V601" s="3275"/>
      <c r="W601" s="3275"/>
      <c r="X601" s="3275"/>
      <c r="Y601" s="3275"/>
      <c r="Z601" s="3275"/>
      <c r="AA601" s="3275"/>
      <c r="AB601" s="3275"/>
      <c r="AC601" s="3275"/>
      <c r="AD601" s="3275"/>
      <c r="AE601" s="3275"/>
      <c r="AF601" s="3275"/>
      <c r="AG601" s="3275"/>
      <c r="AH601" s="3275"/>
      <c r="AI601" s="3278"/>
    </row>
    <row r="602" spans="1:35" ht="15">
      <c r="A602" s="3792" t="s">
        <v>271</v>
      </c>
      <c r="B602" s="3793"/>
      <c r="C602" s="3794"/>
      <c r="D602" s="3276"/>
      <c r="E602" s="3276"/>
      <c r="F602" s="3276"/>
      <c r="G602" s="3276"/>
      <c r="H602" s="3276"/>
      <c r="I602" s="3276"/>
      <c r="J602" s="3276"/>
      <c r="K602" s="3276"/>
      <c r="L602" s="3276"/>
      <c r="M602" s="3276"/>
      <c r="N602" s="3276"/>
      <c r="O602" s="3276"/>
      <c r="P602" s="3276"/>
      <c r="Q602" s="3276"/>
      <c r="R602" s="3276"/>
      <c r="S602" s="3279"/>
      <c r="T602" s="3279"/>
      <c r="U602" s="3279"/>
      <c r="V602" s="3279"/>
      <c r="W602" s="3279"/>
      <c r="X602" s="3279"/>
      <c r="Y602" s="3279"/>
      <c r="Z602" s="3279"/>
      <c r="AA602" s="3279"/>
      <c r="AB602" s="3279"/>
      <c r="AC602" s="3279"/>
      <c r="AD602" s="3279"/>
      <c r="AE602" s="3279"/>
      <c r="AF602" s="3279"/>
      <c r="AG602" s="3279"/>
      <c r="AH602" s="3279"/>
      <c r="AI602" s="3278"/>
    </row>
    <row r="603" spans="1:35" ht="15">
      <c r="A603" s="3280" t="s">
        <v>72</v>
      </c>
      <c r="B603" s="3281" t="s">
        <v>73</v>
      </c>
      <c r="C603" s="3282">
        <v>1</v>
      </c>
      <c r="D603" s="3282">
        <v>2</v>
      </c>
      <c r="E603" s="3282">
        <v>3</v>
      </c>
      <c r="F603" s="3282">
        <v>4</v>
      </c>
      <c r="G603" s="3282">
        <v>5</v>
      </c>
      <c r="H603" s="3282">
        <v>6</v>
      </c>
      <c r="I603" s="3282">
        <v>7</v>
      </c>
      <c r="J603" s="3282">
        <v>8</v>
      </c>
      <c r="K603" s="3282">
        <v>9</v>
      </c>
      <c r="L603" s="3282">
        <v>10</v>
      </c>
      <c r="M603" s="3282">
        <v>11</v>
      </c>
      <c r="N603" s="3282">
        <v>12</v>
      </c>
      <c r="O603" s="3282">
        <v>13</v>
      </c>
      <c r="P603" s="3282">
        <v>14</v>
      </c>
      <c r="Q603" s="3282">
        <v>15</v>
      </c>
      <c r="R603" s="3282">
        <v>16</v>
      </c>
      <c r="S603" s="3280">
        <v>17</v>
      </c>
      <c r="T603" s="3280">
        <v>18</v>
      </c>
      <c r="U603" s="3280">
        <v>19</v>
      </c>
      <c r="V603" s="3280">
        <v>20</v>
      </c>
      <c r="W603" s="3280">
        <v>21</v>
      </c>
      <c r="X603" s="3280">
        <v>22</v>
      </c>
      <c r="Y603" s="3280">
        <v>23</v>
      </c>
      <c r="Z603" s="3280">
        <v>24</v>
      </c>
      <c r="AA603" s="3280">
        <v>25</v>
      </c>
      <c r="AB603" s="3280">
        <v>26</v>
      </c>
      <c r="AC603" s="3280">
        <v>27</v>
      </c>
      <c r="AD603" s="3280">
        <v>28</v>
      </c>
      <c r="AE603" s="3280">
        <v>29</v>
      </c>
      <c r="AF603" s="3280">
        <v>30</v>
      </c>
      <c r="AG603" s="3280">
        <v>31</v>
      </c>
      <c r="AH603" s="3283" t="s">
        <v>74</v>
      </c>
      <c r="AI603" s="3278"/>
    </row>
    <row r="604" spans="1:35" ht="15">
      <c r="A604" s="3280" t="s">
        <v>75</v>
      </c>
      <c r="B604" s="3281">
        <f t="shared" ref="B604:B615" si="198">+AH604</f>
        <v>0</v>
      </c>
      <c r="C604" s="3284"/>
      <c r="D604" s="3284"/>
      <c r="E604" s="3284"/>
      <c r="F604" s="3284"/>
      <c r="G604" s="3284"/>
      <c r="H604" s="3284"/>
      <c r="I604" s="3284"/>
      <c r="J604" s="3284"/>
      <c r="K604" s="3284"/>
      <c r="L604" s="3284"/>
      <c r="M604" s="3284"/>
      <c r="N604" s="3284"/>
      <c r="O604" s="3284"/>
      <c r="P604" s="3284"/>
      <c r="Q604" s="3284"/>
      <c r="R604" s="3284"/>
      <c r="S604" s="3284"/>
      <c r="T604" s="3284"/>
      <c r="U604" s="3284"/>
      <c r="V604" s="3284"/>
      <c r="W604" s="3284"/>
      <c r="X604" s="3284"/>
      <c r="Y604" s="3284"/>
      <c r="Z604" s="3284"/>
      <c r="AA604" s="3284"/>
      <c r="AB604" s="3284"/>
      <c r="AC604" s="3284"/>
      <c r="AD604" s="3284"/>
      <c r="AE604" s="3284"/>
      <c r="AF604" s="3284"/>
      <c r="AG604" s="3284"/>
      <c r="AH604" s="3285">
        <f>SUM(C604:AG604)</f>
        <v>0</v>
      </c>
      <c r="AI604" s="3278"/>
    </row>
    <row r="605" spans="1:35" ht="15">
      <c r="A605" s="3280" t="s">
        <v>76</v>
      </c>
      <c r="B605" s="3281">
        <f t="shared" si="198"/>
        <v>0</v>
      </c>
      <c r="C605" s="3284"/>
      <c r="D605" s="3284"/>
      <c r="E605" s="3284"/>
      <c r="F605" s="3284"/>
      <c r="G605" s="3284"/>
      <c r="H605" s="3284"/>
      <c r="I605" s="3284"/>
      <c r="J605" s="3284"/>
      <c r="K605" s="3284"/>
      <c r="L605" s="3284"/>
      <c r="M605" s="3284"/>
      <c r="N605" s="3284"/>
      <c r="O605" s="3284"/>
      <c r="P605" s="3284"/>
      <c r="Q605" s="3284"/>
      <c r="R605" s="3284"/>
      <c r="S605" s="3284"/>
      <c r="T605" s="3284"/>
      <c r="U605" s="3284"/>
      <c r="V605" s="3284"/>
      <c r="W605" s="3284"/>
      <c r="X605" s="3284"/>
      <c r="Y605" s="3284"/>
      <c r="Z605" s="3284"/>
      <c r="AA605" s="3284"/>
      <c r="AB605" s="3284"/>
      <c r="AC605" s="3284"/>
      <c r="AD605" s="3284"/>
      <c r="AE605" s="3284"/>
      <c r="AF605" s="3284"/>
      <c r="AG605" s="3284"/>
      <c r="AH605" s="3285">
        <f t="shared" ref="AH605:AH615" si="199">SUM(C605:AG605)</f>
        <v>0</v>
      </c>
      <c r="AI605" s="3278"/>
    </row>
    <row r="606" spans="1:35" ht="15">
      <c r="A606" s="3280" t="s">
        <v>77</v>
      </c>
      <c r="B606" s="3281">
        <f t="shared" si="198"/>
        <v>0</v>
      </c>
      <c r="C606" s="3284"/>
      <c r="D606" s="3284"/>
      <c r="E606" s="3284"/>
      <c r="F606" s="3284"/>
      <c r="G606" s="3284"/>
      <c r="H606" s="3286"/>
      <c r="I606" s="3286"/>
      <c r="J606" s="3286"/>
      <c r="K606" s="3286"/>
      <c r="L606" s="3286"/>
      <c r="M606" s="3286"/>
      <c r="N606" s="3286"/>
      <c r="O606" s="3286"/>
      <c r="P606" s="3286"/>
      <c r="Q606" s="3286"/>
      <c r="R606" s="3286"/>
      <c r="S606" s="3286"/>
      <c r="T606" s="3286"/>
      <c r="U606" s="3286"/>
      <c r="V606" s="3286"/>
      <c r="W606" s="3286"/>
      <c r="X606" s="3286"/>
      <c r="Y606" s="3286"/>
      <c r="Z606" s="3286"/>
      <c r="AA606" s="3286"/>
      <c r="AB606" s="3286"/>
      <c r="AC606" s="3284"/>
      <c r="AD606" s="3284"/>
      <c r="AE606" s="3284"/>
      <c r="AF606" s="3284"/>
      <c r="AG606" s="3284"/>
      <c r="AH606" s="3285">
        <f t="shared" si="199"/>
        <v>0</v>
      </c>
      <c r="AI606" s="3278"/>
    </row>
    <row r="607" spans="1:35" ht="15">
      <c r="A607" s="3280" t="s">
        <v>78</v>
      </c>
      <c r="B607" s="3281">
        <f t="shared" si="198"/>
        <v>0</v>
      </c>
      <c r="C607" s="3284"/>
      <c r="D607" s="3284"/>
      <c r="E607" s="3284"/>
      <c r="F607" s="3284"/>
      <c r="G607" s="3284"/>
      <c r="H607" s="3284"/>
      <c r="I607" s="3284"/>
      <c r="J607" s="3284"/>
      <c r="K607" s="3284"/>
      <c r="L607" s="3287"/>
      <c r="M607" s="3287"/>
      <c r="N607" s="3287"/>
      <c r="O607" s="3287"/>
      <c r="P607" s="3287"/>
      <c r="Q607" s="3287"/>
      <c r="R607" s="3287"/>
      <c r="S607" s="3287"/>
      <c r="T607" s="3287"/>
      <c r="U607" s="3287"/>
      <c r="V607" s="3287"/>
      <c r="W607" s="3287"/>
      <c r="X607" s="3287"/>
      <c r="Y607" s="3287"/>
      <c r="Z607" s="3287"/>
      <c r="AA607" s="3287"/>
      <c r="AB607" s="3287"/>
      <c r="AC607" s="3287"/>
      <c r="AD607" s="3287"/>
      <c r="AE607" s="3287"/>
      <c r="AF607" s="3287"/>
      <c r="AG607" s="3287"/>
      <c r="AH607" s="3285">
        <f t="shared" si="199"/>
        <v>0</v>
      </c>
      <c r="AI607" s="3278"/>
    </row>
    <row r="608" spans="1:35" ht="15">
      <c r="A608" s="3280" t="s">
        <v>79</v>
      </c>
      <c r="B608" s="3281">
        <f t="shared" si="198"/>
        <v>0</v>
      </c>
      <c r="C608" s="3286"/>
      <c r="D608" s="3286"/>
      <c r="E608" s="3286"/>
      <c r="F608" s="3286"/>
      <c r="G608" s="3286"/>
      <c r="H608" s="3286"/>
      <c r="I608" s="3286"/>
      <c r="J608" s="3286"/>
      <c r="K608" s="3286"/>
      <c r="L608" s="3286"/>
      <c r="M608" s="3286"/>
      <c r="N608" s="3286"/>
      <c r="O608" s="3286"/>
      <c r="P608" s="3286"/>
      <c r="Q608" s="3286"/>
      <c r="R608" s="3286"/>
      <c r="S608" s="3286"/>
      <c r="T608" s="3286"/>
      <c r="U608" s="3286"/>
      <c r="V608" s="3286"/>
      <c r="W608" s="3286"/>
      <c r="X608" s="3286"/>
      <c r="Y608" s="3286"/>
      <c r="Z608" s="3286"/>
      <c r="AA608" s="3286"/>
      <c r="AB608" s="3286"/>
      <c r="AC608" s="3286"/>
      <c r="AD608" s="3286"/>
      <c r="AE608" s="3286"/>
      <c r="AF608" s="3286"/>
      <c r="AG608" s="3286"/>
      <c r="AH608" s="3285">
        <f t="shared" si="199"/>
        <v>0</v>
      </c>
      <c r="AI608" s="3278"/>
    </row>
    <row r="609" spans="1:35" ht="15">
      <c r="A609" s="3280" t="s">
        <v>80</v>
      </c>
      <c r="B609" s="3281">
        <f t="shared" si="198"/>
        <v>0</v>
      </c>
      <c r="C609" s="3286"/>
      <c r="D609" s="3286"/>
      <c r="E609" s="3286"/>
      <c r="F609" s="3286"/>
      <c r="G609" s="3286"/>
      <c r="H609" s="3286"/>
      <c r="I609" s="3286"/>
      <c r="J609" s="3286"/>
      <c r="K609" s="3286"/>
      <c r="L609" s="3286"/>
      <c r="M609" s="3286"/>
      <c r="N609" s="3286"/>
      <c r="O609" s="3286"/>
      <c r="P609" s="3286"/>
      <c r="Q609" s="3286"/>
      <c r="R609" s="3286"/>
      <c r="S609" s="3286"/>
      <c r="T609" s="3286"/>
      <c r="U609" s="3286"/>
      <c r="V609" s="3286"/>
      <c r="W609" s="3286"/>
      <c r="X609" s="3286"/>
      <c r="Y609" s="3286"/>
      <c r="Z609" s="3286"/>
      <c r="AA609" s="3286"/>
      <c r="AB609" s="3286"/>
      <c r="AC609" s="3286"/>
      <c r="AD609" s="3286"/>
      <c r="AE609" s="3286"/>
      <c r="AF609" s="3286"/>
      <c r="AG609" s="3286"/>
      <c r="AH609" s="3285">
        <f t="shared" si="199"/>
        <v>0</v>
      </c>
      <c r="AI609" s="3278"/>
    </row>
    <row r="610" spans="1:35" ht="15">
      <c r="A610" s="3280" t="s">
        <v>81</v>
      </c>
      <c r="B610" s="3281">
        <f t="shared" si="198"/>
        <v>0</v>
      </c>
      <c r="C610" s="3286"/>
      <c r="D610" s="3285"/>
      <c r="E610" s="3285"/>
      <c r="F610" s="3285"/>
      <c r="G610" s="3286"/>
      <c r="H610" s="3286"/>
      <c r="I610" s="3286"/>
      <c r="J610" s="3286"/>
      <c r="K610" s="3286"/>
      <c r="L610" s="3286"/>
      <c r="M610" s="3286"/>
      <c r="N610" s="3286"/>
      <c r="O610" s="3286"/>
      <c r="P610" s="3286"/>
      <c r="Q610" s="3286"/>
      <c r="R610" s="3286"/>
      <c r="S610" s="3286"/>
      <c r="T610" s="3286"/>
      <c r="U610" s="3286"/>
      <c r="V610" s="3286"/>
      <c r="W610" s="3286"/>
      <c r="X610" s="3286"/>
      <c r="Y610" s="3286"/>
      <c r="Z610" s="3286"/>
      <c r="AA610" s="3286"/>
      <c r="AB610" s="3286"/>
      <c r="AC610" s="3286"/>
      <c r="AD610" s="3286"/>
      <c r="AE610" s="3286"/>
      <c r="AF610" s="3286"/>
      <c r="AG610" s="3286"/>
      <c r="AH610" s="3285">
        <f t="shared" si="199"/>
        <v>0</v>
      </c>
      <c r="AI610" s="3278"/>
    </row>
    <row r="611" spans="1:35" ht="15">
      <c r="A611" s="3280" t="s">
        <v>82</v>
      </c>
      <c r="B611" s="3281">
        <f t="shared" si="198"/>
        <v>0</v>
      </c>
      <c r="C611" s="3286"/>
      <c r="D611" s="3286"/>
      <c r="E611" s="3286"/>
      <c r="F611" s="3286"/>
      <c r="G611" s="3286"/>
      <c r="H611" s="3286"/>
      <c r="I611" s="3286"/>
      <c r="J611" s="3286"/>
      <c r="K611" s="3286"/>
      <c r="L611" s="3286"/>
      <c r="M611" s="3286"/>
      <c r="N611" s="3286"/>
      <c r="O611" s="3286"/>
      <c r="P611" s="3286"/>
      <c r="Q611" s="3286"/>
      <c r="R611" s="3286"/>
      <c r="S611" s="3286"/>
      <c r="T611" s="3286"/>
      <c r="U611" s="3286"/>
      <c r="V611" s="3286"/>
      <c r="W611" s="3286"/>
      <c r="X611" s="3286"/>
      <c r="Y611" s="3286"/>
      <c r="Z611" s="3286"/>
      <c r="AA611" s="3286"/>
      <c r="AB611" s="3286"/>
      <c r="AC611" s="3286"/>
      <c r="AD611" s="3286"/>
      <c r="AE611" s="3286"/>
      <c r="AF611" s="3286"/>
      <c r="AG611" s="3286"/>
      <c r="AH611" s="3285">
        <f t="shared" si="199"/>
        <v>0</v>
      </c>
      <c r="AI611" s="3278"/>
    </row>
    <row r="612" spans="1:35" ht="15">
      <c r="A612" s="3280" t="s">
        <v>83</v>
      </c>
      <c r="B612" s="3281">
        <f t="shared" si="198"/>
        <v>0</v>
      </c>
      <c r="C612" s="3286"/>
      <c r="D612" s="3286"/>
      <c r="E612" s="3286"/>
      <c r="F612" s="3286"/>
      <c r="G612" s="3286"/>
      <c r="H612" s="3286"/>
      <c r="I612" s="3286"/>
      <c r="J612" s="3286"/>
      <c r="K612" s="3286"/>
      <c r="L612" s="3286"/>
      <c r="M612" s="3286"/>
      <c r="N612" s="3286"/>
      <c r="O612" s="3286"/>
      <c r="P612" s="3286"/>
      <c r="Q612" s="3286"/>
      <c r="R612" s="3286"/>
      <c r="S612" s="3286"/>
      <c r="T612" s="3286"/>
      <c r="U612" s="3286"/>
      <c r="V612" s="3286"/>
      <c r="W612" s="3286"/>
      <c r="X612" s="3286"/>
      <c r="Y612" s="3286"/>
      <c r="Z612" s="3286"/>
      <c r="AA612" s="3286"/>
      <c r="AB612" s="3286"/>
      <c r="AC612" s="3286"/>
      <c r="AD612" s="3286"/>
      <c r="AE612" s="3286"/>
      <c r="AF612" s="3286"/>
      <c r="AG612" s="3286"/>
      <c r="AH612" s="3285">
        <f t="shared" si="199"/>
        <v>0</v>
      </c>
      <c r="AI612" s="3278"/>
    </row>
    <row r="613" spans="1:35" ht="15">
      <c r="A613" s="3280" t="s">
        <v>84</v>
      </c>
      <c r="B613" s="3281">
        <f t="shared" si="198"/>
        <v>0</v>
      </c>
      <c r="C613" s="3286"/>
      <c r="D613" s="3286"/>
      <c r="E613" s="3286"/>
      <c r="F613" s="3286"/>
      <c r="G613" s="3286"/>
      <c r="H613" s="3286"/>
      <c r="I613" s="3286"/>
      <c r="J613" s="3286"/>
      <c r="K613" s="3286"/>
      <c r="L613" s="3286"/>
      <c r="M613" s="3286"/>
      <c r="N613" s="3286"/>
      <c r="O613" s="3286"/>
      <c r="P613" s="3286"/>
      <c r="Q613" s="3286"/>
      <c r="R613" s="3286"/>
      <c r="S613" s="3286"/>
      <c r="T613" s="3286"/>
      <c r="U613" s="3286"/>
      <c r="V613" s="3286"/>
      <c r="W613" s="3286"/>
      <c r="X613" s="3286"/>
      <c r="Y613" s="3286"/>
      <c r="Z613" s="3286"/>
      <c r="AA613" s="3286"/>
      <c r="AB613" s="3286"/>
      <c r="AC613" s="3286"/>
      <c r="AD613" s="3286"/>
      <c r="AE613" s="3285"/>
      <c r="AF613" s="3286"/>
      <c r="AG613" s="3285"/>
      <c r="AH613" s="3285">
        <f t="shared" si="199"/>
        <v>0</v>
      </c>
      <c r="AI613" s="3278"/>
    </row>
    <row r="614" spans="1:35" ht="15">
      <c r="A614" s="3280" t="s">
        <v>85</v>
      </c>
      <c r="B614" s="3281">
        <f t="shared" si="198"/>
        <v>0</v>
      </c>
      <c r="C614" s="3286"/>
      <c r="D614" s="3286"/>
      <c r="E614" s="3286"/>
      <c r="F614" s="3286"/>
      <c r="G614" s="3288"/>
      <c r="H614" s="3286"/>
      <c r="I614" s="3286"/>
      <c r="J614" s="3286"/>
      <c r="K614" s="3286"/>
      <c r="L614" s="3286"/>
      <c r="M614" s="3286"/>
      <c r="N614" s="3286"/>
      <c r="O614" s="3286"/>
      <c r="P614" s="3286"/>
      <c r="Q614" s="3286"/>
      <c r="R614" s="3286"/>
      <c r="S614" s="3286"/>
      <c r="T614" s="3286"/>
      <c r="U614" s="3286"/>
      <c r="V614" s="3286"/>
      <c r="W614" s="3286"/>
      <c r="X614" s="3286"/>
      <c r="Y614" s="3286"/>
      <c r="Z614" s="3286"/>
      <c r="AA614" s="3286"/>
      <c r="AB614" s="3286"/>
      <c r="AC614" s="3286"/>
      <c r="AD614" s="3286"/>
      <c r="AE614" s="3285"/>
      <c r="AF614" s="3286"/>
      <c r="AG614" s="3285"/>
      <c r="AH614" s="3285">
        <f t="shared" si="199"/>
        <v>0</v>
      </c>
      <c r="AI614" s="3278"/>
    </row>
    <row r="615" spans="1:35" ht="15">
      <c r="A615" s="3280" t="s">
        <v>86</v>
      </c>
      <c r="B615" s="3281">
        <f t="shared" si="198"/>
        <v>0</v>
      </c>
      <c r="C615" s="3286"/>
      <c r="D615" s="3286"/>
      <c r="E615" s="3286"/>
      <c r="F615" s="3286"/>
      <c r="G615" s="3286"/>
      <c r="H615" s="3286"/>
      <c r="I615" s="3286"/>
      <c r="J615" s="3286"/>
      <c r="K615" s="3286"/>
      <c r="L615" s="3286"/>
      <c r="M615" s="3286"/>
      <c r="N615" s="3286"/>
      <c r="O615" s="3286"/>
      <c r="P615" s="3286"/>
      <c r="Q615" s="3286"/>
      <c r="R615" s="3286"/>
      <c r="S615" s="3286"/>
      <c r="T615" s="3286"/>
      <c r="U615" s="3286"/>
      <c r="V615" s="3286"/>
      <c r="W615" s="3286"/>
      <c r="X615" s="3286"/>
      <c r="Y615" s="3286"/>
      <c r="Z615" s="3286"/>
      <c r="AA615" s="3286"/>
      <c r="AB615" s="3286"/>
      <c r="AC615" s="3286"/>
      <c r="AD615" s="3286"/>
      <c r="AE615" s="3286"/>
      <c r="AF615" s="3286"/>
      <c r="AG615" s="3286"/>
      <c r="AH615" s="3285">
        <f t="shared" si="199"/>
        <v>0</v>
      </c>
      <c r="AI615" s="3278"/>
    </row>
    <row r="616" spans="1:35" ht="15">
      <c r="A616" s="3289" t="s">
        <v>74</v>
      </c>
      <c r="B616" s="3290">
        <f t="shared" ref="B616:R616" si="200">SUM(B604:B615)</f>
        <v>0</v>
      </c>
      <c r="C616" s="3281">
        <f t="shared" si="200"/>
        <v>0</v>
      </c>
      <c r="D616" s="3281">
        <f t="shared" si="200"/>
        <v>0</v>
      </c>
      <c r="E616" s="3281">
        <f t="shared" si="200"/>
        <v>0</v>
      </c>
      <c r="F616" s="3281">
        <f t="shared" si="200"/>
        <v>0</v>
      </c>
      <c r="G616" s="3281">
        <f t="shared" si="200"/>
        <v>0</v>
      </c>
      <c r="H616" s="3281">
        <f t="shared" si="200"/>
        <v>0</v>
      </c>
      <c r="I616" s="3281">
        <f t="shared" si="200"/>
        <v>0</v>
      </c>
      <c r="J616" s="3281">
        <f t="shared" si="200"/>
        <v>0</v>
      </c>
      <c r="K616" s="3281">
        <f t="shared" si="200"/>
        <v>0</v>
      </c>
      <c r="L616" s="3281">
        <f t="shared" si="200"/>
        <v>0</v>
      </c>
      <c r="M616" s="3281">
        <f t="shared" si="200"/>
        <v>0</v>
      </c>
      <c r="N616" s="3281">
        <f t="shared" si="200"/>
        <v>0</v>
      </c>
      <c r="O616" s="3281">
        <f t="shared" si="200"/>
        <v>0</v>
      </c>
      <c r="P616" s="3281">
        <f t="shared" si="200"/>
        <v>0</v>
      </c>
      <c r="Q616" s="3281">
        <f t="shared" si="200"/>
        <v>0</v>
      </c>
      <c r="R616" s="3281">
        <f t="shared" si="200"/>
        <v>0</v>
      </c>
      <c r="S616" s="3285">
        <f t="shared" ref="S616:AC616" si="201">SUM(S604:S614)</f>
        <v>0</v>
      </c>
      <c r="T616" s="3285">
        <f t="shared" si="201"/>
        <v>0</v>
      </c>
      <c r="U616" s="3285">
        <f t="shared" si="201"/>
        <v>0</v>
      </c>
      <c r="V616" s="3285">
        <f t="shared" si="201"/>
        <v>0</v>
      </c>
      <c r="W616" s="3285">
        <f t="shared" si="201"/>
        <v>0</v>
      </c>
      <c r="X616" s="3285">
        <f t="shared" si="201"/>
        <v>0</v>
      </c>
      <c r="Y616" s="3285">
        <f t="shared" si="201"/>
        <v>0</v>
      </c>
      <c r="Z616" s="3285">
        <f t="shared" si="201"/>
        <v>0</v>
      </c>
      <c r="AA616" s="3285">
        <f t="shared" si="201"/>
        <v>0</v>
      </c>
      <c r="AB616" s="3285">
        <f t="shared" si="201"/>
        <v>0</v>
      </c>
      <c r="AC616" s="3285">
        <f t="shared" si="201"/>
        <v>0</v>
      </c>
      <c r="AD616" s="3285">
        <v>0</v>
      </c>
      <c r="AE616" s="3285">
        <f>SUM(AE604:AE614)</f>
        <v>0</v>
      </c>
      <c r="AF616" s="3285">
        <f>SUM(AF604:AF614)</f>
        <v>0</v>
      </c>
      <c r="AG616" s="3285">
        <f>SUM(AG604:AG614)</f>
        <v>0</v>
      </c>
      <c r="AH616" s="3285">
        <f>SUM(AH604:AH614)</f>
        <v>0</v>
      </c>
      <c r="AI616" s="3278"/>
    </row>
    <row r="617" spans="1:35">
      <c r="A617" s="3275"/>
      <c r="B617" s="3275"/>
      <c r="C617" s="3275"/>
      <c r="D617" s="3275"/>
      <c r="E617" s="3275"/>
      <c r="F617" s="3275"/>
      <c r="G617" s="3275"/>
      <c r="H617" s="3275"/>
      <c r="I617" s="3275"/>
      <c r="J617" s="3275"/>
      <c r="K617" s="3275"/>
      <c r="L617" s="3275"/>
      <c r="M617" s="3275"/>
      <c r="N617" s="3275"/>
      <c r="O617" s="3275"/>
      <c r="P617" s="3275"/>
      <c r="Q617" s="3275"/>
      <c r="R617" s="3275"/>
      <c r="S617" s="3275"/>
      <c r="T617" s="3275"/>
      <c r="U617" s="3275"/>
      <c r="V617" s="3275"/>
      <c r="W617" s="3275"/>
      <c r="X617" s="3275"/>
      <c r="Y617" s="3275"/>
      <c r="Z617" s="3275"/>
      <c r="AA617" s="3275"/>
      <c r="AB617" s="3275"/>
      <c r="AC617" s="3275"/>
      <c r="AD617" s="3275"/>
      <c r="AE617" s="3275"/>
      <c r="AF617" s="3275"/>
      <c r="AG617" s="3275"/>
      <c r="AH617" s="3275"/>
      <c r="AI617" s="3278"/>
    </row>
    <row r="618" spans="1:35" ht="33">
      <c r="A618" s="3273" t="s">
        <v>172</v>
      </c>
      <c r="B618" s="3274"/>
      <c r="C618" s="3274" t="s">
        <v>1168</v>
      </c>
      <c r="D618" s="3275"/>
      <c r="E618" s="3275"/>
      <c r="F618" s="3275"/>
      <c r="G618" s="3274" t="s">
        <v>1169</v>
      </c>
      <c r="H618" s="3276"/>
      <c r="I618" s="3275"/>
      <c r="J618" s="3275"/>
      <c r="K618" s="3275"/>
      <c r="L618" s="3275"/>
      <c r="M618" s="3275"/>
      <c r="N618" s="3275"/>
      <c r="O618" s="3277" t="s">
        <v>1051</v>
      </c>
      <c r="P618" s="3275"/>
      <c r="Q618" s="3275"/>
      <c r="R618" s="3275"/>
      <c r="S618" s="3275"/>
      <c r="T618" s="3275"/>
      <c r="U618" s="3275"/>
      <c r="V618" s="3275"/>
      <c r="W618" s="3275"/>
      <c r="X618" s="3275"/>
      <c r="Y618" s="3275"/>
      <c r="Z618" s="3275"/>
      <c r="AA618" s="3275"/>
      <c r="AB618" s="3275"/>
      <c r="AC618" s="3275"/>
      <c r="AD618" s="3275"/>
      <c r="AE618" s="3275"/>
      <c r="AF618" s="3275"/>
      <c r="AG618" s="3275"/>
      <c r="AH618" s="3275"/>
      <c r="AI618" s="3278"/>
    </row>
    <row r="619" spans="1:35" ht="15">
      <c r="A619" s="3792" t="s">
        <v>264</v>
      </c>
      <c r="B619" s="3793"/>
      <c r="C619" s="3794"/>
      <c r="D619" s="3276"/>
      <c r="E619" s="3276"/>
      <c r="F619" s="3276"/>
      <c r="G619" s="3276"/>
      <c r="H619" s="3276"/>
      <c r="I619" s="3276"/>
      <c r="J619" s="3276"/>
      <c r="K619" s="3276"/>
      <c r="L619" s="3276"/>
      <c r="M619" s="3276"/>
      <c r="N619" s="3276"/>
      <c r="O619" s="3276"/>
      <c r="P619" s="3276"/>
      <c r="Q619" s="3276"/>
      <c r="R619" s="3276"/>
      <c r="S619" s="3279"/>
      <c r="T619" s="3279"/>
      <c r="U619" s="3279"/>
      <c r="V619" s="3279"/>
      <c r="W619" s="3279"/>
      <c r="X619" s="3279"/>
      <c r="Y619" s="3279"/>
      <c r="Z619" s="3279"/>
      <c r="AA619" s="3279"/>
      <c r="AB619" s="3279"/>
      <c r="AC619" s="3279"/>
      <c r="AD619" s="3279"/>
      <c r="AE619" s="3279"/>
      <c r="AF619" s="3279"/>
      <c r="AG619" s="3279"/>
      <c r="AH619" s="3279"/>
      <c r="AI619" s="3278"/>
    </row>
    <row r="620" spans="1:35" ht="15">
      <c r="A620" s="3280" t="s">
        <v>72</v>
      </c>
      <c r="B620" s="3281" t="s">
        <v>73</v>
      </c>
      <c r="C620" s="3282">
        <v>1</v>
      </c>
      <c r="D620" s="3282">
        <v>2</v>
      </c>
      <c r="E620" s="3282">
        <v>3</v>
      </c>
      <c r="F620" s="3282">
        <v>4</v>
      </c>
      <c r="G620" s="3282">
        <v>5</v>
      </c>
      <c r="H620" s="3282">
        <v>6</v>
      </c>
      <c r="I620" s="3282">
        <v>7</v>
      </c>
      <c r="J620" s="3282">
        <v>8</v>
      </c>
      <c r="K620" s="3282">
        <v>9</v>
      </c>
      <c r="L620" s="3282">
        <v>10</v>
      </c>
      <c r="M620" s="3282">
        <v>11</v>
      </c>
      <c r="N620" s="3282">
        <v>12</v>
      </c>
      <c r="O620" s="3282">
        <v>13</v>
      </c>
      <c r="P620" s="3282">
        <v>14</v>
      </c>
      <c r="Q620" s="3282">
        <v>15</v>
      </c>
      <c r="R620" s="3282">
        <v>16</v>
      </c>
      <c r="S620" s="3280">
        <v>17</v>
      </c>
      <c r="T620" s="3280">
        <v>18</v>
      </c>
      <c r="U620" s="3280">
        <v>19</v>
      </c>
      <c r="V620" s="3280">
        <v>20</v>
      </c>
      <c r="W620" s="3280">
        <v>21</v>
      </c>
      <c r="X620" s="3280">
        <v>22</v>
      </c>
      <c r="Y620" s="3280">
        <v>23</v>
      </c>
      <c r="Z620" s="3280">
        <v>24</v>
      </c>
      <c r="AA620" s="3280">
        <v>25</v>
      </c>
      <c r="AB620" s="3280">
        <v>26</v>
      </c>
      <c r="AC620" s="3280">
        <v>27</v>
      </c>
      <c r="AD620" s="3280">
        <v>28</v>
      </c>
      <c r="AE620" s="3280">
        <v>29</v>
      </c>
      <c r="AF620" s="3280">
        <v>30</v>
      </c>
      <c r="AG620" s="3280">
        <v>31</v>
      </c>
      <c r="AH620" s="3283" t="s">
        <v>74</v>
      </c>
      <c r="AI620" s="3278"/>
    </row>
    <row r="621" spans="1:35" ht="15">
      <c r="A621" s="3280" t="s">
        <v>75</v>
      </c>
      <c r="B621" s="3281">
        <f t="shared" ref="B621:B632" si="202">+AH621</f>
        <v>0</v>
      </c>
      <c r="C621" s="3284"/>
      <c r="D621" s="3284"/>
      <c r="E621" s="3284"/>
      <c r="F621" s="3284"/>
      <c r="G621" s="3284"/>
      <c r="H621" s="3284"/>
      <c r="I621" s="3284"/>
      <c r="J621" s="3284"/>
      <c r="K621" s="3284"/>
      <c r="L621" s="3284"/>
      <c r="M621" s="3284"/>
      <c r="N621" s="3284"/>
      <c r="O621" s="3284"/>
      <c r="P621" s="3284"/>
      <c r="Q621" s="3284"/>
      <c r="R621" s="3284"/>
      <c r="S621" s="3284"/>
      <c r="T621" s="3284"/>
      <c r="U621" s="3284"/>
      <c r="V621" s="3284"/>
      <c r="W621" s="3284"/>
      <c r="X621" s="3284"/>
      <c r="Y621" s="3284"/>
      <c r="Z621" s="3284"/>
      <c r="AA621" s="3284"/>
      <c r="AB621" s="3284"/>
      <c r="AC621" s="3284"/>
      <c r="AD621" s="3284"/>
      <c r="AE621" s="3284"/>
      <c r="AF621" s="3284"/>
      <c r="AG621" s="3284"/>
      <c r="AH621" s="3285">
        <f>SUM(C621:AG621)</f>
        <v>0</v>
      </c>
      <c r="AI621" s="3278"/>
    </row>
    <row r="622" spans="1:35" ht="15">
      <c r="A622" s="3280" t="s">
        <v>76</v>
      </c>
      <c r="B622" s="3281">
        <f t="shared" si="202"/>
        <v>0</v>
      </c>
      <c r="C622" s="3284"/>
      <c r="D622" s="3284"/>
      <c r="E622" s="3284"/>
      <c r="F622" s="3284"/>
      <c r="G622" s="3284"/>
      <c r="H622" s="3284"/>
      <c r="I622" s="3284"/>
      <c r="J622" s="3284"/>
      <c r="K622" s="3284"/>
      <c r="L622" s="3284"/>
      <c r="M622" s="3284"/>
      <c r="N622" s="3284"/>
      <c r="O622" s="3284"/>
      <c r="P622" s="3284"/>
      <c r="Q622" s="3284"/>
      <c r="R622" s="3284"/>
      <c r="S622" s="3284"/>
      <c r="T622" s="3284"/>
      <c r="U622" s="3284"/>
      <c r="V622" s="3284"/>
      <c r="W622" s="3284"/>
      <c r="X622" s="3284"/>
      <c r="Y622" s="3284"/>
      <c r="Z622" s="3284"/>
      <c r="AA622" s="3284"/>
      <c r="AB622" s="3284"/>
      <c r="AC622" s="3284"/>
      <c r="AD622" s="3284"/>
      <c r="AE622" s="3284"/>
      <c r="AF622" s="3284"/>
      <c r="AG622" s="3284"/>
      <c r="AH622" s="3285">
        <f t="shared" ref="AH622:AH632" si="203">SUM(C622:AG622)</f>
        <v>0</v>
      </c>
      <c r="AI622" s="3278"/>
    </row>
    <row r="623" spans="1:35" ht="15">
      <c r="A623" s="3280" t="s">
        <v>77</v>
      </c>
      <c r="B623" s="3291">
        <f t="shared" si="202"/>
        <v>0</v>
      </c>
      <c r="C623" s="3284"/>
      <c r="D623" s="3284"/>
      <c r="E623" s="3284"/>
      <c r="F623" s="3284"/>
      <c r="G623" s="3284"/>
      <c r="H623" s="3286"/>
      <c r="I623" s="3286"/>
      <c r="J623" s="3286"/>
      <c r="K623" s="3286"/>
      <c r="L623" s="3286"/>
      <c r="M623" s="3286"/>
      <c r="N623" s="3286"/>
      <c r="O623" s="3286"/>
      <c r="P623" s="3286"/>
      <c r="Q623" s="3286"/>
      <c r="R623" s="3286"/>
      <c r="S623" s="3286"/>
      <c r="T623" s="3286"/>
      <c r="U623" s="3286"/>
      <c r="V623" s="3286"/>
      <c r="W623" s="3286"/>
      <c r="X623" s="3286"/>
      <c r="Y623" s="3286"/>
      <c r="Z623" s="3286"/>
      <c r="AA623" s="3286"/>
      <c r="AB623" s="3292"/>
      <c r="AC623" s="3284"/>
      <c r="AD623" s="3286"/>
      <c r="AE623" s="3284"/>
      <c r="AF623" s="3284"/>
      <c r="AG623" s="3284"/>
      <c r="AH623" s="3285">
        <f t="shared" si="203"/>
        <v>0</v>
      </c>
      <c r="AI623" s="3278"/>
    </row>
    <row r="624" spans="1:35" ht="15">
      <c r="A624" s="3280" t="s">
        <v>78</v>
      </c>
      <c r="B624" s="3281">
        <f t="shared" si="202"/>
        <v>0</v>
      </c>
      <c r="C624" s="3284"/>
      <c r="D624" s="3284"/>
      <c r="E624" s="3284"/>
      <c r="F624" s="3284"/>
      <c r="G624" s="3284"/>
      <c r="H624" s="3284"/>
      <c r="I624" s="3284"/>
      <c r="J624" s="3284"/>
      <c r="K624" s="3284"/>
      <c r="L624" s="3287"/>
      <c r="M624" s="3287"/>
      <c r="N624" s="3287"/>
      <c r="O624" s="3287"/>
      <c r="P624" s="3287"/>
      <c r="Q624" s="3287"/>
      <c r="R624" s="3287"/>
      <c r="S624" s="3287"/>
      <c r="T624" s="3287"/>
      <c r="U624" s="3287"/>
      <c r="V624" s="3287"/>
      <c r="W624" s="3287"/>
      <c r="X624" s="3287"/>
      <c r="Y624" s="3287"/>
      <c r="Z624" s="3287"/>
      <c r="AA624" s="3287"/>
      <c r="AB624" s="3287"/>
      <c r="AC624" s="3287"/>
      <c r="AD624" s="3287"/>
      <c r="AE624" s="3287"/>
      <c r="AF624" s="3287"/>
      <c r="AG624" s="3287"/>
      <c r="AH624" s="3285">
        <f t="shared" si="203"/>
        <v>0</v>
      </c>
      <c r="AI624" s="3278"/>
    </row>
    <row r="625" spans="1:35" ht="15">
      <c r="A625" s="3280" t="s">
        <v>79</v>
      </c>
      <c r="B625" s="3281">
        <f t="shared" si="202"/>
        <v>0</v>
      </c>
      <c r="C625" s="3286"/>
      <c r="D625" s="3286"/>
      <c r="E625" s="3286"/>
      <c r="F625" s="3286"/>
      <c r="G625" s="3286"/>
      <c r="H625" s="3286"/>
      <c r="I625" s="3286"/>
      <c r="J625" s="3286"/>
      <c r="K625" s="3286"/>
      <c r="L625" s="3286"/>
      <c r="M625" s="3286"/>
      <c r="N625" s="3286"/>
      <c r="O625" s="3286"/>
      <c r="P625" s="3286"/>
      <c r="Q625" s="3286"/>
      <c r="R625" s="3286"/>
      <c r="S625" s="3286"/>
      <c r="T625" s="3286"/>
      <c r="U625" s="3286"/>
      <c r="V625" s="3286"/>
      <c r="W625" s="3286"/>
      <c r="X625" s="3286"/>
      <c r="Y625" s="3286"/>
      <c r="Z625" s="3286"/>
      <c r="AA625" s="3286"/>
      <c r="AB625" s="3286"/>
      <c r="AC625" s="3286"/>
      <c r="AD625" s="3286"/>
      <c r="AE625" s="3286"/>
      <c r="AF625" s="3286"/>
      <c r="AG625" s="3286"/>
      <c r="AH625" s="3285">
        <f t="shared" si="203"/>
        <v>0</v>
      </c>
      <c r="AI625" s="3278"/>
    </row>
    <row r="626" spans="1:35" ht="15">
      <c r="A626" s="3280" t="s">
        <v>80</v>
      </c>
      <c r="B626" s="3281">
        <f t="shared" si="202"/>
        <v>0</v>
      </c>
      <c r="C626" s="3286"/>
      <c r="D626" s="3286"/>
      <c r="E626" s="3286"/>
      <c r="F626" s="3286"/>
      <c r="G626" s="3286"/>
      <c r="H626" s="3286"/>
      <c r="I626" s="3286"/>
      <c r="J626" s="3286"/>
      <c r="K626" s="3286"/>
      <c r="L626" s="3286"/>
      <c r="M626" s="3286"/>
      <c r="N626" s="3286"/>
      <c r="O626" s="3286"/>
      <c r="P626" s="3286"/>
      <c r="Q626" s="3286"/>
      <c r="R626" s="3286"/>
      <c r="S626" s="3286"/>
      <c r="T626" s="3286"/>
      <c r="U626" s="3286"/>
      <c r="V626" s="3286"/>
      <c r="W626" s="3286"/>
      <c r="X626" s="3286"/>
      <c r="Y626" s="3286"/>
      <c r="Z626" s="3286"/>
      <c r="AA626" s="3286"/>
      <c r="AB626" s="3286"/>
      <c r="AC626" s="3286"/>
      <c r="AD626" s="3286"/>
      <c r="AE626" s="3286"/>
      <c r="AF626" s="3286"/>
      <c r="AG626" s="3286"/>
      <c r="AH626" s="3285">
        <f t="shared" si="203"/>
        <v>0</v>
      </c>
      <c r="AI626" s="3278"/>
    </row>
    <row r="627" spans="1:35" ht="15">
      <c r="A627" s="3280" t="s">
        <v>81</v>
      </c>
      <c r="B627" s="3281">
        <f t="shared" si="202"/>
        <v>0</v>
      </c>
      <c r="C627" s="3286"/>
      <c r="D627" s="3285"/>
      <c r="E627" s="3285"/>
      <c r="F627" s="3285"/>
      <c r="G627" s="3286"/>
      <c r="H627" s="3286"/>
      <c r="I627" s="3286"/>
      <c r="J627" s="3286"/>
      <c r="K627" s="3286"/>
      <c r="L627" s="3286"/>
      <c r="M627" s="3286"/>
      <c r="N627" s="3286"/>
      <c r="O627" s="3286"/>
      <c r="P627" s="3286"/>
      <c r="Q627" s="3286"/>
      <c r="R627" s="3286"/>
      <c r="S627" s="3286"/>
      <c r="T627" s="3286"/>
      <c r="U627" s="3286"/>
      <c r="V627" s="3286"/>
      <c r="W627" s="3286"/>
      <c r="X627" s="3286"/>
      <c r="Y627" s="3286"/>
      <c r="Z627" s="3286"/>
      <c r="AA627" s="3286"/>
      <c r="AB627" s="3286"/>
      <c r="AC627" s="3286"/>
      <c r="AD627" s="3286"/>
      <c r="AE627" s="3286"/>
      <c r="AF627" s="3286"/>
      <c r="AG627" s="3286"/>
      <c r="AH627" s="3285">
        <f t="shared" si="203"/>
        <v>0</v>
      </c>
      <c r="AI627" s="3278"/>
    </row>
    <row r="628" spans="1:35" ht="15">
      <c r="A628" s="3280" t="s">
        <v>82</v>
      </c>
      <c r="B628" s="3281">
        <f t="shared" si="202"/>
        <v>0</v>
      </c>
      <c r="C628" s="3286"/>
      <c r="D628" s="3286"/>
      <c r="E628" s="3286"/>
      <c r="F628" s="3286"/>
      <c r="G628" s="3286"/>
      <c r="H628" s="3286"/>
      <c r="I628" s="3286"/>
      <c r="J628" s="3286"/>
      <c r="K628" s="3286"/>
      <c r="L628" s="3286"/>
      <c r="M628" s="3286"/>
      <c r="N628" s="3286"/>
      <c r="O628" s="3286"/>
      <c r="P628" s="3286"/>
      <c r="Q628" s="3286"/>
      <c r="R628" s="3286"/>
      <c r="S628" s="3286"/>
      <c r="T628" s="3286"/>
      <c r="U628" s="3286"/>
      <c r="V628" s="3286"/>
      <c r="W628" s="3286"/>
      <c r="X628" s="3286"/>
      <c r="Y628" s="3286"/>
      <c r="Z628" s="3286"/>
      <c r="AA628" s="3286"/>
      <c r="AB628" s="3286"/>
      <c r="AC628" s="3286"/>
      <c r="AD628" s="3286"/>
      <c r="AE628" s="3286"/>
      <c r="AF628" s="3286"/>
      <c r="AG628" s="3286"/>
      <c r="AH628" s="3285">
        <f t="shared" si="203"/>
        <v>0</v>
      </c>
      <c r="AI628" s="3278"/>
    </row>
    <row r="629" spans="1:35" ht="15">
      <c r="A629" s="3280" t="s">
        <v>83</v>
      </c>
      <c r="B629" s="3281">
        <f t="shared" si="202"/>
        <v>0</v>
      </c>
      <c r="C629" s="3286"/>
      <c r="D629" s="3286"/>
      <c r="E629" s="3286"/>
      <c r="F629" s="3286"/>
      <c r="G629" s="3286"/>
      <c r="H629" s="3286"/>
      <c r="I629" s="3286"/>
      <c r="J629" s="3286"/>
      <c r="K629" s="3286"/>
      <c r="L629" s="3286"/>
      <c r="M629" s="3286"/>
      <c r="N629" s="3286"/>
      <c r="O629" s="3286"/>
      <c r="P629" s="3286"/>
      <c r="Q629" s="3286"/>
      <c r="R629" s="3286"/>
      <c r="S629" s="3286"/>
      <c r="T629" s="3286"/>
      <c r="U629" s="3286"/>
      <c r="V629" s="3286"/>
      <c r="W629" s="3286"/>
      <c r="X629" s="3286"/>
      <c r="Y629" s="3286"/>
      <c r="Z629" s="3286"/>
      <c r="AA629" s="3286"/>
      <c r="AB629" s="3286"/>
      <c r="AC629" s="3286"/>
      <c r="AD629" s="3286"/>
      <c r="AE629" s="3286"/>
      <c r="AF629" s="3286"/>
      <c r="AG629" s="3286"/>
      <c r="AH629" s="3285">
        <f t="shared" si="203"/>
        <v>0</v>
      </c>
      <c r="AI629" s="3278"/>
    </row>
    <row r="630" spans="1:35" ht="15">
      <c r="A630" s="3280" t="s">
        <v>84</v>
      </c>
      <c r="B630" s="3281">
        <f t="shared" si="202"/>
        <v>0</v>
      </c>
      <c r="C630" s="3286"/>
      <c r="D630" s="3286"/>
      <c r="E630" s="3286"/>
      <c r="F630" s="3286"/>
      <c r="G630" s="3286"/>
      <c r="H630" s="3286"/>
      <c r="I630" s="3286"/>
      <c r="J630" s="3286"/>
      <c r="K630" s="3286"/>
      <c r="L630" s="3286"/>
      <c r="M630" s="3286"/>
      <c r="N630" s="3286"/>
      <c r="O630" s="3286"/>
      <c r="P630" s="3286"/>
      <c r="Q630" s="3286"/>
      <c r="R630" s="3286"/>
      <c r="S630" s="3286"/>
      <c r="T630" s="3286"/>
      <c r="U630" s="3286"/>
      <c r="V630" s="3286"/>
      <c r="W630" s="3286"/>
      <c r="X630" s="3286"/>
      <c r="Y630" s="3286"/>
      <c r="Z630" s="3286"/>
      <c r="AA630" s="3286"/>
      <c r="AB630" s="3286"/>
      <c r="AC630" s="3286"/>
      <c r="AD630" s="3286"/>
      <c r="AE630" s="3285"/>
      <c r="AF630" s="3286"/>
      <c r="AG630" s="3285"/>
      <c r="AH630" s="3285">
        <f t="shared" si="203"/>
        <v>0</v>
      </c>
      <c r="AI630" s="3278"/>
    </row>
    <row r="631" spans="1:35" ht="15">
      <c r="A631" s="3280" t="s">
        <v>85</v>
      </c>
      <c r="B631" s="3281">
        <f t="shared" si="202"/>
        <v>0</v>
      </c>
      <c r="C631" s="3286"/>
      <c r="D631" s="3286"/>
      <c r="E631" s="3286"/>
      <c r="F631" s="3286"/>
      <c r="G631" s="3288"/>
      <c r="H631" s="3286"/>
      <c r="I631" s="3286"/>
      <c r="J631" s="3286"/>
      <c r="K631" s="3286"/>
      <c r="L631" s="3286"/>
      <c r="M631" s="3286"/>
      <c r="N631" s="3286"/>
      <c r="O631" s="3286"/>
      <c r="P631" s="3286"/>
      <c r="Q631" s="3286"/>
      <c r="R631" s="3286"/>
      <c r="S631" s="3286"/>
      <c r="T631" s="3286"/>
      <c r="U631" s="3286"/>
      <c r="V631" s="3286"/>
      <c r="W631" s="3286"/>
      <c r="X631" s="3286"/>
      <c r="Y631" s="3286"/>
      <c r="Z631" s="3286"/>
      <c r="AA631" s="3286"/>
      <c r="AB631" s="3286"/>
      <c r="AC631" s="3286"/>
      <c r="AD631" s="3286"/>
      <c r="AE631" s="3285"/>
      <c r="AF631" s="3286"/>
      <c r="AG631" s="3285"/>
      <c r="AH631" s="3285">
        <f t="shared" si="203"/>
        <v>0</v>
      </c>
      <c r="AI631" s="3278"/>
    </row>
    <row r="632" spans="1:35" ht="15">
      <c r="A632" s="3280" t="s">
        <v>86</v>
      </c>
      <c r="B632" s="3281">
        <f t="shared" si="202"/>
        <v>0</v>
      </c>
      <c r="C632" s="3286"/>
      <c r="D632" s="3286"/>
      <c r="E632" s="3286"/>
      <c r="F632" s="3286"/>
      <c r="G632" s="3286"/>
      <c r="H632" s="3286"/>
      <c r="I632" s="3286"/>
      <c r="J632" s="3286"/>
      <c r="K632" s="3286"/>
      <c r="L632" s="3286"/>
      <c r="M632" s="3286"/>
      <c r="N632" s="3286"/>
      <c r="O632" s="3286"/>
      <c r="P632" s="3286"/>
      <c r="Q632" s="3286"/>
      <c r="R632" s="3286"/>
      <c r="S632" s="3286"/>
      <c r="T632" s="3286"/>
      <c r="U632" s="3286"/>
      <c r="V632" s="3286"/>
      <c r="W632" s="3286"/>
      <c r="X632" s="3286"/>
      <c r="Y632" s="3286"/>
      <c r="Z632" s="3286"/>
      <c r="AA632" s="3286"/>
      <c r="AB632" s="3286"/>
      <c r="AC632" s="3286"/>
      <c r="AD632" s="3286"/>
      <c r="AE632" s="3286"/>
      <c r="AF632" s="3286"/>
      <c r="AG632" s="3286"/>
      <c r="AH632" s="3285">
        <f t="shared" si="203"/>
        <v>0</v>
      </c>
      <c r="AI632" s="3278"/>
    </row>
    <row r="633" spans="1:35" ht="15">
      <c r="A633" s="3289" t="s">
        <v>74</v>
      </c>
      <c r="B633" s="3290">
        <f t="shared" ref="B633:R633" si="204">SUM(B621:B632)</f>
        <v>0</v>
      </c>
      <c r="C633" s="3281">
        <f t="shared" si="204"/>
        <v>0</v>
      </c>
      <c r="D633" s="3281">
        <f t="shared" si="204"/>
        <v>0</v>
      </c>
      <c r="E633" s="3281">
        <f t="shared" si="204"/>
        <v>0</v>
      </c>
      <c r="F633" s="3281">
        <f t="shared" si="204"/>
        <v>0</v>
      </c>
      <c r="G633" s="3281">
        <f t="shared" si="204"/>
        <v>0</v>
      </c>
      <c r="H633" s="3281">
        <f t="shared" si="204"/>
        <v>0</v>
      </c>
      <c r="I633" s="3281">
        <f t="shared" si="204"/>
        <v>0</v>
      </c>
      <c r="J633" s="3281">
        <f t="shared" si="204"/>
        <v>0</v>
      </c>
      <c r="K633" s="3281">
        <f t="shared" si="204"/>
        <v>0</v>
      </c>
      <c r="L633" s="3281">
        <f t="shared" si="204"/>
        <v>0</v>
      </c>
      <c r="M633" s="3281">
        <f t="shared" si="204"/>
        <v>0</v>
      </c>
      <c r="N633" s="3281">
        <f t="shared" si="204"/>
        <v>0</v>
      </c>
      <c r="O633" s="3281">
        <f t="shared" si="204"/>
        <v>0</v>
      </c>
      <c r="P633" s="3281">
        <f t="shared" si="204"/>
        <v>0</v>
      </c>
      <c r="Q633" s="3281">
        <f t="shared" si="204"/>
        <v>0</v>
      </c>
      <c r="R633" s="3281">
        <f t="shared" si="204"/>
        <v>0</v>
      </c>
      <c r="S633" s="3285">
        <f t="shared" ref="S633:AC633" si="205">SUM(S621:S631)</f>
        <v>0</v>
      </c>
      <c r="T633" s="3285">
        <f t="shared" si="205"/>
        <v>0</v>
      </c>
      <c r="U633" s="3285">
        <f t="shared" si="205"/>
        <v>0</v>
      </c>
      <c r="V633" s="3285">
        <f t="shared" si="205"/>
        <v>0</v>
      </c>
      <c r="W633" s="3285">
        <f t="shared" si="205"/>
        <v>0</v>
      </c>
      <c r="X633" s="3285">
        <f t="shared" si="205"/>
        <v>0</v>
      </c>
      <c r="Y633" s="3285">
        <f t="shared" si="205"/>
        <v>0</v>
      </c>
      <c r="Z633" s="3285">
        <f t="shared" si="205"/>
        <v>0</v>
      </c>
      <c r="AA633" s="3285">
        <f t="shared" si="205"/>
        <v>0</v>
      </c>
      <c r="AB633" s="3285">
        <f t="shared" si="205"/>
        <v>0</v>
      </c>
      <c r="AC633" s="3285">
        <f t="shared" si="205"/>
        <v>0</v>
      </c>
      <c r="AD633" s="3285">
        <v>0</v>
      </c>
      <c r="AE633" s="3285">
        <f>SUM(AE621:AE631)</f>
        <v>0</v>
      </c>
      <c r="AF633" s="3285">
        <f>SUM(AF621:AF631)</f>
        <v>0</v>
      </c>
      <c r="AG633" s="3285">
        <f>SUM(AG621:AG631)</f>
        <v>0</v>
      </c>
      <c r="AH633" s="3285">
        <f>SUM(AH621:AH631)</f>
        <v>0</v>
      </c>
      <c r="AI633" s="3278"/>
    </row>
    <row r="634" spans="1:35" ht="13.5" thickBot="1">
      <c r="A634" s="3275"/>
      <c r="B634" s="3275"/>
      <c r="C634" s="3275"/>
      <c r="D634" s="3275"/>
      <c r="E634" s="3275"/>
      <c r="F634" s="3275"/>
      <c r="G634" s="3275"/>
      <c r="H634" s="3275"/>
      <c r="I634" s="3275"/>
      <c r="J634" s="3275"/>
      <c r="K634" s="3275"/>
      <c r="L634" s="3275"/>
      <c r="M634" s="3275"/>
      <c r="N634" s="3275"/>
      <c r="O634" s="3275"/>
      <c r="P634" s="3275"/>
      <c r="Q634" s="3275"/>
      <c r="R634" s="3275"/>
      <c r="S634" s="3275"/>
      <c r="T634" s="3275"/>
      <c r="U634" s="3275"/>
      <c r="V634" s="3275"/>
      <c r="W634" s="3275"/>
      <c r="X634" s="3275"/>
      <c r="Y634" s="3275"/>
      <c r="Z634" s="3275"/>
      <c r="AA634" s="3275"/>
      <c r="AB634" s="3275"/>
      <c r="AC634" s="3275"/>
      <c r="AD634" s="3275"/>
      <c r="AE634" s="3275"/>
      <c r="AF634" s="3275"/>
      <c r="AG634" s="3275"/>
      <c r="AH634" s="3275"/>
      <c r="AI634" s="3278"/>
    </row>
    <row r="635" spans="1:35" ht="15.75" thickBot="1">
      <c r="A635" s="3293"/>
      <c r="B635" s="3294"/>
      <c r="C635" s="3294"/>
      <c r="D635" s="3294"/>
      <c r="E635" s="3294"/>
      <c r="F635" s="3795" t="s">
        <v>155</v>
      </c>
      <c r="G635" s="3796"/>
      <c r="H635" s="3797"/>
      <c r="I635" s="3795" t="s">
        <v>156</v>
      </c>
      <c r="J635" s="3798"/>
      <c r="K635" s="3799" t="s">
        <v>912</v>
      </c>
      <c r="L635" s="3799" t="s">
        <v>913</v>
      </c>
      <c r="M635" s="3275"/>
      <c r="N635" s="3275"/>
      <c r="O635" s="3275"/>
      <c r="P635" s="3275"/>
      <c r="Q635" s="3275"/>
      <c r="R635" s="3275"/>
      <c r="S635" s="3275"/>
      <c r="T635" s="3275"/>
      <c r="U635" s="3275"/>
      <c r="V635" s="3275"/>
      <c r="W635" s="3275"/>
      <c r="X635" s="3275"/>
      <c r="Y635" s="3275"/>
      <c r="Z635" s="3275"/>
      <c r="AA635" s="3275"/>
      <c r="AB635" s="3275"/>
      <c r="AC635" s="3275"/>
      <c r="AD635" s="3275"/>
      <c r="AE635" s="3275"/>
      <c r="AF635" s="3275"/>
      <c r="AG635" s="3275"/>
      <c r="AH635" s="3275"/>
      <c r="AI635" s="3278"/>
    </row>
    <row r="636" spans="1:35" ht="13.5" thickBot="1">
      <c r="A636" s="3295" t="s">
        <v>158</v>
      </c>
      <c r="B636" s="3296" t="s">
        <v>159</v>
      </c>
      <c r="C636" s="3297" t="s">
        <v>136</v>
      </c>
      <c r="D636" s="3298" t="s">
        <v>134</v>
      </c>
      <c r="E636" s="3296" t="s">
        <v>160</v>
      </c>
      <c r="F636" s="3299" t="s">
        <v>8</v>
      </c>
      <c r="G636" s="3300" t="s">
        <v>161</v>
      </c>
      <c r="H636" s="3301" t="s">
        <v>52</v>
      </c>
      <c r="I636" s="3299" t="s">
        <v>8</v>
      </c>
      <c r="J636" s="3302" t="s">
        <v>162</v>
      </c>
      <c r="K636" s="3800"/>
      <c r="L636" s="3800"/>
      <c r="M636" s="3801"/>
      <c r="N636" s="3802"/>
      <c r="O636" s="3802"/>
      <c r="P636" s="3802"/>
      <c r="Q636" s="3275"/>
      <c r="R636" s="3275"/>
      <c r="S636" s="3275"/>
      <c r="T636" s="3275"/>
      <c r="U636" s="3275"/>
      <c r="V636" s="3275"/>
      <c r="W636" s="3275"/>
      <c r="X636" s="3275"/>
      <c r="Y636" s="3275"/>
      <c r="Z636" s="3275"/>
      <c r="AA636" s="3275"/>
      <c r="AB636" s="3275"/>
      <c r="AC636" s="3275"/>
      <c r="AD636" s="3275"/>
      <c r="AE636" s="3275"/>
      <c r="AF636" s="3275"/>
      <c r="AG636" s="3275"/>
      <c r="AH636" s="3275"/>
      <c r="AI636" s="3278"/>
    </row>
    <row r="637" spans="1:35" ht="15.75" thickBot="1">
      <c r="A637" s="3303"/>
      <c r="B637" s="3304"/>
      <c r="C637" s="3305"/>
      <c r="D637" s="3306"/>
      <c r="E637" s="3307"/>
      <c r="F637" s="3303">
        <v>50</v>
      </c>
      <c r="G637" s="3306">
        <v>350</v>
      </c>
      <c r="H637" s="3308">
        <f>SUM(F637:G637)</f>
        <v>400</v>
      </c>
      <c r="I637" s="3303">
        <f>(B633)</f>
        <v>0</v>
      </c>
      <c r="J637" s="3309">
        <f>(B616)</f>
        <v>0</v>
      </c>
      <c r="K637" s="3310">
        <f>+F637-I637</f>
        <v>50</v>
      </c>
      <c r="L637" s="3310">
        <f>+G637-J637</f>
        <v>350</v>
      </c>
      <c r="M637" s="3803"/>
      <c r="N637" s="3804"/>
      <c r="O637" s="3804"/>
      <c r="P637" s="3804"/>
      <c r="Q637" s="3275"/>
      <c r="R637" s="3275"/>
      <c r="S637" s="3275"/>
      <c r="T637" s="3275"/>
      <c r="U637" s="3275"/>
      <c r="V637" s="3275"/>
      <c r="W637" s="3275"/>
      <c r="X637" s="3275"/>
      <c r="Y637" s="3275"/>
      <c r="Z637" s="3275"/>
      <c r="AA637" s="3275"/>
      <c r="AB637" s="3275"/>
      <c r="AC637" s="3275"/>
      <c r="AD637" s="3275"/>
      <c r="AE637" s="3275"/>
      <c r="AF637" s="3275"/>
      <c r="AG637" s="3275"/>
      <c r="AH637" s="3275"/>
      <c r="AI637" s="3278"/>
    </row>
    <row r="638" spans="1:35" ht="15.75" thickBot="1">
      <c r="A638" s="3303"/>
      <c r="B638" s="3304"/>
      <c r="C638" s="3305"/>
      <c r="D638" s="3306"/>
      <c r="E638" s="3307"/>
      <c r="F638" s="3303"/>
      <c r="G638" s="3306"/>
      <c r="H638" s="3308">
        <f>SUM(F638:G638)</f>
        <v>0</v>
      </c>
      <c r="I638" s="3303"/>
      <c r="J638" s="3309"/>
      <c r="K638" s="3310">
        <f>+H638-I638-J638</f>
        <v>0</v>
      </c>
      <c r="L638" s="3310">
        <f>+I638-J638-K638</f>
        <v>0</v>
      </c>
      <c r="M638" s="3803"/>
      <c r="N638" s="3804"/>
      <c r="O638" s="3804"/>
      <c r="P638" s="3804"/>
      <c r="Q638" s="3275"/>
      <c r="R638" s="3275"/>
      <c r="S638" s="3275"/>
      <c r="T638" s="3275"/>
      <c r="U638" s="3275"/>
      <c r="V638" s="3275"/>
      <c r="W638" s="3275"/>
      <c r="X638" s="3275"/>
      <c r="Y638" s="3275"/>
      <c r="Z638" s="3275"/>
      <c r="AA638" s="3275"/>
      <c r="AB638" s="3275"/>
      <c r="AC638" s="3275"/>
      <c r="AD638" s="3275"/>
      <c r="AE638" s="3275"/>
      <c r="AF638" s="3275"/>
      <c r="AG638" s="3275"/>
      <c r="AH638" s="3275"/>
      <c r="AI638" s="3278"/>
    </row>
    <row r="642" spans="1:10" ht="20.25">
      <c r="A642" s="3012" t="s">
        <v>1176</v>
      </c>
      <c r="B642" s="1415"/>
      <c r="C642" s="1415"/>
      <c r="D642" s="1415"/>
      <c r="E642" s="1415"/>
      <c r="F642" s="1415"/>
      <c r="G642" s="2980"/>
      <c r="H642" s="2980"/>
      <c r="I642" s="2980"/>
      <c r="J642" s="2980"/>
    </row>
    <row r="643" spans="1:10" ht="20.25">
      <c r="A643" s="2979" t="s">
        <v>1177</v>
      </c>
      <c r="B643" s="2980"/>
      <c r="C643" s="2980"/>
      <c r="D643" s="2980"/>
      <c r="E643" s="2980"/>
      <c r="F643" s="2981" t="s">
        <v>8</v>
      </c>
      <c r="G643" s="2980"/>
      <c r="H643" s="2980"/>
      <c r="I643" s="2980"/>
      <c r="J643" s="2980"/>
    </row>
    <row r="644" spans="1:10" ht="13.5" thickBot="1">
      <c r="A644" s="2980"/>
      <c r="B644" s="2980"/>
      <c r="C644" s="2980"/>
      <c r="D644" s="2980"/>
      <c r="E644" s="2980"/>
      <c r="F644" s="2980"/>
      <c r="G644" s="2980"/>
      <c r="H644" s="2980"/>
      <c r="I644" s="2980"/>
      <c r="J644" s="2980"/>
    </row>
    <row r="645" spans="1:10" ht="15">
      <c r="A645" s="2982"/>
      <c r="B645" s="2983"/>
      <c r="C645" s="2983"/>
      <c r="D645" s="2983"/>
      <c r="E645" s="3787" t="s">
        <v>155</v>
      </c>
      <c r="F645" s="3788"/>
      <c r="G645" s="3787" t="s">
        <v>156</v>
      </c>
      <c r="H645" s="3788"/>
      <c r="I645" s="3787" t="s">
        <v>157</v>
      </c>
      <c r="J645" s="3788"/>
    </row>
    <row r="646" spans="1:10" ht="15">
      <c r="A646" s="2984" t="s">
        <v>1171</v>
      </c>
      <c r="B646" s="2984"/>
      <c r="C646" s="2984"/>
      <c r="D646" s="2984"/>
      <c r="E646" s="3311" t="s">
        <v>264</v>
      </c>
      <c r="F646" s="3311"/>
      <c r="G646" s="3311" t="s">
        <v>264</v>
      </c>
      <c r="H646" s="3311"/>
      <c r="I646" s="3311" t="s">
        <v>264</v>
      </c>
      <c r="J646" s="2984"/>
    </row>
    <row r="647" spans="1:10">
      <c r="A647" s="3789" t="s">
        <v>1172</v>
      </c>
      <c r="B647" s="3790"/>
      <c r="C647" s="3791"/>
      <c r="D647" s="2987"/>
      <c r="E647" s="2986">
        <v>20000</v>
      </c>
      <c r="F647" s="2986"/>
      <c r="G647" s="3329">
        <f>35.068+212.25+124.835+486.615+507.455+861.445+900.855+783.65+187.075+750.197+289.293+171.235+621.348+278.62+343.955+970.724+257.66+338.031+63.635+219.688+559.132+38.679+630.654+141.073+250.86+743.21+527.24+1042.635+643.475+582.965+1359.902+1398.855+1555.886+1064.265+462.395+547.32</f>
        <v>19952.18</v>
      </c>
      <c r="H647" s="2986"/>
      <c r="I647" s="3253">
        <f>(E647-G647)</f>
        <v>47.819999999999709</v>
      </c>
      <c r="J647" s="2986"/>
    </row>
    <row r="648" spans="1:10">
      <c r="A648" s="2986"/>
      <c r="B648" s="2986"/>
      <c r="C648" s="2986"/>
      <c r="D648" s="2987"/>
      <c r="E648" s="2986"/>
      <c r="F648" s="2986"/>
      <c r="G648" s="2986"/>
      <c r="H648" s="2986"/>
      <c r="I648" s="2986"/>
      <c r="J648" s="2986"/>
    </row>
    <row r="649" spans="1:10">
      <c r="A649" s="2986"/>
      <c r="B649" s="2986"/>
      <c r="C649" s="2986"/>
      <c r="D649" s="2986"/>
      <c r="E649" s="2988"/>
      <c r="F649" s="2986"/>
      <c r="G649" s="2988"/>
      <c r="H649" s="2986"/>
      <c r="I649" s="2986"/>
      <c r="J649" s="2986"/>
    </row>
    <row r="650" spans="1:10">
      <c r="B650" s="1415"/>
      <c r="C650" s="1415"/>
    </row>
    <row r="651" spans="1:10" ht="16.5" customHeight="1">
      <c r="B651" s="3315" t="s">
        <v>1179</v>
      </c>
      <c r="C651" s="1415"/>
    </row>
    <row r="661" spans="1:11" ht="20.25">
      <c r="A661" s="3012" t="s">
        <v>1176</v>
      </c>
      <c r="B661" s="1415"/>
      <c r="C661" s="1415"/>
      <c r="D661" s="1415"/>
      <c r="E661" s="1415"/>
      <c r="F661" s="1415"/>
      <c r="G661" s="2980"/>
      <c r="H661" s="2980"/>
      <c r="I661" s="2980"/>
      <c r="J661" s="2980"/>
    </row>
    <row r="662" spans="1:11" ht="20.25">
      <c r="A662" s="2979" t="s">
        <v>1249</v>
      </c>
      <c r="B662" s="2980"/>
      <c r="C662" s="2980"/>
      <c r="D662" s="2980"/>
      <c r="E662" s="2980"/>
      <c r="F662" s="2981" t="s">
        <v>8</v>
      </c>
      <c r="G662" s="2980"/>
      <c r="H662" s="2980"/>
      <c r="I662" s="2980"/>
      <c r="J662" s="2980"/>
      <c r="K662" s="3355" t="s">
        <v>1204</v>
      </c>
    </row>
    <row r="663" spans="1:11" ht="13.5" thickBot="1">
      <c r="A663" s="2980"/>
      <c r="B663" s="2980"/>
      <c r="C663" s="2980"/>
      <c r="D663" s="2980"/>
      <c r="E663" s="2980"/>
      <c r="F663" s="2980"/>
      <c r="G663" s="2980"/>
      <c r="H663" s="2980"/>
      <c r="I663" s="2980"/>
      <c r="J663" s="2980"/>
      <c r="K663" s="3355" t="s">
        <v>1205</v>
      </c>
    </row>
    <row r="664" spans="1:11" ht="15">
      <c r="A664" s="2982"/>
      <c r="B664" s="2983"/>
      <c r="C664" s="2983"/>
      <c r="D664" s="2983"/>
      <c r="E664" s="3787" t="s">
        <v>155</v>
      </c>
      <c r="F664" s="3788"/>
      <c r="G664" s="3787" t="s">
        <v>156</v>
      </c>
      <c r="H664" s="3788"/>
      <c r="I664" s="3787" t="s">
        <v>157</v>
      </c>
      <c r="J664" s="3788"/>
      <c r="K664" s="3355" t="s">
        <v>1206</v>
      </c>
    </row>
    <row r="665" spans="1:11" ht="15">
      <c r="A665" s="2984" t="s">
        <v>1171</v>
      </c>
      <c r="B665" s="2984"/>
      <c r="C665" s="2984"/>
      <c r="D665" s="2984"/>
      <c r="E665" s="3311" t="s">
        <v>264</v>
      </c>
      <c r="F665" s="3311"/>
      <c r="G665" s="3311" t="s">
        <v>264</v>
      </c>
      <c r="H665" s="3311"/>
      <c r="I665" s="3311" t="s">
        <v>264</v>
      </c>
      <c r="J665" s="2984"/>
      <c r="K665" s="3355" t="s">
        <v>1207</v>
      </c>
    </row>
    <row r="666" spans="1:11">
      <c r="A666" s="3789" t="s">
        <v>1172</v>
      </c>
      <c r="B666" s="3790"/>
      <c r="C666" s="3791"/>
      <c r="D666" s="2987"/>
      <c r="E666" s="2986">
        <v>10000</v>
      </c>
      <c r="F666" s="2986"/>
      <c r="G666" s="3329">
        <f>182.99+40.54+262.75+291.33</f>
        <v>777.6099999999999</v>
      </c>
      <c r="H666" s="2986"/>
      <c r="I666" s="3253">
        <f>(E666-G666)</f>
        <v>9222.39</v>
      </c>
      <c r="J666" s="2986"/>
      <c r="K666" s="3355" t="s">
        <v>1208</v>
      </c>
    </row>
    <row r="667" spans="1:11">
      <c r="A667" s="2986"/>
      <c r="B667" s="2986"/>
      <c r="C667" s="2986"/>
      <c r="D667" s="2987"/>
      <c r="E667" s="2986"/>
      <c r="F667" s="2986"/>
      <c r="G667" s="2986"/>
      <c r="H667" s="2986"/>
      <c r="I667" s="2986"/>
      <c r="J667" s="2986"/>
      <c r="K667" s="3355" t="s">
        <v>1209</v>
      </c>
    </row>
    <row r="668" spans="1:11">
      <c r="A668" s="2986"/>
      <c r="B668" s="2986"/>
      <c r="C668" s="2986"/>
      <c r="D668" s="2986"/>
      <c r="E668" s="2988"/>
      <c r="F668" s="2986"/>
      <c r="G668" s="2988"/>
      <c r="H668" s="2986"/>
      <c r="I668" s="2986"/>
      <c r="J668" s="2986"/>
      <c r="K668" s="3355" t="s">
        <v>1210</v>
      </c>
    </row>
    <row r="669" spans="1:11">
      <c r="A669" s="3355"/>
      <c r="B669" s="1415"/>
      <c r="C669" s="1415"/>
      <c r="D669" s="3355"/>
      <c r="E669" s="3355"/>
      <c r="F669" s="3355"/>
      <c r="G669" s="3355"/>
      <c r="H669" s="3355"/>
      <c r="I669" s="3355"/>
      <c r="J669" s="3355"/>
      <c r="K669" s="3355" t="s">
        <v>1211</v>
      </c>
    </row>
    <row r="670" spans="1:11">
      <c r="A670" s="3355"/>
      <c r="B670" s="3315" t="s">
        <v>1179</v>
      </c>
      <c r="C670" s="1415"/>
      <c r="D670" s="3355"/>
      <c r="E670" s="3355"/>
      <c r="F670" s="3355"/>
      <c r="G670" s="1290" t="s">
        <v>1251</v>
      </c>
      <c r="H670" s="3355"/>
      <c r="I670" s="3355"/>
      <c r="J670" s="3355"/>
      <c r="K670" s="3355" t="s">
        <v>1212</v>
      </c>
    </row>
    <row r="671" spans="1:11">
      <c r="K671" s="3355" t="s">
        <v>1213</v>
      </c>
    </row>
    <row r="672" spans="1:11">
      <c r="K672" s="3355" t="s">
        <v>1214</v>
      </c>
    </row>
    <row r="673" spans="11:11">
      <c r="K673" s="3355" t="s">
        <v>1215</v>
      </c>
    </row>
    <row r="674" spans="11:11">
      <c r="K674" s="3355" t="s">
        <v>1216</v>
      </c>
    </row>
    <row r="675" spans="11:11">
      <c r="K675" s="3355" t="s">
        <v>1217</v>
      </c>
    </row>
    <row r="676" spans="11:11">
      <c r="K676" s="3355" t="s">
        <v>1218</v>
      </c>
    </row>
    <row r="677" spans="11:11">
      <c r="K677" s="3355" t="s">
        <v>1219</v>
      </c>
    </row>
    <row r="678" spans="11:11">
      <c r="K678" s="3355" t="s">
        <v>1220</v>
      </c>
    </row>
    <row r="679" spans="11:11">
      <c r="K679" s="3355" t="s">
        <v>1221</v>
      </c>
    </row>
    <row r="680" spans="11:11">
      <c r="K680" s="3355" t="s">
        <v>1222</v>
      </c>
    </row>
    <row r="681" spans="11:11">
      <c r="K681" s="3355" t="s">
        <v>1223</v>
      </c>
    </row>
    <row r="682" spans="11:11">
      <c r="K682" s="3355" t="s">
        <v>1224</v>
      </c>
    </row>
    <row r="683" spans="11:11">
      <c r="K683" s="3355" t="s">
        <v>1225</v>
      </c>
    </row>
    <row r="684" spans="11:11">
      <c r="K684" s="3355" t="s">
        <v>1226</v>
      </c>
    </row>
    <row r="685" spans="11:11">
      <c r="K685" s="3355" t="s">
        <v>1227</v>
      </c>
    </row>
    <row r="686" spans="11:11">
      <c r="K686" s="3355" t="s">
        <v>1228</v>
      </c>
    </row>
    <row r="687" spans="11:11">
      <c r="K687" s="3355" t="s">
        <v>1229</v>
      </c>
    </row>
    <row r="688" spans="11:11">
      <c r="K688" s="3355" t="s">
        <v>1230</v>
      </c>
    </row>
    <row r="689" spans="11:11">
      <c r="K689" s="3355" t="s">
        <v>1231</v>
      </c>
    </row>
    <row r="690" spans="11:11">
      <c r="K690" s="3355" t="s">
        <v>1232</v>
      </c>
    </row>
    <row r="691" spans="11:11">
      <c r="K691" s="3355" t="s">
        <v>1233</v>
      </c>
    </row>
    <row r="692" spans="11:11">
      <c r="K692" s="3355" t="s">
        <v>1234</v>
      </c>
    </row>
    <row r="693" spans="11:11">
      <c r="K693" s="3355" t="s">
        <v>1235</v>
      </c>
    </row>
    <row r="694" spans="11:11">
      <c r="K694" s="3355" t="s">
        <v>1236</v>
      </c>
    </row>
    <row r="695" spans="11:11">
      <c r="K695" s="3355" t="s">
        <v>1237</v>
      </c>
    </row>
    <row r="696" spans="11:11">
      <c r="K696" s="3355" t="s">
        <v>1238</v>
      </c>
    </row>
    <row r="697" spans="11:11">
      <c r="K697" s="3355" t="s">
        <v>1239</v>
      </c>
    </row>
    <row r="698" spans="11:11">
      <c r="K698" s="3355" t="s">
        <v>1240</v>
      </c>
    </row>
    <row r="699" spans="11:11">
      <c r="K699" s="3355" t="s">
        <v>1241</v>
      </c>
    </row>
    <row r="700" spans="11:11">
      <c r="K700" s="3355" t="s">
        <v>1242</v>
      </c>
    </row>
    <row r="701" spans="11:11">
      <c r="K701" s="3355" t="s">
        <v>1243</v>
      </c>
    </row>
    <row r="702" spans="11:11">
      <c r="K702" s="3355" t="s">
        <v>1244</v>
      </c>
    </row>
    <row r="703" spans="11:11">
      <c r="K703" s="3355" t="s">
        <v>1245</v>
      </c>
    </row>
    <row r="704" spans="11:11">
      <c r="K704" s="3355" t="s">
        <v>1246</v>
      </c>
    </row>
    <row r="705" spans="11:11">
      <c r="K705" s="3355" t="s">
        <v>1247</v>
      </c>
    </row>
    <row r="706" spans="11:11">
      <c r="K706" s="3355" t="s">
        <v>1248</v>
      </c>
    </row>
  </sheetData>
  <mergeCells count="251">
    <mergeCell ref="AD135:AD136"/>
    <mergeCell ref="AE135:AE136"/>
    <mergeCell ref="Y152:AA152"/>
    <mergeCell ref="AB152:AC152"/>
    <mergeCell ref="AD152:AD153"/>
    <mergeCell ref="AE152:AE153"/>
    <mergeCell ref="M490:P490"/>
    <mergeCell ref="A496:C496"/>
    <mergeCell ref="A515:C515"/>
    <mergeCell ref="M491:P491"/>
    <mergeCell ref="M492:P492"/>
    <mergeCell ref="W166:X166"/>
    <mergeCell ref="A473:C473"/>
    <mergeCell ref="F489:H489"/>
    <mergeCell ref="I489:J489"/>
    <mergeCell ref="K489:K490"/>
    <mergeCell ref="L489:L490"/>
    <mergeCell ref="K401:K402"/>
    <mergeCell ref="L401:L402"/>
    <mergeCell ref="K329:K330"/>
    <mergeCell ref="L329:L330"/>
    <mergeCell ref="A433:C433"/>
    <mergeCell ref="A450:C450"/>
    <mergeCell ref="AA274:AB274"/>
    <mergeCell ref="AJ452:AL452"/>
    <mergeCell ref="AN551:AO551"/>
    <mergeCell ref="AP551:AQ551"/>
    <mergeCell ref="AR551:AS551"/>
    <mergeCell ref="E645:F645"/>
    <mergeCell ref="G645:H645"/>
    <mergeCell ref="I645:J645"/>
    <mergeCell ref="M467:P467"/>
    <mergeCell ref="X132:Z132"/>
    <mergeCell ref="AA132:AB132"/>
    <mergeCell ref="Y135:AA135"/>
    <mergeCell ref="AB135:AC135"/>
    <mergeCell ref="K160:K165"/>
    <mergeCell ref="M468:P468"/>
    <mergeCell ref="M469:P469"/>
    <mergeCell ref="L216:L217"/>
    <mergeCell ref="K263:K264"/>
    <mergeCell ref="L263:L264"/>
    <mergeCell ref="F466:H466"/>
    <mergeCell ref="I466:J466"/>
    <mergeCell ref="K466:K467"/>
    <mergeCell ref="AO469:AQ469"/>
    <mergeCell ref="AR469:AS469"/>
    <mergeCell ref="AJ524:AL524"/>
    <mergeCell ref="AC274:AD274"/>
    <mergeCell ref="R274:S274"/>
    <mergeCell ref="T274:U274"/>
    <mergeCell ref="A175:C175"/>
    <mergeCell ref="F192:H192"/>
    <mergeCell ref="I192:J192"/>
    <mergeCell ref="K192:K193"/>
    <mergeCell ref="A199:C199"/>
    <mergeCell ref="F216:H216"/>
    <mergeCell ref="P274:Q274"/>
    <mergeCell ref="F240:H240"/>
    <mergeCell ref="I240:J240"/>
    <mergeCell ref="K240:K241"/>
    <mergeCell ref="L240:L241"/>
    <mergeCell ref="A246:C246"/>
    <mergeCell ref="F263:H263"/>
    <mergeCell ref="I263:J263"/>
    <mergeCell ref="G274:H274"/>
    <mergeCell ref="L192:L193"/>
    <mergeCell ref="I274:J274"/>
    <mergeCell ref="I216:J216"/>
    <mergeCell ref="K216:K217"/>
    <mergeCell ref="A223:C223"/>
    <mergeCell ref="AU390:AU391"/>
    <mergeCell ref="AJ320:AL320"/>
    <mergeCell ref="AO337:AQ337"/>
    <mergeCell ref="AR337:AS337"/>
    <mergeCell ref="AT337:AT338"/>
    <mergeCell ref="AU337:AU338"/>
    <mergeCell ref="AJ296:AL296"/>
    <mergeCell ref="AO313:AQ313"/>
    <mergeCell ref="AR313:AS313"/>
    <mergeCell ref="AT313:AT314"/>
    <mergeCell ref="AU313:AU314"/>
    <mergeCell ref="AN347:AO347"/>
    <mergeCell ref="AP347:AQ347"/>
    <mergeCell ref="AR347:AS347"/>
    <mergeCell ref="AJ373:AL373"/>
    <mergeCell ref="AO390:AQ390"/>
    <mergeCell ref="AR390:AS390"/>
    <mergeCell ref="AT390:AT391"/>
    <mergeCell ref="AO78:AQ78"/>
    <mergeCell ref="AR78:AS78"/>
    <mergeCell ref="AT78:AT79"/>
    <mergeCell ref="AU78:AU79"/>
    <mergeCell ref="AJ85:AL85"/>
    <mergeCell ref="AJ102:AL102"/>
    <mergeCell ref="AJ251:AL251"/>
    <mergeCell ref="AJ270:AL270"/>
    <mergeCell ref="AO287:AQ287"/>
    <mergeCell ref="AR287:AS287"/>
    <mergeCell ref="AT287:AT288"/>
    <mergeCell ref="AU287:AU288"/>
    <mergeCell ref="AO242:AQ242"/>
    <mergeCell ref="AR242:AS242"/>
    <mergeCell ref="AT242:AT243"/>
    <mergeCell ref="AU242:AU243"/>
    <mergeCell ref="AJ208:AL208"/>
    <mergeCell ref="AJ225:AL225"/>
    <mergeCell ref="AO160:AQ160"/>
    <mergeCell ref="AR160:AS160"/>
    <mergeCell ref="AT160:AT161"/>
    <mergeCell ref="AO119:AQ119"/>
    <mergeCell ref="AR119:AS119"/>
    <mergeCell ref="AT119:AT120"/>
    <mergeCell ref="AU119:AU120"/>
    <mergeCell ref="AJ126:AL126"/>
    <mergeCell ref="AJ143:AL143"/>
    <mergeCell ref="AU160:AU161"/>
    <mergeCell ref="AJ167:AL167"/>
    <mergeCell ref="AJ184:AL184"/>
    <mergeCell ref="AO201:AQ201"/>
    <mergeCell ref="AR201:AS201"/>
    <mergeCell ref="AT201:AT202"/>
    <mergeCell ref="AU201:AU202"/>
    <mergeCell ref="AJ1:BQ1"/>
    <mergeCell ref="AJ44:AL44"/>
    <mergeCell ref="AJ61:AL61"/>
    <mergeCell ref="AJ20:AL20"/>
    <mergeCell ref="AO37:AQ37"/>
    <mergeCell ref="AR37:AS37"/>
    <mergeCell ref="AT37:AT38"/>
    <mergeCell ref="AU37:AU38"/>
    <mergeCell ref="AJ3:AL3"/>
    <mergeCell ref="A408:C408"/>
    <mergeCell ref="F425:H425"/>
    <mergeCell ref="I425:J425"/>
    <mergeCell ref="L425:L426"/>
    <mergeCell ref="K425:K426"/>
    <mergeCell ref="L466:L467"/>
    <mergeCell ref="E274:F274"/>
    <mergeCell ref="A312:C312"/>
    <mergeCell ref="F329:H329"/>
    <mergeCell ref="I329:J329"/>
    <mergeCell ref="L378:L379"/>
    <mergeCell ref="A336:C336"/>
    <mergeCell ref="F353:H353"/>
    <mergeCell ref="I353:J353"/>
    <mergeCell ref="K353:K354"/>
    <mergeCell ref="L353:L354"/>
    <mergeCell ref="A384:C384"/>
    <mergeCell ref="F401:H401"/>
    <mergeCell ref="I401:J401"/>
    <mergeCell ref="A361:C361"/>
    <mergeCell ref="F378:H378"/>
    <mergeCell ref="I378:J378"/>
    <mergeCell ref="K378:K379"/>
    <mergeCell ref="A3:C3"/>
    <mergeCell ref="A20:C20"/>
    <mergeCell ref="F38:H38"/>
    <mergeCell ref="A46:C46"/>
    <mergeCell ref="A63:C63"/>
    <mergeCell ref="F81:H81"/>
    <mergeCell ref="D138:F138"/>
    <mergeCell ref="G138:H138"/>
    <mergeCell ref="G140:H140"/>
    <mergeCell ref="A137:L137"/>
    <mergeCell ref="K38:K39"/>
    <mergeCell ref="I140:J140"/>
    <mergeCell ref="A90:C90"/>
    <mergeCell ref="A107:C107"/>
    <mergeCell ref="F125:H125"/>
    <mergeCell ref="E140:F140"/>
    <mergeCell ref="M39:P39"/>
    <mergeCell ref="M40:P40"/>
    <mergeCell ref="M41:P41"/>
    <mergeCell ref="I125:J125"/>
    <mergeCell ref="K125:K126"/>
    <mergeCell ref="L38:L39"/>
    <mergeCell ref="L81:L82"/>
    <mergeCell ref="M82:P82"/>
    <mergeCell ref="M83:P83"/>
    <mergeCell ref="M84:P84"/>
    <mergeCell ref="I81:J81"/>
    <mergeCell ref="K81:K82"/>
    <mergeCell ref="I38:J38"/>
    <mergeCell ref="L125:L126"/>
    <mergeCell ref="AV446:AY446"/>
    <mergeCell ref="AV447:AY447"/>
    <mergeCell ref="AV448:AY448"/>
    <mergeCell ref="AN400:AO400"/>
    <mergeCell ref="AP400:AQ400"/>
    <mergeCell ref="AR400:AS400"/>
    <mergeCell ref="AJ410:AL410"/>
    <mergeCell ref="AJ427:AL427"/>
    <mergeCell ref="AO445:AQ445"/>
    <mergeCell ref="AR445:AS445"/>
    <mergeCell ref="AT445:AT446"/>
    <mergeCell ref="AU445:AU446"/>
    <mergeCell ref="AT469:AT470"/>
    <mergeCell ref="AU469:AU470"/>
    <mergeCell ref="AJ476:AL476"/>
    <mergeCell ref="AO493:AQ493"/>
    <mergeCell ref="AR493:AS493"/>
    <mergeCell ref="AT493:AT494"/>
    <mergeCell ref="AU493:AU494"/>
    <mergeCell ref="AO517:AQ517"/>
    <mergeCell ref="AR517:AS517"/>
    <mergeCell ref="AT517:AT518"/>
    <mergeCell ref="AU517:AU518"/>
    <mergeCell ref="AO541:AQ541"/>
    <mergeCell ref="AR541:AS541"/>
    <mergeCell ref="AT541:AT542"/>
    <mergeCell ref="AU541:AU542"/>
    <mergeCell ref="A538:C538"/>
    <mergeCell ref="F554:H554"/>
    <mergeCell ref="I554:J554"/>
    <mergeCell ref="K554:K555"/>
    <mergeCell ref="L554:L555"/>
    <mergeCell ref="M555:P555"/>
    <mergeCell ref="M556:P556"/>
    <mergeCell ref="M557:P557"/>
    <mergeCell ref="AJ500:AL500"/>
    <mergeCell ref="F531:H531"/>
    <mergeCell ref="I531:J531"/>
    <mergeCell ref="K531:K532"/>
    <mergeCell ref="L531:L532"/>
    <mergeCell ref="M532:P532"/>
    <mergeCell ref="M533:P533"/>
    <mergeCell ref="M534:P534"/>
    <mergeCell ref="L635:L636"/>
    <mergeCell ref="M636:P636"/>
    <mergeCell ref="M637:P637"/>
    <mergeCell ref="M638:P638"/>
    <mergeCell ref="A562:C562"/>
    <mergeCell ref="A579:C579"/>
    <mergeCell ref="F595:H595"/>
    <mergeCell ref="I595:J595"/>
    <mergeCell ref="K595:K596"/>
    <mergeCell ref="L595:L596"/>
    <mergeCell ref="M596:P596"/>
    <mergeCell ref="M597:P597"/>
    <mergeCell ref="M598:P598"/>
    <mergeCell ref="E664:F664"/>
    <mergeCell ref="G664:H664"/>
    <mergeCell ref="I664:J664"/>
    <mergeCell ref="A666:C666"/>
    <mergeCell ref="A602:C602"/>
    <mergeCell ref="A619:C619"/>
    <mergeCell ref="F635:H635"/>
    <mergeCell ref="I635:J635"/>
    <mergeCell ref="K635:K636"/>
    <mergeCell ref="A647:C647"/>
  </mergeCells>
  <pageMargins left="0.7" right="0.7" top="0.75" bottom="0.75" header="0.3" footer="0.3"/>
  <pageSetup paperSize="130" orientation="portrait" r:id="rId1"/>
  <drawing r:id="rId2"/>
  <legacyDrawing r:id="rId3"/>
</worksheet>
</file>

<file path=xl/worksheets/sheet25.xml><?xml version="1.0" encoding="utf-8"?>
<worksheet xmlns="http://schemas.openxmlformats.org/spreadsheetml/2006/main" xmlns:r="http://schemas.openxmlformats.org/officeDocument/2006/relationships">
  <dimension ref="A1"/>
  <sheetViews>
    <sheetView workbookViewId="0"/>
  </sheetViews>
  <sheetFormatPr baseColWidth="10" defaultRowHeight="12.75"/>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
  <sheetViews>
    <sheetView workbookViewId="0"/>
  </sheetViews>
  <sheetFormatPr baseColWidth="10" defaultRowHeight="12.75"/>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27</vt:i4>
      </vt:variant>
      <vt:variant>
        <vt:lpstr>Rangos con nombre</vt:lpstr>
      </vt:variant>
      <vt:variant>
        <vt:i4>4</vt:i4>
      </vt:variant>
    </vt:vector>
  </HeadingPairs>
  <TitlesOfParts>
    <vt:vector size="31" baseType="lpstr">
      <vt:lpstr>Resumen</vt:lpstr>
      <vt:lpstr>Global</vt:lpstr>
      <vt:lpstr>Res. Global</vt:lpstr>
      <vt:lpstr>Resumen RAE Anchoveta</vt:lpstr>
      <vt:lpstr>RAE Anchoveta</vt:lpstr>
      <vt:lpstr>Anchoveta</vt:lpstr>
      <vt:lpstr>Resumen RAE S.Común</vt:lpstr>
      <vt:lpstr>RAE S.común</vt:lpstr>
      <vt:lpstr>S.común</vt:lpstr>
      <vt:lpstr>Resumen RAE Jurel</vt:lpstr>
      <vt:lpstr>RAE Jurel</vt:lpstr>
      <vt:lpstr>Jurel</vt:lpstr>
      <vt:lpstr>S.española</vt:lpstr>
      <vt:lpstr>Resumen RAE S. Austral</vt:lpstr>
      <vt:lpstr>Sardina austral X - XI</vt:lpstr>
      <vt:lpstr>Resumen Cuotas Traspasos</vt:lpstr>
      <vt:lpstr>Planillas diarias trapasos</vt:lpstr>
      <vt:lpstr>trapasos VIII Y FAUN aco regs.</vt:lpstr>
      <vt:lpstr>Anchoveta como F Acomp VIII R</vt:lpstr>
      <vt:lpstr>Res. Global Faunas acompañantes</vt:lpstr>
      <vt:lpstr>Resumen Fauna Acompañante</vt:lpstr>
      <vt:lpstr>Fauna Acompañante</vt:lpstr>
      <vt:lpstr>Emb Tipo Bote SHRD</vt:lpstr>
      <vt:lpstr>CECIONES Y OTROS</vt:lpstr>
      <vt:lpstr>Hoja2</vt:lpstr>
      <vt:lpstr>Hoja1</vt:lpstr>
      <vt:lpstr>Hoja3</vt:lpstr>
      <vt:lpstr>'Emb Tipo Bote SHRD'!Área_de_impresión</vt:lpstr>
      <vt:lpstr>Global!Área_de_impresión</vt:lpstr>
      <vt:lpstr>'Res. Global'!Área_de_impresión</vt:lpstr>
      <vt:lpstr>'Resumen RAE Anchoveta'!Área_de_impresión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msolisp</dc:creator>
  <cp:lastModifiedBy>nperez</cp:lastModifiedBy>
  <cp:lastPrinted>2013-06-28T21:13:56Z</cp:lastPrinted>
  <dcterms:created xsi:type="dcterms:W3CDTF">2010-01-29T15:53:34Z</dcterms:created>
  <dcterms:modified xsi:type="dcterms:W3CDTF">2021-11-17T19:24:24Z</dcterms:modified>
</cp:coreProperties>
</file>